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<sst xmlns="http://schemas.openxmlformats.org/spreadsheetml/2006/main" count="422" uniqueCount="61">
  <si>
    <t>Fine Structure Energy Levels for Si VI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</si>
  <si>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</si>
  <si>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</si>
  <si>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</si>
  <si>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</si>
  <si>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</si>
  <si>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</si>
  <si>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</si>
  <si>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</si>
  <si>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</si>
  <si>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</si>
  <si>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</si>
  <si>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2s2.2p5</t>
  </si>
  <si>
    <t>2P</t>
  </si>
  <si>
    <t>2s.2p6</t>
  </si>
  <si>
    <t>2S</t>
  </si>
  <si>
    <t>2s2.2p4(3P).3s</t>
  </si>
  <si>
    <t>4P</t>
  </si>
  <si>
    <t>2s2.2p4(1D).3s</t>
  </si>
  <si>
    <t>2D</t>
  </si>
  <si>
    <t>2s2.2p4(3P).3p</t>
  </si>
  <si>
    <t>4D</t>
  </si>
  <si>
    <t>4S</t>
  </si>
  <si>
    <t>2s2.2p4(1S).3s</t>
  </si>
  <si>
    <t>2s2.2p4(1D).3p</t>
  </si>
  <si>
    <t>2F</t>
  </si>
  <si>
    <t>2s2.2p4(3P).3d</t>
  </si>
  <si>
    <t>4F</t>
  </si>
  <si>
    <t>2s2.2p4(1S).3p</t>
  </si>
  <si>
    <t>2s2.2p4(1D).3d</t>
  </si>
  <si>
    <t>2G</t>
  </si>
  <si>
    <t>2s2.2p4(1S).3d</t>
  </si>
  <si>
    <t>2s2.2p4(3P).4s</t>
  </si>
  <si>
    <t>2s2.2p4(3P).4p</t>
  </si>
  <si>
    <t>2s2.2p4(1D).4s</t>
  </si>
  <si>
    <t>2s.2p5(3P).3s</t>
  </si>
  <si>
    <t>2s2.2p4(3P).4d</t>
  </si>
  <si>
    <t>2s2.2p4(1D).4p</t>
  </si>
  <si>
    <t>2s2.2p4(3P).4f</t>
  </si>
  <si>
    <t>4G</t>
  </si>
  <si>
    <t>2s2.2p4(1S).4s</t>
  </si>
  <si>
    <t>2s.2p5(3P).3p</t>
  </si>
  <si>
    <t>2s2.2p4(1D).4d</t>
  </si>
  <si>
    <t>2s2.2p4(1D).4f</t>
  </si>
  <si>
    <t>2H</t>
  </si>
  <si>
    <t>2s2.2p4(1S).4p</t>
  </si>
  <si>
    <t>2s2.2p4(1S).4d</t>
  </si>
  <si>
    <t>2s2.2p4(1S).4f</t>
  </si>
  <si>
    <t>2s.2p5(1P).3s</t>
  </si>
  <si>
    <t>2s.2p5(3P).3d</t>
  </si>
  <si>
    <t>2s.2p5(1P).3p</t>
  </si>
  <si>
    <t>2s.2p5(1P).3d</t>
  </si>
  <si>
    <t>A-values for fine-structure transitions in Si VI</t>
  </si>
  <si>
    <t>k</t>
  </si>
  <si>
    <t>WL Vac (A)</t>
  </si>
  <si>
    <t>A (s-1)</t>
  </si>
  <si>
    <t>A2E1(s-1)</t>
  </si>
  <si>
    <t>Effective Collision Strengths for Si VI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</si>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</sst>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98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4.7109375" customWidth="1"/>
    <col min="4" max="4" width="15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4.7109375" customWidth="1"/>
    <col min="10" max="10" width="12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14</v>
      </c>
      <c r="B4" s="3">
        <v>9</v>
      </c>
      <c r="C4" s="3">
        <v>1</v>
      </c>
      <c r="D4" s="3" t="s">
        <v>12</v>
      </c>
      <c r="E4" s="3" t="s">
        <v>13</v>
      </c>
      <c r="F4" s="3">
        <v>2</v>
      </c>
      <c r="G4" s="3">
        <v>1</v>
      </c>
      <c r="H4" s="3">
        <v>1</v>
      </c>
      <c r="I4" s="3">
        <v>1.5</v>
      </c>
      <c r="J4" s="4" t="str">
        <f>HYPERLINK("http://141.218.60.56/~jnz1568/getInfo.php?workbook=14_09.xlsx&amp;sheet=E0&amp;row=4&amp;col=10&amp;number=0&amp;sourceID=14","0")</f>
        <v>0</v>
      </c>
    </row>
    <row r="5" spans="1:10">
      <c r="A5" s="3">
        <v>14</v>
      </c>
      <c r="B5" s="3">
        <v>9</v>
      </c>
      <c r="C5" s="3">
        <v>2</v>
      </c>
      <c r="D5" s="3" t="s">
        <v>12</v>
      </c>
      <c r="E5" s="3" t="s">
        <v>13</v>
      </c>
      <c r="F5" s="3">
        <v>2</v>
      </c>
      <c r="G5" s="3">
        <v>1</v>
      </c>
      <c r="H5" s="3">
        <v>1</v>
      </c>
      <c r="I5" s="3">
        <v>0.5</v>
      </c>
      <c r="J5" s="4" t="str">
        <f>HYPERLINK("http://141.218.60.56/~jnz1568/getInfo.php?workbook=14_09.xlsx&amp;sheet=E0&amp;row=5&amp;col=10&amp;number=5094.232&amp;sourceID=14","5094.232")</f>
        <v>5094.232</v>
      </c>
    </row>
    <row r="6" spans="1:10">
      <c r="A6" s="3">
        <v>14</v>
      </c>
      <c r="B6" s="3">
        <v>9</v>
      </c>
      <c r="C6" s="3">
        <v>3</v>
      </c>
      <c r="D6" s="3" t="s">
        <v>14</v>
      </c>
      <c r="E6" s="3" t="s">
        <v>15</v>
      </c>
      <c r="F6" s="3">
        <v>2</v>
      </c>
      <c r="G6" s="3">
        <v>0</v>
      </c>
      <c r="H6" s="3">
        <v>0</v>
      </c>
      <c r="I6" s="3">
        <v>0.5</v>
      </c>
      <c r="J6" s="4" t="str">
        <f>HYPERLINK("http://141.218.60.56/~jnz1568/getInfo.php?workbook=14_09.xlsx&amp;sheet=E0&amp;row=6&amp;col=10&amp;number=406500.76&amp;sourceID=14","406500.76")</f>
        <v>406500.76</v>
      </c>
    </row>
    <row r="7" spans="1:10">
      <c r="A7" s="3">
        <v>14</v>
      </c>
      <c r="B7" s="3">
        <v>9</v>
      </c>
      <c r="C7" s="3">
        <v>4</v>
      </c>
      <c r="D7" s="3" t="s">
        <v>16</v>
      </c>
      <c r="E7" s="3" t="s">
        <v>17</v>
      </c>
      <c r="F7" s="3">
        <v>4</v>
      </c>
      <c r="G7" s="3">
        <v>1</v>
      </c>
      <c r="H7" s="3">
        <v>1</v>
      </c>
      <c r="I7" s="3">
        <v>2.5</v>
      </c>
      <c r="J7" s="4" t="str">
        <f>HYPERLINK("http://141.218.60.56/~jnz1568/getInfo.php?workbook=14_09.xlsx&amp;sheet=E0&amp;row=7&amp;col=10&amp;number=990559.964&amp;sourceID=14","990559.964")</f>
        <v>990559.964</v>
      </c>
    </row>
    <row r="8" spans="1:10">
      <c r="A8" s="3">
        <v>14</v>
      </c>
      <c r="B8" s="3">
        <v>9</v>
      </c>
      <c r="C8" s="3">
        <v>5</v>
      </c>
      <c r="D8" s="3" t="s">
        <v>16</v>
      </c>
      <c r="E8" s="3" t="s">
        <v>17</v>
      </c>
      <c r="F8" s="3">
        <v>4</v>
      </c>
      <c r="G8" s="3">
        <v>1</v>
      </c>
      <c r="H8" s="3">
        <v>1</v>
      </c>
      <c r="I8" s="3">
        <v>1.5</v>
      </c>
      <c r="J8" s="4" t="str">
        <f>HYPERLINK("http://141.218.60.56/~jnz1568/getInfo.php?workbook=14_09.xlsx&amp;sheet=E0&amp;row=8&amp;col=10&amp;number=993637.38&amp;sourceID=14","993637.38")</f>
        <v>993637.38</v>
      </c>
    </row>
    <row r="9" spans="1:10">
      <c r="A9" s="3">
        <v>14</v>
      </c>
      <c r="B9" s="3">
        <v>9</v>
      </c>
      <c r="C9" s="3">
        <v>6</v>
      </c>
      <c r="D9" s="3" t="s">
        <v>16</v>
      </c>
      <c r="E9" s="3" t="s">
        <v>17</v>
      </c>
      <c r="F9" s="3">
        <v>4</v>
      </c>
      <c r="G9" s="3">
        <v>1</v>
      </c>
      <c r="H9" s="3">
        <v>1</v>
      </c>
      <c r="I9" s="3">
        <v>0.5</v>
      </c>
      <c r="J9" s="4" t="str">
        <f>HYPERLINK("http://141.218.60.56/~jnz1568/getInfo.php?workbook=14_09.xlsx&amp;sheet=E0&amp;row=9&amp;col=10&amp;number=995487.418&amp;sourceID=14","995487.418")</f>
        <v>995487.418</v>
      </c>
    </row>
    <row r="10" spans="1:10">
      <c r="A10" s="3">
        <v>14</v>
      </c>
      <c r="B10" s="3">
        <v>9</v>
      </c>
      <c r="C10" s="3">
        <v>7</v>
      </c>
      <c r="D10" s="3" t="s">
        <v>16</v>
      </c>
      <c r="E10" s="3" t="s">
        <v>13</v>
      </c>
      <c r="F10" s="3">
        <v>2</v>
      </c>
      <c r="G10" s="3">
        <v>1</v>
      </c>
      <c r="H10" s="3">
        <v>1</v>
      </c>
      <c r="I10" s="3">
        <v>1.5</v>
      </c>
      <c r="J10" s="4" t="str">
        <f>HYPERLINK("http://141.218.60.56/~jnz1568/getInfo.php?workbook=14_09.xlsx&amp;sheet=E0&amp;row=10&amp;col=10&amp;number=1005435.361&amp;sourceID=14","1005435.361")</f>
        <v>1005435.361</v>
      </c>
    </row>
    <row r="11" spans="1:10">
      <c r="A11" s="3">
        <v>14</v>
      </c>
      <c r="B11" s="3">
        <v>9</v>
      </c>
      <c r="C11" s="3">
        <v>8</v>
      </c>
      <c r="D11" s="3" t="s">
        <v>16</v>
      </c>
      <c r="E11" s="3" t="s">
        <v>13</v>
      </c>
      <c r="F11" s="3">
        <v>2</v>
      </c>
      <c r="G11" s="3">
        <v>1</v>
      </c>
      <c r="H11" s="3">
        <v>1</v>
      </c>
      <c r="I11" s="3">
        <v>0.5</v>
      </c>
      <c r="J11" s="4" t="str">
        <f>HYPERLINK("http://141.218.60.56/~jnz1568/getInfo.php?workbook=14_09.xlsx&amp;sheet=E0&amp;row=11&amp;col=10&amp;number=1009119.391&amp;sourceID=14","1009119.391")</f>
        <v>1009119.391</v>
      </c>
    </row>
    <row r="12" spans="1:10">
      <c r="A12" s="3">
        <v>14</v>
      </c>
      <c r="B12" s="3">
        <v>9</v>
      </c>
      <c r="C12" s="3">
        <v>9</v>
      </c>
      <c r="D12" s="3" t="s">
        <v>18</v>
      </c>
      <c r="E12" s="3" t="s">
        <v>19</v>
      </c>
      <c r="F12" s="3">
        <v>2</v>
      </c>
      <c r="G12" s="3">
        <v>2</v>
      </c>
      <c r="H12" s="3">
        <v>0</v>
      </c>
      <c r="I12" s="3">
        <v>2.5</v>
      </c>
      <c r="J12" s="4" t="str">
        <f>HYPERLINK("http://141.218.60.56/~jnz1568/getInfo.php?workbook=14_09.xlsx&amp;sheet=E0&amp;row=12&amp;col=10&amp;number=1046522.238&amp;sourceID=14","1046522.238")</f>
        <v>1046522.238</v>
      </c>
    </row>
    <row r="13" spans="1:10">
      <c r="A13" s="3">
        <v>14</v>
      </c>
      <c r="B13" s="3">
        <v>9</v>
      </c>
      <c r="C13" s="3">
        <v>10</v>
      </c>
      <c r="D13" s="3" t="s">
        <v>18</v>
      </c>
      <c r="E13" s="3" t="s">
        <v>19</v>
      </c>
      <c r="F13" s="3">
        <v>2</v>
      </c>
      <c r="G13" s="3">
        <v>2</v>
      </c>
      <c r="H13" s="3">
        <v>0</v>
      </c>
      <c r="I13" s="3">
        <v>1.5</v>
      </c>
      <c r="J13" s="4" t="str">
        <f>HYPERLINK("http://141.218.60.56/~jnz1568/getInfo.php?workbook=14_09.xlsx&amp;sheet=E0&amp;row=13&amp;col=10&amp;number=1041460.274&amp;sourceID=14","1041460.274")</f>
        <v>1041460.274</v>
      </c>
    </row>
    <row r="14" spans="1:10">
      <c r="A14" s="3">
        <v>14</v>
      </c>
      <c r="B14" s="3">
        <v>9</v>
      </c>
      <c r="C14" s="3">
        <v>11</v>
      </c>
      <c r="D14" s="3" t="s">
        <v>20</v>
      </c>
      <c r="E14" s="3" t="s">
        <v>17</v>
      </c>
      <c r="F14" s="3">
        <v>4</v>
      </c>
      <c r="G14" s="3">
        <v>1</v>
      </c>
      <c r="H14" s="3">
        <v>1</v>
      </c>
      <c r="I14" s="3">
        <v>2.5</v>
      </c>
      <c r="J14" s="4" t="str">
        <f>HYPERLINK("http://141.218.60.56/~jnz1568/getInfo.php?workbook=14_09.xlsx&amp;sheet=E0&amp;row=14&amp;col=10&amp;number=1068833.163&amp;sourceID=14","1068833.163")</f>
        <v>1068833.163</v>
      </c>
    </row>
    <row r="15" spans="1:10">
      <c r="A15" s="3">
        <v>14</v>
      </c>
      <c r="B15" s="3">
        <v>9</v>
      </c>
      <c r="C15" s="3">
        <v>12</v>
      </c>
      <c r="D15" s="3" t="s">
        <v>20</v>
      </c>
      <c r="E15" s="3" t="s">
        <v>17</v>
      </c>
      <c r="F15" s="3">
        <v>4</v>
      </c>
      <c r="G15" s="3">
        <v>1</v>
      </c>
      <c r="H15" s="3">
        <v>1</v>
      </c>
      <c r="I15" s="3">
        <v>1.5</v>
      </c>
      <c r="J15" s="4" t="str">
        <f>HYPERLINK("http://141.218.60.56/~jnz1568/getInfo.php?workbook=14_09.xlsx&amp;sheet=E0&amp;row=15&amp;col=10&amp;number=1069860.272&amp;sourceID=14","1069860.272")</f>
        <v>1069860.272</v>
      </c>
    </row>
    <row r="16" spans="1:10">
      <c r="A16" s="3">
        <v>14</v>
      </c>
      <c r="B16" s="3">
        <v>9</v>
      </c>
      <c r="C16" s="3">
        <v>13</v>
      </c>
      <c r="D16" s="3" t="s">
        <v>20</v>
      </c>
      <c r="E16" s="3" t="s">
        <v>17</v>
      </c>
      <c r="F16" s="3">
        <v>4</v>
      </c>
      <c r="G16" s="3">
        <v>1</v>
      </c>
      <c r="H16" s="3">
        <v>1</v>
      </c>
      <c r="I16" s="3">
        <v>0.5</v>
      </c>
      <c r="J16" s="4" t="str">
        <f>HYPERLINK("http://141.218.60.56/~jnz1568/getInfo.php?workbook=14_09.xlsx&amp;sheet=E0&amp;row=16&amp;col=10&amp;number=1071127.326&amp;sourceID=14","1071127.326")</f>
        <v>1071127.326</v>
      </c>
    </row>
    <row r="17" spans="1:10">
      <c r="A17" s="3">
        <v>14</v>
      </c>
      <c r="B17" s="3">
        <v>9</v>
      </c>
      <c r="C17" s="3">
        <v>14</v>
      </c>
      <c r="D17" s="3" t="s">
        <v>20</v>
      </c>
      <c r="E17" s="3" t="s">
        <v>21</v>
      </c>
      <c r="F17" s="3">
        <v>4</v>
      </c>
      <c r="G17" s="3">
        <v>2</v>
      </c>
      <c r="H17" s="3">
        <v>0</v>
      </c>
      <c r="I17" s="3">
        <v>3.5</v>
      </c>
      <c r="J17" s="4" t="str">
        <f>HYPERLINK("http://141.218.60.56/~jnz1568/getInfo.php?workbook=14_09.xlsx&amp;sheet=E0&amp;row=17&amp;col=10&amp;number=1078978.623&amp;sourceID=14","1078978.623")</f>
        <v>1078978.623</v>
      </c>
    </row>
    <row r="18" spans="1:10">
      <c r="A18" s="3">
        <v>14</v>
      </c>
      <c r="B18" s="3">
        <v>9</v>
      </c>
      <c r="C18" s="3">
        <v>15</v>
      </c>
      <c r="D18" s="3" t="s">
        <v>20</v>
      </c>
      <c r="E18" s="3" t="s">
        <v>21</v>
      </c>
      <c r="F18" s="3">
        <v>4</v>
      </c>
      <c r="G18" s="3">
        <v>2</v>
      </c>
      <c r="H18" s="3">
        <v>0</v>
      </c>
      <c r="I18" s="3">
        <v>2.5</v>
      </c>
      <c r="J18" s="4" t="str">
        <f>HYPERLINK("http://141.218.60.56/~jnz1568/getInfo.php?workbook=14_09.xlsx&amp;sheet=E0&amp;row=18&amp;col=10&amp;number=1080720.552&amp;sourceID=14","1080720.552")</f>
        <v>1080720.552</v>
      </c>
    </row>
    <row r="19" spans="1:10">
      <c r="A19" s="3">
        <v>14</v>
      </c>
      <c r="B19" s="3">
        <v>9</v>
      </c>
      <c r="C19" s="3">
        <v>16</v>
      </c>
      <c r="D19" s="3" t="s">
        <v>20</v>
      </c>
      <c r="E19" s="3" t="s">
        <v>21</v>
      </c>
      <c r="F19" s="3">
        <v>4</v>
      </c>
      <c r="G19" s="3">
        <v>2</v>
      </c>
      <c r="H19" s="3">
        <v>0</v>
      </c>
      <c r="I19" s="3">
        <v>1.5</v>
      </c>
      <c r="J19" s="4" t="str">
        <f>HYPERLINK("http://141.218.60.56/~jnz1568/getInfo.php?workbook=14_09.xlsx&amp;sheet=E0&amp;row=19&amp;col=10&amp;number=1082220.097&amp;sourceID=14","1082220.097")</f>
        <v>1082220.097</v>
      </c>
    </row>
    <row r="20" spans="1:10">
      <c r="A20" s="3">
        <v>14</v>
      </c>
      <c r="B20" s="3">
        <v>9</v>
      </c>
      <c r="C20" s="3">
        <v>17</v>
      </c>
      <c r="D20" s="3" t="s">
        <v>20</v>
      </c>
      <c r="E20" s="3" t="s">
        <v>21</v>
      </c>
      <c r="F20" s="3">
        <v>4</v>
      </c>
      <c r="G20" s="3">
        <v>2</v>
      </c>
      <c r="H20" s="3">
        <v>0</v>
      </c>
      <c r="I20" s="3">
        <v>0.5</v>
      </c>
      <c r="J20" s="4" t="str">
        <f>HYPERLINK("http://141.218.60.56/~jnz1568/getInfo.php?workbook=14_09.xlsx&amp;sheet=E0&amp;row=20&amp;col=10&amp;number=1083020.133&amp;sourceID=14","1083020.133")</f>
        <v>1083020.133</v>
      </c>
    </row>
    <row r="21" spans="1:10">
      <c r="A21" s="3">
        <v>14</v>
      </c>
      <c r="B21" s="3">
        <v>9</v>
      </c>
      <c r="C21" s="3">
        <v>18</v>
      </c>
      <c r="D21" s="3" t="s">
        <v>20</v>
      </c>
      <c r="E21" s="3" t="s">
        <v>19</v>
      </c>
      <c r="F21" s="3">
        <v>2</v>
      </c>
      <c r="G21" s="3">
        <v>2</v>
      </c>
      <c r="H21" s="3">
        <v>0</v>
      </c>
      <c r="I21" s="3">
        <v>2.5</v>
      </c>
      <c r="J21" s="4" t="str">
        <f>HYPERLINK("http://141.218.60.56/~jnz1568/getInfo.php?workbook=14_09.xlsx&amp;sheet=E0&amp;row=21&amp;col=10&amp;number=1086801.664&amp;sourceID=14","1086801.664")</f>
        <v>1086801.664</v>
      </c>
    </row>
    <row r="22" spans="1:10">
      <c r="A22" s="3">
        <v>14</v>
      </c>
      <c r="B22" s="3">
        <v>9</v>
      </c>
      <c r="C22" s="3">
        <v>19</v>
      </c>
      <c r="D22" s="3" t="s">
        <v>20</v>
      </c>
      <c r="E22" s="3" t="s">
        <v>19</v>
      </c>
      <c r="F22" s="3">
        <v>2</v>
      </c>
      <c r="G22" s="3">
        <v>2</v>
      </c>
      <c r="H22" s="3">
        <v>0</v>
      </c>
      <c r="I22" s="3">
        <v>1.5</v>
      </c>
      <c r="J22" s="4" t="str">
        <f>HYPERLINK("http://141.218.60.56/~jnz1568/getInfo.php?workbook=14_09.xlsx&amp;sheet=E0&amp;row=22&amp;col=10&amp;number=1089550.802&amp;sourceID=14","1089550.802")</f>
        <v>1089550.802</v>
      </c>
    </row>
    <row r="23" spans="1:10">
      <c r="A23" s="3">
        <v>14</v>
      </c>
      <c r="B23" s="3">
        <v>9</v>
      </c>
      <c r="C23" s="3">
        <v>20</v>
      </c>
      <c r="D23" s="3" t="s">
        <v>20</v>
      </c>
      <c r="E23" s="3" t="s">
        <v>13</v>
      </c>
      <c r="F23" s="3">
        <v>2</v>
      </c>
      <c r="G23" s="3">
        <v>1</v>
      </c>
      <c r="H23" s="3">
        <v>1</v>
      </c>
      <c r="I23" s="3">
        <v>0.5</v>
      </c>
      <c r="J23" s="4" t="str">
        <f>HYPERLINK("http://141.218.60.56/~jnz1568/getInfo.php?workbook=14_09.xlsx&amp;sheet=E0&amp;row=23&amp;col=10&amp;number=0&amp;sourceID=14","0")</f>
        <v>0</v>
      </c>
    </row>
    <row r="24" spans="1:10">
      <c r="A24" s="3">
        <v>14</v>
      </c>
      <c r="B24" s="3">
        <v>9</v>
      </c>
      <c r="C24" s="3">
        <v>21</v>
      </c>
      <c r="D24" s="3" t="s">
        <v>20</v>
      </c>
      <c r="E24" s="3" t="s">
        <v>22</v>
      </c>
      <c r="F24" s="3">
        <v>4</v>
      </c>
      <c r="G24" s="3">
        <v>0</v>
      </c>
      <c r="H24" s="3">
        <v>0</v>
      </c>
      <c r="I24" s="3">
        <v>1.5</v>
      </c>
      <c r="J24" s="4" t="str">
        <f>HYPERLINK("http://141.218.60.56/~jnz1568/getInfo.php?workbook=14_09.xlsx&amp;sheet=E0&amp;row=24&amp;col=10&amp;number=1093771.482&amp;sourceID=14","1093771.482")</f>
        <v>1093771.482</v>
      </c>
    </row>
    <row r="25" spans="1:10">
      <c r="A25" s="3">
        <v>14</v>
      </c>
      <c r="B25" s="3">
        <v>9</v>
      </c>
      <c r="C25" s="3">
        <v>22</v>
      </c>
      <c r="D25" s="3" t="s">
        <v>20</v>
      </c>
      <c r="E25" s="3" t="s">
        <v>13</v>
      </c>
      <c r="F25" s="3">
        <v>2</v>
      </c>
      <c r="G25" s="3">
        <v>1</v>
      </c>
      <c r="H25" s="3">
        <v>1</v>
      </c>
      <c r="I25" s="3">
        <v>1.5</v>
      </c>
      <c r="J25" s="4" t="str">
        <f>HYPERLINK("http://141.218.60.56/~jnz1568/getInfo.php?workbook=14_09.xlsx&amp;sheet=E0&amp;row=25&amp;col=10&amp;number=1094535.359&amp;sourceID=14","1094535.359")</f>
        <v>1094535.359</v>
      </c>
    </row>
    <row r="26" spans="1:10">
      <c r="A26" s="3">
        <v>14</v>
      </c>
      <c r="B26" s="3">
        <v>9</v>
      </c>
      <c r="C26" s="3">
        <v>23</v>
      </c>
      <c r="D26" s="3" t="s">
        <v>20</v>
      </c>
      <c r="E26" s="3" t="s">
        <v>15</v>
      </c>
      <c r="F26" s="3">
        <v>2</v>
      </c>
      <c r="G26" s="3">
        <v>0</v>
      </c>
      <c r="H26" s="3">
        <v>0</v>
      </c>
      <c r="I26" s="3">
        <v>0.5</v>
      </c>
      <c r="J26" s="4" t="str">
        <f>HYPERLINK("http://141.218.60.56/~jnz1568/getInfo.php?workbook=14_09.xlsx&amp;sheet=E0&amp;row=26&amp;col=10&amp;number=0&amp;sourceID=14","0")</f>
        <v>0</v>
      </c>
    </row>
    <row r="27" spans="1:10">
      <c r="A27" s="3">
        <v>14</v>
      </c>
      <c r="B27" s="3">
        <v>9</v>
      </c>
      <c r="C27" s="3">
        <v>24</v>
      </c>
      <c r="D27" s="3" t="s">
        <v>23</v>
      </c>
      <c r="E27" s="3" t="s">
        <v>15</v>
      </c>
      <c r="F27" s="3">
        <v>2</v>
      </c>
      <c r="G27" s="3">
        <v>0</v>
      </c>
      <c r="H27" s="3">
        <v>0</v>
      </c>
      <c r="I27" s="3">
        <v>0.5</v>
      </c>
      <c r="J27" s="4" t="str">
        <f>HYPERLINK("http://141.218.60.56/~jnz1568/getInfo.php?workbook=14_09.xlsx&amp;sheet=E0&amp;row=27&amp;col=10&amp;number=1094446.859&amp;sourceID=14","1094446.859")</f>
        <v>1094446.859</v>
      </c>
    </row>
    <row r="28" spans="1:10">
      <c r="A28" s="3">
        <v>14</v>
      </c>
      <c r="B28" s="3">
        <v>9</v>
      </c>
      <c r="C28" s="3">
        <v>25</v>
      </c>
      <c r="D28" s="3" t="s">
        <v>24</v>
      </c>
      <c r="E28" s="3" t="s">
        <v>25</v>
      </c>
      <c r="F28" s="3">
        <v>2</v>
      </c>
      <c r="G28" s="3">
        <v>3</v>
      </c>
      <c r="H28" s="3">
        <v>1</v>
      </c>
      <c r="I28" s="3">
        <v>2.5</v>
      </c>
      <c r="J28" s="4" t="str">
        <f>HYPERLINK("http://141.218.60.56/~jnz1568/getInfo.php?workbook=14_09.xlsx&amp;sheet=E0&amp;row=28&amp;col=10&amp;number=1126088.017&amp;sourceID=14","1126088.017")</f>
        <v>1126088.017</v>
      </c>
    </row>
    <row r="29" spans="1:10">
      <c r="A29" s="3">
        <v>14</v>
      </c>
      <c r="B29" s="3">
        <v>9</v>
      </c>
      <c r="C29" s="3">
        <v>26</v>
      </c>
      <c r="D29" s="3" t="s">
        <v>24</v>
      </c>
      <c r="E29" s="3" t="s">
        <v>25</v>
      </c>
      <c r="F29" s="3">
        <v>2</v>
      </c>
      <c r="G29" s="3">
        <v>3</v>
      </c>
      <c r="H29" s="3">
        <v>1</v>
      </c>
      <c r="I29" s="3">
        <v>3.5</v>
      </c>
      <c r="J29" s="4" t="str">
        <f>HYPERLINK("http://141.218.60.56/~jnz1568/getInfo.php?workbook=14_09.xlsx&amp;sheet=E0&amp;row=29&amp;col=10&amp;number=1129325.63&amp;sourceID=14","1129325.63")</f>
        <v>1129325.63</v>
      </c>
    </row>
    <row r="30" spans="1:10">
      <c r="A30" s="3">
        <v>14</v>
      </c>
      <c r="B30" s="3">
        <v>9</v>
      </c>
      <c r="C30" s="3">
        <v>27</v>
      </c>
      <c r="D30" s="3" t="s">
        <v>24</v>
      </c>
      <c r="E30" s="3" t="s">
        <v>19</v>
      </c>
      <c r="F30" s="3">
        <v>2</v>
      </c>
      <c r="G30" s="3">
        <v>2</v>
      </c>
      <c r="H30" s="3">
        <v>0</v>
      </c>
      <c r="I30" s="3">
        <v>1.5</v>
      </c>
      <c r="J30" s="4" t="str">
        <f>HYPERLINK("http://141.218.60.56/~jnz1568/getInfo.php?workbook=14_09.xlsx&amp;sheet=E0&amp;row=30&amp;col=10&amp;number=1134069.245&amp;sourceID=14","1134069.245")</f>
        <v>1134069.245</v>
      </c>
    </row>
    <row r="31" spans="1:10">
      <c r="A31" s="3">
        <v>14</v>
      </c>
      <c r="B31" s="3">
        <v>9</v>
      </c>
      <c r="C31" s="3">
        <v>28</v>
      </c>
      <c r="D31" s="3" t="s">
        <v>24</v>
      </c>
      <c r="E31" s="3" t="s">
        <v>19</v>
      </c>
      <c r="F31" s="3">
        <v>2</v>
      </c>
      <c r="G31" s="3">
        <v>2</v>
      </c>
      <c r="H31" s="3">
        <v>0</v>
      </c>
      <c r="I31" s="3">
        <v>2.5</v>
      </c>
      <c r="J31" s="4" t="str">
        <f>HYPERLINK("http://141.218.60.56/~jnz1568/getInfo.php?workbook=14_09.xlsx&amp;sheet=E0&amp;row=31&amp;col=10&amp;number=1137043.085&amp;sourceID=14","1137043.085")</f>
        <v>1137043.085</v>
      </c>
    </row>
    <row r="32" spans="1:10">
      <c r="A32" s="3">
        <v>14</v>
      </c>
      <c r="B32" s="3">
        <v>9</v>
      </c>
      <c r="C32" s="3">
        <v>29</v>
      </c>
      <c r="D32" s="3" t="s">
        <v>24</v>
      </c>
      <c r="E32" s="3" t="s">
        <v>13</v>
      </c>
      <c r="F32" s="3">
        <v>2</v>
      </c>
      <c r="G32" s="3">
        <v>1</v>
      </c>
      <c r="H32" s="3">
        <v>1</v>
      </c>
      <c r="I32" s="3">
        <v>1.5</v>
      </c>
      <c r="J32" s="4" t="str">
        <f>HYPERLINK("http://141.218.60.56/~jnz1568/getInfo.php?workbook=14_09.xlsx&amp;sheet=E0&amp;row=32&amp;col=10&amp;number=1147905.336&amp;sourceID=14","1147905.336")</f>
        <v>1147905.336</v>
      </c>
    </row>
    <row r="33" spans="1:10">
      <c r="A33" s="3">
        <v>14</v>
      </c>
      <c r="B33" s="3">
        <v>9</v>
      </c>
      <c r="C33" s="3">
        <v>30</v>
      </c>
      <c r="D33" s="3" t="s">
        <v>24</v>
      </c>
      <c r="E33" s="3" t="s">
        <v>13</v>
      </c>
      <c r="F33" s="3">
        <v>2</v>
      </c>
      <c r="G33" s="3">
        <v>1</v>
      </c>
      <c r="H33" s="3">
        <v>1</v>
      </c>
      <c r="I33" s="3">
        <v>0.5</v>
      </c>
      <c r="J33" s="4" t="str">
        <f>HYPERLINK("http://141.218.60.56/~jnz1568/getInfo.php?workbook=14_09.xlsx&amp;sheet=E0&amp;row=33&amp;col=10&amp;number=1150283.596&amp;sourceID=14","1150283.596")</f>
        <v>1150283.596</v>
      </c>
    </row>
    <row r="34" spans="1:10">
      <c r="A34" s="3">
        <v>14</v>
      </c>
      <c r="B34" s="3">
        <v>9</v>
      </c>
      <c r="C34" s="3">
        <v>31</v>
      </c>
      <c r="D34" s="3" t="s">
        <v>26</v>
      </c>
      <c r="E34" s="3" t="s">
        <v>21</v>
      </c>
      <c r="F34" s="3">
        <v>4</v>
      </c>
      <c r="G34" s="3">
        <v>2</v>
      </c>
      <c r="H34" s="3">
        <v>0</v>
      </c>
      <c r="I34" s="3">
        <v>3.5</v>
      </c>
      <c r="J34" s="4" t="str">
        <f>HYPERLINK("http://141.218.60.56/~jnz1568/getInfo.php?workbook=14_09.xlsx&amp;sheet=E0&amp;row=34&amp;col=10&amp;number=1180919.683&amp;sourceID=14","1180919.683")</f>
        <v>1180919.683</v>
      </c>
    </row>
    <row r="35" spans="1:10">
      <c r="A35" s="3">
        <v>14</v>
      </c>
      <c r="B35" s="3">
        <v>9</v>
      </c>
      <c r="C35" s="3">
        <v>32</v>
      </c>
      <c r="D35" s="3" t="s">
        <v>26</v>
      </c>
      <c r="E35" s="3" t="s">
        <v>21</v>
      </c>
      <c r="F35" s="3">
        <v>4</v>
      </c>
      <c r="G35" s="3">
        <v>2</v>
      </c>
      <c r="H35" s="3">
        <v>0</v>
      </c>
      <c r="I35" s="3">
        <v>2.5</v>
      </c>
      <c r="J35" s="4" t="str">
        <f>HYPERLINK("http://141.218.60.56/~jnz1568/getInfo.php?workbook=14_09.xlsx&amp;sheet=E0&amp;row=35&amp;col=10&amp;number=1181185.775&amp;sourceID=14","1181185.775")</f>
        <v>1181185.775</v>
      </c>
    </row>
    <row r="36" spans="1:10">
      <c r="A36" s="3">
        <v>14</v>
      </c>
      <c r="B36" s="3">
        <v>9</v>
      </c>
      <c r="C36" s="3">
        <v>33</v>
      </c>
      <c r="D36" s="3" t="s">
        <v>26</v>
      </c>
      <c r="E36" s="3" t="s">
        <v>21</v>
      </c>
      <c r="F36" s="3">
        <v>4</v>
      </c>
      <c r="G36" s="3">
        <v>2</v>
      </c>
      <c r="H36" s="3">
        <v>0</v>
      </c>
      <c r="I36" s="3">
        <v>1.5</v>
      </c>
      <c r="J36" s="4" t="str">
        <f>HYPERLINK("http://141.218.60.56/~jnz1568/getInfo.php?workbook=14_09.xlsx&amp;sheet=E0&amp;row=36&amp;col=10&amp;number=1181646.996&amp;sourceID=14","1181646.996")</f>
        <v>1181646.996</v>
      </c>
    </row>
    <row r="37" spans="1:10">
      <c r="A37" s="3">
        <v>14</v>
      </c>
      <c r="B37" s="3">
        <v>9</v>
      </c>
      <c r="C37" s="3">
        <v>34</v>
      </c>
      <c r="D37" s="3" t="s">
        <v>26</v>
      </c>
      <c r="E37" s="3" t="s">
        <v>21</v>
      </c>
      <c r="F37" s="3">
        <v>4</v>
      </c>
      <c r="G37" s="3">
        <v>2</v>
      </c>
      <c r="H37" s="3">
        <v>0</v>
      </c>
      <c r="I37" s="3">
        <v>0.5</v>
      </c>
      <c r="J37" s="4" t="str">
        <f>HYPERLINK("http://141.218.60.56/~jnz1568/getInfo.php?workbook=14_09.xlsx&amp;sheet=E0&amp;row=37&amp;col=10&amp;number=1182324.487&amp;sourceID=14","1182324.487")</f>
        <v>1182324.487</v>
      </c>
    </row>
    <row r="38" spans="1:10">
      <c r="A38" s="3">
        <v>14</v>
      </c>
      <c r="B38" s="3">
        <v>9</v>
      </c>
      <c r="C38" s="3">
        <v>35</v>
      </c>
      <c r="D38" s="3" t="s">
        <v>26</v>
      </c>
      <c r="E38" s="3" t="s">
        <v>27</v>
      </c>
      <c r="F38" s="3">
        <v>4</v>
      </c>
      <c r="G38" s="3">
        <v>3</v>
      </c>
      <c r="H38" s="3">
        <v>1</v>
      </c>
      <c r="I38" s="3">
        <v>4.5</v>
      </c>
      <c r="J38" s="4" t="str">
        <f>HYPERLINK("http://141.218.60.56/~jnz1568/getInfo.php?workbook=14_09.xlsx&amp;sheet=E0&amp;row=38&amp;col=10&amp;number=1189887.609&amp;sourceID=14","1189887.609")</f>
        <v>1189887.609</v>
      </c>
    </row>
    <row r="39" spans="1:10">
      <c r="A39" s="3">
        <v>14</v>
      </c>
      <c r="B39" s="3">
        <v>9</v>
      </c>
      <c r="C39" s="3">
        <v>36</v>
      </c>
      <c r="D39" s="3" t="s">
        <v>26</v>
      </c>
      <c r="E39" s="3" t="s">
        <v>27</v>
      </c>
      <c r="F39" s="3">
        <v>4</v>
      </c>
      <c r="G39" s="3">
        <v>3</v>
      </c>
      <c r="H39" s="3">
        <v>1</v>
      </c>
      <c r="I39" s="3">
        <v>3.5</v>
      </c>
      <c r="J39" s="4" t="str">
        <f>HYPERLINK("http://141.218.60.56/~jnz1568/getInfo.php?workbook=14_09.xlsx&amp;sheet=E0&amp;row=39&amp;col=10&amp;number=1191529.809&amp;sourceID=14","1191529.809")</f>
        <v>1191529.809</v>
      </c>
    </row>
    <row r="40" spans="1:10">
      <c r="A40" s="3">
        <v>14</v>
      </c>
      <c r="B40" s="3">
        <v>9</v>
      </c>
      <c r="C40" s="3">
        <v>37</v>
      </c>
      <c r="D40" s="3" t="s">
        <v>26</v>
      </c>
      <c r="E40" s="3" t="s">
        <v>27</v>
      </c>
      <c r="F40" s="3">
        <v>4</v>
      </c>
      <c r="G40" s="3">
        <v>3</v>
      </c>
      <c r="H40" s="3">
        <v>1</v>
      </c>
      <c r="I40" s="3">
        <v>2.5</v>
      </c>
      <c r="J40" s="4" t="str">
        <f>HYPERLINK("http://141.218.60.56/~jnz1568/getInfo.php?workbook=14_09.xlsx&amp;sheet=E0&amp;row=40&amp;col=10&amp;number=1193228.341&amp;sourceID=14","1193228.341")</f>
        <v>1193228.341</v>
      </c>
    </row>
    <row r="41" spans="1:10">
      <c r="A41" s="3">
        <v>14</v>
      </c>
      <c r="B41" s="3">
        <v>9</v>
      </c>
      <c r="C41" s="3">
        <v>38</v>
      </c>
      <c r="D41" s="3" t="s">
        <v>26</v>
      </c>
      <c r="E41" s="3" t="s">
        <v>27</v>
      </c>
      <c r="F41" s="3">
        <v>4</v>
      </c>
      <c r="G41" s="3">
        <v>3</v>
      </c>
      <c r="H41" s="3">
        <v>1</v>
      </c>
      <c r="I41" s="3">
        <v>1.5</v>
      </c>
      <c r="J41" s="4" t="str">
        <f>HYPERLINK("http://141.218.60.56/~jnz1568/getInfo.php?workbook=14_09.xlsx&amp;sheet=E0&amp;row=41&amp;col=10&amp;number=0&amp;sourceID=14","0")</f>
        <v>0</v>
      </c>
    </row>
    <row r="42" spans="1:10">
      <c r="A42" s="3">
        <v>14</v>
      </c>
      <c r="B42" s="3">
        <v>9</v>
      </c>
      <c r="C42" s="3">
        <v>39</v>
      </c>
      <c r="D42" s="3" t="s">
        <v>26</v>
      </c>
      <c r="E42" s="3" t="s">
        <v>17</v>
      </c>
      <c r="F42" s="3">
        <v>4</v>
      </c>
      <c r="G42" s="3">
        <v>1</v>
      </c>
      <c r="H42" s="3">
        <v>1</v>
      </c>
      <c r="I42" s="3">
        <v>0.5</v>
      </c>
      <c r="J42" s="4" t="str">
        <f>HYPERLINK("http://141.218.60.56/~jnz1568/getInfo.php?workbook=14_09.xlsx&amp;sheet=E0&amp;row=42&amp;col=10&amp;number=1194903.568&amp;sourceID=14","1194903.568")</f>
        <v>1194903.568</v>
      </c>
    </row>
    <row r="43" spans="1:10">
      <c r="A43" s="3">
        <v>14</v>
      </c>
      <c r="B43" s="3">
        <v>9</v>
      </c>
      <c r="C43" s="3">
        <v>40</v>
      </c>
      <c r="D43" s="3" t="s">
        <v>26</v>
      </c>
      <c r="E43" s="3" t="s">
        <v>17</v>
      </c>
      <c r="F43" s="3">
        <v>4</v>
      </c>
      <c r="G43" s="3">
        <v>1</v>
      </c>
      <c r="H43" s="3">
        <v>1</v>
      </c>
      <c r="I43" s="3">
        <v>1.5</v>
      </c>
      <c r="J43" s="4" t="str">
        <f>HYPERLINK("http://141.218.60.56/~jnz1568/getInfo.php?workbook=14_09.xlsx&amp;sheet=E0&amp;row=43&amp;col=10&amp;number=1195993.468&amp;sourceID=14","1195993.468")</f>
        <v>1195993.468</v>
      </c>
    </row>
    <row r="44" spans="1:10">
      <c r="A44" s="3">
        <v>14</v>
      </c>
      <c r="B44" s="3">
        <v>9</v>
      </c>
      <c r="C44" s="3">
        <v>41</v>
      </c>
      <c r="D44" s="3" t="s">
        <v>26</v>
      </c>
      <c r="E44" s="3" t="s">
        <v>25</v>
      </c>
      <c r="F44" s="3">
        <v>2</v>
      </c>
      <c r="G44" s="3">
        <v>3</v>
      </c>
      <c r="H44" s="3">
        <v>1</v>
      </c>
      <c r="I44" s="3">
        <v>3.5</v>
      </c>
      <c r="J44" s="4" t="str">
        <f>HYPERLINK("http://141.218.60.56/~jnz1568/getInfo.php?workbook=14_09.xlsx&amp;sheet=E0&amp;row=44&amp;col=10&amp;number=1195254.123&amp;sourceID=14","1195254.123")</f>
        <v>1195254.123</v>
      </c>
    </row>
    <row r="45" spans="1:10">
      <c r="A45" s="3">
        <v>14</v>
      </c>
      <c r="B45" s="3">
        <v>9</v>
      </c>
      <c r="C45" s="3">
        <v>42</v>
      </c>
      <c r="D45" s="3" t="s">
        <v>26</v>
      </c>
      <c r="E45" s="3" t="s">
        <v>17</v>
      </c>
      <c r="F45" s="3">
        <v>4</v>
      </c>
      <c r="G45" s="3">
        <v>1</v>
      </c>
      <c r="H45" s="3">
        <v>1</v>
      </c>
      <c r="I45" s="3">
        <v>2.5</v>
      </c>
      <c r="J45" s="4" t="str">
        <f>HYPERLINK("http://141.218.60.56/~jnz1568/getInfo.php?workbook=14_09.xlsx&amp;sheet=E0&amp;row=45&amp;col=10&amp;number=1197452.085&amp;sourceID=14","1197452.085")</f>
        <v>1197452.085</v>
      </c>
    </row>
    <row r="46" spans="1:10">
      <c r="A46" s="3">
        <v>14</v>
      </c>
      <c r="B46" s="3">
        <v>9</v>
      </c>
      <c r="C46" s="3">
        <v>43</v>
      </c>
      <c r="D46" s="3" t="s">
        <v>26</v>
      </c>
      <c r="E46" s="3" t="s">
        <v>25</v>
      </c>
      <c r="F46" s="3">
        <v>2</v>
      </c>
      <c r="G46" s="3">
        <v>3</v>
      </c>
      <c r="H46" s="3">
        <v>1</v>
      </c>
      <c r="I46" s="3">
        <v>2.5</v>
      </c>
      <c r="J46" s="4" t="str">
        <f>HYPERLINK("http://141.218.60.56/~jnz1568/getInfo.php?workbook=14_09.xlsx&amp;sheet=E0&amp;row=46&amp;col=10&amp;number=1197703.34&amp;sourceID=14","1197703.34")</f>
        <v>1197703.34</v>
      </c>
    </row>
    <row r="47" spans="1:10">
      <c r="A47" s="3">
        <v>14</v>
      </c>
      <c r="B47" s="3">
        <v>9</v>
      </c>
      <c r="C47" s="3">
        <v>44</v>
      </c>
      <c r="D47" s="3" t="s">
        <v>28</v>
      </c>
      <c r="E47" s="3" t="s">
        <v>13</v>
      </c>
      <c r="F47" s="3">
        <v>2</v>
      </c>
      <c r="G47" s="3">
        <v>1</v>
      </c>
      <c r="H47" s="3">
        <v>1</v>
      </c>
      <c r="I47" s="3">
        <v>1.5</v>
      </c>
      <c r="J47" s="4" t="str">
        <f>HYPERLINK("http://141.218.60.56/~jnz1568/getInfo.php?workbook=14_09.xlsx&amp;sheet=E0&amp;row=47&amp;col=10&amp;number=0&amp;sourceID=14","0")</f>
        <v>0</v>
      </c>
    </row>
    <row r="48" spans="1:10">
      <c r="A48" s="3">
        <v>14</v>
      </c>
      <c r="B48" s="3">
        <v>9</v>
      </c>
      <c r="C48" s="3">
        <v>45</v>
      </c>
      <c r="D48" s="3" t="s">
        <v>28</v>
      </c>
      <c r="E48" s="3" t="s">
        <v>13</v>
      </c>
      <c r="F48" s="3">
        <v>2</v>
      </c>
      <c r="G48" s="3">
        <v>1</v>
      </c>
      <c r="H48" s="3">
        <v>1</v>
      </c>
      <c r="I48" s="3">
        <v>0.5</v>
      </c>
      <c r="J48" s="4" t="str">
        <f>HYPERLINK("http://141.218.60.56/~jnz1568/getInfo.php?workbook=14_09.xlsx&amp;sheet=E0&amp;row=48&amp;col=10&amp;number=0&amp;sourceID=14","0")</f>
        <v>0</v>
      </c>
    </row>
    <row r="49" spans="1:10">
      <c r="A49" s="3">
        <v>14</v>
      </c>
      <c r="B49" s="3">
        <v>9</v>
      </c>
      <c r="C49" s="3">
        <v>46</v>
      </c>
      <c r="D49" s="3" t="s">
        <v>26</v>
      </c>
      <c r="E49" s="3" t="s">
        <v>13</v>
      </c>
      <c r="F49" s="3">
        <v>2</v>
      </c>
      <c r="G49" s="3">
        <v>1</v>
      </c>
      <c r="H49" s="3">
        <v>1</v>
      </c>
      <c r="I49" s="3">
        <v>0.5</v>
      </c>
      <c r="J49" s="4" t="str">
        <f>HYPERLINK("http://141.218.60.56/~jnz1568/getInfo.php?workbook=14_09.xlsx&amp;sheet=E0&amp;row=49&amp;col=10&amp;number=0&amp;sourceID=14","0")</f>
        <v>0</v>
      </c>
    </row>
    <row r="50" spans="1:10">
      <c r="A50" s="3">
        <v>14</v>
      </c>
      <c r="B50" s="3">
        <v>9</v>
      </c>
      <c r="C50" s="3">
        <v>47</v>
      </c>
      <c r="D50" s="3" t="s">
        <v>26</v>
      </c>
      <c r="E50" s="3" t="s">
        <v>19</v>
      </c>
      <c r="F50" s="3">
        <v>2</v>
      </c>
      <c r="G50" s="3">
        <v>2</v>
      </c>
      <c r="H50" s="3">
        <v>0</v>
      </c>
      <c r="I50" s="3">
        <v>1.5</v>
      </c>
      <c r="J50" s="4" t="str">
        <f>HYPERLINK("http://141.218.60.56/~jnz1568/getInfo.php?workbook=14_09.xlsx&amp;sheet=E0&amp;row=50&amp;col=10&amp;number=0&amp;sourceID=14","0")</f>
        <v>0</v>
      </c>
    </row>
    <row r="51" spans="1:10">
      <c r="A51" s="3">
        <v>14</v>
      </c>
      <c r="B51" s="3">
        <v>9</v>
      </c>
      <c r="C51" s="3">
        <v>48</v>
      </c>
      <c r="D51" s="3" t="s">
        <v>26</v>
      </c>
      <c r="E51" s="3" t="s">
        <v>19</v>
      </c>
      <c r="F51" s="3">
        <v>2</v>
      </c>
      <c r="G51" s="3">
        <v>2</v>
      </c>
      <c r="H51" s="3">
        <v>0</v>
      </c>
      <c r="I51" s="3">
        <v>2.5</v>
      </c>
      <c r="J51" s="4" t="str">
        <f>HYPERLINK("http://141.218.60.56/~jnz1568/getInfo.php?workbook=14_09.xlsx&amp;sheet=E0&amp;row=51&amp;col=10&amp;number=0&amp;sourceID=14","0")</f>
        <v>0</v>
      </c>
    </row>
    <row r="52" spans="1:10">
      <c r="A52" s="3">
        <v>14</v>
      </c>
      <c r="B52" s="3">
        <v>9</v>
      </c>
      <c r="C52" s="3">
        <v>49</v>
      </c>
      <c r="D52" s="3" t="s">
        <v>26</v>
      </c>
      <c r="E52" s="3" t="s">
        <v>13</v>
      </c>
      <c r="F52" s="3">
        <v>2</v>
      </c>
      <c r="G52" s="3">
        <v>1</v>
      </c>
      <c r="H52" s="3">
        <v>1</v>
      </c>
      <c r="I52" s="3">
        <v>1.5</v>
      </c>
      <c r="J52" s="4" t="str">
        <f>HYPERLINK("http://141.218.60.56/~jnz1568/getInfo.php?workbook=14_09.xlsx&amp;sheet=E0&amp;row=52&amp;col=10&amp;number=0&amp;sourceID=14","0")</f>
        <v>0</v>
      </c>
    </row>
    <row r="53" spans="1:10">
      <c r="A53" s="3">
        <v>14</v>
      </c>
      <c r="B53" s="3">
        <v>9</v>
      </c>
      <c r="C53" s="3">
        <v>50</v>
      </c>
      <c r="D53" s="3" t="s">
        <v>29</v>
      </c>
      <c r="E53" s="3" t="s">
        <v>30</v>
      </c>
      <c r="F53" s="3">
        <v>2</v>
      </c>
      <c r="G53" s="3">
        <v>4</v>
      </c>
      <c r="H53" s="3">
        <v>0</v>
      </c>
      <c r="I53" s="3">
        <v>3.5</v>
      </c>
      <c r="J53" s="4" t="str">
        <f>HYPERLINK("http://141.218.60.56/~jnz1568/getInfo.php?workbook=14_09.xlsx&amp;sheet=E0&amp;row=53&amp;col=10&amp;number=1234897.92&amp;sourceID=14","1234897.92")</f>
        <v>1234897.92</v>
      </c>
    </row>
    <row r="54" spans="1:10">
      <c r="A54" s="3">
        <v>14</v>
      </c>
      <c r="B54" s="3">
        <v>9</v>
      </c>
      <c r="C54" s="3">
        <v>51</v>
      </c>
      <c r="D54" s="3" t="s">
        <v>29</v>
      </c>
      <c r="E54" s="3" t="s">
        <v>30</v>
      </c>
      <c r="F54" s="3">
        <v>2</v>
      </c>
      <c r="G54" s="3">
        <v>4</v>
      </c>
      <c r="H54" s="3">
        <v>0</v>
      </c>
      <c r="I54" s="3">
        <v>4.5</v>
      </c>
      <c r="J54" s="4" t="str">
        <f>HYPERLINK("http://141.218.60.56/~jnz1568/getInfo.php?workbook=14_09.xlsx&amp;sheet=E0&amp;row=54&amp;col=10&amp;number=1237516.782&amp;sourceID=14","1237516.782")</f>
        <v>1237516.782</v>
      </c>
    </row>
    <row r="55" spans="1:10">
      <c r="A55" s="3">
        <v>14</v>
      </c>
      <c r="B55" s="3">
        <v>9</v>
      </c>
      <c r="C55" s="3">
        <v>52</v>
      </c>
      <c r="D55" s="3" t="s">
        <v>29</v>
      </c>
      <c r="E55" s="3" t="s">
        <v>15</v>
      </c>
      <c r="F55" s="3">
        <v>2</v>
      </c>
      <c r="G55" s="3">
        <v>0</v>
      </c>
      <c r="H55" s="3">
        <v>0</v>
      </c>
      <c r="I55" s="3">
        <v>0.5</v>
      </c>
      <c r="J55" s="4" t="str">
        <f>HYPERLINK("http://141.218.60.56/~jnz1568/getInfo.php?workbook=14_09.xlsx&amp;sheet=E0&amp;row=55&amp;col=10&amp;number=0&amp;sourceID=14","0")</f>
        <v>0</v>
      </c>
    </row>
    <row r="56" spans="1:10">
      <c r="A56" s="3">
        <v>14</v>
      </c>
      <c r="B56" s="3">
        <v>9</v>
      </c>
      <c r="C56" s="3">
        <v>53</v>
      </c>
      <c r="D56" s="3" t="s">
        <v>29</v>
      </c>
      <c r="E56" s="3" t="s">
        <v>13</v>
      </c>
      <c r="F56" s="3">
        <v>2</v>
      </c>
      <c r="G56" s="3">
        <v>1</v>
      </c>
      <c r="H56" s="3">
        <v>1</v>
      </c>
      <c r="I56" s="3">
        <v>1.5</v>
      </c>
      <c r="J56" s="4" t="str">
        <f>HYPERLINK("http://141.218.60.56/~jnz1568/getInfo.php?workbook=14_09.xlsx&amp;sheet=E0&amp;row=56&amp;col=10&amp;number=0&amp;sourceID=14","0")</f>
        <v>0</v>
      </c>
    </row>
    <row r="57" spans="1:10">
      <c r="A57" s="3">
        <v>14</v>
      </c>
      <c r="B57" s="3">
        <v>9</v>
      </c>
      <c r="C57" s="3">
        <v>54</v>
      </c>
      <c r="D57" s="3" t="s">
        <v>29</v>
      </c>
      <c r="E57" s="3" t="s">
        <v>25</v>
      </c>
      <c r="F57" s="3">
        <v>2</v>
      </c>
      <c r="G57" s="3">
        <v>3</v>
      </c>
      <c r="H57" s="3">
        <v>1</v>
      </c>
      <c r="I57" s="3">
        <v>2.5</v>
      </c>
      <c r="J57" s="4" t="str">
        <f>HYPERLINK("http://141.218.60.56/~jnz1568/getInfo.php?workbook=14_09.xlsx&amp;sheet=E0&amp;row=57&amp;col=10&amp;number=0&amp;sourceID=14","0")</f>
        <v>0</v>
      </c>
    </row>
    <row r="58" spans="1:10">
      <c r="A58" s="3">
        <v>14</v>
      </c>
      <c r="B58" s="3">
        <v>9</v>
      </c>
      <c r="C58" s="3">
        <v>55</v>
      </c>
      <c r="D58" s="3" t="s">
        <v>29</v>
      </c>
      <c r="E58" s="3" t="s">
        <v>13</v>
      </c>
      <c r="F58" s="3">
        <v>2</v>
      </c>
      <c r="G58" s="3">
        <v>1</v>
      </c>
      <c r="H58" s="3">
        <v>1</v>
      </c>
      <c r="I58" s="3">
        <v>0.5</v>
      </c>
      <c r="J58" s="4" t="str">
        <f>HYPERLINK("http://141.218.60.56/~jnz1568/getInfo.php?workbook=14_09.xlsx&amp;sheet=E0&amp;row=58&amp;col=10&amp;number=0&amp;sourceID=14","0")</f>
        <v>0</v>
      </c>
    </row>
    <row r="59" spans="1:10">
      <c r="A59" s="3">
        <v>14</v>
      </c>
      <c r="B59" s="3">
        <v>9</v>
      </c>
      <c r="C59" s="3">
        <v>56</v>
      </c>
      <c r="D59" s="3" t="s">
        <v>29</v>
      </c>
      <c r="E59" s="3" t="s">
        <v>25</v>
      </c>
      <c r="F59" s="3">
        <v>2</v>
      </c>
      <c r="G59" s="3">
        <v>3</v>
      </c>
      <c r="H59" s="3">
        <v>1</v>
      </c>
      <c r="I59" s="3">
        <v>3.5</v>
      </c>
      <c r="J59" s="4" t="str">
        <f>HYPERLINK("http://141.218.60.56/~jnz1568/getInfo.php?workbook=14_09.xlsx&amp;sheet=E0&amp;row=59&amp;col=10&amp;number=1245147.687&amp;sourceID=14","1245147.687")</f>
        <v>1245147.687</v>
      </c>
    </row>
    <row r="60" spans="1:10">
      <c r="A60" s="3">
        <v>14</v>
      </c>
      <c r="B60" s="3">
        <v>9</v>
      </c>
      <c r="C60" s="3">
        <v>57</v>
      </c>
      <c r="D60" s="3" t="s">
        <v>29</v>
      </c>
      <c r="E60" s="3" t="s">
        <v>19</v>
      </c>
      <c r="F60" s="3">
        <v>2</v>
      </c>
      <c r="G60" s="3">
        <v>2</v>
      </c>
      <c r="H60" s="3">
        <v>0</v>
      </c>
      <c r="I60" s="3">
        <v>2.5</v>
      </c>
      <c r="J60" s="4" t="str">
        <f>HYPERLINK("http://141.218.60.56/~jnz1568/getInfo.php?workbook=14_09.xlsx&amp;sheet=E0&amp;row=60&amp;col=10&amp;number=0&amp;sourceID=14","0")</f>
        <v>0</v>
      </c>
    </row>
    <row r="61" spans="1:10">
      <c r="A61" s="3">
        <v>14</v>
      </c>
      <c r="B61" s="3">
        <v>9</v>
      </c>
      <c r="C61" s="3">
        <v>58</v>
      </c>
      <c r="D61" s="3" t="s">
        <v>29</v>
      </c>
      <c r="E61" s="3" t="s">
        <v>19</v>
      </c>
      <c r="F61" s="3">
        <v>2</v>
      </c>
      <c r="G61" s="3">
        <v>2</v>
      </c>
      <c r="H61" s="3">
        <v>0</v>
      </c>
      <c r="I61" s="3">
        <v>1.5</v>
      </c>
      <c r="J61" s="4" t="str">
        <f>HYPERLINK("http://141.218.60.56/~jnz1568/getInfo.php?workbook=14_09.xlsx&amp;sheet=E0&amp;row=61&amp;col=10&amp;number=0&amp;sourceID=14","0")</f>
        <v>0</v>
      </c>
    </row>
    <row r="62" spans="1:10">
      <c r="A62" s="3">
        <v>14</v>
      </c>
      <c r="B62" s="3">
        <v>9</v>
      </c>
      <c r="C62" s="3">
        <v>59</v>
      </c>
      <c r="D62" s="3" t="s">
        <v>31</v>
      </c>
      <c r="E62" s="3" t="s">
        <v>19</v>
      </c>
      <c r="F62" s="3">
        <v>2</v>
      </c>
      <c r="G62" s="3">
        <v>2</v>
      </c>
      <c r="H62" s="3">
        <v>0</v>
      </c>
      <c r="I62" s="3">
        <v>2.5</v>
      </c>
      <c r="J62" s="4" t="str">
        <f>HYPERLINK("http://141.218.60.56/~jnz1568/getInfo.php?workbook=14_09.xlsx&amp;sheet=E0&amp;row=62&amp;col=10&amp;number=0&amp;sourceID=14","0")</f>
        <v>0</v>
      </c>
    </row>
    <row r="63" spans="1:10">
      <c r="A63" s="3">
        <v>14</v>
      </c>
      <c r="B63" s="3">
        <v>9</v>
      </c>
      <c r="C63" s="3">
        <v>60</v>
      </c>
      <c r="D63" s="3" t="s">
        <v>31</v>
      </c>
      <c r="E63" s="3" t="s">
        <v>19</v>
      </c>
      <c r="F63" s="3">
        <v>2</v>
      </c>
      <c r="G63" s="3">
        <v>2</v>
      </c>
      <c r="H63" s="3">
        <v>0</v>
      </c>
      <c r="I63" s="3">
        <v>1.5</v>
      </c>
      <c r="J63" s="4" t="str">
        <f>HYPERLINK("http://141.218.60.56/~jnz1568/getInfo.php?workbook=14_09.xlsx&amp;sheet=E0&amp;row=63&amp;col=10&amp;number=0&amp;sourceID=14","0")</f>
        <v>0</v>
      </c>
    </row>
    <row r="64" spans="1:10">
      <c r="A64" s="3">
        <v>14</v>
      </c>
      <c r="B64" s="3">
        <v>9</v>
      </c>
      <c r="C64" s="3">
        <v>61</v>
      </c>
      <c r="D64" s="3" t="s">
        <v>32</v>
      </c>
      <c r="E64" s="3" t="s">
        <v>17</v>
      </c>
      <c r="F64" s="3">
        <v>4</v>
      </c>
      <c r="G64" s="3">
        <v>1</v>
      </c>
      <c r="H64" s="3">
        <v>1</v>
      </c>
      <c r="I64" s="3">
        <v>2.5</v>
      </c>
      <c r="J64" s="4" t="str">
        <f>HYPERLINK("http://141.218.60.56/~jnz1568/getInfo.php?workbook=14_09.xlsx&amp;sheet=E0&amp;row=64&amp;col=10&amp;number=0&amp;sourceID=14","0")</f>
        <v>0</v>
      </c>
    </row>
    <row r="65" spans="1:10">
      <c r="A65" s="3">
        <v>14</v>
      </c>
      <c r="B65" s="3">
        <v>9</v>
      </c>
      <c r="C65" s="3">
        <v>62</v>
      </c>
      <c r="D65" s="3" t="s">
        <v>32</v>
      </c>
      <c r="E65" s="3" t="s">
        <v>17</v>
      </c>
      <c r="F65" s="3">
        <v>4</v>
      </c>
      <c r="G65" s="3">
        <v>1</v>
      </c>
      <c r="H65" s="3">
        <v>1</v>
      </c>
      <c r="I65" s="3">
        <v>1.5</v>
      </c>
      <c r="J65" s="4" t="str">
        <f>HYPERLINK("http://141.218.60.56/~jnz1568/getInfo.php?workbook=14_09.xlsx&amp;sheet=E0&amp;row=65&amp;col=10&amp;number=0&amp;sourceID=14","0")</f>
        <v>0</v>
      </c>
    </row>
    <row r="66" spans="1:10">
      <c r="A66" s="3">
        <v>14</v>
      </c>
      <c r="B66" s="3">
        <v>9</v>
      </c>
      <c r="C66" s="3">
        <v>63</v>
      </c>
      <c r="D66" s="3" t="s">
        <v>32</v>
      </c>
      <c r="E66" s="3" t="s">
        <v>17</v>
      </c>
      <c r="F66" s="3">
        <v>4</v>
      </c>
      <c r="G66" s="3">
        <v>1</v>
      </c>
      <c r="H66" s="3">
        <v>1</v>
      </c>
      <c r="I66" s="3">
        <v>0.5</v>
      </c>
      <c r="J66" s="4" t="str">
        <f>HYPERLINK("http://141.218.60.56/~jnz1568/getInfo.php?workbook=14_09.xlsx&amp;sheet=E0&amp;row=66&amp;col=10&amp;number=0&amp;sourceID=14","0")</f>
        <v>0</v>
      </c>
    </row>
    <row r="67" spans="1:10">
      <c r="A67" s="3">
        <v>14</v>
      </c>
      <c r="B67" s="3">
        <v>9</v>
      </c>
      <c r="C67" s="3">
        <v>64</v>
      </c>
      <c r="D67" s="3" t="s">
        <v>32</v>
      </c>
      <c r="E67" s="3" t="s">
        <v>13</v>
      </c>
      <c r="F67" s="3">
        <v>2</v>
      </c>
      <c r="G67" s="3">
        <v>1</v>
      </c>
      <c r="H67" s="3">
        <v>1</v>
      </c>
      <c r="I67" s="3">
        <v>1.5</v>
      </c>
      <c r="J67" s="4" t="str">
        <f>HYPERLINK("http://141.218.60.56/~jnz1568/getInfo.php?workbook=14_09.xlsx&amp;sheet=E0&amp;row=67&amp;col=10&amp;number=0&amp;sourceID=14","0")</f>
        <v>0</v>
      </c>
    </row>
    <row r="68" spans="1:10">
      <c r="A68" s="3">
        <v>14</v>
      </c>
      <c r="B68" s="3">
        <v>9</v>
      </c>
      <c r="C68" s="3">
        <v>65</v>
      </c>
      <c r="D68" s="3" t="s">
        <v>32</v>
      </c>
      <c r="E68" s="3" t="s">
        <v>13</v>
      </c>
      <c r="F68" s="3">
        <v>2</v>
      </c>
      <c r="G68" s="3">
        <v>1</v>
      </c>
      <c r="H68" s="3">
        <v>1</v>
      </c>
      <c r="I68" s="3">
        <v>0.5</v>
      </c>
      <c r="J68" s="4" t="str">
        <f>HYPERLINK("http://141.218.60.56/~jnz1568/getInfo.php?workbook=14_09.xlsx&amp;sheet=E0&amp;row=68&amp;col=10&amp;number=0&amp;sourceID=14","0")</f>
        <v>0</v>
      </c>
    </row>
    <row r="69" spans="1:10">
      <c r="A69" s="3">
        <v>14</v>
      </c>
      <c r="B69" s="3">
        <v>9</v>
      </c>
      <c r="C69" s="3">
        <v>66</v>
      </c>
      <c r="D69" s="3" t="s">
        <v>33</v>
      </c>
      <c r="E69" s="3" t="s">
        <v>17</v>
      </c>
      <c r="F69" s="3">
        <v>4</v>
      </c>
      <c r="G69" s="3">
        <v>1</v>
      </c>
      <c r="H69" s="3">
        <v>1</v>
      </c>
      <c r="I69" s="3">
        <v>2.5</v>
      </c>
      <c r="J69" s="4" t="str">
        <f>HYPERLINK("http://141.218.60.56/~jnz1568/getInfo.php?workbook=14_09.xlsx&amp;sheet=E0&amp;row=69&amp;col=10&amp;number=0&amp;sourceID=14","0")</f>
        <v>0</v>
      </c>
    </row>
    <row r="70" spans="1:10">
      <c r="A70" s="3">
        <v>14</v>
      </c>
      <c r="B70" s="3">
        <v>9</v>
      </c>
      <c r="C70" s="3">
        <v>67</v>
      </c>
      <c r="D70" s="3" t="s">
        <v>33</v>
      </c>
      <c r="E70" s="3" t="s">
        <v>17</v>
      </c>
      <c r="F70" s="3">
        <v>4</v>
      </c>
      <c r="G70" s="3">
        <v>1</v>
      </c>
      <c r="H70" s="3">
        <v>1</v>
      </c>
      <c r="I70" s="3">
        <v>1.5</v>
      </c>
      <c r="J70" s="4" t="str">
        <f>HYPERLINK("http://141.218.60.56/~jnz1568/getInfo.php?workbook=14_09.xlsx&amp;sheet=E0&amp;row=70&amp;col=10&amp;number=0&amp;sourceID=14","0")</f>
        <v>0</v>
      </c>
    </row>
    <row r="71" spans="1:10">
      <c r="A71" s="3">
        <v>14</v>
      </c>
      <c r="B71" s="3">
        <v>9</v>
      </c>
      <c r="C71" s="3">
        <v>68</v>
      </c>
      <c r="D71" s="3" t="s">
        <v>33</v>
      </c>
      <c r="E71" s="3" t="s">
        <v>17</v>
      </c>
      <c r="F71" s="3">
        <v>4</v>
      </c>
      <c r="G71" s="3">
        <v>1</v>
      </c>
      <c r="H71" s="3">
        <v>1</v>
      </c>
      <c r="I71" s="3">
        <v>0.5</v>
      </c>
      <c r="J71" s="4" t="str">
        <f>HYPERLINK("http://141.218.60.56/~jnz1568/getInfo.php?workbook=14_09.xlsx&amp;sheet=E0&amp;row=71&amp;col=10&amp;number=0&amp;sourceID=14","0")</f>
        <v>0</v>
      </c>
    </row>
    <row r="72" spans="1:10">
      <c r="A72" s="3">
        <v>14</v>
      </c>
      <c r="B72" s="3">
        <v>9</v>
      </c>
      <c r="C72" s="3">
        <v>69</v>
      </c>
      <c r="D72" s="3" t="s">
        <v>33</v>
      </c>
      <c r="E72" s="3" t="s">
        <v>21</v>
      </c>
      <c r="F72" s="3">
        <v>4</v>
      </c>
      <c r="G72" s="3">
        <v>2</v>
      </c>
      <c r="H72" s="3">
        <v>0</v>
      </c>
      <c r="I72" s="3">
        <v>3.5</v>
      </c>
      <c r="J72" s="4" t="str">
        <f>HYPERLINK("http://141.218.60.56/~jnz1568/getInfo.php?workbook=14_09.xlsx&amp;sheet=E0&amp;row=72&amp;col=10&amp;number=0&amp;sourceID=14","0")</f>
        <v>0</v>
      </c>
    </row>
    <row r="73" spans="1:10">
      <c r="A73" s="3">
        <v>14</v>
      </c>
      <c r="B73" s="3">
        <v>9</v>
      </c>
      <c r="C73" s="3">
        <v>70</v>
      </c>
      <c r="D73" s="3" t="s">
        <v>33</v>
      </c>
      <c r="E73" s="3" t="s">
        <v>21</v>
      </c>
      <c r="F73" s="3">
        <v>4</v>
      </c>
      <c r="G73" s="3">
        <v>2</v>
      </c>
      <c r="H73" s="3">
        <v>0</v>
      </c>
      <c r="I73" s="3">
        <v>2.5</v>
      </c>
      <c r="J73" s="4" t="str">
        <f>HYPERLINK("http://141.218.60.56/~jnz1568/getInfo.php?workbook=14_09.xlsx&amp;sheet=E0&amp;row=73&amp;col=10&amp;number=0&amp;sourceID=14","0")</f>
        <v>0</v>
      </c>
    </row>
    <row r="74" spans="1:10">
      <c r="A74" s="3">
        <v>14</v>
      </c>
      <c r="B74" s="3">
        <v>9</v>
      </c>
      <c r="C74" s="3">
        <v>71</v>
      </c>
      <c r="D74" s="3" t="s">
        <v>33</v>
      </c>
      <c r="E74" s="3" t="s">
        <v>21</v>
      </c>
      <c r="F74" s="3">
        <v>4</v>
      </c>
      <c r="G74" s="3">
        <v>2</v>
      </c>
      <c r="H74" s="3">
        <v>0</v>
      </c>
      <c r="I74" s="3">
        <v>1.5</v>
      </c>
      <c r="J74" s="4" t="str">
        <f>HYPERLINK("http://141.218.60.56/~jnz1568/getInfo.php?workbook=14_09.xlsx&amp;sheet=E0&amp;row=74&amp;col=10&amp;number=0&amp;sourceID=14","0")</f>
        <v>0</v>
      </c>
    </row>
    <row r="75" spans="1:10">
      <c r="A75" s="3">
        <v>14</v>
      </c>
      <c r="B75" s="3">
        <v>9</v>
      </c>
      <c r="C75" s="3">
        <v>72</v>
      </c>
      <c r="D75" s="3" t="s">
        <v>33</v>
      </c>
      <c r="E75" s="3" t="s">
        <v>19</v>
      </c>
      <c r="F75" s="3">
        <v>2</v>
      </c>
      <c r="G75" s="3">
        <v>2</v>
      </c>
      <c r="H75" s="3">
        <v>0</v>
      </c>
      <c r="I75" s="3">
        <v>2.5</v>
      </c>
      <c r="J75" s="4" t="str">
        <f>HYPERLINK("http://141.218.60.56/~jnz1568/getInfo.php?workbook=14_09.xlsx&amp;sheet=E0&amp;row=75&amp;col=10&amp;number=0&amp;sourceID=14","0")</f>
        <v>0</v>
      </c>
    </row>
    <row r="76" spans="1:10">
      <c r="A76" s="3">
        <v>14</v>
      </c>
      <c r="B76" s="3">
        <v>9</v>
      </c>
      <c r="C76" s="3">
        <v>73</v>
      </c>
      <c r="D76" s="3" t="s">
        <v>33</v>
      </c>
      <c r="E76" s="3" t="s">
        <v>21</v>
      </c>
      <c r="F76" s="3">
        <v>4</v>
      </c>
      <c r="G76" s="3">
        <v>2</v>
      </c>
      <c r="H76" s="3">
        <v>0</v>
      </c>
      <c r="I76" s="3">
        <v>0.5</v>
      </c>
      <c r="J76" s="4" t="str">
        <f>HYPERLINK("http://141.218.60.56/~jnz1568/getInfo.php?workbook=14_09.xlsx&amp;sheet=E0&amp;row=76&amp;col=10&amp;number=0&amp;sourceID=14","0")</f>
        <v>0</v>
      </c>
    </row>
    <row r="77" spans="1:10">
      <c r="A77" s="3">
        <v>14</v>
      </c>
      <c r="B77" s="3">
        <v>9</v>
      </c>
      <c r="C77" s="3">
        <v>74</v>
      </c>
      <c r="D77" s="3" t="s">
        <v>33</v>
      </c>
      <c r="E77" s="3" t="s">
        <v>15</v>
      </c>
      <c r="F77" s="3">
        <v>2</v>
      </c>
      <c r="G77" s="3">
        <v>0</v>
      </c>
      <c r="H77" s="3">
        <v>0</v>
      </c>
      <c r="I77" s="3">
        <v>0.5</v>
      </c>
      <c r="J77" s="4" t="str">
        <f>HYPERLINK("http://141.218.60.56/~jnz1568/getInfo.php?workbook=14_09.xlsx&amp;sheet=E0&amp;row=77&amp;col=10&amp;number=0&amp;sourceID=14","0")</f>
        <v>0</v>
      </c>
    </row>
    <row r="78" spans="1:10">
      <c r="A78" s="3">
        <v>14</v>
      </c>
      <c r="B78" s="3">
        <v>9</v>
      </c>
      <c r="C78" s="3">
        <v>75</v>
      </c>
      <c r="D78" s="3" t="s">
        <v>33</v>
      </c>
      <c r="E78" s="3" t="s">
        <v>22</v>
      </c>
      <c r="F78" s="3">
        <v>4</v>
      </c>
      <c r="G78" s="3">
        <v>0</v>
      </c>
      <c r="H78" s="3">
        <v>0</v>
      </c>
      <c r="I78" s="3">
        <v>1.5</v>
      </c>
      <c r="J78" s="4" t="str">
        <f>HYPERLINK("http://141.218.60.56/~jnz1568/getInfo.php?workbook=14_09.xlsx&amp;sheet=E0&amp;row=78&amp;col=10&amp;number=0&amp;sourceID=14","0")</f>
        <v>0</v>
      </c>
    </row>
    <row r="79" spans="1:10">
      <c r="A79" s="3">
        <v>14</v>
      </c>
      <c r="B79" s="3">
        <v>9</v>
      </c>
      <c r="C79" s="3">
        <v>76</v>
      </c>
      <c r="D79" s="3" t="s">
        <v>33</v>
      </c>
      <c r="E79" s="3" t="s">
        <v>19</v>
      </c>
      <c r="F79" s="3">
        <v>2</v>
      </c>
      <c r="G79" s="3">
        <v>2</v>
      </c>
      <c r="H79" s="3">
        <v>0</v>
      </c>
      <c r="I79" s="3">
        <v>1.5</v>
      </c>
      <c r="J79" s="4" t="str">
        <f>HYPERLINK("http://141.218.60.56/~jnz1568/getInfo.php?workbook=14_09.xlsx&amp;sheet=E0&amp;row=79&amp;col=10&amp;number=0&amp;sourceID=14","0")</f>
        <v>0</v>
      </c>
    </row>
    <row r="80" spans="1:10">
      <c r="A80" s="3">
        <v>14</v>
      </c>
      <c r="B80" s="3">
        <v>9</v>
      </c>
      <c r="C80" s="3">
        <v>77</v>
      </c>
      <c r="D80" s="3" t="s">
        <v>33</v>
      </c>
      <c r="E80" s="3" t="s">
        <v>13</v>
      </c>
      <c r="F80" s="3">
        <v>2</v>
      </c>
      <c r="G80" s="3">
        <v>1</v>
      </c>
      <c r="H80" s="3">
        <v>1</v>
      </c>
      <c r="I80" s="3">
        <v>1.5</v>
      </c>
      <c r="J80" s="4" t="str">
        <f>HYPERLINK("http://141.218.60.56/~jnz1568/getInfo.php?workbook=14_09.xlsx&amp;sheet=E0&amp;row=80&amp;col=10&amp;number=0&amp;sourceID=14","0")</f>
        <v>0</v>
      </c>
    </row>
    <row r="81" spans="1:10">
      <c r="A81" s="3">
        <v>14</v>
      </c>
      <c r="B81" s="3">
        <v>9</v>
      </c>
      <c r="C81" s="3">
        <v>78</v>
      </c>
      <c r="D81" s="3" t="s">
        <v>33</v>
      </c>
      <c r="E81" s="3" t="s">
        <v>13</v>
      </c>
      <c r="F81" s="3">
        <v>2</v>
      </c>
      <c r="G81" s="3">
        <v>1</v>
      </c>
      <c r="H81" s="3">
        <v>1</v>
      </c>
      <c r="I81" s="3">
        <v>0.5</v>
      </c>
      <c r="J81" s="4" t="str">
        <f>HYPERLINK("http://141.218.60.56/~jnz1568/getInfo.php?workbook=14_09.xlsx&amp;sheet=E0&amp;row=81&amp;col=10&amp;number=0&amp;sourceID=14","0")</f>
        <v>0</v>
      </c>
    </row>
    <row r="82" spans="1:10">
      <c r="A82" s="3">
        <v>14</v>
      </c>
      <c r="B82" s="3">
        <v>9</v>
      </c>
      <c r="C82" s="3">
        <v>79</v>
      </c>
      <c r="D82" s="3" t="s">
        <v>34</v>
      </c>
      <c r="E82" s="3" t="s">
        <v>19</v>
      </c>
      <c r="F82" s="3">
        <v>2</v>
      </c>
      <c r="G82" s="3">
        <v>2</v>
      </c>
      <c r="H82" s="3">
        <v>0</v>
      </c>
      <c r="I82" s="3">
        <v>2.5</v>
      </c>
      <c r="J82" s="4" t="str">
        <f>HYPERLINK("http://141.218.60.56/~jnz1568/getInfo.php?workbook=14_09.xlsx&amp;sheet=E0&amp;row=82&amp;col=10&amp;number=0&amp;sourceID=14","0")</f>
        <v>0</v>
      </c>
    </row>
    <row r="83" spans="1:10">
      <c r="A83" s="3">
        <v>14</v>
      </c>
      <c r="B83" s="3">
        <v>9</v>
      </c>
      <c r="C83" s="3">
        <v>80</v>
      </c>
      <c r="D83" s="3" t="s">
        <v>34</v>
      </c>
      <c r="E83" s="3" t="s">
        <v>19</v>
      </c>
      <c r="F83" s="3">
        <v>2</v>
      </c>
      <c r="G83" s="3">
        <v>2</v>
      </c>
      <c r="H83" s="3">
        <v>0</v>
      </c>
      <c r="I83" s="3">
        <v>1.5</v>
      </c>
      <c r="J83" s="4" t="str">
        <f>HYPERLINK("http://141.218.60.56/~jnz1568/getInfo.php?workbook=14_09.xlsx&amp;sheet=E0&amp;row=83&amp;col=10&amp;number=0&amp;sourceID=14","0")</f>
        <v>0</v>
      </c>
    </row>
    <row r="84" spans="1:10">
      <c r="A84" s="3">
        <v>14</v>
      </c>
      <c r="B84" s="3">
        <v>9</v>
      </c>
      <c r="C84" s="3">
        <v>81</v>
      </c>
      <c r="D84" s="3" t="s">
        <v>35</v>
      </c>
      <c r="E84" s="3" t="s">
        <v>17</v>
      </c>
      <c r="F84" s="3">
        <v>4</v>
      </c>
      <c r="G84" s="3">
        <v>1</v>
      </c>
      <c r="H84" s="3">
        <v>1</v>
      </c>
      <c r="I84" s="3">
        <v>2.5</v>
      </c>
      <c r="J84" s="4" t="str">
        <f>HYPERLINK("http://141.218.60.56/~jnz1568/getInfo.php?workbook=14_09.xlsx&amp;sheet=E0&amp;row=84&amp;col=10&amp;number=0&amp;sourceID=14","0")</f>
        <v>0</v>
      </c>
    </row>
    <row r="85" spans="1:10">
      <c r="A85" s="3">
        <v>14</v>
      </c>
      <c r="B85" s="3">
        <v>9</v>
      </c>
      <c r="C85" s="3">
        <v>82</v>
      </c>
      <c r="D85" s="3" t="s">
        <v>35</v>
      </c>
      <c r="E85" s="3" t="s">
        <v>17</v>
      </c>
      <c r="F85" s="3">
        <v>4</v>
      </c>
      <c r="G85" s="3">
        <v>1</v>
      </c>
      <c r="H85" s="3">
        <v>1</v>
      </c>
      <c r="I85" s="3">
        <v>1.5</v>
      </c>
      <c r="J85" s="4" t="str">
        <f>HYPERLINK("http://141.218.60.56/~jnz1568/getInfo.php?workbook=14_09.xlsx&amp;sheet=E0&amp;row=85&amp;col=10&amp;number=0&amp;sourceID=14","0")</f>
        <v>0</v>
      </c>
    </row>
    <row r="86" spans="1:10">
      <c r="A86" s="3">
        <v>14</v>
      </c>
      <c r="B86" s="3">
        <v>9</v>
      </c>
      <c r="C86" s="3">
        <v>83</v>
      </c>
      <c r="D86" s="3" t="s">
        <v>35</v>
      </c>
      <c r="E86" s="3" t="s">
        <v>17</v>
      </c>
      <c r="F86" s="3">
        <v>4</v>
      </c>
      <c r="G86" s="3">
        <v>1</v>
      </c>
      <c r="H86" s="3">
        <v>1</v>
      </c>
      <c r="I86" s="3">
        <v>0.5</v>
      </c>
      <c r="J86" s="4" t="str">
        <f>HYPERLINK("http://141.218.60.56/~jnz1568/getInfo.php?workbook=14_09.xlsx&amp;sheet=E0&amp;row=86&amp;col=10&amp;number=0&amp;sourceID=14","0")</f>
        <v>0</v>
      </c>
    </row>
    <row r="87" spans="1:10">
      <c r="A87" s="3">
        <v>14</v>
      </c>
      <c r="B87" s="3">
        <v>9</v>
      </c>
      <c r="C87" s="3">
        <v>84</v>
      </c>
      <c r="D87" s="3" t="s">
        <v>35</v>
      </c>
      <c r="E87" s="3" t="s">
        <v>13</v>
      </c>
      <c r="F87" s="3">
        <v>2</v>
      </c>
      <c r="G87" s="3">
        <v>1</v>
      </c>
      <c r="H87" s="3">
        <v>1</v>
      </c>
      <c r="I87" s="3">
        <v>1.5</v>
      </c>
      <c r="J87" s="4" t="str">
        <f>HYPERLINK("http://141.218.60.56/~jnz1568/getInfo.php?workbook=14_09.xlsx&amp;sheet=E0&amp;row=87&amp;col=10&amp;number=0&amp;sourceID=14","0")</f>
        <v>0</v>
      </c>
    </row>
    <row r="88" spans="1:10">
      <c r="A88" s="3">
        <v>14</v>
      </c>
      <c r="B88" s="3">
        <v>9</v>
      </c>
      <c r="C88" s="3">
        <v>85</v>
      </c>
      <c r="D88" s="3" t="s">
        <v>35</v>
      </c>
      <c r="E88" s="3" t="s">
        <v>13</v>
      </c>
      <c r="F88" s="3">
        <v>2</v>
      </c>
      <c r="G88" s="3">
        <v>1</v>
      </c>
      <c r="H88" s="3">
        <v>1</v>
      </c>
      <c r="I88" s="3">
        <v>0.5</v>
      </c>
      <c r="J88" s="4" t="str">
        <f>HYPERLINK("http://141.218.60.56/~jnz1568/getInfo.php?workbook=14_09.xlsx&amp;sheet=E0&amp;row=88&amp;col=10&amp;number=0&amp;sourceID=14","0")</f>
        <v>0</v>
      </c>
    </row>
    <row r="89" spans="1:10">
      <c r="A89" s="3">
        <v>14</v>
      </c>
      <c r="B89" s="3">
        <v>9</v>
      </c>
      <c r="C89" s="3">
        <v>86</v>
      </c>
      <c r="D89" s="3" t="s">
        <v>36</v>
      </c>
      <c r="E89" s="3" t="s">
        <v>21</v>
      </c>
      <c r="F89" s="3">
        <v>4</v>
      </c>
      <c r="G89" s="3">
        <v>2</v>
      </c>
      <c r="H89" s="3">
        <v>0</v>
      </c>
      <c r="I89" s="3">
        <v>3.5</v>
      </c>
      <c r="J89" s="4" t="str">
        <f>HYPERLINK("http://141.218.60.56/~jnz1568/getInfo.php?workbook=14_09.xlsx&amp;sheet=E0&amp;row=89&amp;col=10&amp;number=0&amp;sourceID=14","0")</f>
        <v>0</v>
      </c>
    </row>
    <row r="90" spans="1:10">
      <c r="A90" s="3">
        <v>14</v>
      </c>
      <c r="B90" s="3">
        <v>9</v>
      </c>
      <c r="C90" s="3">
        <v>87</v>
      </c>
      <c r="D90" s="3" t="s">
        <v>36</v>
      </c>
      <c r="E90" s="3" t="s">
        <v>21</v>
      </c>
      <c r="F90" s="3">
        <v>4</v>
      </c>
      <c r="G90" s="3">
        <v>2</v>
      </c>
      <c r="H90" s="3">
        <v>0</v>
      </c>
      <c r="I90" s="3">
        <v>2.5</v>
      </c>
      <c r="J90" s="4" t="str">
        <f>HYPERLINK("http://141.218.60.56/~jnz1568/getInfo.php?workbook=14_09.xlsx&amp;sheet=E0&amp;row=90&amp;col=10&amp;number=0&amp;sourceID=14","0")</f>
        <v>0</v>
      </c>
    </row>
    <row r="91" spans="1:10">
      <c r="A91" s="3">
        <v>14</v>
      </c>
      <c r="B91" s="3">
        <v>9</v>
      </c>
      <c r="C91" s="3">
        <v>88</v>
      </c>
      <c r="D91" s="3" t="s">
        <v>36</v>
      </c>
      <c r="E91" s="3" t="s">
        <v>21</v>
      </c>
      <c r="F91" s="3">
        <v>4</v>
      </c>
      <c r="G91" s="3">
        <v>2</v>
      </c>
      <c r="H91" s="3">
        <v>0</v>
      </c>
      <c r="I91" s="3">
        <v>1.5</v>
      </c>
      <c r="J91" s="4" t="str">
        <f>HYPERLINK("http://141.218.60.56/~jnz1568/getInfo.php?workbook=14_09.xlsx&amp;sheet=E0&amp;row=91&amp;col=10&amp;number=0&amp;sourceID=14","0")</f>
        <v>0</v>
      </c>
    </row>
    <row r="92" spans="1:10">
      <c r="A92" s="3">
        <v>14</v>
      </c>
      <c r="B92" s="3">
        <v>9</v>
      </c>
      <c r="C92" s="3">
        <v>89</v>
      </c>
      <c r="D92" s="3" t="s">
        <v>36</v>
      </c>
      <c r="E92" s="3" t="s">
        <v>21</v>
      </c>
      <c r="F92" s="3">
        <v>4</v>
      </c>
      <c r="G92" s="3">
        <v>2</v>
      </c>
      <c r="H92" s="3">
        <v>0</v>
      </c>
      <c r="I92" s="3">
        <v>0.5</v>
      </c>
      <c r="J92" s="4" t="str">
        <f>HYPERLINK("http://141.218.60.56/~jnz1568/getInfo.php?workbook=14_09.xlsx&amp;sheet=E0&amp;row=92&amp;col=10&amp;number=0&amp;sourceID=14","0")</f>
        <v>0</v>
      </c>
    </row>
    <row r="93" spans="1:10">
      <c r="A93" s="3">
        <v>14</v>
      </c>
      <c r="B93" s="3">
        <v>9</v>
      </c>
      <c r="C93" s="3">
        <v>90</v>
      </c>
      <c r="D93" s="3" t="s">
        <v>36</v>
      </c>
      <c r="E93" s="3" t="s">
        <v>27</v>
      </c>
      <c r="F93" s="3">
        <v>4</v>
      </c>
      <c r="G93" s="3">
        <v>3</v>
      </c>
      <c r="H93" s="3">
        <v>1</v>
      </c>
      <c r="I93" s="3">
        <v>4.5</v>
      </c>
      <c r="J93" s="4" t="str">
        <f>HYPERLINK("http://141.218.60.56/~jnz1568/getInfo.php?workbook=14_09.xlsx&amp;sheet=E0&amp;row=93&amp;col=10&amp;number=0&amp;sourceID=14","0")</f>
        <v>0</v>
      </c>
    </row>
    <row r="94" spans="1:10">
      <c r="A94" s="3">
        <v>14</v>
      </c>
      <c r="B94" s="3">
        <v>9</v>
      </c>
      <c r="C94" s="3">
        <v>91</v>
      </c>
      <c r="D94" s="3" t="s">
        <v>36</v>
      </c>
      <c r="E94" s="3" t="s">
        <v>27</v>
      </c>
      <c r="F94" s="3">
        <v>4</v>
      </c>
      <c r="G94" s="3">
        <v>3</v>
      </c>
      <c r="H94" s="3">
        <v>1</v>
      </c>
      <c r="I94" s="3">
        <v>3.5</v>
      </c>
      <c r="J94" s="4" t="str">
        <f>HYPERLINK("http://141.218.60.56/~jnz1568/getInfo.php?workbook=14_09.xlsx&amp;sheet=E0&amp;row=94&amp;col=10&amp;number=0&amp;sourceID=14","0")</f>
        <v>0</v>
      </c>
    </row>
    <row r="95" spans="1:10">
      <c r="A95" s="3">
        <v>14</v>
      </c>
      <c r="B95" s="3">
        <v>9</v>
      </c>
      <c r="C95" s="3">
        <v>92</v>
      </c>
      <c r="D95" s="3" t="s">
        <v>36</v>
      </c>
      <c r="E95" s="3" t="s">
        <v>17</v>
      </c>
      <c r="F95" s="3">
        <v>4</v>
      </c>
      <c r="G95" s="3">
        <v>1</v>
      </c>
      <c r="H95" s="3">
        <v>1</v>
      </c>
      <c r="I95" s="3">
        <v>0.5</v>
      </c>
      <c r="J95" s="4" t="str">
        <f>HYPERLINK("http://141.218.60.56/~jnz1568/getInfo.php?workbook=14_09.xlsx&amp;sheet=E0&amp;row=95&amp;col=10&amp;number=0&amp;sourceID=14","0")</f>
        <v>0</v>
      </c>
    </row>
    <row r="96" spans="1:10">
      <c r="A96" s="3">
        <v>14</v>
      </c>
      <c r="B96" s="3">
        <v>9</v>
      </c>
      <c r="C96" s="3">
        <v>93</v>
      </c>
      <c r="D96" s="3" t="s">
        <v>36</v>
      </c>
      <c r="E96" s="3" t="s">
        <v>27</v>
      </c>
      <c r="F96" s="3">
        <v>4</v>
      </c>
      <c r="G96" s="3">
        <v>3</v>
      </c>
      <c r="H96" s="3">
        <v>1</v>
      </c>
      <c r="I96" s="3">
        <v>2.5</v>
      </c>
      <c r="J96" s="4" t="str">
        <f>HYPERLINK("http://141.218.60.56/~jnz1568/getInfo.php?workbook=14_09.xlsx&amp;sheet=E0&amp;row=96&amp;col=10&amp;number=0&amp;sourceID=14","0")</f>
        <v>0</v>
      </c>
    </row>
    <row r="97" spans="1:10">
      <c r="A97" s="3">
        <v>14</v>
      </c>
      <c r="B97" s="3">
        <v>9</v>
      </c>
      <c r="C97" s="3">
        <v>94</v>
      </c>
      <c r="D97" s="3" t="s">
        <v>36</v>
      </c>
      <c r="E97" s="3" t="s">
        <v>17</v>
      </c>
      <c r="F97" s="3">
        <v>4</v>
      </c>
      <c r="G97" s="3">
        <v>1</v>
      </c>
      <c r="H97" s="3">
        <v>1</v>
      </c>
      <c r="I97" s="3">
        <v>1.5</v>
      </c>
      <c r="J97" s="4" t="str">
        <f>HYPERLINK("http://141.218.60.56/~jnz1568/getInfo.php?workbook=14_09.xlsx&amp;sheet=E0&amp;row=97&amp;col=10&amp;number=0&amp;sourceID=14","0")</f>
        <v>0</v>
      </c>
    </row>
    <row r="98" spans="1:10">
      <c r="A98" s="3">
        <v>14</v>
      </c>
      <c r="B98" s="3">
        <v>9</v>
      </c>
      <c r="C98" s="3">
        <v>95</v>
      </c>
      <c r="D98" s="3" t="s">
        <v>36</v>
      </c>
      <c r="E98" s="3" t="s">
        <v>25</v>
      </c>
      <c r="F98" s="3">
        <v>2</v>
      </c>
      <c r="G98" s="3">
        <v>3</v>
      </c>
      <c r="H98" s="3">
        <v>1</v>
      </c>
      <c r="I98" s="3">
        <v>3.5</v>
      </c>
      <c r="J98" s="4" t="str">
        <f>HYPERLINK("http://141.218.60.56/~jnz1568/getInfo.php?workbook=14_09.xlsx&amp;sheet=E0&amp;row=98&amp;col=10&amp;number=0&amp;sourceID=14","0")</f>
        <v>0</v>
      </c>
    </row>
    <row r="99" spans="1:10">
      <c r="A99" s="3">
        <v>14</v>
      </c>
      <c r="B99" s="3">
        <v>9</v>
      </c>
      <c r="C99" s="3">
        <v>96</v>
      </c>
      <c r="D99" s="3" t="s">
        <v>36</v>
      </c>
      <c r="E99" s="3" t="s">
        <v>27</v>
      </c>
      <c r="F99" s="3">
        <v>4</v>
      </c>
      <c r="G99" s="3">
        <v>3</v>
      </c>
      <c r="H99" s="3">
        <v>1</v>
      </c>
      <c r="I99" s="3">
        <v>1.5</v>
      </c>
      <c r="J99" s="4" t="str">
        <f>HYPERLINK("http://141.218.60.56/~jnz1568/getInfo.php?workbook=14_09.xlsx&amp;sheet=E0&amp;row=99&amp;col=10&amp;number=0&amp;sourceID=14","0")</f>
        <v>0</v>
      </c>
    </row>
    <row r="100" spans="1:10">
      <c r="A100" s="3">
        <v>14</v>
      </c>
      <c r="B100" s="3">
        <v>9</v>
      </c>
      <c r="C100" s="3">
        <v>97</v>
      </c>
      <c r="D100" s="3" t="s">
        <v>36</v>
      </c>
      <c r="E100" s="3" t="s">
        <v>17</v>
      </c>
      <c r="F100" s="3">
        <v>4</v>
      </c>
      <c r="G100" s="3">
        <v>1</v>
      </c>
      <c r="H100" s="3">
        <v>1</v>
      </c>
      <c r="I100" s="3">
        <v>2.5</v>
      </c>
      <c r="J100" s="4" t="str">
        <f>HYPERLINK("http://141.218.60.56/~jnz1568/getInfo.php?workbook=14_09.xlsx&amp;sheet=E0&amp;row=100&amp;col=10&amp;number=0&amp;sourceID=14","0")</f>
        <v>0</v>
      </c>
    </row>
    <row r="101" spans="1:10">
      <c r="A101" s="3">
        <v>14</v>
      </c>
      <c r="B101" s="3">
        <v>9</v>
      </c>
      <c r="C101" s="3">
        <v>98</v>
      </c>
      <c r="D101" s="3" t="s">
        <v>36</v>
      </c>
      <c r="E101" s="3" t="s">
        <v>25</v>
      </c>
      <c r="F101" s="3">
        <v>2</v>
      </c>
      <c r="G101" s="3">
        <v>3</v>
      </c>
      <c r="H101" s="3">
        <v>1</v>
      </c>
      <c r="I101" s="3">
        <v>2.5</v>
      </c>
      <c r="J101" s="4" t="str">
        <f>HYPERLINK("http://141.218.60.56/~jnz1568/getInfo.php?workbook=14_09.xlsx&amp;sheet=E0&amp;row=101&amp;col=10&amp;number=0&amp;sourceID=14","0")</f>
        <v>0</v>
      </c>
    </row>
    <row r="102" spans="1:10">
      <c r="A102" s="3">
        <v>14</v>
      </c>
      <c r="B102" s="3">
        <v>9</v>
      </c>
      <c r="C102" s="3">
        <v>99</v>
      </c>
      <c r="D102" s="3" t="s">
        <v>36</v>
      </c>
      <c r="E102" s="3" t="s">
        <v>13</v>
      </c>
      <c r="F102" s="3">
        <v>2</v>
      </c>
      <c r="G102" s="3">
        <v>1</v>
      </c>
      <c r="H102" s="3">
        <v>1</v>
      </c>
      <c r="I102" s="3">
        <v>0.5</v>
      </c>
      <c r="J102" s="4" t="str">
        <f>HYPERLINK("http://141.218.60.56/~jnz1568/getInfo.php?workbook=14_09.xlsx&amp;sheet=E0&amp;row=102&amp;col=10&amp;number=0&amp;sourceID=14","0")</f>
        <v>0</v>
      </c>
    </row>
    <row r="103" spans="1:10">
      <c r="A103" s="3">
        <v>14</v>
      </c>
      <c r="B103" s="3">
        <v>9</v>
      </c>
      <c r="C103" s="3">
        <v>100</v>
      </c>
      <c r="D103" s="3" t="s">
        <v>36</v>
      </c>
      <c r="E103" s="3" t="s">
        <v>19</v>
      </c>
      <c r="F103" s="3">
        <v>2</v>
      </c>
      <c r="G103" s="3">
        <v>2</v>
      </c>
      <c r="H103" s="3">
        <v>0</v>
      </c>
      <c r="I103" s="3">
        <v>1.5</v>
      </c>
      <c r="J103" s="4" t="str">
        <f>HYPERLINK("http://141.218.60.56/~jnz1568/getInfo.php?workbook=14_09.xlsx&amp;sheet=E0&amp;row=103&amp;col=10&amp;number=0&amp;sourceID=14","0")</f>
        <v>0</v>
      </c>
    </row>
    <row r="104" spans="1:10">
      <c r="A104" s="3">
        <v>14</v>
      </c>
      <c r="B104" s="3">
        <v>9</v>
      </c>
      <c r="C104" s="3">
        <v>101</v>
      </c>
      <c r="D104" s="3" t="s">
        <v>37</v>
      </c>
      <c r="E104" s="3" t="s">
        <v>25</v>
      </c>
      <c r="F104" s="3">
        <v>2</v>
      </c>
      <c r="G104" s="3">
        <v>3</v>
      </c>
      <c r="H104" s="3">
        <v>1</v>
      </c>
      <c r="I104" s="3">
        <v>2.5</v>
      </c>
      <c r="J104" s="4" t="str">
        <f>HYPERLINK("http://141.218.60.56/~jnz1568/getInfo.php?workbook=14_09.xlsx&amp;sheet=E0&amp;row=104&amp;col=10&amp;number=0&amp;sourceID=14","0")</f>
        <v>0</v>
      </c>
    </row>
    <row r="105" spans="1:10">
      <c r="A105" s="3">
        <v>14</v>
      </c>
      <c r="B105" s="3">
        <v>9</v>
      </c>
      <c r="C105" s="3">
        <v>102</v>
      </c>
      <c r="D105" s="3" t="s">
        <v>37</v>
      </c>
      <c r="E105" s="3" t="s">
        <v>25</v>
      </c>
      <c r="F105" s="3">
        <v>2</v>
      </c>
      <c r="G105" s="3">
        <v>3</v>
      </c>
      <c r="H105" s="3">
        <v>1</v>
      </c>
      <c r="I105" s="3">
        <v>3.5</v>
      </c>
      <c r="J105" s="4" t="str">
        <f>HYPERLINK("http://141.218.60.56/~jnz1568/getInfo.php?workbook=14_09.xlsx&amp;sheet=E0&amp;row=105&amp;col=10&amp;number=0&amp;sourceID=14","0")</f>
        <v>0</v>
      </c>
    </row>
    <row r="106" spans="1:10">
      <c r="A106" s="3">
        <v>14</v>
      </c>
      <c r="B106" s="3">
        <v>9</v>
      </c>
      <c r="C106" s="3">
        <v>103</v>
      </c>
      <c r="D106" s="3" t="s">
        <v>36</v>
      </c>
      <c r="E106" s="3" t="s">
        <v>19</v>
      </c>
      <c r="F106" s="3">
        <v>2</v>
      </c>
      <c r="G106" s="3">
        <v>2</v>
      </c>
      <c r="H106" s="3">
        <v>0</v>
      </c>
      <c r="I106" s="3">
        <v>2.5</v>
      </c>
      <c r="J106" s="4" t="str">
        <f>HYPERLINK("http://141.218.60.56/~jnz1568/getInfo.php?workbook=14_09.xlsx&amp;sheet=E0&amp;row=106&amp;col=10&amp;number=0&amp;sourceID=14","0")</f>
        <v>0</v>
      </c>
    </row>
    <row r="107" spans="1:10">
      <c r="A107" s="3">
        <v>14</v>
      </c>
      <c r="B107" s="3">
        <v>9</v>
      </c>
      <c r="C107" s="3">
        <v>104</v>
      </c>
      <c r="D107" s="3" t="s">
        <v>38</v>
      </c>
      <c r="E107" s="3" t="s">
        <v>27</v>
      </c>
      <c r="F107" s="3">
        <v>4</v>
      </c>
      <c r="G107" s="3">
        <v>3</v>
      </c>
      <c r="H107" s="3">
        <v>1</v>
      </c>
      <c r="I107" s="3">
        <v>4.5</v>
      </c>
      <c r="J107" s="4" t="str">
        <f>HYPERLINK("http://141.218.60.56/~jnz1568/getInfo.php?workbook=14_09.xlsx&amp;sheet=E0&amp;row=107&amp;col=10&amp;number=0&amp;sourceID=14","0")</f>
        <v>0</v>
      </c>
    </row>
    <row r="108" spans="1:10">
      <c r="A108" s="3">
        <v>14</v>
      </c>
      <c r="B108" s="3">
        <v>9</v>
      </c>
      <c r="C108" s="3">
        <v>105</v>
      </c>
      <c r="D108" s="3" t="s">
        <v>38</v>
      </c>
      <c r="E108" s="3" t="s">
        <v>27</v>
      </c>
      <c r="F108" s="3">
        <v>4</v>
      </c>
      <c r="G108" s="3">
        <v>3</v>
      </c>
      <c r="H108" s="3">
        <v>1</v>
      </c>
      <c r="I108" s="3">
        <v>3.5</v>
      </c>
      <c r="J108" s="4" t="str">
        <f>HYPERLINK("http://141.218.60.56/~jnz1568/getInfo.php?workbook=14_09.xlsx&amp;sheet=E0&amp;row=108&amp;col=10&amp;number=0&amp;sourceID=14","0")</f>
        <v>0</v>
      </c>
    </row>
    <row r="109" spans="1:10">
      <c r="A109" s="3">
        <v>14</v>
      </c>
      <c r="B109" s="3">
        <v>9</v>
      </c>
      <c r="C109" s="3">
        <v>106</v>
      </c>
      <c r="D109" s="3" t="s">
        <v>38</v>
      </c>
      <c r="E109" s="3" t="s">
        <v>27</v>
      </c>
      <c r="F109" s="3">
        <v>4</v>
      </c>
      <c r="G109" s="3">
        <v>3</v>
      </c>
      <c r="H109" s="3">
        <v>1</v>
      </c>
      <c r="I109" s="3">
        <v>2.5</v>
      </c>
      <c r="J109" s="4" t="str">
        <f>HYPERLINK("http://141.218.60.56/~jnz1568/getInfo.php?workbook=14_09.xlsx&amp;sheet=E0&amp;row=109&amp;col=10&amp;number=0&amp;sourceID=14","0")</f>
        <v>0</v>
      </c>
    </row>
    <row r="110" spans="1:10">
      <c r="A110" s="3">
        <v>14</v>
      </c>
      <c r="B110" s="3">
        <v>9</v>
      </c>
      <c r="C110" s="3">
        <v>107</v>
      </c>
      <c r="D110" s="3" t="s">
        <v>38</v>
      </c>
      <c r="E110" s="3" t="s">
        <v>25</v>
      </c>
      <c r="F110" s="3">
        <v>2</v>
      </c>
      <c r="G110" s="3">
        <v>3</v>
      </c>
      <c r="H110" s="3">
        <v>1</v>
      </c>
      <c r="I110" s="3">
        <v>3.5</v>
      </c>
      <c r="J110" s="4" t="str">
        <f>HYPERLINK("http://141.218.60.56/~jnz1568/getInfo.php?workbook=14_09.xlsx&amp;sheet=E0&amp;row=110&amp;col=10&amp;number=0&amp;sourceID=14","0")</f>
        <v>0</v>
      </c>
    </row>
    <row r="111" spans="1:10">
      <c r="A111" s="3">
        <v>14</v>
      </c>
      <c r="B111" s="3">
        <v>9</v>
      </c>
      <c r="C111" s="3">
        <v>108</v>
      </c>
      <c r="D111" s="3" t="s">
        <v>38</v>
      </c>
      <c r="E111" s="3" t="s">
        <v>27</v>
      </c>
      <c r="F111" s="3">
        <v>4</v>
      </c>
      <c r="G111" s="3">
        <v>3</v>
      </c>
      <c r="H111" s="3">
        <v>1</v>
      </c>
      <c r="I111" s="3">
        <v>1.5</v>
      </c>
      <c r="J111" s="4" t="str">
        <f>HYPERLINK("http://141.218.60.56/~jnz1568/getInfo.php?workbook=14_09.xlsx&amp;sheet=E0&amp;row=111&amp;col=10&amp;number=0&amp;sourceID=14","0")</f>
        <v>0</v>
      </c>
    </row>
    <row r="112" spans="1:10">
      <c r="A112" s="3">
        <v>14</v>
      </c>
      <c r="B112" s="3">
        <v>9</v>
      </c>
      <c r="C112" s="3">
        <v>109</v>
      </c>
      <c r="D112" s="3" t="s">
        <v>38</v>
      </c>
      <c r="E112" s="3" t="s">
        <v>25</v>
      </c>
      <c r="F112" s="3">
        <v>2</v>
      </c>
      <c r="G112" s="3">
        <v>3</v>
      </c>
      <c r="H112" s="3">
        <v>1</v>
      </c>
      <c r="I112" s="3">
        <v>2.5</v>
      </c>
      <c r="J112" s="4" t="str">
        <f>HYPERLINK("http://141.218.60.56/~jnz1568/getInfo.php?workbook=14_09.xlsx&amp;sheet=E0&amp;row=112&amp;col=10&amp;number=0&amp;sourceID=14","0")</f>
        <v>0</v>
      </c>
    </row>
    <row r="113" spans="1:10">
      <c r="A113" s="3">
        <v>14</v>
      </c>
      <c r="B113" s="3">
        <v>9</v>
      </c>
      <c r="C113" s="3">
        <v>110</v>
      </c>
      <c r="D113" s="3" t="s">
        <v>36</v>
      </c>
      <c r="E113" s="3" t="s">
        <v>13</v>
      </c>
      <c r="F113" s="3">
        <v>2</v>
      </c>
      <c r="G113" s="3">
        <v>1</v>
      </c>
      <c r="H113" s="3">
        <v>1</v>
      </c>
      <c r="I113" s="3">
        <v>1.5</v>
      </c>
      <c r="J113" s="4" t="str">
        <f>HYPERLINK("http://141.218.60.56/~jnz1568/getInfo.php?workbook=14_09.xlsx&amp;sheet=E0&amp;row=113&amp;col=10&amp;number=0&amp;sourceID=14","0")</f>
        <v>0</v>
      </c>
    </row>
    <row r="114" spans="1:10">
      <c r="A114" s="3">
        <v>14</v>
      </c>
      <c r="B114" s="3">
        <v>9</v>
      </c>
      <c r="C114" s="3">
        <v>111</v>
      </c>
      <c r="D114" s="3" t="s">
        <v>38</v>
      </c>
      <c r="E114" s="3" t="s">
        <v>39</v>
      </c>
      <c r="F114" s="3">
        <v>4</v>
      </c>
      <c r="G114" s="3">
        <v>4</v>
      </c>
      <c r="H114" s="3">
        <v>0</v>
      </c>
      <c r="I114" s="3">
        <v>5.5</v>
      </c>
      <c r="J114" s="4" t="str">
        <f>HYPERLINK("http://141.218.60.56/~jnz1568/getInfo.php?workbook=14_09.xlsx&amp;sheet=E0&amp;row=114&amp;col=10&amp;number=0&amp;sourceID=14","0")</f>
        <v>0</v>
      </c>
    </row>
    <row r="115" spans="1:10">
      <c r="A115" s="3">
        <v>14</v>
      </c>
      <c r="B115" s="3">
        <v>9</v>
      </c>
      <c r="C115" s="3">
        <v>112</v>
      </c>
      <c r="D115" s="3" t="s">
        <v>38</v>
      </c>
      <c r="E115" s="3" t="s">
        <v>21</v>
      </c>
      <c r="F115" s="3">
        <v>4</v>
      </c>
      <c r="G115" s="3">
        <v>2</v>
      </c>
      <c r="H115" s="3">
        <v>0</v>
      </c>
      <c r="I115" s="3">
        <v>0.5</v>
      </c>
      <c r="J115" s="4" t="str">
        <f>HYPERLINK("http://141.218.60.56/~jnz1568/getInfo.php?workbook=14_09.xlsx&amp;sheet=E0&amp;row=115&amp;col=10&amp;number=0&amp;sourceID=14","0")</f>
        <v>0</v>
      </c>
    </row>
    <row r="116" spans="1:10">
      <c r="A116" s="3">
        <v>14</v>
      </c>
      <c r="B116" s="3">
        <v>9</v>
      </c>
      <c r="C116" s="3">
        <v>113</v>
      </c>
      <c r="D116" s="3" t="s">
        <v>37</v>
      </c>
      <c r="E116" s="3" t="s">
        <v>19</v>
      </c>
      <c r="F116" s="3">
        <v>2</v>
      </c>
      <c r="G116" s="3">
        <v>2</v>
      </c>
      <c r="H116" s="3">
        <v>0</v>
      </c>
      <c r="I116" s="3">
        <v>1.5</v>
      </c>
      <c r="J116" s="4" t="str">
        <f>HYPERLINK("http://141.218.60.56/~jnz1568/getInfo.php?workbook=14_09.xlsx&amp;sheet=E0&amp;row=116&amp;col=10&amp;number=0&amp;sourceID=14","0")</f>
        <v>0</v>
      </c>
    </row>
    <row r="117" spans="1:10">
      <c r="A117" s="3">
        <v>14</v>
      </c>
      <c r="B117" s="3">
        <v>9</v>
      </c>
      <c r="C117" s="3">
        <v>114</v>
      </c>
      <c r="D117" s="3" t="s">
        <v>38</v>
      </c>
      <c r="E117" s="3" t="s">
        <v>30</v>
      </c>
      <c r="F117" s="3">
        <v>2</v>
      </c>
      <c r="G117" s="3">
        <v>4</v>
      </c>
      <c r="H117" s="3">
        <v>0</v>
      </c>
      <c r="I117" s="3">
        <v>4.5</v>
      </c>
      <c r="J117" s="4" t="str">
        <f>HYPERLINK("http://141.218.60.56/~jnz1568/getInfo.php?workbook=14_09.xlsx&amp;sheet=E0&amp;row=117&amp;col=10&amp;number=0&amp;sourceID=14","0")</f>
        <v>0</v>
      </c>
    </row>
    <row r="118" spans="1:10">
      <c r="A118" s="3">
        <v>14</v>
      </c>
      <c r="B118" s="3">
        <v>9</v>
      </c>
      <c r="C118" s="3">
        <v>115</v>
      </c>
      <c r="D118" s="3" t="s">
        <v>37</v>
      </c>
      <c r="E118" s="3" t="s">
        <v>19</v>
      </c>
      <c r="F118" s="3">
        <v>2</v>
      </c>
      <c r="G118" s="3">
        <v>2</v>
      </c>
      <c r="H118" s="3">
        <v>0</v>
      </c>
      <c r="I118" s="3">
        <v>2.5</v>
      </c>
      <c r="J118" s="4" t="str">
        <f>HYPERLINK("http://141.218.60.56/~jnz1568/getInfo.php?workbook=14_09.xlsx&amp;sheet=E0&amp;row=118&amp;col=10&amp;number=0&amp;sourceID=14","0")</f>
        <v>0</v>
      </c>
    </row>
    <row r="119" spans="1:10">
      <c r="A119" s="3">
        <v>14</v>
      </c>
      <c r="B119" s="3">
        <v>9</v>
      </c>
      <c r="C119" s="3">
        <v>116</v>
      </c>
      <c r="D119" s="3" t="s">
        <v>38</v>
      </c>
      <c r="E119" s="3" t="s">
        <v>19</v>
      </c>
      <c r="F119" s="3">
        <v>2</v>
      </c>
      <c r="G119" s="3">
        <v>2</v>
      </c>
      <c r="H119" s="3">
        <v>0</v>
      </c>
      <c r="I119" s="3">
        <v>1.5</v>
      </c>
      <c r="J119" s="4" t="str">
        <f>HYPERLINK("http://141.218.60.56/~jnz1568/getInfo.php?workbook=14_09.xlsx&amp;sheet=E0&amp;row=119&amp;col=10&amp;number=0&amp;sourceID=14","0")</f>
        <v>0</v>
      </c>
    </row>
    <row r="120" spans="1:10">
      <c r="A120" s="3">
        <v>14</v>
      </c>
      <c r="B120" s="3">
        <v>9</v>
      </c>
      <c r="C120" s="3">
        <v>117</v>
      </c>
      <c r="D120" s="3" t="s">
        <v>38</v>
      </c>
      <c r="E120" s="3" t="s">
        <v>21</v>
      </c>
      <c r="F120" s="3">
        <v>4</v>
      </c>
      <c r="G120" s="3">
        <v>2</v>
      </c>
      <c r="H120" s="3">
        <v>0</v>
      </c>
      <c r="I120" s="3">
        <v>1.5</v>
      </c>
      <c r="J120" s="4" t="str">
        <f>HYPERLINK("http://141.218.60.56/~jnz1568/getInfo.php?workbook=14_09.xlsx&amp;sheet=E0&amp;row=120&amp;col=10&amp;number=0&amp;sourceID=14","0")</f>
        <v>0</v>
      </c>
    </row>
    <row r="121" spans="1:10">
      <c r="A121" s="3">
        <v>14</v>
      </c>
      <c r="B121" s="3">
        <v>9</v>
      </c>
      <c r="C121" s="3">
        <v>118</v>
      </c>
      <c r="D121" s="3" t="s">
        <v>38</v>
      </c>
      <c r="E121" s="3" t="s">
        <v>21</v>
      </c>
      <c r="F121" s="3">
        <v>4</v>
      </c>
      <c r="G121" s="3">
        <v>2</v>
      </c>
      <c r="H121" s="3">
        <v>0</v>
      </c>
      <c r="I121" s="3">
        <v>2.5</v>
      </c>
      <c r="J121" s="4" t="str">
        <f>HYPERLINK("http://141.218.60.56/~jnz1568/getInfo.php?workbook=14_09.xlsx&amp;sheet=E0&amp;row=121&amp;col=10&amp;number=0&amp;sourceID=14","0")</f>
        <v>0</v>
      </c>
    </row>
    <row r="122" spans="1:10">
      <c r="A122" s="3">
        <v>14</v>
      </c>
      <c r="B122" s="3">
        <v>9</v>
      </c>
      <c r="C122" s="3">
        <v>119</v>
      </c>
      <c r="D122" s="3" t="s">
        <v>38</v>
      </c>
      <c r="E122" s="3" t="s">
        <v>39</v>
      </c>
      <c r="F122" s="3">
        <v>4</v>
      </c>
      <c r="G122" s="3">
        <v>4</v>
      </c>
      <c r="H122" s="3">
        <v>0</v>
      </c>
      <c r="I122" s="3">
        <v>4.5</v>
      </c>
      <c r="J122" s="4" t="str">
        <f>HYPERLINK("http://141.218.60.56/~jnz1568/getInfo.php?workbook=14_09.xlsx&amp;sheet=E0&amp;row=122&amp;col=10&amp;number=0&amp;sourceID=14","0")</f>
        <v>0</v>
      </c>
    </row>
    <row r="123" spans="1:10">
      <c r="A123" s="3">
        <v>14</v>
      </c>
      <c r="B123" s="3">
        <v>9</v>
      </c>
      <c r="C123" s="3">
        <v>120</v>
      </c>
      <c r="D123" s="3" t="s">
        <v>38</v>
      </c>
      <c r="E123" s="3" t="s">
        <v>39</v>
      </c>
      <c r="F123" s="3">
        <v>4</v>
      </c>
      <c r="G123" s="3">
        <v>4</v>
      </c>
      <c r="H123" s="3">
        <v>0</v>
      </c>
      <c r="I123" s="3">
        <v>3.5</v>
      </c>
      <c r="J123" s="4" t="str">
        <f>HYPERLINK("http://141.218.60.56/~jnz1568/getInfo.php?workbook=14_09.xlsx&amp;sheet=E0&amp;row=123&amp;col=10&amp;number=0&amp;sourceID=14","0")</f>
        <v>0</v>
      </c>
    </row>
    <row r="124" spans="1:10">
      <c r="A124" s="3">
        <v>14</v>
      </c>
      <c r="B124" s="3">
        <v>9</v>
      </c>
      <c r="C124" s="3">
        <v>121</v>
      </c>
      <c r="D124" s="3" t="s">
        <v>38</v>
      </c>
      <c r="E124" s="3" t="s">
        <v>21</v>
      </c>
      <c r="F124" s="3">
        <v>4</v>
      </c>
      <c r="G124" s="3">
        <v>2</v>
      </c>
      <c r="H124" s="3">
        <v>0</v>
      </c>
      <c r="I124" s="3">
        <v>3.5</v>
      </c>
      <c r="J124" s="4" t="str">
        <f>HYPERLINK("http://141.218.60.56/~jnz1568/getInfo.php?workbook=14_09.xlsx&amp;sheet=E0&amp;row=124&amp;col=10&amp;number=0&amp;sourceID=14","0")</f>
        <v>0</v>
      </c>
    </row>
    <row r="125" spans="1:10">
      <c r="A125" s="3">
        <v>14</v>
      </c>
      <c r="B125" s="3">
        <v>9</v>
      </c>
      <c r="C125" s="3">
        <v>122</v>
      </c>
      <c r="D125" s="3" t="s">
        <v>38</v>
      </c>
      <c r="E125" s="3" t="s">
        <v>19</v>
      </c>
      <c r="F125" s="3">
        <v>2</v>
      </c>
      <c r="G125" s="3">
        <v>2</v>
      </c>
      <c r="H125" s="3">
        <v>0</v>
      </c>
      <c r="I125" s="3">
        <v>2.5</v>
      </c>
      <c r="J125" s="4" t="str">
        <f>HYPERLINK("http://141.218.60.56/~jnz1568/getInfo.php?workbook=14_09.xlsx&amp;sheet=E0&amp;row=125&amp;col=10&amp;number=0&amp;sourceID=14","0")</f>
        <v>0</v>
      </c>
    </row>
    <row r="126" spans="1:10">
      <c r="A126" s="3">
        <v>14</v>
      </c>
      <c r="B126" s="3">
        <v>9</v>
      </c>
      <c r="C126" s="3">
        <v>123</v>
      </c>
      <c r="D126" s="3" t="s">
        <v>38</v>
      </c>
      <c r="E126" s="3" t="s">
        <v>30</v>
      </c>
      <c r="F126" s="3">
        <v>2</v>
      </c>
      <c r="G126" s="3">
        <v>4</v>
      </c>
      <c r="H126" s="3">
        <v>0</v>
      </c>
      <c r="I126" s="3">
        <v>3.5</v>
      </c>
      <c r="J126" s="4" t="str">
        <f>HYPERLINK("http://141.218.60.56/~jnz1568/getInfo.php?workbook=14_09.xlsx&amp;sheet=E0&amp;row=126&amp;col=10&amp;number=0&amp;sourceID=14","0")</f>
        <v>0</v>
      </c>
    </row>
    <row r="127" spans="1:10">
      <c r="A127" s="3">
        <v>14</v>
      </c>
      <c r="B127" s="3">
        <v>9</v>
      </c>
      <c r="C127" s="3">
        <v>124</v>
      </c>
      <c r="D127" s="3" t="s">
        <v>38</v>
      </c>
      <c r="E127" s="3" t="s">
        <v>39</v>
      </c>
      <c r="F127" s="3">
        <v>4</v>
      </c>
      <c r="G127" s="3">
        <v>4</v>
      </c>
      <c r="H127" s="3">
        <v>0</v>
      </c>
      <c r="I127" s="3">
        <v>2.5</v>
      </c>
      <c r="J127" s="4" t="str">
        <f>HYPERLINK("http://141.218.60.56/~jnz1568/getInfo.php?workbook=14_09.xlsx&amp;sheet=E0&amp;row=127&amp;col=10&amp;number=0&amp;sourceID=14","0")</f>
        <v>0</v>
      </c>
    </row>
    <row r="128" spans="1:10">
      <c r="A128" s="3">
        <v>14</v>
      </c>
      <c r="B128" s="3">
        <v>9</v>
      </c>
      <c r="C128" s="3">
        <v>125</v>
      </c>
      <c r="D128" s="3" t="s">
        <v>37</v>
      </c>
      <c r="E128" s="3" t="s">
        <v>13</v>
      </c>
      <c r="F128" s="3">
        <v>2</v>
      </c>
      <c r="G128" s="3">
        <v>1</v>
      </c>
      <c r="H128" s="3">
        <v>1</v>
      </c>
      <c r="I128" s="3">
        <v>1.5</v>
      </c>
      <c r="J128" s="4" t="str">
        <f>HYPERLINK("http://141.218.60.56/~jnz1568/getInfo.php?workbook=14_09.xlsx&amp;sheet=E0&amp;row=128&amp;col=10&amp;number=0&amp;sourceID=14","0")</f>
        <v>0</v>
      </c>
    </row>
    <row r="129" spans="1:10">
      <c r="A129" s="3">
        <v>14</v>
      </c>
      <c r="B129" s="3">
        <v>9</v>
      </c>
      <c r="C129" s="3">
        <v>126</v>
      </c>
      <c r="D129" s="3" t="s">
        <v>37</v>
      </c>
      <c r="E129" s="3" t="s">
        <v>13</v>
      </c>
      <c r="F129" s="3">
        <v>2</v>
      </c>
      <c r="G129" s="3">
        <v>1</v>
      </c>
      <c r="H129" s="3">
        <v>1</v>
      </c>
      <c r="I129" s="3">
        <v>0.5</v>
      </c>
      <c r="J129" s="4" t="str">
        <f>HYPERLINK("http://141.218.60.56/~jnz1568/getInfo.php?workbook=14_09.xlsx&amp;sheet=E0&amp;row=129&amp;col=10&amp;number=0&amp;sourceID=14","0")</f>
        <v>0</v>
      </c>
    </row>
    <row r="130" spans="1:10">
      <c r="A130" s="3">
        <v>14</v>
      </c>
      <c r="B130" s="3">
        <v>9</v>
      </c>
      <c r="C130" s="3">
        <v>127</v>
      </c>
      <c r="D130" s="3" t="s">
        <v>40</v>
      </c>
      <c r="E130" s="3" t="s">
        <v>15</v>
      </c>
      <c r="F130" s="3">
        <v>2</v>
      </c>
      <c r="G130" s="3">
        <v>0</v>
      </c>
      <c r="H130" s="3">
        <v>0</v>
      </c>
      <c r="I130" s="3">
        <v>0.5</v>
      </c>
      <c r="J130" s="4" t="str">
        <f>HYPERLINK("http://141.218.60.56/~jnz1568/getInfo.php?workbook=14_09.xlsx&amp;sheet=E0&amp;row=130&amp;col=10&amp;number=0&amp;sourceID=14","0")</f>
        <v>0</v>
      </c>
    </row>
    <row r="131" spans="1:10">
      <c r="A131" s="3">
        <v>14</v>
      </c>
      <c r="B131" s="3">
        <v>9</v>
      </c>
      <c r="C131" s="3">
        <v>128</v>
      </c>
      <c r="D131" s="3" t="s">
        <v>41</v>
      </c>
      <c r="E131" s="3" t="s">
        <v>22</v>
      </c>
      <c r="F131" s="3">
        <v>4</v>
      </c>
      <c r="G131" s="3">
        <v>0</v>
      </c>
      <c r="H131" s="3">
        <v>0</v>
      </c>
      <c r="I131" s="3">
        <v>1.5</v>
      </c>
      <c r="J131" s="4" t="str">
        <f>HYPERLINK("http://141.218.60.56/~jnz1568/getInfo.php?workbook=14_09.xlsx&amp;sheet=E0&amp;row=131&amp;col=10&amp;number=0&amp;sourceID=14","0")</f>
        <v>0</v>
      </c>
    </row>
    <row r="132" spans="1:10">
      <c r="A132" s="3">
        <v>14</v>
      </c>
      <c r="B132" s="3">
        <v>9</v>
      </c>
      <c r="C132" s="3">
        <v>129</v>
      </c>
      <c r="D132" s="3" t="s">
        <v>42</v>
      </c>
      <c r="E132" s="3" t="s">
        <v>30</v>
      </c>
      <c r="F132" s="3">
        <v>2</v>
      </c>
      <c r="G132" s="3">
        <v>4</v>
      </c>
      <c r="H132" s="3">
        <v>0</v>
      </c>
      <c r="I132" s="3">
        <v>3.5</v>
      </c>
      <c r="J132" s="4" t="str">
        <f>HYPERLINK("http://141.218.60.56/~jnz1568/getInfo.php?workbook=14_09.xlsx&amp;sheet=E0&amp;row=132&amp;col=10&amp;number=0&amp;sourceID=14","0")</f>
        <v>0</v>
      </c>
    </row>
    <row r="133" spans="1:10">
      <c r="A133" s="3">
        <v>14</v>
      </c>
      <c r="B133" s="3">
        <v>9</v>
      </c>
      <c r="C133" s="3">
        <v>130</v>
      </c>
      <c r="D133" s="3" t="s">
        <v>42</v>
      </c>
      <c r="E133" s="3" t="s">
        <v>30</v>
      </c>
      <c r="F133" s="3">
        <v>2</v>
      </c>
      <c r="G133" s="3">
        <v>4</v>
      </c>
      <c r="H133" s="3">
        <v>0</v>
      </c>
      <c r="I133" s="3">
        <v>4.5</v>
      </c>
      <c r="J133" s="4" t="str">
        <f>HYPERLINK("http://141.218.60.56/~jnz1568/getInfo.php?workbook=14_09.xlsx&amp;sheet=E0&amp;row=133&amp;col=10&amp;number=0&amp;sourceID=14","0")</f>
        <v>0</v>
      </c>
    </row>
    <row r="134" spans="1:10">
      <c r="A134" s="3">
        <v>14</v>
      </c>
      <c r="B134" s="3">
        <v>9</v>
      </c>
      <c r="C134" s="3">
        <v>131</v>
      </c>
      <c r="D134" s="3" t="s">
        <v>42</v>
      </c>
      <c r="E134" s="3" t="s">
        <v>25</v>
      </c>
      <c r="F134" s="3">
        <v>2</v>
      </c>
      <c r="G134" s="3">
        <v>3</v>
      </c>
      <c r="H134" s="3">
        <v>1</v>
      </c>
      <c r="I134" s="3">
        <v>2.5</v>
      </c>
      <c r="J134" s="4" t="str">
        <f>HYPERLINK("http://141.218.60.56/~jnz1568/getInfo.php?workbook=14_09.xlsx&amp;sheet=E0&amp;row=134&amp;col=10&amp;number=0&amp;sourceID=14","0")</f>
        <v>0</v>
      </c>
    </row>
    <row r="135" spans="1:10">
      <c r="A135" s="3">
        <v>14</v>
      </c>
      <c r="B135" s="3">
        <v>9</v>
      </c>
      <c r="C135" s="3">
        <v>132</v>
      </c>
      <c r="D135" s="3" t="s">
        <v>42</v>
      </c>
      <c r="E135" s="3" t="s">
        <v>13</v>
      </c>
      <c r="F135" s="3">
        <v>2</v>
      </c>
      <c r="G135" s="3">
        <v>1</v>
      </c>
      <c r="H135" s="3">
        <v>1</v>
      </c>
      <c r="I135" s="3">
        <v>1.5</v>
      </c>
      <c r="J135" s="4" t="str">
        <f>HYPERLINK("http://141.218.60.56/~jnz1568/getInfo.php?workbook=14_09.xlsx&amp;sheet=E0&amp;row=135&amp;col=10&amp;number=0&amp;sourceID=14","0")</f>
        <v>0</v>
      </c>
    </row>
    <row r="136" spans="1:10">
      <c r="A136" s="3">
        <v>14</v>
      </c>
      <c r="B136" s="3">
        <v>9</v>
      </c>
      <c r="C136" s="3">
        <v>133</v>
      </c>
      <c r="D136" s="3" t="s">
        <v>42</v>
      </c>
      <c r="E136" s="3" t="s">
        <v>25</v>
      </c>
      <c r="F136" s="3">
        <v>2</v>
      </c>
      <c r="G136" s="3">
        <v>3</v>
      </c>
      <c r="H136" s="3">
        <v>1</v>
      </c>
      <c r="I136" s="3">
        <v>3.5</v>
      </c>
      <c r="J136" s="4" t="str">
        <f>HYPERLINK("http://141.218.60.56/~jnz1568/getInfo.php?workbook=14_09.xlsx&amp;sheet=E0&amp;row=136&amp;col=10&amp;number=0&amp;sourceID=14","0")</f>
        <v>0</v>
      </c>
    </row>
    <row r="137" spans="1:10">
      <c r="A137" s="3">
        <v>14</v>
      </c>
      <c r="B137" s="3">
        <v>9</v>
      </c>
      <c r="C137" s="3">
        <v>134</v>
      </c>
      <c r="D137" s="3" t="s">
        <v>42</v>
      </c>
      <c r="E137" s="3" t="s">
        <v>13</v>
      </c>
      <c r="F137" s="3">
        <v>2</v>
      </c>
      <c r="G137" s="3">
        <v>1</v>
      </c>
      <c r="H137" s="3">
        <v>1</v>
      </c>
      <c r="I137" s="3">
        <v>0.5</v>
      </c>
      <c r="J137" s="4" t="str">
        <f>HYPERLINK("http://141.218.60.56/~jnz1568/getInfo.php?workbook=14_09.xlsx&amp;sheet=E0&amp;row=137&amp;col=10&amp;number=0&amp;sourceID=14","0")</f>
        <v>0</v>
      </c>
    </row>
    <row r="138" spans="1:10">
      <c r="A138" s="3">
        <v>14</v>
      </c>
      <c r="B138" s="3">
        <v>9</v>
      </c>
      <c r="C138" s="3">
        <v>135</v>
      </c>
      <c r="D138" s="3" t="s">
        <v>42</v>
      </c>
      <c r="E138" s="3" t="s">
        <v>19</v>
      </c>
      <c r="F138" s="3">
        <v>2</v>
      </c>
      <c r="G138" s="3">
        <v>2</v>
      </c>
      <c r="H138" s="3">
        <v>0</v>
      </c>
      <c r="I138" s="3">
        <v>2.5</v>
      </c>
      <c r="J138" s="4" t="str">
        <f>HYPERLINK("http://141.218.60.56/~jnz1568/getInfo.php?workbook=14_09.xlsx&amp;sheet=E0&amp;row=138&amp;col=10&amp;number=0&amp;sourceID=14","0")</f>
        <v>0</v>
      </c>
    </row>
    <row r="139" spans="1:10">
      <c r="A139" s="3">
        <v>14</v>
      </c>
      <c r="B139" s="3">
        <v>9</v>
      </c>
      <c r="C139" s="3">
        <v>136</v>
      </c>
      <c r="D139" s="3" t="s">
        <v>42</v>
      </c>
      <c r="E139" s="3" t="s">
        <v>19</v>
      </c>
      <c r="F139" s="3">
        <v>2</v>
      </c>
      <c r="G139" s="3">
        <v>2</v>
      </c>
      <c r="H139" s="3">
        <v>0</v>
      </c>
      <c r="I139" s="3">
        <v>1.5</v>
      </c>
      <c r="J139" s="4" t="str">
        <f>HYPERLINK("http://141.218.60.56/~jnz1568/getInfo.php?workbook=14_09.xlsx&amp;sheet=E0&amp;row=139&amp;col=10&amp;number=0&amp;sourceID=14","0")</f>
        <v>0</v>
      </c>
    </row>
    <row r="140" spans="1:10">
      <c r="A140" s="3">
        <v>14</v>
      </c>
      <c r="B140" s="3">
        <v>9</v>
      </c>
      <c r="C140" s="3">
        <v>137</v>
      </c>
      <c r="D140" s="3" t="s">
        <v>42</v>
      </c>
      <c r="E140" s="3" t="s">
        <v>15</v>
      </c>
      <c r="F140" s="3">
        <v>2</v>
      </c>
      <c r="G140" s="3">
        <v>0</v>
      </c>
      <c r="H140" s="3">
        <v>0</v>
      </c>
      <c r="I140" s="3">
        <v>0.5</v>
      </c>
      <c r="J140" s="4" t="str">
        <f>HYPERLINK("http://141.218.60.56/~jnz1568/getInfo.php?workbook=14_09.xlsx&amp;sheet=E0&amp;row=140&amp;col=10&amp;number=0&amp;sourceID=14","0")</f>
        <v>0</v>
      </c>
    </row>
    <row r="141" spans="1:10">
      <c r="A141" s="3">
        <v>14</v>
      </c>
      <c r="B141" s="3">
        <v>9</v>
      </c>
      <c r="C141" s="3">
        <v>138</v>
      </c>
      <c r="D141" s="3" t="s">
        <v>43</v>
      </c>
      <c r="E141" s="3" t="s">
        <v>13</v>
      </c>
      <c r="F141" s="3">
        <v>2</v>
      </c>
      <c r="G141" s="3">
        <v>1</v>
      </c>
      <c r="H141" s="3">
        <v>1</v>
      </c>
      <c r="I141" s="3">
        <v>0.5</v>
      </c>
      <c r="J141" s="4" t="str">
        <f>HYPERLINK("http://141.218.60.56/~jnz1568/getInfo.php?workbook=14_09.xlsx&amp;sheet=E0&amp;row=141&amp;col=10&amp;number=0&amp;sourceID=14","0")</f>
        <v>0</v>
      </c>
    </row>
    <row r="142" spans="1:10">
      <c r="A142" s="3">
        <v>14</v>
      </c>
      <c r="B142" s="3">
        <v>9</v>
      </c>
      <c r="C142" s="3">
        <v>139</v>
      </c>
      <c r="D142" s="3" t="s">
        <v>43</v>
      </c>
      <c r="E142" s="3" t="s">
        <v>13</v>
      </c>
      <c r="F142" s="3">
        <v>2</v>
      </c>
      <c r="G142" s="3">
        <v>1</v>
      </c>
      <c r="H142" s="3">
        <v>1</v>
      </c>
      <c r="I142" s="3">
        <v>1.5</v>
      </c>
      <c r="J142" s="4" t="str">
        <f>HYPERLINK("http://141.218.60.56/~jnz1568/getInfo.php?workbook=14_09.xlsx&amp;sheet=E0&amp;row=142&amp;col=10&amp;number=0&amp;sourceID=14","0")</f>
        <v>0</v>
      </c>
    </row>
    <row r="143" spans="1:10">
      <c r="A143" s="3">
        <v>14</v>
      </c>
      <c r="B143" s="3">
        <v>9</v>
      </c>
      <c r="C143" s="3">
        <v>140</v>
      </c>
      <c r="D143" s="3" t="s">
        <v>41</v>
      </c>
      <c r="E143" s="3" t="s">
        <v>21</v>
      </c>
      <c r="F143" s="3">
        <v>4</v>
      </c>
      <c r="G143" s="3">
        <v>2</v>
      </c>
      <c r="H143" s="3">
        <v>0</v>
      </c>
      <c r="I143" s="3">
        <v>3.5</v>
      </c>
      <c r="J143" s="4" t="str">
        <f>HYPERLINK("http://141.218.60.56/~jnz1568/getInfo.php?workbook=14_09.xlsx&amp;sheet=E0&amp;row=143&amp;col=10&amp;number=0&amp;sourceID=14","0")</f>
        <v>0</v>
      </c>
    </row>
    <row r="144" spans="1:10">
      <c r="A144" s="3">
        <v>14</v>
      </c>
      <c r="B144" s="3">
        <v>9</v>
      </c>
      <c r="C144" s="3">
        <v>141</v>
      </c>
      <c r="D144" s="3" t="s">
        <v>43</v>
      </c>
      <c r="E144" s="3" t="s">
        <v>19</v>
      </c>
      <c r="F144" s="3">
        <v>2</v>
      </c>
      <c r="G144" s="3">
        <v>2</v>
      </c>
      <c r="H144" s="3">
        <v>0</v>
      </c>
      <c r="I144" s="3">
        <v>2.5</v>
      </c>
      <c r="J144" s="4" t="str">
        <f>HYPERLINK("http://141.218.60.56/~jnz1568/getInfo.php?workbook=14_09.xlsx&amp;sheet=E0&amp;row=144&amp;col=10&amp;number=0&amp;sourceID=14","0")</f>
        <v>0</v>
      </c>
    </row>
    <row r="145" spans="1:10">
      <c r="A145" s="3">
        <v>14</v>
      </c>
      <c r="B145" s="3">
        <v>9</v>
      </c>
      <c r="C145" s="3">
        <v>142</v>
      </c>
      <c r="D145" s="3" t="s">
        <v>43</v>
      </c>
      <c r="E145" s="3" t="s">
        <v>19</v>
      </c>
      <c r="F145" s="3">
        <v>2</v>
      </c>
      <c r="G145" s="3">
        <v>2</v>
      </c>
      <c r="H145" s="3">
        <v>0</v>
      </c>
      <c r="I145" s="3">
        <v>1.5</v>
      </c>
      <c r="J145" s="4" t="str">
        <f>HYPERLINK("http://141.218.60.56/~jnz1568/getInfo.php?workbook=14_09.xlsx&amp;sheet=E0&amp;row=145&amp;col=10&amp;number=0&amp;sourceID=14","0")</f>
        <v>0</v>
      </c>
    </row>
    <row r="146" spans="1:10">
      <c r="A146" s="3">
        <v>14</v>
      </c>
      <c r="B146" s="3">
        <v>9</v>
      </c>
      <c r="C146" s="3">
        <v>143</v>
      </c>
      <c r="D146" s="3" t="s">
        <v>43</v>
      </c>
      <c r="E146" s="3" t="s">
        <v>44</v>
      </c>
      <c r="F146" s="3">
        <v>2</v>
      </c>
      <c r="G146" s="3">
        <v>5</v>
      </c>
      <c r="H146" s="3">
        <v>1</v>
      </c>
      <c r="I146" s="3">
        <v>4.5</v>
      </c>
      <c r="J146" s="4" t="str">
        <f>HYPERLINK("http://141.218.60.56/~jnz1568/getInfo.php?workbook=14_09.xlsx&amp;sheet=E0&amp;row=146&amp;col=10&amp;number=0&amp;sourceID=14","0")</f>
        <v>0</v>
      </c>
    </row>
    <row r="147" spans="1:10">
      <c r="A147" s="3">
        <v>14</v>
      </c>
      <c r="B147" s="3">
        <v>9</v>
      </c>
      <c r="C147" s="3">
        <v>144</v>
      </c>
      <c r="D147" s="3" t="s">
        <v>43</v>
      </c>
      <c r="E147" s="3" t="s">
        <v>44</v>
      </c>
      <c r="F147" s="3">
        <v>2</v>
      </c>
      <c r="G147" s="3">
        <v>5</v>
      </c>
      <c r="H147" s="3">
        <v>1</v>
      </c>
      <c r="I147" s="3">
        <v>5.5</v>
      </c>
      <c r="J147" s="4" t="str">
        <f>HYPERLINK("http://141.218.60.56/~jnz1568/getInfo.php?workbook=14_09.xlsx&amp;sheet=E0&amp;row=147&amp;col=10&amp;number=0&amp;sourceID=14","0")</f>
        <v>0</v>
      </c>
    </row>
    <row r="148" spans="1:10">
      <c r="A148" s="3">
        <v>14</v>
      </c>
      <c r="B148" s="3">
        <v>9</v>
      </c>
      <c r="C148" s="3">
        <v>145</v>
      </c>
      <c r="D148" s="3" t="s">
        <v>41</v>
      </c>
      <c r="E148" s="3" t="s">
        <v>21</v>
      </c>
      <c r="F148" s="3">
        <v>4</v>
      </c>
      <c r="G148" s="3">
        <v>2</v>
      </c>
      <c r="H148" s="3">
        <v>0</v>
      </c>
      <c r="I148" s="3">
        <v>2.5</v>
      </c>
      <c r="J148" s="4" t="str">
        <f>HYPERLINK("http://141.218.60.56/~jnz1568/getInfo.php?workbook=14_09.xlsx&amp;sheet=E0&amp;row=148&amp;col=10&amp;number=0&amp;sourceID=14","0")</f>
        <v>0</v>
      </c>
    </row>
    <row r="149" spans="1:10">
      <c r="A149" s="3">
        <v>14</v>
      </c>
      <c r="B149" s="3">
        <v>9</v>
      </c>
      <c r="C149" s="3">
        <v>146</v>
      </c>
      <c r="D149" s="3" t="s">
        <v>43</v>
      </c>
      <c r="E149" s="3" t="s">
        <v>25</v>
      </c>
      <c r="F149" s="3">
        <v>2</v>
      </c>
      <c r="G149" s="3">
        <v>3</v>
      </c>
      <c r="H149" s="3">
        <v>1</v>
      </c>
      <c r="I149" s="3">
        <v>3.5</v>
      </c>
      <c r="J149" s="4" t="str">
        <f>HYPERLINK("http://141.218.60.56/~jnz1568/getInfo.php?workbook=14_09.xlsx&amp;sheet=E0&amp;row=149&amp;col=10&amp;number=0&amp;sourceID=14","0")</f>
        <v>0</v>
      </c>
    </row>
    <row r="150" spans="1:10">
      <c r="A150" s="3">
        <v>14</v>
      </c>
      <c r="B150" s="3">
        <v>9</v>
      </c>
      <c r="C150" s="3">
        <v>147</v>
      </c>
      <c r="D150" s="3" t="s">
        <v>43</v>
      </c>
      <c r="E150" s="3" t="s">
        <v>25</v>
      </c>
      <c r="F150" s="3">
        <v>2</v>
      </c>
      <c r="G150" s="3">
        <v>3</v>
      </c>
      <c r="H150" s="3">
        <v>1</v>
      </c>
      <c r="I150" s="3">
        <v>2.5</v>
      </c>
      <c r="J150" s="4" t="str">
        <f>HYPERLINK("http://141.218.60.56/~jnz1568/getInfo.php?workbook=14_09.xlsx&amp;sheet=E0&amp;row=150&amp;col=10&amp;number=0&amp;sourceID=14","0")</f>
        <v>0</v>
      </c>
    </row>
    <row r="151" spans="1:10">
      <c r="A151" s="3">
        <v>14</v>
      </c>
      <c r="B151" s="3">
        <v>9</v>
      </c>
      <c r="C151" s="3">
        <v>148</v>
      </c>
      <c r="D151" s="3" t="s">
        <v>41</v>
      </c>
      <c r="E151" s="3" t="s">
        <v>21</v>
      </c>
      <c r="F151" s="3">
        <v>4</v>
      </c>
      <c r="G151" s="3">
        <v>2</v>
      </c>
      <c r="H151" s="3">
        <v>0</v>
      </c>
      <c r="I151" s="3">
        <v>1.5</v>
      </c>
      <c r="J151" s="4" t="str">
        <f>HYPERLINK("http://141.218.60.56/~jnz1568/getInfo.php?workbook=14_09.xlsx&amp;sheet=E0&amp;row=151&amp;col=10&amp;number=0&amp;sourceID=14","0")</f>
        <v>0</v>
      </c>
    </row>
    <row r="152" spans="1:10">
      <c r="A152" s="3">
        <v>14</v>
      </c>
      <c r="B152" s="3">
        <v>9</v>
      </c>
      <c r="C152" s="3">
        <v>149</v>
      </c>
      <c r="D152" s="3" t="s">
        <v>43</v>
      </c>
      <c r="E152" s="3" t="s">
        <v>30</v>
      </c>
      <c r="F152" s="3">
        <v>2</v>
      </c>
      <c r="G152" s="3">
        <v>4</v>
      </c>
      <c r="H152" s="3">
        <v>0</v>
      </c>
      <c r="I152" s="3">
        <v>3.5</v>
      </c>
      <c r="J152" s="4" t="str">
        <f>HYPERLINK("http://141.218.60.56/~jnz1568/getInfo.php?workbook=14_09.xlsx&amp;sheet=E0&amp;row=152&amp;col=10&amp;number=0&amp;sourceID=14","0")</f>
        <v>0</v>
      </c>
    </row>
    <row r="153" spans="1:10">
      <c r="A153" s="3">
        <v>14</v>
      </c>
      <c r="B153" s="3">
        <v>9</v>
      </c>
      <c r="C153" s="3">
        <v>150</v>
      </c>
      <c r="D153" s="3" t="s">
        <v>43</v>
      </c>
      <c r="E153" s="3" t="s">
        <v>30</v>
      </c>
      <c r="F153" s="3">
        <v>2</v>
      </c>
      <c r="G153" s="3">
        <v>4</v>
      </c>
      <c r="H153" s="3">
        <v>0</v>
      </c>
      <c r="I153" s="3">
        <v>4.5</v>
      </c>
      <c r="J153" s="4" t="str">
        <f>HYPERLINK("http://141.218.60.56/~jnz1568/getInfo.php?workbook=14_09.xlsx&amp;sheet=E0&amp;row=153&amp;col=10&amp;number=0&amp;sourceID=14","0")</f>
        <v>0</v>
      </c>
    </row>
    <row r="154" spans="1:10">
      <c r="A154" s="3">
        <v>14</v>
      </c>
      <c r="B154" s="3">
        <v>9</v>
      </c>
      <c r="C154" s="3">
        <v>151</v>
      </c>
      <c r="D154" s="3" t="s">
        <v>41</v>
      </c>
      <c r="E154" s="3" t="s">
        <v>21</v>
      </c>
      <c r="F154" s="3">
        <v>4</v>
      </c>
      <c r="G154" s="3">
        <v>2</v>
      </c>
      <c r="H154" s="3">
        <v>0</v>
      </c>
      <c r="I154" s="3">
        <v>0.5</v>
      </c>
      <c r="J154" s="4" t="str">
        <f>HYPERLINK("http://141.218.60.56/~jnz1568/getInfo.php?workbook=14_09.xlsx&amp;sheet=E0&amp;row=154&amp;col=10&amp;number=0&amp;sourceID=14","0")</f>
        <v>0</v>
      </c>
    </row>
    <row r="155" spans="1:10">
      <c r="A155" s="3">
        <v>14</v>
      </c>
      <c r="B155" s="3">
        <v>9</v>
      </c>
      <c r="C155" s="3">
        <v>152</v>
      </c>
      <c r="D155" s="3" t="s">
        <v>41</v>
      </c>
      <c r="E155" s="3" t="s">
        <v>17</v>
      </c>
      <c r="F155" s="3">
        <v>4</v>
      </c>
      <c r="G155" s="3">
        <v>1</v>
      </c>
      <c r="H155" s="3">
        <v>1</v>
      </c>
      <c r="I155" s="3">
        <v>2.5</v>
      </c>
      <c r="J155" s="4" t="str">
        <f>HYPERLINK("http://141.218.60.56/~jnz1568/getInfo.php?workbook=14_09.xlsx&amp;sheet=E0&amp;row=155&amp;col=10&amp;number=0&amp;sourceID=14","0")</f>
        <v>0</v>
      </c>
    </row>
    <row r="156" spans="1:10">
      <c r="A156" s="3">
        <v>14</v>
      </c>
      <c r="B156" s="3">
        <v>9</v>
      </c>
      <c r="C156" s="3">
        <v>153</v>
      </c>
      <c r="D156" s="3" t="s">
        <v>41</v>
      </c>
      <c r="E156" s="3" t="s">
        <v>19</v>
      </c>
      <c r="F156" s="3">
        <v>2</v>
      </c>
      <c r="G156" s="3">
        <v>2</v>
      </c>
      <c r="H156" s="3">
        <v>0</v>
      </c>
      <c r="I156" s="3">
        <v>2.5</v>
      </c>
      <c r="J156" s="4" t="str">
        <f>HYPERLINK("http://141.218.60.56/~jnz1568/getInfo.php?workbook=14_09.xlsx&amp;sheet=E0&amp;row=156&amp;col=10&amp;number=0&amp;sourceID=14","0")</f>
        <v>0</v>
      </c>
    </row>
    <row r="157" spans="1:10">
      <c r="A157" s="3">
        <v>14</v>
      </c>
      <c r="B157" s="3">
        <v>9</v>
      </c>
      <c r="C157" s="3">
        <v>154</v>
      </c>
      <c r="D157" s="3" t="s">
        <v>41</v>
      </c>
      <c r="E157" s="3" t="s">
        <v>17</v>
      </c>
      <c r="F157" s="3">
        <v>4</v>
      </c>
      <c r="G157" s="3">
        <v>1</v>
      </c>
      <c r="H157" s="3">
        <v>1</v>
      </c>
      <c r="I157" s="3">
        <v>1.5</v>
      </c>
      <c r="J157" s="4" t="str">
        <f>HYPERLINK("http://141.218.60.56/~jnz1568/getInfo.php?workbook=14_09.xlsx&amp;sheet=E0&amp;row=157&amp;col=10&amp;number=0&amp;sourceID=14","0")</f>
        <v>0</v>
      </c>
    </row>
    <row r="158" spans="1:10">
      <c r="A158" s="3">
        <v>14</v>
      </c>
      <c r="B158" s="3">
        <v>9</v>
      </c>
      <c r="C158" s="3">
        <v>155</v>
      </c>
      <c r="D158" s="3" t="s">
        <v>41</v>
      </c>
      <c r="E158" s="3" t="s">
        <v>17</v>
      </c>
      <c r="F158" s="3">
        <v>4</v>
      </c>
      <c r="G158" s="3">
        <v>1</v>
      </c>
      <c r="H158" s="3">
        <v>1</v>
      </c>
      <c r="I158" s="3">
        <v>0.5</v>
      </c>
      <c r="J158" s="4" t="str">
        <f>HYPERLINK("http://141.218.60.56/~jnz1568/getInfo.php?workbook=14_09.xlsx&amp;sheet=E0&amp;row=158&amp;col=10&amp;number=0&amp;sourceID=14","0")</f>
        <v>0</v>
      </c>
    </row>
    <row r="159" spans="1:10">
      <c r="A159" s="3">
        <v>14</v>
      </c>
      <c r="B159" s="3">
        <v>9</v>
      </c>
      <c r="C159" s="3">
        <v>156</v>
      </c>
      <c r="D159" s="3" t="s">
        <v>41</v>
      </c>
      <c r="E159" s="3" t="s">
        <v>19</v>
      </c>
      <c r="F159" s="3">
        <v>2</v>
      </c>
      <c r="G159" s="3">
        <v>2</v>
      </c>
      <c r="H159" s="3">
        <v>0</v>
      </c>
      <c r="I159" s="3">
        <v>1.5</v>
      </c>
      <c r="J159" s="4" t="str">
        <f>HYPERLINK("http://141.218.60.56/~jnz1568/getInfo.php?workbook=14_09.xlsx&amp;sheet=E0&amp;row=159&amp;col=10&amp;number=0&amp;sourceID=14","0")</f>
        <v>0</v>
      </c>
    </row>
    <row r="160" spans="1:10">
      <c r="A160" s="3">
        <v>14</v>
      </c>
      <c r="B160" s="3">
        <v>9</v>
      </c>
      <c r="C160" s="3">
        <v>157</v>
      </c>
      <c r="D160" s="3" t="s">
        <v>41</v>
      </c>
      <c r="E160" s="3" t="s">
        <v>13</v>
      </c>
      <c r="F160" s="3">
        <v>2</v>
      </c>
      <c r="G160" s="3">
        <v>1</v>
      </c>
      <c r="H160" s="3">
        <v>1</v>
      </c>
      <c r="I160" s="3">
        <v>1.5</v>
      </c>
      <c r="J160" s="4" t="str">
        <f>HYPERLINK("http://141.218.60.56/~jnz1568/getInfo.php?workbook=14_09.xlsx&amp;sheet=E0&amp;row=160&amp;col=10&amp;number=0&amp;sourceID=14","0")</f>
        <v>0</v>
      </c>
    </row>
    <row r="161" spans="1:10">
      <c r="A161" s="3">
        <v>14</v>
      </c>
      <c r="B161" s="3">
        <v>9</v>
      </c>
      <c r="C161" s="3">
        <v>158</v>
      </c>
      <c r="D161" s="3" t="s">
        <v>41</v>
      </c>
      <c r="E161" s="3" t="s">
        <v>13</v>
      </c>
      <c r="F161" s="3">
        <v>2</v>
      </c>
      <c r="G161" s="3">
        <v>1</v>
      </c>
      <c r="H161" s="3">
        <v>1</v>
      </c>
      <c r="I161" s="3">
        <v>0.5</v>
      </c>
      <c r="J161" s="4" t="str">
        <f>HYPERLINK("http://141.218.60.56/~jnz1568/getInfo.php?workbook=14_09.xlsx&amp;sheet=E0&amp;row=161&amp;col=10&amp;number=0&amp;sourceID=14","0")</f>
        <v>0</v>
      </c>
    </row>
    <row r="162" spans="1:10">
      <c r="A162" s="3">
        <v>14</v>
      </c>
      <c r="B162" s="3">
        <v>9</v>
      </c>
      <c r="C162" s="3">
        <v>159</v>
      </c>
      <c r="D162" s="3" t="s">
        <v>45</v>
      </c>
      <c r="E162" s="3" t="s">
        <v>13</v>
      </c>
      <c r="F162" s="3">
        <v>2</v>
      </c>
      <c r="G162" s="3">
        <v>1</v>
      </c>
      <c r="H162" s="3">
        <v>1</v>
      </c>
      <c r="I162" s="3">
        <v>1.5</v>
      </c>
      <c r="J162" s="4" t="str">
        <f>HYPERLINK("http://141.218.60.56/~jnz1568/getInfo.php?workbook=14_09.xlsx&amp;sheet=E0&amp;row=162&amp;col=10&amp;number=0&amp;sourceID=14","0")</f>
        <v>0</v>
      </c>
    </row>
    <row r="163" spans="1:10">
      <c r="A163" s="3">
        <v>14</v>
      </c>
      <c r="B163" s="3">
        <v>9</v>
      </c>
      <c r="C163" s="3">
        <v>160</v>
      </c>
      <c r="D163" s="3" t="s">
        <v>45</v>
      </c>
      <c r="E163" s="3" t="s">
        <v>13</v>
      </c>
      <c r="F163" s="3">
        <v>2</v>
      </c>
      <c r="G163" s="3">
        <v>1</v>
      </c>
      <c r="H163" s="3">
        <v>1</v>
      </c>
      <c r="I163" s="3">
        <v>0.5</v>
      </c>
      <c r="J163" s="4" t="str">
        <f>HYPERLINK("http://141.218.60.56/~jnz1568/getInfo.php?workbook=14_09.xlsx&amp;sheet=E0&amp;row=163&amp;col=10&amp;number=0&amp;sourceID=14","0")</f>
        <v>0</v>
      </c>
    </row>
    <row r="164" spans="1:10">
      <c r="A164" s="3">
        <v>14</v>
      </c>
      <c r="B164" s="3">
        <v>9</v>
      </c>
      <c r="C164" s="3">
        <v>161</v>
      </c>
      <c r="D164" s="3" t="s">
        <v>41</v>
      </c>
      <c r="E164" s="3" t="s">
        <v>15</v>
      </c>
      <c r="F164" s="3">
        <v>2</v>
      </c>
      <c r="G164" s="3">
        <v>0</v>
      </c>
      <c r="H164" s="3">
        <v>0</v>
      </c>
      <c r="I164" s="3">
        <v>0.5</v>
      </c>
      <c r="J164" s="4" t="str">
        <f>HYPERLINK("http://141.218.60.56/~jnz1568/getInfo.php?workbook=14_09.xlsx&amp;sheet=E0&amp;row=164&amp;col=10&amp;number=0&amp;sourceID=14","0")</f>
        <v>0</v>
      </c>
    </row>
    <row r="165" spans="1:10">
      <c r="A165" s="3">
        <v>14</v>
      </c>
      <c r="B165" s="3">
        <v>9</v>
      </c>
      <c r="C165" s="3">
        <v>162</v>
      </c>
      <c r="D165" s="3" t="s">
        <v>46</v>
      </c>
      <c r="E165" s="3" t="s">
        <v>19</v>
      </c>
      <c r="F165" s="3">
        <v>2</v>
      </c>
      <c r="G165" s="3">
        <v>2</v>
      </c>
      <c r="H165" s="3">
        <v>0</v>
      </c>
      <c r="I165" s="3">
        <v>2.5</v>
      </c>
      <c r="J165" s="4" t="str">
        <f>HYPERLINK("http://141.218.60.56/~jnz1568/getInfo.php?workbook=14_09.xlsx&amp;sheet=E0&amp;row=165&amp;col=10&amp;number=0&amp;sourceID=14","0")</f>
        <v>0</v>
      </c>
    </row>
    <row r="166" spans="1:10">
      <c r="A166" s="3">
        <v>14</v>
      </c>
      <c r="B166" s="3">
        <v>9</v>
      </c>
      <c r="C166" s="3">
        <v>163</v>
      </c>
      <c r="D166" s="3" t="s">
        <v>46</v>
      </c>
      <c r="E166" s="3" t="s">
        <v>19</v>
      </c>
      <c r="F166" s="3">
        <v>2</v>
      </c>
      <c r="G166" s="3">
        <v>2</v>
      </c>
      <c r="H166" s="3">
        <v>0</v>
      </c>
      <c r="I166" s="3">
        <v>1.5</v>
      </c>
      <c r="J166" s="4" t="str">
        <f>HYPERLINK("http://141.218.60.56/~jnz1568/getInfo.php?workbook=14_09.xlsx&amp;sheet=E0&amp;row=166&amp;col=10&amp;number=0&amp;sourceID=14","0")</f>
        <v>0</v>
      </c>
    </row>
    <row r="167" spans="1:10">
      <c r="A167" s="3">
        <v>14</v>
      </c>
      <c r="B167" s="3">
        <v>9</v>
      </c>
      <c r="C167" s="3">
        <v>164</v>
      </c>
      <c r="D167" s="3" t="s">
        <v>47</v>
      </c>
      <c r="E167" s="3" t="s">
        <v>25</v>
      </c>
      <c r="F167" s="3">
        <v>2</v>
      </c>
      <c r="G167" s="3">
        <v>3</v>
      </c>
      <c r="H167" s="3">
        <v>1</v>
      </c>
      <c r="I167" s="3">
        <v>2.5</v>
      </c>
      <c r="J167" s="4" t="str">
        <f>HYPERLINK("http://141.218.60.56/~jnz1568/getInfo.php?workbook=14_09.xlsx&amp;sheet=E0&amp;row=167&amp;col=10&amp;number=0&amp;sourceID=14","0")</f>
        <v>0</v>
      </c>
    </row>
    <row r="168" spans="1:10">
      <c r="A168" s="3">
        <v>14</v>
      </c>
      <c r="B168" s="3">
        <v>9</v>
      </c>
      <c r="C168" s="3">
        <v>165</v>
      </c>
      <c r="D168" s="3" t="s">
        <v>47</v>
      </c>
      <c r="E168" s="3" t="s">
        <v>25</v>
      </c>
      <c r="F168" s="3">
        <v>2</v>
      </c>
      <c r="G168" s="3">
        <v>3</v>
      </c>
      <c r="H168" s="3">
        <v>1</v>
      </c>
      <c r="I168" s="3">
        <v>3.5</v>
      </c>
      <c r="J168" s="4" t="str">
        <f>HYPERLINK("http://141.218.60.56/~jnz1568/getInfo.php?workbook=14_09.xlsx&amp;sheet=E0&amp;row=168&amp;col=10&amp;number=0&amp;sourceID=14","0")</f>
        <v>0</v>
      </c>
    </row>
    <row r="169" spans="1:10">
      <c r="A169" s="3">
        <v>14</v>
      </c>
      <c r="B169" s="3">
        <v>9</v>
      </c>
      <c r="C169" s="3">
        <v>166</v>
      </c>
      <c r="D169" s="3" t="s">
        <v>48</v>
      </c>
      <c r="E169" s="3" t="s">
        <v>13</v>
      </c>
      <c r="F169" s="3">
        <v>2</v>
      </c>
      <c r="G169" s="3">
        <v>1</v>
      </c>
      <c r="H169" s="3">
        <v>1</v>
      </c>
      <c r="I169" s="3">
        <v>1.5</v>
      </c>
      <c r="J169" s="4" t="str">
        <f>HYPERLINK("http://141.218.60.56/~jnz1568/getInfo.php?workbook=14_09.xlsx&amp;sheet=E0&amp;row=169&amp;col=10&amp;number=0&amp;sourceID=14","0")</f>
        <v>0</v>
      </c>
    </row>
    <row r="170" spans="1:10">
      <c r="A170" s="3">
        <v>14</v>
      </c>
      <c r="B170" s="3">
        <v>9</v>
      </c>
      <c r="C170" s="3">
        <v>167</v>
      </c>
      <c r="D170" s="3" t="s">
        <v>48</v>
      </c>
      <c r="E170" s="3" t="s">
        <v>13</v>
      </c>
      <c r="F170" s="3">
        <v>2</v>
      </c>
      <c r="G170" s="3">
        <v>1</v>
      </c>
      <c r="H170" s="3">
        <v>1</v>
      </c>
      <c r="I170" s="3">
        <v>0.5</v>
      </c>
      <c r="J170" s="4" t="str">
        <f>HYPERLINK("http://141.218.60.56/~jnz1568/getInfo.php?workbook=14_09.xlsx&amp;sheet=E0&amp;row=170&amp;col=10&amp;number=0&amp;sourceID=14","0")</f>
        <v>0</v>
      </c>
    </row>
    <row r="171" spans="1:10">
      <c r="A171" s="3">
        <v>14</v>
      </c>
      <c r="B171" s="3">
        <v>9</v>
      </c>
      <c r="C171" s="3">
        <v>168</v>
      </c>
      <c r="D171" s="3" t="s">
        <v>49</v>
      </c>
      <c r="E171" s="3" t="s">
        <v>17</v>
      </c>
      <c r="F171" s="3">
        <v>4</v>
      </c>
      <c r="G171" s="3">
        <v>1</v>
      </c>
      <c r="H171" s="3">
        <v>1</v>
      </c>
      <c r="I171" s="3">
        <v>0.5</v>
      </c>
      <c r="J171" s="4" t="str">
        <f>HYPERLINK("http://141.218.60.56/~jnz1568/getInfo.php?workbook=14_09.xlsx&amp;sheet=E0&amp;row=171&amp;col=10&amp;number=0&amp;sourceID=14","0")</f>
        <v>0</v>
      </c>
    </row>
    <row r="172" spans="1:10">
      <c r="A172" s="3">
        <v>14</v>
      </c>
      <c r="B172" s="3">
        <v>9</v>
      </c>
      <c r="C172" s="3">
        <v>169</v>
      </c>
      <c r="D172" s="3" t="s">
        <v>49</v>
      </c>
      <c r="E172" s="3" t="s">
        <v>17</v>
      </c>
      <c r="F172" s="3">
        <v>4</v>
      </c>
      <c r="G172" s="3">
        <v>1</v>
      </c>
      <c r="H172" s="3">
        <v>1</v>
      </c>
      <c r="I172" s="3">
        <v>1.5</v>
      </c>
      <c r="J172" s="4" t="str">
        <f>HYPERLINK("http://141.218.60.56/~jnz1568/getInfo.php?workbook=14_09.xlsx&amp;sheet=E0&amp;row=172&amp;col=10&amp;number=0&amp;sourceID=14","0")</f>
        <v>0</v>
      </c>
    </row>
    <row r="173" spans="1:10">
      <c r="A173" s="3">
        <v>14</v>
      </c>
      <c r="B173" s="3">
        <v>9</v>
      </c>
      <c r="C173" s="3">
        <v>170</v>
      </c>
      <c r="D173" s="3" t="s">
        <v>49</v>
      </c>
      <c r="E173" s="3" t="s">
        <v>17</v>
      </c>
      <c r="F173" s="3">
        <v>4</v>
      </c>
      <c r="G173" s="3">
        <v>1</v>
      </c>
      <c r="H173" s="3">
        <v>1</v>
      </c>
      <c r="I173" s="3">
        <v>2.5</v>
      </c>
      <c r="J173" s="4" t="str">
        <f>HYPERLINK("http://141.218.60.56/~jnz1568/getInfo.php?workbook=14_09.xlsx&amp;sheet=E0&amp;row=173&amp;col=10&amp;number=0&amp;sourceID=14","0")</f>
        <v>0</v>
      </c>
    </row>
    <row r="174" spans="1:10">
      <c r="A174" s="3">
        <v>14</v>
      </c>
      <c r="B174" s="3">
        <v>9</v>
      </c>
      <c r="C174" s="3">
        <v>171</v>
      </c>
      <c r="D174" s="3" t="s">
        <v>49</v>
      </c>
      <c r="E174" s="3" t="s">
        <v>27</v>
      </c>
      <c r="F174" s="3">
        <v>4</v>
      </c>
      <c r="G174" s="3">
        <v>3</v>
      </c>
      <c r="H174" s="3">
        <v>1</v>
      </c>
      <c r="I174" s="3">
        <v>4.5</v>
      </c>
      <c r="J174" s="4" t="str">
        <f>HYPERLINK("http://141.218.60.56/~jnz1568/getInfo.php?workbook=14_09.xlsx&amp;sheet=E0&amp;row=174&amp;col=10&amp;number=0&amp;sourceID=14","0")</f>
        <v>0</v>
      </c>
    </row>
    <row r="175" spans="1:10">
      <c r="A175" s="3">
        <v>14</v>
      </c>
      <c r="B175" s="3">
        <v>9</v>
      </c>
      <c r="C175" s="3">
        <v>172</v>
      </c>
      <c r="D175" s="3" t="s">
        <v>49</v>
      </c>
      <c r="E175" s="3" t="s">
        <v>27</v>
      </c>
      <c r="F175" s="3">
        <v>4</v>
      </c>
      <c r="G175" s="3">
        <v>3</v>
      </c>
      <c r="H175" s="3">
        <v>1</v>
      </c>
      <c r="I175" s="3">
        <v>3.5</v>
      </c>
      <c r="J175" s="4" t="str">
        <f>HYPERLINK("http://141.218.60.56/~jnz1568/getInfo.php?workbook=14_09.xlsx&amp;sheet=E0&amp;row=175&amp;col=10&amp;number=0&amp;sourceID=14","0")</f>
        <v>0</v>
      </c>
    </row>
    <row r="176" spans="1:10">
      <c r="A176" s="3">
        <v>14</v>
      </c>
      <c r="B176" s="3">
        <v>9</v>
      </c>
      <c r="C176" s="3">
        <v>173</v>
      </c>
      <c r="D176" s="3" t="s">
        <v>49</v>
      </c>
      <c r="E176" s="3" t="s">
        <v>27</v>
      </c>
      <c r="F176" s="3">
        <v>4</v>
      </c>
      <c r="G176" s="3">
        <v>3</v>
      </c>
      <c r="H176" s="3">
        <v>1</v>
      </c>
      <c r="I176" s="3">
        <v>2.5</v>
      </c>
      <c r="J176" s="4" t="str">
        <f>HYPERLINK("http://141.218.60.56/~jnz1568/getInfo.php?workbook=14_09.xlsx&amp;sheet=E0&amp;row=176&amp;col=10&amp;number=0&amp;sourceID=14","0")</f>
        <v>0</v>
      </c>
    </row>
    <row r="177" spans="1:10">
      <c r="A177" s="3">
        <v>14</v>
      </c>
      <c r="B177" s="3">
        <v>9</v>
      </c>
      <c r="C177" s="3">
        <v>174</v>
      </c>
      <c r="D177" s="3" t="s">
        <v>49</v>
      </c>
      <c r="E177" s="3" t="s">
        <v>27</v>
      </c>
      <c r="F177" s="3">
        <v>4</v>
      </c>
      <c r="G177" s="3">
        <v>3</v>
      </c>
      <c r="H177" s="3">
        <v>1</v>
      </c>
      <c r="I177" s="3">
        <v>1.5</v>
      </c>
      <c r="J177" s="4" t="str">
        <f>HYPERLINK("http://141.218.60.56/~jnz1568/getInfo.php?workbook=14_09.xlsx&amp;sheet=E0&amp;row=177&amp;col=10&amp;number=0&amp;sourceID=14","0")</f>
        <v>0</v>
      </c>
    </row>
    <row r="178" spans="1:10">
      <c r="A178" s="3">
        <v>14</v>
      </c>
      <c r="B178" s="3">
        <v>9</v>
      </c>
      <c r="C178" s="3">
        <v>175</v>
      </c>
      <c r="D178" s="3" t="s">
        <v>49</v>
      </c>
      <c r="E178" s="3" t="s">
        <v>25</v>
      </c>
      <c r="F178" s="3">
        <v>2</v>
      </c>
      <c r="G178" s="3">
        <v>3</v>
      </c>
      <c r="H178" s="3">
        <v>1</v>
      </c>
      <c r="I178" s="3">
        <v>3.5</v>
      </c>
      <c r="J178" s="4" t="str">
        <f>HYPERLINK("http://141.218.60.56/~jnz1568/getInfo.php?workbook=14_09.xlsx&amp;sheet=E0&amp;row=178&amp;col=10&amp;number=0&amp;sourceID=14","0")</f>
        <v>0</v>
      </c>
    </row>
    <row r="179" spans="1:10">
      <c r="A179" s="3">
        <v>14</v>
      </c>
      <c r="B179" s="3">
        <v>9</v>
      </c>
      <c r="C179" s="3">
        <v>176</v>
      </c>
      <c r="D179" s="3" t="s">
        <v>49</v>
      </c>
      <c r="E179" s="3" t="s">
        <v>21</v>
      </c>
      <c r="F179" s="3">
        <v>4</v>
      </c>
      <c r="G179" s="3">
        <v>2</v>
      </c>
      <c r="H179" s="3">
        <v>0</v>
      </c>
      <c r="I179" s="3">
        <v>2.5</v>
      </c>
      <c r="J179" s="4" t="str">
        <f>HYPERLINK("http://141.218.60.56/~jnz1568/getInfo.php?workbook=14_09.xlsx&amp;sheet=E0&amp;row=179&amp;col=10&amp;number=0&amp;sourceID=14","0")</f>
        <v>0</v>
      </c>
    </row>
    <row r="180" spans="1:10">
      <c r="A180" s="3">
        <v>14</v>
      </c>
      <c r="B180" s="3">
        <v>9</v>
      </c>
      <c r="C180" s="3">
        <v>177</v>
      </c>
      <c r="D180" s="3" t="s">
        <v>49</v>
      </c>
      <c r="E180" s="3" t="s">
        <v>21</v>
      </c>
      <c r="F180" s="3">
        <v>4</v>
      </c>
      <c r="G180" s="3">
        <v>2</v>
      </c>
      <c r="H180" s="3">
        <v>0</v>
      </c>
      <c r="I180" s="3">
        <v>3.5</v>
      </c>
      <c r="J180" s="4" t="str">
        <f>HYPERLINK("http://141.218.60.56/~jnz1568/getInfo.php?workbook=14_09.xlsx&amp;sheet=E0&amp;row=180&amp;col=10&amp;number=0&amp;sourceID=14","0")</f>
        <v>0</v>
      </c>
    </row>
    <row r="181" spans="1:10">
      <c r="A181" s="3">
        <v>14</v>
      </c>
      <c r="B181" s="3">
        <v>9</v>
      </c>
      <c r="C181" s="3">
        <v>178</v>
      </c>
      <c r="D181" s="3" t="s">
        <v>49</v>
      </c>
      <c r="E181" s="3" t="s">
        <v>21</v>
      </c>
      <c r="F181" s="3">
        <v>4</v>
      </c>
      <c r="G181" s="3">
        <v>2</v>
      </c>
      <c r="H181" s="3">
        <v>0</v>
      </c>
      <c r="I181" s="3">
        <v>0.5</v>
      </c>
      <c r="J181" s="4" t="str">
        <f>HYPERLINK("http://141.218.60.56/~jnz1568/getInfo.php?workbook=14_09.xlsx&amp;sheet=E0&amp;row=181&amp;col=10&amp;number=0&amp;sourceID=14","0")</f>
        <v>0</v>
      </c>
    </row>
    <row r="182" spans="1:10">
      <c r="A182" s="3">
        <v>14</v>
      </c>
      <c r="B182" s="3">
        <v>9</v>
      </c>
      <c r="C182" s="3">
        <v>179</v>
      </c>
      <c r="D182" s="3" t="s">
        <v>49</v>
      </c>
      <c r="E182" s="3" t="s">
        <v>21</v>
      </c>
      <c r="F182" s="3">
        <v>4</v>
      </c>
      <c r="G182" s="3">
        <v>2</v>
      </c>
      <c r="H182" s="3">
        <v>0</v>
      </c>
      <c r="I182" s="3">
        <v>1.5</v>
      </c>
      <c r="J182" s="4" t="str">
        <f>HYPERLINK("http://141.218.60.56/~jnz1568/getInfo.php?workbook=14_09.xlsx&amp;sheet=E0&amp;row=182&amp;col=10&amp;number=0&amp;sourceID=14","0")</f>
        <v>0</v>
      </c>
    </row>
    <row r="183" spans="1:10">
      <c r="A183" s="3">
        <v>14</v>
      </c>
      <c r="B183" s="3">
        <v>9</v>
      </c>
      <c r="C183" s="3">
        <v>180</v>
      </c>
      <c r="D183" s="3" t="s">
        <v>49</v>
      </c>
      <c r="E183" s="3" t="s">
        <v>25</v>
      </c>
      <c r="F183" s="3">
        <v>2</v>
      </c>
      <c r="G183" s="3">
        <v>3</v>
      </c>
      <c r="H183" s="3">
        <v>1</v>
      </c>
      <c r="I183" s="3">
        <v>2.5</v>
      </c>
      <c r="J183" s="4" t="str">
        <f>HYPERLINK("http://141.218.60.56/~jnz1568/getInfo.php?workbook=14_09.xlsx&amp;sheet=E0&amp;row=183&amp;col=10&amp;number=0&amp;sourceID=14","0")</f>
        <v>0</v>
      </c>
    </row>
    <row r="184" spans="1:10">
      <c r="A184" s="3">
        <v>14</v>
      </c>
      <c r="B184" s="3">
        <v>9</v>
      </c>
      <c r="C184" s="3">
        <v>181</v>
      </c>
      <c r="D184" s="3" t="s">
        <v>49</v>
      </c>
      <c r="E184" s="3" t="s">
        <v>19</v>
      </c>
      <c r="F184" s="3">
        <v>2</v>
      </c>
      <c r="G184" s="3">
        <v>2</v>
      </c>
      <c r="H184" s="3">
        <v>0</v>
      </c>
      <c r="I184" s="3">
        <v>2.5</v>
      </c>
      <c r="J184" s="4" t="str">
        <f>HYPERLINK("http://141.218.60.56/~jnz1568/getInfo.php?workbook=14_09.xlsx&amp;sheet=E0&amp;row=184&amp;col=10&amp;number=0&amp;sourceID=14","0")</f>
        <v>0</v>
      </c>
    </row>
    <row r="185" spans="1:10">
      <c r="A185" s="3">
        <v>14</v>
      </c>
      <c r="B185" s="3">
        <v>9</v>
      </c>
      <c r="C185" s="3">
        <v>182</v>
      </c>
      <c r="D185" s="3" t="s">
        <v>49</v>
      </c>
      <c r="E185" s="3" t="s">
        <v>19</v>
      </c>
      <c r="F185" s="3">
        <v>2</v>
      </c>
      <c r="G185" s="3">
        <v>2</v>
      </c>
      <c r="H185" s="3">
        <v>0</v>
      </c>
      <c r="I185" s="3">
        <v>1.5</v>
      </c>
      <c r="J185" s="4" t="str">
        <f>HYPERLINK("http://141.218.60.56/~jnz1568/getInfo.php?workbook=14_09.xlsx&amp;sheet=E0&amp;row=185&amp;col=10&amp;number=0&amp;sourceID=14","0")</f>
        <v>0</v>
      </c>
    </row>
    <row r="186" spans="1:10">
      <c r="A186" s="3">
        <v>14</v>
      </c>
      <c r="B186" s="3">
        <v>9</v>
      </c>
      <c r="C186" s="3">
        <v>183</v>
      </c>
      <c r="D186" s="3" t="s">
        <v>49</v>
      </c>
      <c r="E186" s="3" t="s">
        <v>13</v>
      </c>
      <c r="F186" s="3">
        <v>2</v>
      </c>
      <c r="G186" s="3">
        <v>1</v>
      </c>
      <c r="H186" s="3">
        <v>1</v>
      </c>
      <c r="I186" s="3">
        <v>0.5</v>
      </c>
      <c r="J186" s="4" t="str">
        <f>HYPERLINK("http://141.218.60.56/~jnz1568/getInfo.php?workbook=14_09.xlsx&amp;sheet=E0&amp;row=186&amp;col=10&amp;number=0&amp;sourceID=14","0")</f>
        <v>0</v>
      </c>
    </row>
    <row r="187" spans="1:10">
      <c r="A187" s="3">
        <v>14</v>
      </c>
      <c r="B187" s="3">
        <v>9</v>
      </c>
      <c r="C187" s="3">
        <v>184</v>
      </c>
      <c r="D187" s="3" t="s">
        <v>49</v>
      </c>
      <c r="E187" s="3" t="s">
        <v>13</v>
      </c>
      <c r="F187" s="3">
        <v>2</v>
      </c>
      <c r="G187" s="3">
        <v>1</v>
      </c>
      <c r="H187" s="3">
        <v>1</v>
      </c>
      <c r="I187" s="3">
        <v>1.5</v>
      </c>
      <c r="J187" s="4" t="str">
        <f>HYPERLINK("http://141.218.60.56/~jnz1568/getInfo.php?workbook=14_09.xlsx&amp;sheet=E0&amp;row=187&amp;col=10&amp;number=0&amp;sourceID=14","0")</f>
        <v>0</v>
      </c>
    </row>
    <row r="188" spans="1:10">
      <c r="A188" s="3">
        <v>14</v>
      </c>
      <c r="B188" s="3">
        <v>9</v>
      </c>
      <c r="C188" s="3">
        <v>185</v>
      </c>
      <c r="D188" s="3" t="s">
        <v>50</v>
      </c>
      <c r="E188" s="3" t="s">
        <v>19</v>
      </c>
      <c r="F188" s="3">
        <v>2</v>
      </c>
      <c r="G188" s="3">
        <v>2</v>
      </c>
      <c r="H188" s="3">
        <v>0</v>
      </c>
      <c r="I188" s="3">
        <v>1.5</v>
      </c>
      <c r="J188" s="4" t="str">
        <f>HYPERLINK("http://141.218.60.56/~jnz1568/getInfo.php?workbook=14_09.xlsx&amp;sheet=E0&amp;row=188&amp;col=10&amp;number=0&amp;sourceID=14","0")</f>
        <v>0</v>
      </c>
    </row>
    <row r="189" spans="1:10">
      <c r="A189" s="3">
        <v>14</v>
      </c>
      <c r="B189" s="3">
        <v>9</v>
      </c>
      <c r="C189" s="3">
        <v>186</v>
      </c>
      <c r="D189" s="3" t="s">
        <v>50</v>
      </c>
      <c r="E189" s="3" t="s">
        <v>19</v>
      </c>
      <c r="F189" s="3">
        <v>2</v>
      </c>
      <c r="G189" s="3">
        <v>2</v>
      </c>
      <c r="H189" s="3">
        <v>0</v>
      </c>
      <c r="I189" s="3">
        <v>2.5</v>
      </c>
      <c r="J189" s="4" t="str">
        <f>HYPERLINK("http://141.218.60.56/~jnz1568/getInfo.php?workbook=14_09.xlsx&amp;sheet=E0&amp;row=189&amp;col=10&amp;number=0&amp;sourceID=14","0")</f>
        <v>0</v>
      </c>
    </row>
    <row r="190" spans="1:10">
      <c r="A190" s="3">
        <v>14</v>
      </c>
      <c r="B190" s="3">
        <v>9</v>
      </c>
      <c r="C190" s="3">
        <v>187</v>
      </c>
      <c r="D190" s="3" t="s">
        <v>50</v>
      </c>
      <c r="E190" s="3" t="s">
        <v>13</v>
      </c>
      <c r="F190" s="3">
        <v>2</v>
      </c>
      <c r="G190" s="3">
        <v>1</v>
      </c>
      <c r="H190" s="3">
        <v>1</v>
      </c>
      <c r="I190" s="3">
        <v>0.5</v>
      </c>
      <c r="J190" s="4" t="str">
        <f>HYPERLINK("http://141.218.60.56/~jnz1568/getInfo.php?workbook=14_09.xlsx&amp;sheet=E0&amp;row=190&amp;col=10&amp;number=0&amp;sourceID=14","0")</f>
        <v>0</v>
      </c>
    </row>
    <row r="191" spans="1:10">
      <c r="A191" s="3">
        <v>14</v>
      </c>
      <c r="B191" s="3">
        <v>9</v>
      </c>
      <c r="C191" s="3">
        <v>188</v>
      </c>
      <c r="D191" s="3" t="s">
        <v>50</v>
      </c>
      <c r="E191" s="3" t="s">
        <v>13</v>
      </c>
      <c r="F191" s="3">
        <v>2</v>
      </c>
      <c r="G191" s="3">
        <v>1</v>
      </c>
      <c r="H191" s="3">
        <v>1</v>
      </c>
      <c r="I191" s="3">
        <v>1.5</v>
      </c>
      <c r="J191" s="4" t="str">
        <f>HYPERLINK("http://141.218.60.56/~jnz1568/getInfo.php?workbook=14_09.xlsx&amp;sheet=E0&amp;row=191&amp;col=10&amp;number=0&amp;sourceID=14","0")</f>
        <v>0</v>
      </c>
    </row>
    <row r="192" spans="1:10">
      <c r="A192" s="3">
        <v>14</v>
      </c>
      <c r="B192" s="3">
        <v>9</v>
      </c>
      <c r="C192" s="3">
        <v>189</v>
      </c>
      <c r="D192" s="3" t="s">
        <v>50</v>
      </c>
      <c r="E192" s="3" t="s">
        <v>15</v>
      </c>
      <c r="F192" s="3">
        <v>2</v>
      </c>
      <c r="G192" s="3">
        <v>0</v>
      </c>
      <c r="H192" s="3">
        <v>0</v>
      </c>
      <c r="I192" s="3">
        <v>0.5</v>
      </c>
      <c r="J192" s="4" t="str">
        <f>HYPERLINK("http://141.218.60.56/~jnz1568/getInfo.php?workbook=14_09.xlsx&amp;sheet=E0&amp;row=192&amp;col=10&amp;number=0&amp;sourceID=14","0")</f>
        <v>0</v>
      </c>
    </row>
    <row r="193" spans="1:10">
      <c r="A193" s="3">
        <v>14</v>
      </c>
      <c r="B193" s="3">
        <v>9</v>
      </c>
      <c r="C193" s="3">
        <v>190</v>
      </c>
      <c r="D193" s="3" t="s">
        <v>51</v>
      </c>
      <c r="E193" s="3" t="s">
        <v>25</v>
      </c>
      <c r="F193" s="3">
        <v>2</v>
      </c>
      <c r="G193" s="3">
        <v>3</v>
      </c>
      <c r="H193" s="3">
        <v>1</v>
      </c>
      <c r="I193" s="3">
        <v>2.5</v>
      </c>
      <c r="J193" s="4" t="str">
        <f>HYPERLINK("http://141.218.60.56/~jnz1568/getInfo.php?workbook=14_09.xlsx&amp;sheet=E0&amp;row=193&amp;col=10&amp;number=0&amp;sourceID=14","0")</f>
        <v>0</v>
      </c>
    </row>
    <row r="194" spans="1:10">
      <c r="A194" s="3">
        <v>14</v>
      </c>
      <c r="B194" s="3">
        <v>9</v>
      </c>
      <c r="C194" s="3">
        <v>191</v>
      </c>
      <c r="D194" s="3" t="s">
        <v>51</v>
      </c>
      <c r="E194" s="3" t="s">
        <v>25</v>
      </c>
      <c r="F194" s="3">
        <v>2</v>
      </c>
      <c r="G194" s="3">
        <v>3</v>
      </c>
      <c r="H194" s="3">
        <v>1</v>
      </c>
      <c r="I194" s="3">
        <v>3.5</v>
      </c>
      <c r="J194" s="4" t="str">
        <f>HYPERLINK("http://141.218.60.56/~jnz1568/getInfo.php?workbook=14_09.xlsx&amp;sheet=E0&amp;row=194&amp;col=10&amp;number=0&amp;sourceID=14","0")</f>
        <v>0</v>
      </c>
    </row>
    <row r="195" spans="1:10">
      <c r="A195" s="3">
        <v>14</v>
      </c>
      <c r="B195" s="3">
        <v>9</v>
      </c>
      <c r="C195" s="3">
        <v>192</v>
      </c>
      <c r="D195" s="3" t="s">
        <v>51</v>
      </c>
      <c r="E195" s="3" t="s">
        <v>13</v>
      </c>
      <c r="F195" s="3">
        <v>2</v>
      </c>
      <c r="G195" s="3">
        <v>1</v>
      </c>
      <c r="H195" s="3">
        <v>1</v>
      </c>
      <c r="I195" s="3">
        <v>1.5</v>
      </c>
      <c r="J195" s="4" t="str">
        <f>HYPERLINK("http://141.218.60.56/~jnz1568/getInfo.php?workbook=14_09.xlsx&amp;sheet=E0&amp;row=195&amp;col=10&amp;number=0&amp;sourceID=14","0")</f>
        <v>0</v>
      </c>
    </row>
    <row r="196" spans="1:10">
      <c r="A196" s="3">
        <v>14</v>
      </c>
      <c r="B196" s="3">
        <v>9</v>
      </c>
      <c r="C196" s="3">
        <v>193</v>
      </c>
      <c r="D196" s="3" t="s">
        <v>51</v>
      </c>
      <c r="E196" s="3" t="s">
        <v>13</v>
      </c>
      <c r="F196" s="3">
        <v>2</v>
      </c>
      <c r="G196" s="3">
        <v>1</v>
      </c>
      <c r="H196" s="3">
        <v>1</v>
      </c>
      <c r="I196" s="3">
        <v>0.5</v>
      </c>
      <c r="J196" s="4" t="str">
        <f>HYPERLINK("http://141.218.60.56/~jnz1568/getInfo.php?workbook=14_09.xlsx&amp;sheet=E0&amp;row=196&amp;col=10&amp;number=0&amp;sourceID=14","0")</f>
        <v>0</v>
      </c>
    </row>
    <row r="197" spans="1:10">
      <c r="A197" s="3">
        <v>14</v>
      </c>
      <c r="B197" s="3">
        <v>9</v>
      </c>
      <c r="C197" s="3">
        <v>194</v>
      </c>
      <c r="D197" s="3" t="s">
        <v>51</v>
      </c>
      <c r="E197" s="3" t="s">
        <v>19</v>
      </c>
      <c r="F197" s="3">
        <v>2</v>
      </c>
      <c r="G197" s="3">
        <v>2</v>
      </c>
      <c r="H197" s="3">
        <v>0</v>
      </c>
      <c r="I197" s="3">
        <v>1.5</v>
      </c>
      <c r="J197" s="4" t="str">
        <f>HYPERLINK("http://141.218.60.56/~jnz1568/getInfo.php?workbook=14_09.xlsx&amp;sheet=E0&amp;row=197&amp;col=10&amp;number=0&amp;sourceID=14","0")</f>
        <v>0</v>
      </c>
    </row>
    <row r="198" spans="1:10">
      <c r="A198" s="3">
        <v>14</v>
      </c>
      <c r="B198" s="3">
        <v>9</v>
      </c>
      <c r="C198" s="3">
        <v>195</v>
      </c>
      <c r="D198" s="3" t="s">
        <v>51</v>
      </c>
      <c r="E198" s="3" t="s">
        <v>19</v>
      </c>
      <c r="F198" s="3">
        <v>2</v>
      </c>
      <c r="G198" s="3">
        <v>2</v>
      </c>
      <c r="H198" s="3">
        <v>0</v>
      </c>
      <c r="I198" s="3">
        <v>2.5</v>
      </c>
      <c r="J198" s="4" t="str">
        <f>HYPERLINK("http://141.218.60.56/~jnz1568/getInfo.php?workbook=14_09.xlsx&amp;sheet=E0&amp;row=198&amp;col=10&amp;number=0&amp;sourceID=14","0")</f>
        <v>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237"/>
  <sheetViews>
    <sheetView workbookViewId="0"/>
  </sheetViews>
  <sheetFormatPr defaultRowHeight="15"/>
  <cols>
    <col min="1" max="1" width="3.7109375" customWidth="1"/>
    <col min="2" max="2" width="2.7109375" customWidth="1"/>
    <col min="3" max="3" width="4.7109375" customWidth="1"/>
    <col min="4" max="4" width="4.7109375" customWidth="1"/>
    <col min="5" max="5" width="11.7109375" customWidth="1"/>
    <col min="6" max="6" width="13.7109375" customWidth="1"/>
    <col min="7" max="7" width="10.7109375" customWidth="1"/>
  </cols>
  <sheetData>
    <row r="1" spans="1:7">
      <c r="A1" s="1" t="s">
        <v>52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53</v>
      </c>
      <c r="D3" s="2" t="s">
        <v>4</v>
      </c>
      <c r="E3" s="2" t="s">
        <v>54</v>
      </c>
      <c r="F3" s="2" t="s">
        <v>55</v>
      </c>
      <c r="G3" s="2" t="s">
        <v>56</v>
      </c>
    </row>
    <row r="4" spans="1:7">
      <c r="A4" s="3">
        <v>14</v>
      </c>
      <c r="B4" s="3">
        <v>9</v>
      </c>
      <c r="C4" s="3">
        <v>2</v>
      </c>
      <c r="D4" s="3">
        <v>1</v>
      </c>
      <c r="E4" s="3">
        <v>19630.08</v>
      </c>
      <c r="F4" s="4" t="str">
        <f>HYPERLINK("http://141.218.60.56/~jnz1568/getInfo.php?workbook=14_09.xlsx&amp;sheet=A0&amp;row=4&amp;col=6&amp;number=2.96&amp;sourceID=14","2.96")</f>
        <v>2.96</v>
      </c>
      <c r="G4" s="4" t="str">
        <f>HYPERLINK("http://141.218.60.56/~jnz1568/getInfo.php?workbook=14_09.xlsx&amp;sheet=A0&amp;row=4&amp;col=7&amp;number=0&amp;sourceID=14","0")</f>
        <v>0</v>
      </c>
    </row>
    <row r="5" spans="1:7">
      <c r="A5" s="3">
        <v>14</v>
      </c>
      <c r="B5" s="3">
        <v>9</v>
      </c>
      <c r="C5" s="3">
        <v>3</v>
      </c>
      <c r="D5" s="3">
        <v>1</v>
      </c>
      <c r="E5" s="3">
        <v>246.002</v>
      </c>
      <c r="F5" s="4" t="str">
        <f>HYPERLINK("http://141.218.60.56/~jnz1568/getInfo.php?workbook=14_09.xlsx&amp;sheet=A0&amp;row=5&amp;col=6&amp;number=23800000000&amp;sourceID=14","23800000000")</f>
        <v>23800000000</v>
      </c>
      <c r="G5" s="4" t="str">
        <f>HYPERLINK("http://141.218.60.56/~jnz1568/getInfo.php?workbook=14_09.xlsx&amp;sheet=A0&amp;row=5&amp;col=7&amp;number=0&amp;sourceID=14","0")</f>
        <v>0</v>
      </c>
    </row>
    <row r="6" spans="1:7">
      <c r="A6" s="3">
        <v>14</v>
      </c>
      <c r="B6" s="3">
        <v>9</v>
      </c>
      <c r="C6" s="3">
        <v>4</v>
      </c>
      <c r="D6" s="3">
        <v>1</v>
      </c>
      <c r="E6" s="3">
        <v>100.953</v>
      </c>
      <c r="F6" s="4" t="str">
        <f>HYPERLINK("http://141.218.60.56/~jnz1568/getInfo.php?workbook=14_09.xlsx&amp;sheet=A0&amp;row=6&amp;col=6&amp;number=82400000&amp;sourceID=14","82400000")</f>
        <v>82400000</v>
      </c>
      <c r="G6" s="4" t="str">
        <f>HYPERLINK("http://141.218.60.56/~jnz1568/getInfo.php?workbook=14_09.xlsx&amp;sheet=A0&amp;row=6&amp;col=7&amp;number=0&amp;sourceID=14","0")</f>
        <v>0</v>
      </c>
    </row>
    <row r="7" spans="1:7">
      <c r="A7" s="3">
        <v>14</v>
      </c>
      <c r="B7" s="3">
        <v>9</v>
      </c>
      <c r="C7" s="3">
        <v>5</v>
      </c>
      <c r="D7" s="3">
        <v>1</v>
      </c>
      <c r="E7" s="3">
        <v>100.641</v>
      </c>
      <c r="F7" s="4" t="str">
        <f>HYPERLINK("http://141.218.60.56/~jnz1568/getInfo.php?workbook=14_09.xlsx&amp;sheet=A0&amp;row=7&amp;col=6&amp;number=1040000000&amp;sourceID=14","1040000000")</f>
        <v>1040000000</v>
      </c>
      <c r="G7" s="4" t="str">
        <f>HYPERLINK("http://141.218.60.56/~jnz1568/getInfo.php?workbook=14_09.xlsx&amp;sheet=A0&amp;row=7&amp;col=7&amp;number=0&amp;sourceID=14","0")</f>
        <v>0</v>
      </c>
    </row>
    <row r="8" spans="1:7">
      <c r="A8" s="3">
        <v>14</v>
      </c>
      <c r="B8" s="3">
        <v>9</v>
      </c>
      <c r="C8" s="3">
        <v>6</v>
      </c>
      <c r="D8" s="3">
        <v>1</v>
      </c>
      <c r="E8" s="3">
        <v>100.454</v>
      </c>
      <c r="F8" s="4" t="str">
        <f>HYPERLINK("http://141.218.60.56/~jnz1568/getInfo.php?workbook=14_09.xlsx&amp;sheet=A0&amp;row=8&amp;col=6&amp;number=10100000&amp;sourceID=14","10100000")</f>
        <v>10100000</v>
      </c>
      <c r="G8" s="4" t="str">
        <f>HYPERLINK("http://141.218.60.56/~jnz1568/getInfo.php?workbook=14_09.xlsx&amp;sheet=A0&amp;row=8&amp;col=7&amp;number=0&amp;sourceID=14","0")</f>
        <v>0</v>
      </c>
    </row>
    <row r="9" spans="1:7">
      <c r="A9" s="3">
        <v>14</v>
      </c>
      <c r="B9" s="3">
        <v>9</v>
      </c>
      <c r="C9" s="3">
        <v>7</v>
      </c>
      <c r="D9" s="3">
        <v>1</v>
      </c>
      <c r="E9" s="3">
        <v>99.46</v>
      </c>
      <c r="F9" s="4" t="str">
        <f>HYPERLINK("http://141.218.60.56/~jnz1568/getInfo.php?workbook=14_09.xlsx&amp;sheet=A0&amp;row=9&amp;col=6&amp;number=70900000000&amp;sourceID=14","70900000000")</f>
        <v>70900000000</v>
      </c>
      <c r="G9" s="4" t="str">
        <f>HYPERLINK("http://141.218.60.56/~jnz1568/getInfo.php?workbook=14_09.xlsx&amp;sheet=A0&amp;row=9&amp;col=7&amp;number=0&amp;sourceID=14","0")</f>
        <v>0</v>
      </c>
    </row>
    <row r="10" spans="1:7">
      <c r="A10" s="3">
        <v>14</v>
      </c>
      <c r="B10" s="3">
        <v>9</v>
      </c>
      <c r="C10" s="3">
        <v>8</v>
      </c>
      <c r="D10" s="3">
        <v>1</v>
      </c>
      <c r="E10" s="3">
        <v>99.097</v>
      </c>
      <c r="F10" s="4" t="str">
        <f>HYPERLINK("http://141.218.60.56/~jnz1568/getInfo.php?workbook=14_09.xlsx&amp;sheet=A0&amp;row=10&amp;col=6&amp;number=29300000000&amp;sourceID=14","29300000000")</f>
        <v>29300000000</v>
      </c>
      <c r="G10" s="4" t="str">
        <f>HYPERLINK("http://141.218.60.56/~jnz1568/getInfo.php?workbook=14_09.xlsx&amp;sheet=A0&amp;row=10&amp;col=7&amp;number=0&amp;sourceID=14","0")</f>
        <v>0</v>
      </c>
    </row>
    <row r="11" spans="1:7">
      <c r="A11" s="3">
        <v>14</v>
      </c>
      <c r="B11" s="3">
        <v>9</v>
      </c>
      <c r="C11" s="3">
        <v>9</v>
      </c>
      <c r="D11" s="3">
        <v>1</v>
      </c>
      <c r="E11" s="3">
        <v>95.555</v>
      </c>
      <c r="F11" s="4" t="str">
        <f>HYPERLINK("http://141.218.60.56/~jnz1568/getInfo.php?workbook=14_09.xlsx&amp;sheet=A0&amp;row=11&amp;col=6&amp;number=32000000000&amp;sourceID=14","32000000000")</f>
        <v>32000000000</v>
      </c>
      <c r="G11" s="4" t="str">
        <f>HYPERLINK("http://141.218.60.56/~jnz1568/getInfo.php?workbook=14_09.xlsx&amp;sheet=A0&amp;row=11&amp;col=7&amp;number=0&amp;sourceID=14","0")</f>
        <v>0</v>
      </c>
    </row>
    <row r="12" spans="1:7">
      <c r="A12" s="3">
        <v>14</v>
      </c>
      <c r="B12" s="3">
        <v>9</v>
      </c>
      <c r="C12" s="3">
        <v>10</v>
      </c>
      <c r="D12" s="3">
        <v>1</v>
      </c>
      <c r="E12" s="3">
        <v>96.019</v>
      </c>
      <c r="F12" s="4" t="str">
        <f>HYPERLINK("http://141.218.60.56/~jnz1568/getInfo.php?workbook=14_09.xlsx&amp;sheet=A0&amp;row=12&amp;col=6&amp;number=3170000000&amp;sourceID=14","3170000000")</f>
        <v>3170000000</v>
      </c>
      <c r="G12" s="4" t="str">
        <f>HYPERLINK("http://141.218.60.56/~jnz1568/getInfo.php?workbook=14_09.xlsx&amp;sheet=A0&amp;row=12&amp;col=7&amp;number=0&amp;sourceID=14","0")</f>
        <v>0</v>
      </c>
    </row>
    <row r="13" spans="1:7">
      <c r="A13" s="3">
        <v>14</v>
      </c>
      <c r="B13" s="3">
        <v>9</v>
      </c>
      <c r="C13" s="3">
        <v>12</v>
      </c>
      <c r="D13" s="3">
        <v>1</v>
      </c>
      <c r="E13" s="3">
        <v>93.47</v>
      </c>
      <c r="F13" s="4" t="str">
        <f>HYPERLINK("http://141.218.60.56/~jnz1568/getInfo.php?workbook=14_09.xlsx&amp;sheet=A0&amp;row=13&amp;col=6&amp;number=22400&amp;sourceID=14","22400")</f>
        <v>22400</v>
      </c>
      <c r="G13" s="4" t="str">
        <f>HYPERLINK("http://141.218.60.56/~jnz1568/getInfo.php?workbook=14_09.xlsx&amp;sheet=A0&amp;row=13&amp;col=7&amp;number=0&amp;sourceID=14","0")</f>
        <v>0</v>
      </c>
    </row>
    <row r="14" spans="1:7">
      <c r="A14" s="3">
        <v>14</v>
      </c>
      <c r="B14" s="3">
        <v>9</v>
      </c>
      <c r="C14" s="3">
        <v>13</v>
      </c>
      <c r="D14" s="3">
        <v>1</v>
      </c>
      <c r="E14" s="3">
        <v>93.36</v>
      </c>
      <c r="F14" s="4" t="str">
        <f>HYPERLINK("http://141.218.60.56/~jnz1568/getInfo.php?workbook=14_09.xlsx&amp;sheet=A0&amp;row=14&amp;col=6&amp;number=21500&amp;sourceID=14","21500")</f>
        <v>21500</v>
      </c>
      <c r="G14" s="4" t="str">
        <f>HYPERLINK("http://141.218.60.56/~jnz1568/getInfo.php?workbook=14_09.xlsx&amp;sheet=A0&amp;row=14&amp;col=7&amp;number=0&amp;sourceID=14","0")</f>
        <v>0</v>
      </c>
    </row>
    <row r="15" spans="1:7">
      <c r="A15" s="3">
        <v>14</v>
      </c>
      <c r="B15" s="3">
        <v>9</v>
      </c>
      <c r="C15" s="3">
        <v>14</v>
      </c>
      <c r="D15" s="3">
        <v>1</v>
      </c>
      <c r="E15" s="3">
        <v>92.68</v>
      </c>
      <c r="F15" s="4" t="str">
        <f>HYPERLINK("http://141.218.60.56/~jnz1568/getInfo.php?workbook=14_09.xlsx&amp;sheet=A0&amp;row=15&amp;col=6&amp;number=13400&amp;sourceID=14","13400")</f>
        <v>13400</v>
      </c>
      <c r="G15" s="4" t="str">
        <f>HYPERLINK("http://141.218.60.56/~jnz1568/getInfo.php?workbook=14_09.xlsx&amp;sheet=A0&amp;row=15&amp;col=7&amp;number=0&amp;sourceID=14","0")</f>
        <v>0</v>
      </c>
    </row>
    <row r="16" spans="1:7">
      <c r="A16" s="3">
        <v>14</v>
      </c>
      <c r="B16" s="3">
        <v>9</v>
      </c>
      <c r="C16" s="3">
        <v>15</v>
      </c>
      <c r="D16" s="3">
        <v>1</v>
      </c>
      <c r="E16" s="3">
        <v>92.531</v>
      </c>
      <c r="F16" s="4" t="str">
        <f>HYPERLINK("http://141.218.60.56/~jnz1568/getInfo.php?workbook=14_09.xlsx&amp;sheet=A0&amp;row=16&amp;col=6&amp;number=504000&amp;sourceID=14","504000")</f>
        <v>504000</v>
      </c>
      <c r="G16" s="4" t="str">
        <f>HYPERLINK("http://141.218.60.56/~jnz1568/getInfo.php?workbook=14_09.xlsx&amp;sheet=A0&amp;row=16&amp;col=7&amp;number=0&amp;sourceID=14","0")</f>
        <v>0</v>
      </c>
    </row>
    <row r="17" spans="1:7">
      <c r="A17" s="3">
        <v>14</v>
      </c>
      <c r="B17" s="3">
        <v>9</v>
      </c>
      <c r="C17" s="3">
        <v>16</v>
      </c>
      <c r="D17" s="3">
        <v>1</v>
      </c>
      <c r="E17" s="3">
        <v>92.403</v>
      </c>
      <c r="F17" s="4" t="str">
        <f>HYPERLINK("http://141.218.60.56/~jnz1568/getInfo.php?workbook=14_09.xlsx&amp;sheet=A0&amp;row=17&amp;col=6&amp;number=102000&amp;sourceID=14","102000")</f>
        <v>102000</v>
      </c>
      <c r="G17" s="4" t="str">
        <f>HYPERLINK("http://141.218.60.56/~jnz1568/getInfo.php?workbook=14_09.xlsx&amp;sheet=A0&amp;row=17&amp;col=7&amp;number=0&amp;sourceID=14","0")</f>
        <v>0</v>
      </c>
    </row>
    <row r="18" spans="1:7">
      <c r="A18" s="3">
        <v>14</v>
      </c>
      <c r="B18" s="3">
        <v>9</v>
      </c>
      <c r="C18" s="3">
        <v>18</v>
      </c>
      <c r="D18" s="3">
        <v>1</v>
      </c>
      <c r="E18" s="3">
        <v>92.013</v>
      </c>
      <c r="F18" s="4" t="str">
        <f>HYPERLINK("http://141.218.60.56/~jnz1568/getInfo.php?workbook=14_09.xlsx&amp;sheet=A0&amp;row=18&amp;col=6&amp;number=6380000&amp;sourceID=14","6380000")</f>
        <v>6380000</v>
      </c>
      <c r="G18" s="4" t="str">
        <f>HYPERLINK("http://141.218.60.56/~jnz1568/getInfo.php?workbook=14_09.xlsx&amp;sheet=A0&amp;row=18&amp;col=7&amp;number=0&amp;sourceID=14","0")</f>
        <v>0</v>
      </c>
    </row>
    <row r="19" spans="1:7">
      <c r="A19" s="3">
        <v>14</v>
      </c>
      <c r="B19" s="3">
        <v>9</v>
      </c>
      <c r="C19" s="3">
        <v>19</v>
      </c>
      <c r="D19" s="3">
        <v>1</v>
      </c>
      <c r="E19" s="3">
        <v>91.781</v>
      </c>
      <c r="F19" s="4" t="str">
        <f>HYPERLINK("http://141.218.60.56/~jnz1568/getInfo.php?workbook=14_09.xlsx&amp;sheet=A0&amp;row=19&amp;col=6&amp;number=5800000&amp;sourceID=14","5800000")</f>
        <v>5800000</v>
      </c>
      <c r="G19" s="4" t="str">
        <f>HYPERLINK("http://141.218.60.56/~jnz1568/getInfo.php?workbook=14_09.xlsx&amp;sheet=A0&amp;row=19&amp;col=7&amp;number=0&amp;sourceID=14","0")</f>
        <v>0</v>
      </c>
    </row>
    <row r="20" spans="1:7">
      <c r="A20" s="3">
        <v>14</v>
      </c>
      <c r="B20" s="3">
        <v>9</v>
      </c>
      <c r="C20" s="3">
        <v>20</v>
      </c>
      <c r="D20" s="3">
        <v>1</v>
      </c>
      <c r="E20" s="3">
        <v>-92.981</v>
      </c>
      <c r="F20" s="4" t="str">
        <f>HYPERLINK("http://141.218.60.56/~jnz1568/getInfo.php?workbook=14_09.xlsx&amp;sheet=A0&amp;row=20&amp;col=6&amp;number=2560000&amp;sourceID=14","2560000")</f>
        <v>2560000</v>
      </c>
      <c r="G20" s="4" t="str">
        <f>HYPERLINK("http://141.218.60.56/~jnz1568/getInfo.php?workbook=14_09.xlsx&amp;sheet=A0&amp;row=20&amp;col=7&amp;number=0&amp;sourceID=14","0")</f>
        <v>0</v>
      </c>
    </row>
    <row r="21" spans="1:7">
      <c r="A21" s="3">
        <v>14</v>
      </c>
      <c r="B21" s="3">
        <v>9</v>
      </c>
      <c r="C21" s="3">
        <v>21</v>
      </c>
      <c r="D21" s="3">
        <v>1</v>
      </c>
      <c r="E21" s="3">
        <v>91.427</v>
      </c>
      <c r="F21" s="4" t="str">
        <f>HYPERLINK("http://141.218.60.56/~jnz1568/getInfo.php?workbook=14_09.xlsx&amp;sheet=A0&amp;row=21&amp;col=6&amp;number=82000&amp;sourceID=14","82000")</f>
        <v>82000</v>
      </c>
      <c r="G21" s="4" t="str">
        <f>HYPERLINK("http://141.218.60.56/~jnz1568/getInfo.php?workbook=14_09.xlsx&amp;sheet=A0&amp;row=21&amp;col=7&amp;number=0&amp;sourceID=14","0")</f>
        <v>0</v>
      </c>
    </row>
    <row r="22" spans="1:7">
      <c r="A22" s="3">
        <v>14</v>
      </c>
      <c r="B22" s="3">
        <v>9</v>
      </c>
      <c r="C22" s="3">
        <v>22</v>
      </c>
      <c r="D22" s="3">
        <v>1</v>
      </c>
      <c r="E22" s="3">
        <v>91.363</v>
      </c>
      <c r="F22" s="4" t="str">
        <f>HYPERLINK("http://141.218.60.56/~jnz1568/getInfo.php?workbook=14_09.xlsx&amp;sheet=A0&amp;row=22&amp;col=6&amp;number=880000&amp;sourceID=14","880000")</f>
        <v>880000</v>
      </c>
      <c r="G22" s="4" t="str">
        <f>HYPERLINK("http://141.218.60.56/~jnz1568/getInfo.php?workbook=14_09.xlsx&amp;sheet=A0&amp;row=22&amp;col=7&amp;number=0&amp;sourceID=14","0")</f>
        <v>0</v>
      </c>
    </row>
    <row r="23" spans="1:7">
      <c r="A23" s="3">
        <v>14</v>
      </c>
      <c r="B23" s="3">
        <v>9</v>
      </c>
      <c r="C23" s="3">
        <v>23</v>
      </c>
      <c r="D23" s="3">
        <v>1</v>
      </c>
      <c r="E23" s="3">
        <v>-92.597</v>
      </c>
      <c r="F23" s="4" t="str">
        <f>HYPERLINK("http://141.218.60.56/~jnz1568/getInfo.php?workbook=14_09.xlsx&amp;sheet=A0&amp;row=23&amp;col=6&amp;number=2090000&amp;sourceID=14","2090000")</f>
        <v>2090000</v>
      </c>
      <c r="G23" s="4" t="str">
        <f>HYPERLINK("http://141.218.60.56/~jnz1568/getInfo.php?workbook=14_09.xlsx&amp;sheet=A0&amp;row=23&amp;col=7&amp;number=0&amp;sourceID=14","0")</f>
        <v>0</v>
      </c>
    </row>
    <row r="24" spans="1:7">
      <c r="A24" s="3">
        <v>14</v>
      </c>
      <c r="B24" s="3">
        <v>9</v>
      </c>
      <c r="C24" s="3">
        <v>24</v>
      </c>
      <c r="D24" s="3">
        <v>1</v>
      </c>
      <c r="E24" s="3">
        <v>91.371</v>
      </c>
      <c r="F24" s="4" t="str">
        <f>HYPERLINK("http://141.218.60.56/~jnz1568/getInfo.php?workbook=14_09.xlsx&amp;sheet=A0&amp;row=24&amp;col=6&amp;number=25400000000&amp;sourceID=14","25400000000")</f>
        <v>25400000000</v>
      </c>
      <c r="G24" s="4" t="str">
        <f>HYPERLINK("http://141.218.60.56/~jnz1568/getInfo.php?workbook=14_09.xlsx&amp;sheet=A0&amp;row=24&amp;col=7&amp;number=0&amp;sourceID=14","0")</f>
        <v>0</v>
      </c>
    </row>
    <row r="25" spans="1:7">
      <c r="A25" s="3">
        <v>14</v>
      </c>
      <c r="B25" s="3">
        <v>9</v>
      </c>
      <c r="C25" s="3">
        <v>25</v>
      </c>
      <c r="D25" s="3">
        <v>1</v>
      </c>
      <c r="E25" s="3">
        <v>88.803</v>
      </c>
      <c r="F25" s="4" t="str">
        <f>HYPERLINK("http://141.218.60.56/~jnz1568/getInfo.php?workbook=14_09.xlsx&amp;sheet=A0&amp;row=25&amp;col=6&amp;number=748000&amp;sourceID=14","748000")</f>
        <v>748000</v>
      </c>
      <c r="G25" s="4" t="str">
        <f>HYPERLINK("http://141.218.60.56/~jnz1568/getInfo.php?workbook=14_09.xlsx&amp;sheet=A0&amp;row=25&amp;col=7&amp;number=0&amp;sourceID=14","0")</f>
        <v>0</v>
      </c>
    </row>
    <row r="26" spans="1:7">
      <c r="A26" s="3">
        <v>14</v>
      </c>
      <c r="B26" s="3">
        <v>9</v>
      </c>
      <c r="C26" s="3">
        <v>26</v>
      </c>
      <c r="D26" s="3">
        <v>1</v>
      </c>
      <c r="E26" s="3">
        <v>88.549</v>
      </c>
      <c r="F26" s="4" t="str">
        <f>HYPERLINK("http://141.218.60.56/~jnz1568/getInfo.php?workbook=14_09.xlsx&amp;sheet=A0&amp;row=26&amp;col=6&amp;number=4260000&amp;sourceID=14","4260000")</f>
        <v>4260000</v>
      </c>
      <c r="G26" s="4" t="str">
        <f>HYPERLINK("http://141.218.60.56/~jnz1568/getInfo.php?workbook=14_09.xlsx&amp;sheet=A0&amp;row=26&amp;col=7&amp;number=0&amp;sourceID=14","0")</f>
        <v>0</v>
      </c>
    </row>
    <row r="27" spans="1:7">
      <c r="A27" s="3">
        <v>14</v>
      </c>
      <c r="B27" s="3">
        <v>9</v>
      </c>
      <c r="C27" s="3">
        <v>27</v>
      </c>
      <c r="D27" s="3">
        <v>1</v>
      </c>
      <c r="E27" s="3">
        <v>88.178</v>
      </c>
      <c r="F27" s="4" t="str">
        <f>HYPERLINK("http://141.218.60.56/~jnz1568/getInfo.php?workbook=14_09.xlsx&amp;sheet=A0&amp;row=27&amp;col=6&amp;number=563000&amp;sourceID=14","563000")</f>
        <v>563000</v>
      </c>
      <c r="G27" s="4" t="str">
        <f>HYPERLINK("http://141.218.60.56/~jnz1568/getInfo.php?workbook=14_09.xlsx&amp;sheet=A0&amp;row=27&amp;col=7&amp;number=0&amp;sourceID=14","0")</f>
        <v>0</v>
      </c>
    </row>
    <row r="28" spans="1:7">
      <c r="A28" s="3">
        <v>14</v>
      </c>
      <c r="B28" s="3">
        <v>9</v>
      </c>
      <c r="C28" s="3">
        <v>28</v>
      </c>
      <c r="D28" s="3">
        <v>1</v>
      </c>
      <c r="E28" s="3">
        <v>87.948</v>
      </c>
      <c r="F28" s="4" t="str">
        <f>HYPERLINK("http://141.218.60.56/~jnz1568/getInfo.php?workbook=14_09.xlsx&amp;sheet=A0&amp;row=28&amp;col=6&amp;number=1050000&amp;sourceID=14","1050000")</f>
        <v>1050000</v>
      </c>
      <c r="G28" s="4" t="str">
        <f>HYPERLINK("http://141.218.60.56/~jnz1568/getInfo.php?workbook=14_09.xlsx&amp;sheet=A0&amp;row=28&amp;col=7&amp;number=0&amp;sourceID=14","0")</f>
        <v>0</v>
      </c>
    </row>
    <row r="29" spans="1:7">
      <c r="A29" s="3">
        <v>14</v>
      </c>
      <c r="B29" s="3">
        <v>9</v>
      </c>
      <c r="C29" s="3">
        <v>29</v>
      </c>
      <c r="D29" s="3">
        <v>1</v>
      </c>
      <c r="E29" s="3">
        <v>87.115</v>
      </c>
      <c r="F29" s="4" t="str">
        <f>HYPERLINK("http://141.218.60.56/~jnz1568/getInfo.php?workbook=14_09.xlsx&amp;sheet=A0&amp;row=29&amp;col=6&amp;number=470000&amp;sourceID=14","470000")</f>
        <v>470000</v>
      </c>
      <c r="G29" s="4" t="str">
        <f>HYPERLINK("http://141.218.60.56/~jnz1568/getInfo.php?workbook=14_09.xlsx&amp;sheet=A0&amp;row=29&amp;col=7&amp;number=0&amp;sourceID=14","0")</f>
        <v>0</v>
      </c>
    </row>
    <row r="30" spans="1:7">
      <c r="A30" s="3">
        <v>14</v>
      </c>
      <c r="B30" s="3">
        <v>9</v>
      </c>
      <c r="C30" s="3">
        <v>30</v>
      </c>
      <c r="D30" s="3">
        <v>1</v>
      </c>
      <c r="E30" s="3">
        <v>86.935</v>
      </c>
      <c r="F30" s="4" t="str">
        <f>HYPERLINK("http://141.218.60.56/~jnz1568/getInfo.php?workbook=14_09.xlsx&amp;sheet=A0&amp;row=30&amp;col=6&amp;number=1390000&amp;sourceID=14","1390000")</f>
        <v>1390000</v>
      </c>
      <c r="G30" s="4" t="str">
        <f>HYPERLINK("http://141.218.60.56/~jnz1568/getInfo.php?workbook=14_09.xlsx&amp;sheet=A0&amp;row=30&amp;col=7&amp;number=0&amp;sourceID=14","0")</f>
        <v>0</v>
      </c>
    </row>
    <row r="31" spans="1:7">
      <c r="A31" s="3">
        <v>14</v>
      </c>
      <c r="B31" s="3">
        <v>9</v>
      </c>
      <c r="C31" s="3">
        <v>32</v>
      </c>
      <c r="D31" s="3">
        <v>1</v>
      </c>
      <c r="E31" s="3">
        <v>84.661</v>
      </c>
      <c r="F31" s="4" t="str">
        <f>HYPERLINK("http://141.218.60.56/~jnz1568/getInfo.php?workbook=14_09.xlsx&amp;sheet=A0&amp;row=31&amp;col=6&amp;number=28500000&amp;sourceID=14","28500000")</f>
        <v>28500000</v>
      </c>
      <c r="G31" s="4" t="str">
        <f>HYPERLINK("http://141.218.60.56/~jnz1568/getInfo.php?workbook=14_09.xlsx&amp;sheet=A0&amp;row=31&amp;col=7&amp;number=0&amp;sourceID=14","0")</f>
        <v>0</v>
      </c>
    </row>
    <row r="32" spans="1:7">
      <c r="A32" s="3">
        <v>14</v>
      </c>
      <c r="B32" s="3">
        <v>9</v>
      </c>
      <c r="C32" s="3">
        <v>33</v>
      </c>
      <c r="D32" s="3">
        <v>1</v>
      </c>
      <c r="E32" s="3">
        <v>84.628</v>
      </c>
      <c r="F32" s="4" t="str">
        <f>HYPERLINK("http://141.218.60.56/~jnz1568/getInfo.php?workbook=14_09.xlsx&amp;sheet=A0&amp;row=32&amp;col=6&amp;number=123000000&amp;sourceID=14","123000000")</f>
        <v>123000000</v>
      </c>
      <c r="G32" s="4" t="str">
        <f>HYPERLINK("http://141.218.60.56/~jnz1568/getInfo.php?workbook=14_09.xlsx&amp;sheet=A0&amp;row=32&amp;col=7&amp;number=0&amp;sourceID=14","0")</f>
        <v>0</v>
      </c>
    </row>
    <row r="33" spans="1:7">
      <c r="A33" s="3">
        <v>14</v>
      </c>
      <c r="B33" s="3">
        <v>9</v>
      </c>
      <c r="C33" s="3">
        <v>34</v>
      </c>
      <c r="D33" s="3">
        <v>1</v>
      </c>
      <c r="E33" s="3">
        <v>84.579</v>
      </c>
      <c r="F33" s="4" t="str">
        <f>HYPERLINK("http://141.218.60.56/~jnz1568/getInfo.php?workbook=14_09.xlsx&amp;sheet=A0&amp;row=33&amp;col=6&amp;number=67400000&amp;sourceID=14","67400000")</f>
        <v>67400000</v>
      </c>
      <c r="G33" s="4" t="str">
        <f>HYPERLINK("http://141.218.60.56/~jnz1568/getInfo.php?workbook=14_09.xlsx&amp;sheet=A0&amp;row=33&amp;col=7&amp;number=0&amp;sourceID=14","0")</f>
        <v>0</v>
      </c>
    </row>
    <row r="34" spans="1:7">
      <c r="A34" s="3">
        <v>14</v>
      </c>
      <c r="B34" s="3">
        <v>9</v>
      </c>
      <c r="C34" s="3">
        <v>37</v>
      </c>
      <c r="D34" s="3">
        <v>1</v>
      </c>
      <c r="E34" s="3">
        <v>83.806</v>
      </c>
      <c r="F34" s="4" t="str">
        <f>HYPERLINK("http://141.218.60.56/~jnz1568/getInfo.php?workbook=14_09.xlsx&amp;sheet=A0&amp;row=34&amp;col=6&amp;number=2550000000&amp;sourceID=14","2550000000")</f>
        <v>2550000000</v>
      </c>
      <c r="G34" s="4" t="str">
        <f>HYPERLINK("http://141.218.60.56/~jnz1568/getInfo.php?workbook=14_09.xlsx&amp;sheet=A0&amp;row=34&amp;col=7&amp;number=0&amp;sourceID=14","0")</f>
        <v>0</v>
      </c>
    </row>
    <row r="35" spans="1:7">
      <c r="A35" s="3">
        <v>14</v>
      </c>
      <c r="B35" s="3">
        <v>9</v>
      </c>
      <c r="C35" s="3">
        <v>38</v>
      </c>
      <c r="D35" s="3">
        <v>1</v>
      </c>
      <c r="E35" s="3">
        <v>-84.81</v>
      </c>
      <c r="F35" s="4" t="str">
        <f>HYPERLINK("http://141.218.60.56/~jnz1568/getInfo.php?workbook=14_09.xlsx&amp;sheet=A0&amp;row=35&amp;col=6&amp;number=936000000&amp;sourceID=14","936000000")</f>
        <v>936000000</v>
      </c>
      <c r="G35" s="4" t="str">
        <f>HYPERLINK("http://141.218.60.56/~jnz1568/getInfo.php?workbook=14_09.xlsx&amp;sheet=A0&amp;row=35&amp;col=7&amp;number=0&amp;sourceID=14","0")</f>
        <v>0</v>
      </c>
    </row>
    <row r="36" spans="1:7">
      <c r="A36" s="3">
        <v>14</v>
      </c>
      <c r="B36" s="3">
        <v>9</v>
      </c>
      <c r="C36" s="3">
        <v>39</v>
      </c>
      <c r="D36" s="3">
        <v>1</v>
      </c>
      <c r="E36" s="3">
        <v>83.689</v>
      </c>
      <c r="F36" s="4" t="str">
        <f>HYPERLINK("http://141.218.60.56/~jnz1568/getInfo.php?workbook=14_09.xlsx&amp;sheet=A0&amp;row=36&amp;col=6&amp;number=1270000000&amp;sourceID=14","1270000000")</f>
        <v>1270000000</v>
      </c>
      <c r="G36" s="4" t="str">
        <f>HYPERLINK("http://141.218.60.56/~jnz1568/getInfo.php?workbook=14_09.xlsx&amp;sheet=A0&amp;row=36&amp;col=7&amp;number=0&amp;sourceID=14","0")</f>
        <v>0</v>
      </c>
    </row>
    <row r="37" spans="1:7">
      <c r="A37" s="3">
        <v>14</v>
      </c>
      <c r="B37" s="3">
        <v>9</v>
      </c>
      <c r="C37" s="3">
        <v>40</v>
      </c>
      <c r="D37" s="3">
        <v>1</v>
      </c>
      <c r="E37" s="3">
        <v>83.613</v>
      </c>
      <c r="F37" s="4" t="str">
        <f>HYPERLINK("http://141.218.60.56/~jnz1568/getInfo.php?workbook=14_09.xlsx&amp;sheet=A0&amp;row=37&amp;col=6&amp;number=1780000000&amp;sourceID=14","1780000000")</f>
        <v>1780000000</v>
      </c>
      <c r="G37" s="4" t="str">
        <f>HYPERLINK("http://141.218.60.56/~jnz1568/getInfo.php?workbook=14_09.xlsx&amp;sheet=A0&amp;row=37&amp;col=7&amp;number=0&amp;sourceID=14","0")</f>
        <v>0</v>
      </c>
    </row>
    <row r="38" spans="1:7">
      <c r="A38" s="3">
        <v>14</v>
      </c>
      <c r="B38" s="3">
        <v>9</v>
      </c>
      <c r="C38" s="3">
        <v>42</v>
      </c>
      <c r="D38" s="3">
        <v>1</v>
      </c>
      <c r="E38" s="3">
        <v>83.511</v>
      </c>
      <c r="F38" s="4" t="str">
        <f>HYPERLINK("http://141.218.60.56/~jnz1568/getInfo.php?workbook=14_09.xlsx&amp;sheet=A0&amp;row=38&amp;col=6&amp;number=6680000000&amp;sourceID=14","6680000000")</f>
        <v>6680000000</v>
      </c>
      <c r="G38" s="4" t="str">
        <f>HYPERLINK("http://141.218.60.56/~jnz1568/getInfo.php?workbook=14_09.xlsx&amp;sheet=A0&amp;row=38&amp;col=7&amp;number=0&amp;sourceID=14","0")</f>
        <v>0</v>
      </c>
    </row>
    <row r="39" spans="1:7">
      <c r="A39" s="3">
        <v>14</v>
      </c>
      <c r="B39" s="3">
        <v>9</v>
      </c>
      <c r="C39" s="3">
        <v>43</v>
      </c>
      <c r="D39" s="3">
        <v>1</v>
      </c>
      <c r="E39" s="3">
        <v>83.493</v>
      </c>
      <c r="F39" s="4" t="str">
        <f>HYPERLINK("http://141.218.60.56/~jnz1568/getInfo.php?workbook=14_09.xlsx&amp;sheet=A0&amp;row=39&amp;col=6&amp;number=13200000000&amp;sourceID=14","13200000000")</f>
        <v>13200000000</v>
      </c>
      <c r="G39" s="4" t="str">
        <f>HYPERLINK("http://141.218.60.56/~jnz1568/getInfo.php?workbook=14_09.xlsx&amp;sheet=A0&amp;row=39&amp;col=7&amp;number=0&amp;sourceID=14","0")</f>
        <v>0</v>
      </c>
    </row>
    <row r="40" spans="1:7">
      <c r="A40" s="3">
        <v>14</v>
      </c>
      <c r="B40" s="3">
        <v>9</v>
      </c>
      <c r="C40" s="3">
        <v>44</v>
      </c>
      <c r="D40" s="3">
        <v>1</v>
      </c>
      <c r="E40" s="3">
        <v>-84.314</v>
      </c>
      <c r="F40" s="4" t="str">
        <f>HYPERLINK("http://141.218.60.56/~jnz1568/getInfo.php?workbook=14_09.xlsx&amp;sheet=A0&amp;row=40&amp;col=6&amp;number=921000&amp;sourceID=14","921000")</f>
        <v>921000</v>
      </c>
      <c r="G40" s="4" t="str">
        <f>HYPERLINK("http://141.218.60.56/~jnz1568/getInfo.php?workbook=14_09.xlsx&amp;sheet=A0&amp;row=40&amp;col=7&amp;number=0&amp;sourceID=14","0")</f>
        <v>0</v>
      </c>
    </row>
    <row r="41" spans="1:7">
      <c r="A41" s="3">
        <v>14</v>
      </c>
      <c r="B41" s="3">
        <v>9</v>
      </c>
      <c r="C41" s="3">
        <v>45</v>
      </c>
      <c r="D41" s="3">
        <v>1</v>
      </c>
      <c r="E41" s="3">
        <v>-84.29</v>
      </c>
      <c r="F41" s="4" t="str">
        <f>HYPERLINK("http://141.218.60.56/~jnz1568/getInfo.php?workbook=14_09.xlsx&amp;sheet=A0&amp;row=41&amp;col=6&amp;number=1680000&amp;sourceID=14","1680000")</f>
        <v>1680000</v>
      </c>
      <c r="G41" s="4" t="str">
        <f>HYPERLINK("http://141.218.60.56/~jnz1568/getInfo.php?workbook=14_09.xlsx&amp;sheet=A0&amp;row=41&amp;col=7&amp;number=0&amp;sourceID=14","0")</f>
        <v>0</v>
      </c>
    </row>
    <row r="42" spans="1:7">
      <c r="A42" s="3">
        <v>14</v>
      </c>
      <c r="B42" s="3">
        <v>9</v>
      </c>
      <c r="C42" s="3">
        <v>46</v>
      </c>
      <c r="D42" s="3">
        <v>1</v>
      </c>
      <c r="E42" s="3">
        <v>-84.271</v>
      </c>
      <c r="F42" s="4" t="str">
        <f>HYPERLINK("http://141.218.60.56/~jnz1568/getInfo.php?workbook=14_09.xlsx&amp;sheet=A0&amp;row=42&amp;col=6&amp;number=33300000000&amp;sourceID=14","33300000000")</f>
        <v>33300000000</v>
      </c>
      <c r="G42" s="4" t="str">
        <f>HYPERLINK("http://141.218.60.56/~jnz1568/getInfo.php?workbook=14_09.xlsx&amp;sheet=A0&amp;row=42&amp;col=7&amp;number=0&amp;sourceID=14","0")</f>
        <v>0</v>
      </c>
    </row>
    <row r="43" spans="1:7">
      <c r="A43" s="3">
        <v>14</v>
      </c>
      <c r="B43" s="3">
        <v>9</v>
      </c>
      <c r="C43" s="3">
        <v>47</v>
      </c>
      <c r="D43" s="3">
        <v>1</v>
      </c>
      <c r="E43" s="3">
        <v>-84.218</v>
      </c>
      <c r="F43" s="4" t="str">
        <f>HYPERLINK("http://141.218.60.56/~jnz1568/getInfo.php?workbook=14_09.xlsx&amp;sheet=A0&amp;row=43&amp;col=6&amp;number=115000000000&amp;sourceID=14","115000000000")</f>
        <v>115000000000</v>
      </c>
      <c r="G43" s="4" t="str">
        <f>HYPERLINK("http://141.218.60.56/~jnz1568/getInfo.php?workbook=14_09.xlsx&amp;sheet=A0&amp;row=43&amp;col=7&amp;number=0&amp;sourceID=14","0")</f>
        <v>0</v>
      </c>
    </row>
    <row r="44" spans="1:7">
      <c r="A44" s="3">
        <v>14</v>
      </c>
      <c r="B44" s="3">
        <v>9</v>
      </c>
      <c r="C44" s="3">
        <v>48</v>
      </c>
      <c r="D44" s="3">
        <v>1</v>
      </c>
      <c r="E44" s="3">
        <v>-84.074</v>
      </c>
      <c r="F44" s="4" t="str">
        <f>HYPERLINK("http://141.218.60.56/~jnz1568/getInfo.php?workbook=14_09.xlsx&amp;sheet=A0&amp;row=44&amp;col=6&amp;number=271000000000&amp;sourceID=14","271000000000")</f>
        <v>271000000000</v>
      </c>
      <c r="G44" s="4" t="str">
        <f>HYPERLINK("http://141.218.60.56/~jnz1568/getInfo.php?workbook=14_09.xlsx&amp;sheet=A0&amp;row=44&amp;col=7&amp;number=0&amp;sourceID=14","0")</f>
        <v>0</v>
      </c>
    </row>
    <row r="45" spans="1:7">
      <c r="A45" s="3">
        <v>14</v>
      </c>
      <c r="B45" s="3">
        <v>9</v>
      </c>
      <c r="C45" s="3">
        <v>49</v>
      </c>
      <c r="D45" s="3">
        <v>1</v>
      </c>
      <c r="E45" s="3">
        <v>-83.972</v>
      </c>
      <c r="F45" s="4" t="str">
        <f>HYPERLINK("http://141.218.60.56/~jnz1568/getInfo.php?workbook=14_09.xlsx&amp;sheet=A0&amp;row=45&amp;col=6&amp;number=15100000000&amp;sourceID=14","15100000000")</f>
        <v>15100000000</v>
      </c>
      <c r="G45" s="4" t="str">
        <f>HYPERLINK("http://141.218.60.56/~jnz1568/getInfo.php?workbook=14_09.xlsx&amp;sheet=A0&amp;row=45&amp;col=7&amp;number=0&amp;sourceID=14","0")</f>
        <v>0</v>
      </c>
    </row>
    <row r="46" spans="1:7">
      <c r="A46" s="3">
        <v>14</v>
      </c>
      <c r="B46" s="3">
        <v>9</v>
      </c>
      <c r="C46" s="3">
        <v>52</v>
      </c>
      <c r="D46" s="3">
        <v>1</v>
      </c>
      <c r="E46" s="3">
        <v>-81.501</v>
      </c>
      <c r="F46" s="4" t="str">
        <f>HYPERLINK("http://141.218.60.56/~jnz1568/getInfo.php?workbook=14_09.xlsx&amp;sheet=A0&amp;row=46&amp;col=6&amp;number=321000000000&amp;sourceID=14","321000000000")</f>
        <v>321000000000</v>
      </c>
      <c r="G46" s="4" t="str">
        <f>HYPERLINK("http://141.218.60.56/~jnz1568/getInfo.php?workbook=14_09.xlsx&amp;sheet=A0&amp;row=46&amp;col=7&amp;number=0&amp;sourceID=14","0")</f>
        <v>0</v>
      </c>
    </row>
    <row r="47" spans="1:7">
      <c r="A47" s="3">
        <v>14</v>
      </c>
      <c r="B47" s="3">
        <v>9</v>
      </c>
      <c r="C47" s="3">
        <v>53</v>
      </c>
      <c r="D47" s="3">
        <v>1</v>
      </c>
      <c r="E47" s="3">
        <v>-81.421</v>
      </c>
      <c r="F47" s="4" t="str">
        <f>HYPERLINK("http://141.218.60.56/~jnz1568/getInfo.php?workbook=14_09.xlsx&amp;sheet=A0&amp;row=47&amp;col=6&amp;number=325000000000&amp;sourceID=14","325000000000")</f>
        <v>325000000000</v>
      </c>
      <c r="G47" s="4" t="str">
        <f>HYPERLINK("http://141.218.60.56/~jnz1568/getInfo.php?workbook=14_09.xlsx&amp;sheet=A0&amp;row=47&amp;col=7&amp;number=0&amp;sourceID=14","0")</f>
        <v>0</v>
      </c>
    </row>
    <row r="48" spans="1:7">
      <c r="A48" s="3">
        <v>14</v>
      </c>
      <c r="B48" s="3">
        <v>9</v>
      </c>
      <c r="C48" s="3">
        <v>54</v>
      </c>
      <c r="D48" s="3">
        <v>1</v>
      </c>
      <c r="E48" s="3">
        <v>-81.345</v>
      </c>
      <c r="F48" s="4" t="str">
        <f>HYPERLINK("http://141.218.60.56/~jnz1568/getInfo.php?workbook=14_09.xlsx&amp;sheet=A0&amp;row=48&amp;col=6&amp;number=14800000000&amp;sourceID=14","14800000000")</f>
        <v>14800000000</v>
      </c>
      <c r="G48" s="4" t="str">
        <f>HYPERLINK("http://141.218.60.56/~jnz1568/getInfo.php?workbook=14_09.xlsx&amp;sheet=A0&amp;row=48&amp;col=7&amp;number=0&amp;sourceID=14","0")</f>
        <v>0</v>
      </c>
    </row>
    <row r="49" spans="1:7">
      <c r="A49" s="3">
        <v>14</v>
      </c>
      <c r="B49" s="3">
        <v>9</v>
      </c>
      <c r="C49" s="3">
        <v>55</v>
      </c>
      <c r="D49" s="3">
        <v>1</v>
      </c>
      <c r="E49" s="3">
        <v>-81.321</v>
      </c>
      <c r="F49" s="4" t="str">
        <f>HYPERLINK("http://141.218.60.56/~jnz1568/getInfo.php?workbook=14_09.xlsx&amp;sheet=A0&amp;row=49&amp;col=6&amp;number=67200000000&amp;sourceID=14","67200000000")</f>
        <v>67200000000</v>
      </c>
      <c r="G49" s="4" t="str">
        <f>HYPERLINK("http://141.218.60.56/~jnz1568/getInfo.php?workbook=14_09.xlsx&amp;sheet=A0&amp;row=49&amp;col=7&amp;number=0&amp;sourceID=14","0")</f>
        <v>0</v>
      </c>
    </row>
    <row r="50" spans="1:7">
      <c r="A50" s="3">
        <v>14</v>
      </c>
      <c r="B50" s="3">
        <v>9</v>
      </c>
      <c r="C50" s="3">
        <v>57</v>
      </c>
      <c r="D50" s="3">
        <v>1</v>
      </c>
      <c r="E50" s="3">
        <v>-81.244</v>
      </c>
      <c r="F50" s="4" t="str">
        <f>HYPERLINK("http://141.218.60.56/~jnz1568/getInfo.php?workbook=14_09.xlsx&amp;sheet=A0&amp;row=50&amp;col=6&amp;number=218000000000&amp;sourceID=14","218000000000")</f>
        <v>218000000000</v>
      </c>
      <c r="G50" s="4" t="str">
        <f>HYPERLINK("http://141.218.60.56/~jnz1568/getInfo.php?workbook=14_09.xlsx&amp;sheet=A0&amp;row=50&amp;col=7&amp;number=0&amp;sourceID=14","0")</f>
        <v>0</v>
      </c>
    </row>
    <row r="51" spans="1:7">
      <c r="A51" s="3">
        <v>14</v>
      </c>
      <c r="B51" s="3">
        <v>9</v>
      </c>
      <c r="C51" s="3">
        <v>58</v>
      </c>
      <c r="D51" s="3">
        <v>1</v>
      </c>
      <c r="E51" s="3">
        <v>-81.169</v>
      </c>
      <c r="F51" s="4" t="str">
        <f>HYPERLINK("http://141.218.60.56/~jnz1568/getInfo.php?workbook=14_09.xlsx&amp;sheet=A0&amp;row=51&amp;col=6&amp;number=40900000000&amp;sourceID=14","40900000000")</f>
        <v>40900000000</v>
      </c>
      <c r="G51" s="4" t="str">
        <f>HYPERLINK("http://141.218.60.56/~jnz1568/getInfo.php?workbook=14_09.xlsx&amp;sheet=A0&amp;row=51&amp;col=7&amp;number=0&amp;sourceID=14","0")</f>
        <v>0</v>
      </c>
    </row>
    <row r="52" spans="1:7">
      <c r="A52" s="3">
        <v>14</v>
      </c>
      <c r="B52" s="3">
        <v>9</v>
      </c>
      <c r="C52" s="3">
        <v>59</v>
      </c>
      <c r="D52" s="3">
        <v>1</v>
      </c>
      <c r="E52" s="3">
        <v>-77.239</v>
      </c>
      <c r="F52" s="4" t="str">
        <f>HYPERLINK("http://141.218.60.56/~jnz1568/getInfo.php?workbook=14_09.xlsx&amp;sheet=A0&amp;row=52&amp;col=6&amp;number=61200000000&amp;sourceID=14","61200000000")</f>
        <v>61200000000</v>
      </c>
      <c r="G52" s="4" t="str">
        <f>HYPERLINK("http://141.218.60.56/~jnz1568/getInfo.php?workbook=14_09.xlsx&amp;sheet=A0&amp;row=52&amp;col=7&amp;number=0&amp;sourceID=14","0")</f>
        <v>0</v>
      </c>
    </row>
    <row r="53" spans="1:7">
      <c r="A53" s="3">
        <v>14</v>
      </c>
      <c r="B53" s="3">
        <v>9</v>
      </c>
      <c r="C53" s="3">
        <v>60</v>
      </c>
      <c r="D53" s="3">
        <v>1</v>
      </c>
      <c r="E53" s="3">
        <v>-77.225</v>
      </c>
      <c r="F53" s="4" t="str">
        <f>HYPERLINK("http://141.218.60.56/~jnz1568/getInfo.php?workbook=14_09.xlsx&amp;sheet=A0&amp;row=53&amp;col=6&amp;number=9570000000&amp;sourceID=14","9570000000")</f>
        <v>9570000000</v>
      </c>
      <c r="G53" s="4" t="str">
        <f>HYPERLINK("http://141.218.60.56/~jnz1568/getInfo.php?workbook=14_09.xlsx&amp;sheet=A0&amp;row=53&amp;col=7&amp;number=0&amp;sourceID=14","0")</f>
        <v>0</v>
      </c>
    </row>
    <row r="54" spans="1:7">
      <c r="A54" s="3">
        <v>14</v>
      </c>
      <c r="B54" s="3">
        <v>9</v>
      </c>
      <c r="C54" s="3">
        <v>61</v>
      </c>
      <c r="D54" s="3">
        <v>1</v>
      </c>
      <c r="E54" s="3">
        <v>-76.494</v>
      </c>
      <c r="F54" s="4" t="str">
        <f>HYPERLINK("http://141.218.60.56/~jnz1568/getInfo.php?workbook=14_09.xlsx&amp;sheet=A0&amp;row=54&amp;col=6&amp;number=18400000&amp;sourceID=14","18400000")</f>
        <v>18400000</v>
      </c>
      <c r="G54" s="4" t="str">
        <f>HYPERLINK("http://141.218.60.56/~jnz1568/getInfo.php?workbook=14_09.xlsx&amp;sheet=A0&amp;row=54&amp;col=7&amp;number=0&amp;sourceID=14","0")</f>
        <v>0</v>
      </c>
    </row>
    <row r="55" spans="1:7">
      <c r="A55" s="3">
        <v>14</v>
      </c>
      <c r="B55" s="3">
        <v>9</v>
      </c>
      <c r="C55" s="3">
        <v>62</v>
      </c>
      <c r="D55" s="3">
        <v>1</v>
      </c>
      <c r="E55" s="3">
        <v>-76.346</v>
      </c>
      <c r="F55" s="4" t="str">
        <f>HYPERLINK("http://141.218.60.56/~jnz1568/getInfo.php?workbook=14_09.xlsx&amp;sheet=A0&amp;row=55&amp;col=6&amp;number=6360000000&amp;sourceID=14","6360000000")</f>
        <v>6360000000</v>
      </c>
      <c r="G55" s="4" t="str">
        <f>HYPERLINK("http://141.218.60.56/~jnz1568/getInfo.php?workbook=14_09.xlsx&amp;sheet=A0&amp;row=55&amp;col=7&amp;number=0&amp;sourceID=14","0")</f>
        <v>0</v>
      </c>
    </row>
    <row r="56" spans="1:7">
      <c r="A56" s="3">
        <v>14</v>
      </c>
      <c r="B56" s="3">
        <v>9</v>
      </c>
      <c r="C56" s="3">
        <v>63</v>
      </c>
      <c r="D56" s="3">
        <v>1</v>
      </c>
      <c r="E56" s="3">
        <v>-76.211</v>
      </c>
      <c r="F56" s="4" t="str">
        <f>HYPERLINK("http://141.218.60.56/~jnz1568/getInfo.php?workbook=14_09.xlsx&amp;sheet=A0&amp;row=56&amp;col=6&amp;number=257000000&amp;sourceID=14","257000000")</f>
        <v>257000000</v>
      </c>
      <c r="G56" s="4" t="str">
        <f>HYPERLINK("http://141.218.60.56/~jnz1568/getInfo.php?workbook=14_09.xlsx&amp;sheet=A0&amp;row=56&amp;col=7&amp;number=0&amp;sourceID=14","0")</f>
        <v>0</v>
      </c>
    </row>
    <row r="57" spans="1:7">
      <c r="A57" s="3">
        <v>14</v>
      </c>
      <c r="B57" s="3">
        <v>9</v>
      </c>
      <c r="C57" s="3">
        <v>64</v>
      </c>
      <c r="D57" s="3">
        <v>1</v>
      </c>
      <c r="E57" s="3">
        <v>-76.132</v>
      </c>
      <c r="F57" s="4" t="str">
        <f>HYPERLINK("http://141.218.60.56/~jnz1568/getInfo.php?workbook=14_09.xlsx&amp;sheet=A0&amp;row=57&amp;col=6&amp;number=26500000000&amp;sourceID=14","26500000000")</f>
        <v>26500000000</v>
      </c>
      <c r="G57" s="4" t="str">
        <f>HYPERLINK("http://141.218.60.56/~jnz1568/getInfo.php?workbook=14_09.xlsx&amp;sheet=A0&amp;row=57&amp;col=7&amp;number=0&amp;sourceID=14","0")</f>
        <v>0</v>
      </c>
    </row>
    <row r="58" spans="1:7">
      <c r="A58" s="3">
        <v>14</v>
      </c>
      <c r="B58" s="3">
        <v>9</v>
      </c>
      <c r="C58" s="3">
        <v>65</v>
      </c>
      <c r="D58" s="3">
        <v>1</v>
      </c>
      <c r="E58" s="3">
        <v>-75.945</v>
      </c>
      <c r="F58" s="4" t="str">
        <f>HYPERLINK("http://141.218.60.56/~jnz1568/getInfo.php?workbook=14_09.xlsx&amp;sheet=A0&amp;row=58&amp;col=6&amp;number=13200000000&amp;sourceID=14","13200000000")</f>
        <v>13200000000</v>
      </c>
      <c r="G58" s="4" t="str">
        <f>HYPERLINK("http://141.218.60.56/~jnz1568/getInfo.php?workbook=14_09.xlsx&amp;sheet=A0&amp;row=58&amp;col=7&amp;number=0&amp;sourceID=14","0")</f>
        <v>0</v>
      </c>
    </row>
    <row r="59" spans="1:7">
      <c r="A59" s="3">
        <v>14</v>
      </c>
      <c r="B59" s="3">
        <v>9</v>
      </c>
      <c r="C59" s="3">
        <v>70</v>
      </c>
      <c r="D59" s="3">
        <v>1</v>
      </c>
      <c r="E59" s="3">
        <v>-74.554</v>
      </c>
      <c r="F59" s="4" t="str">
        <f>HYPERLINK("http://141.218.60.56/~jnz1568/getInfo.php?workbook=14_09.xlsx&amp;sheet=A0&amp;row=59&amp;col=6&amp;number=3920000&amp;sourceID=14","3920000")</f>
        <v>3920000</v>
      </c>
      <c r="G59" s="4" t="str">
        <f>HYPERLINK("http://141.218.60.56/~jnz1568/getInfo.php?workbook=14_09.xlsx&amp;sheet=A0&amp;row=59&amp;col=7&amp;number=0&amp;sourceID=14","0")</f>
        <v>0</v>
      </c>
    </row>
    <row r="60" spans="1:7">
      <c r="A60" s="3">
        <v>14</v>
      </c>
      <c r="B60" s="3">
        <v>9</v>
      </c>
      <c r="C60" s="3">
        <v>71</v>
      </c>
      <c r="D60" s="3">
        <v>1</v>
      </c>
      <c r="E60" s="3">
        <v>-74.439</v>
      </c>
      <c r="F60" s="4" t="str">
        <f>HYPERLINK("http://141.218.60.56/~jnz1568/getInfo.php?workbook=14_09.xlsx&amp;sheet=A0&amp;row=60&amp;col=6&amp;number=1110000&amp;sourceID=14","1110000")</f>
        <v>1110000</v>
      </c>
      <c r="G60" s="4" t="str">
        <f>HYPERLINK("http://141.218.60.56/~jnz1568/getInfo.php?workbook=14_09.xlsx&amp;sheet=A0&amp;row=60&amp;col=7&amp;number=0&amp;sourceID=14","0")</f>
        <v>0</v>
      </c>
    </row>
    <row r="61" spans="1:7">
      <c r="A61" s="3">
        <v>14</v>
      </c>
      <c r="B61" s="3">
        <v>9</v>
      </c>
      <c r="C61" s="3">
        <v>72</v>
      </c>
      <c r="D61" s="3">
        <v>1</v>
      </c>
      <c r="E61" s="3">
        <v>-74.396</v>
      </c>
      <c r="F61" s="4" t="str">
        <f>HYPERLINK("http://141.218.60.56/~jnz1568/getInfo.php?workbook=14_09.xlsx&amp;sheet=A0&amp;row=61&amp;col=6&amp;number=5830000&amp;sourceID=14","5830000")</f>
        <v>5830000</v>
      </c>
      <c r="G61" s="4" t="str">
        <f>HYPERLINK("http://141.218.60.56/~jnz1568/getInfo.php?workbook=14_09.xlsx&amp;sheet=A0&amp;row=61&amp;col=7&amp;number=0&amp;sourceID=14","0")</f>
        <v>0</v>
      </c>
    </row>
    <row r="62" spans="1:7">
      <c r="A62" s="3">
        <v>14</v>
      </c>
      <c r="B62" s="3">
        <v>9</v>
      </c>
      <c r="C62" s="3">
        <v>74</v>
      </c>
      <c r="D62" s="3">
        <v>1</v>
      </c>
      <c r="E62" s="3">
        <v>-74.31</v>
      </c>
      <c r="F62" s="4" t="str">
        <f>HYPERLINK("http://141.218.60.56/~jnz1568/getInfo.php?workbook=14_09.xlsx&amp;sheet=A0&amp;row=62&amp;col=6&amp;number=339000&amp;sourceID=14","339000")</f>
        <v>339000</v>
      </c>
      <c r="G62" s="4" t="str">
        <f>HYPERLINK("http://141.218.60.56/~jnz1568/getInfo.php?workbook=14_09.xlsx&amp;sheet=A0&amp;row=62&amp;col=7&amp;number=0&amp;sourceID=14","0")</f>
        <v>0</v>
      </c>
    </row>
    <row r="63" spans="1:7">
      <c r="A63" s="3">
        <v>14</v>
      </c>
      <c r="B63" s="3">
        <v>9</v>
      </c>
      <c r="C63" s="3">
        <v>75</v>
      </c>
      <c r="D63" s="3">
        <v>1</v>
      </c>
      <c r="E63" s="3">
        <v>-74.279</v>
      </c>
      <c r="F63" s="4" t="str">
        <f>HYPERLINK("http://141.218.60.56/~jnz1568/getInfo.php?workbook=14_09.xlsx&amp;sheet=A0&amp;row=63&amp;col=6&amp;number=475000&amp;sourceID=14","475000")</f>
        <v>475000</v>
      </c>
      <c r="G63" s="4" t="str">
        <f>HYPERLINK("http://141.218.60.56/~jnz1568/getInfo.php?workbook=14_09.xlsx&amp;sheet=A0&amp;row=63&amp;col=7&amp;number=0&amp;sourceID=14","0")</f>
        <v>0</v>
      </c>
    </row>
    <row r="64" spans="1:7">
      <c r="A64" s="3">
        <v>14</v>
      </c>
      <c r="B64" s="3">
        <v>9</v>
      </c>
      <c r="C64" s="3">
        <v>76</v>
      </c>
      <c r="D64" s="3">
        <v>1</v>
      </c>
      <c r="E64" s="3">
        <v>-74.263</v>
      </c>
      <c r="F64" s="4" t="str">
        <f>HYPERLINK("http://141.218.60.56/~jnz1568/getInfo.php?workbook=14_09.xlsx&amp;sheet=A0&amp;row=64&amp;col=6&amp;number=6340000&amp;sourceID=14","6340000")</f>
        <v>6340000</v>
      </c>
      <c r="G64" s="4" t="str">
        <f>HYPERLINK("http://141.218.60.56/~jnz1568/getInfo.php?workbook=14_09.xlsx&amp;sheet=A0&amp;row=64&amp;col=7&amp;number=0&amp;sourceID=14","0")</f>
        <v>0</v>
      </c>
    </row>
    <row r="65" spans="1:7">
      <c r="A65" s="3">
        <v>14</v>
      </c>
      <c r="B65" s="3">
        <v>9</v>
      </c>
      <c r="C65" s="3">
        <v>77</v>
      </c>
      <c r="D65" s="3">
        <v>1</v>
      </c>
      <c r="E65" s="3">
        <v>-73.873</v>
      </c>
      <c r="F65" s="4" t="str">
        <f>HYPERLINK("http://141.218.60.56/~jnz1568/getInfo.php?workbook=14_09.xlsx&amp;sheet=A0&amp;row=65&amp;col=6&amp;number=2250000&amp;sourceID=14","2250000")</f>
        <v>2250000</v>
      </c>
      <c r="G65" s="4" t="str">
        <f>HYPERLINK("http://141.218.60.56/~jnz1568/getInfo.php?workbook=14_09.xlsx&amp;sheet=A0&amp;row=65&amp;col=7&amp;number=0&amp;sourceID=14","0")</f>
        <v>0</v>
      </c>
    </row>
    <row r="66" spans="1:7">
      <c r="A66" s="3">
        <v>14</v>
      </c>
      <c r="B66" s="3">
        <v>9</v>
      </c>
      <c r="C66" s="3">
        <v>78</v>
      </c>
      <c r="D66" s="3">
        <v>1</v>
      </c>
      <c r="E66" s="3">
        <v>-73.826</v>
      </c>
      <c r="F66" s="4" t="str">
        <f>HYPERLINK("http://141.218.60.56/~jnz1568/getInfo.php?workbook=14_09.xlsx&amp;sheet=A0&amp;row=66&amp;col=6&amp;number=6980000&amp;sourceID=14","6980000")</f>
        <v>6980000</v>
      </c>
      <c r="G66" s="4" t="str">
        <f>HYPERLINK("http://141.218.60.56/~jnz1568/getInfo.php?workbook=14_09.xlsx&amp;sheet=A0&amp;row=66&amp;col=7&amp;number=0&amp;sourceID=14","0")</f>
        <v>0</v>
      </c>
    </row>
    <row r="67" spans="1:7">
      <c r="A67" s="3">
        <v>14</v>
      </c>
      <c r="B67" s="3">
        <v>9</v>
      </c>
      <c r="C67" s="3">
        <v>79</v>
      </c>
      <c r="D67" s="3">
        <v>1</v>
      </c>
      <c r="E67" s="3">
        <v>-73.682</v>
      </c>
      <c r="F67" s="4" t="str">
        <f>HYPERLINK("http://141.218.60.56/~jnz1568/getInfo.php?workbook=14_09.xlsx&amp;sheet=A0&amp;row=67&amp;col=6&amp;number=10800000000&amp;sourceID=14","10800000000")</f>
        <v>10800000000</v>
      </c>
      <c r="G67" s="4" t="str">
        <f>HYPERLINK("http://141.218.60.56/~jnz1568/getInfo.php?workbook=14_09.xlsx&amp;sheet=A0&amp;row=67&amp;col=7&amp;number=0&amp;sourceID=14","0")</f>
        <v>0</v>
      </c>
    </row>
    <row r="68" spans="1:7">
      <c r="A68" s="3">
        <v>14</v>
      </c>
      <c r="B68" s="3">
        <v>9</v>
      </c>
      <c r="C68" s="3">
        <v>80</v>
      </c>
      <c r="D68" s="3">
        <v>1</v>
      </c>
      <c r="E68" s="3">
        <v>-73.681</v>
      </c>
      <c r="F68" s="4" t="str">
        <f>HYPERLINK("http://141.218.60.56/~jnz1568/getInfo.php?workbook=14_09.xlsx&amp;sheet=A0&amp;row=68&amp;col=6&amp;number=988000000&amp;sourceID=14","988000000")</f>
        <v>988000000</v>
      </c>
      <c r="G68" s="4" t="str">
        <f>HYPERLINK("http://141.218.60.56/~jnz1568/getInfo.php?workbook=14_09.xlsx&amp;sheet=A0&amp;row=68&amp;col=7&amp;number=0&amp;sourceID=14","0")</f>
        <v>0</v>
      </c>
    </row>
    <row r="69" spans="1:7">
      <c r="A69" s="3">
        <v>14</v>
      </c>
      <c r="B69" s="3">
        <v>9</v>
      </c>
      <c r="C69" s="3">
        <v>87</v>
      </c>
      <c r="D69" s="3">
        <v>1</v>
      </c>
      <c r="E69" s="3">
        <v>-72.606</v>
      </c>
      <c r="F69" s="4" t="str">
        <f>HYPERLINK("http://141.218.60.56/~jnz1568/getInfo.php?workbook=14_09.xlsx&amp;sheet=A0&amp;row=69&amp;col=6&amp;number=105000000&amp;sourceID=14","105000000")</f>
        <v>105000000</v>
      </c>
      <c r="G69" s="4" t="str">
        <f>HYPERLINK("http://141.218.60.56/~jnz1568/getInfo.php?workbook=14_09.xlsx&amp;sheet=A0&amp;row=69&amp;col=7&amp;number=0&amp;sourceID=14","0")</f>
        <v>0</v>
      </c>
    </row>
    <row r="70" spans="1:7">
      <c r="A70" s="3">
        <v>14</v>
      </c>
      <c r="B70" s="3">
        <v>9</v>
      </c>
      <c r="C70" s="3">
        <v>88</v>
      </c>
      <c r="D70" s="3">
        <v>1</v>
      </c>
      <c r="E70" s="3">
        <v>-72.575</v>
      </c>
      <c r="F70" s="4" t="str">
        <f>HYPERLINK("http://141.218.60.56/~jnz1568/getInfo.php?workbook=14_09.xlsx&amp;sheet=A0&amp;row=70&amp;col=6&amp;number=683000000&amp;sourceID=14","683000000")</f>
        <v>683000000</v>
      </c>
      <c r="G70" s="4" t="str">
        <f>HYPERLINK("http://141.218.60.56/~jnz1568/getInfo.php?workbook=14_09.xlsx&amp;sheet=A0&amp;row=70&amp;col=7&amp;number=0&amp;sourceID=14","0")</f>
        <v>0</v>
      </c>
    </row>
    <row r="71" spans="1:7">
      <c r="A71" s="3">
        <v>14</v>
      </c>
      <c r="B71" s="3">
        <v>9</v>
      </c>
      <c r="C71" s="3">
        <v>89</v>
      </c>
      <c r="D71" s="3">
        <v>1</v>
      </c>
      <c r="E71" s="3">
        <v>-72.536</v>
      </c>
      <c r="F71" s="4" t="str">
        <f>HYPERLINK("http://141.218.60.56/~jnz1568/getInfo.php?workbook=14_09.xlsx&amp;sheet=A0&amp;row=71&amp;col=6&amp;number=530000000&amp;sourceID=14","530000000")</f>
        <v>530000000</v>
      </c>
      <c r="G71" s="4" t="str">
        <f>HYPERLINK("http://141.218.60.56/~jnz1568/getInfo.php?workbook=14_09.xlsx&amp;sheet=A0&amp;row=71&amp;col=7&amp;number=0&amp;sourceID=14","0")</f>
        <v>0</v>
      </c>
    </row>
    <row r="72" spans="1:7">
      <c r="A72" s="3">
        <v>14</v>
      </c>
      <c r="B72" s="3">
        <v>9</v>
      </c>
      <c r="C72" s="3">
        <v>92</v>
      </c>
      <c r="D72" s="3">
        <v>1</v>
      </c>
      <c r="E72" s="3">
        <v>-72.373</v>
      </c>
      <c r="F72" s="4" t="str">
        <f>HYPERLINK("http://141.218.60.56/~jnz1568/getInfo.php?workbook=14_09.xlsx&amp;sheet=A0&amp;row=72&amp;col=6&amp;number=2700000000&amp;sourceID=14","2700000000")</f>
        <v>2700000000</v>
      </c>
      <c r="G72" s="4" t="str">
        <f>HYPERLINK("http://141.218.60.56/~jnz1568/getInfo.php?workbook=14_09.xlsx&amp;sheet=A0&amp;row=72&amp;col=7&amp;number=0&amp;sourceID=14","0")</f>
        <v>0</v>
      </c>
    </row>
    <row r="73" spans="1:7">
      <c r="A73" s="3">
        <v>14</v>
      </c>
      <c r="B73" s="3">
        <v>9</v>
      </c>
      <c r="C73" s="3">
        <v>93</v>
      </c>
      <c r="D73" s="3">
        <v>1</v>
      </c>
      <c r="E73" s="3">
        <v>-72.329</v>
      </c>
      <c r="F73" s="4" t="str">
        <f>HYPERLINK("http://141.218.60.56/~jnz1568/getInfo.php?workbook=14_09.xlsx&amp;sheet=A0&amp;row=73&amp;col=6&amp;number=17000000000&amp;sourceID=14","17000000000")</f>
        <v>17000000000</v>
      </c>
      <c r="G73" s="4" t="str">
        <f>HYPERLINK("http://141.218.60.56/~jnz1568/getInfo.php?workbook=14_09.xlsx&amp;sheet=A0&amp;row=73&amp;col=7&amp;number=0&amp;sourceID=14","0")</f>
        <v>0</v>
      </c>
    </row>
    <row r="74" spans="1:7">
      <c r="A74" s="3">
        <v>14</v>
      </c>
      <c r="B74" s="3">
        <v>9</v>
      </c>
      <c r="C74" s="3">
        <v>94</v>
      </c>
      <c r="D74" s="3">
        <v>1</v>
      </c>
      <c r="E74" s="3">
        <v>-72.317</v>
      </c>
      <c r="F74" s="4" t="str">
        <f>HYPERLINK("http://141.218.60.56/~jnz1568/getInfo.php?workbook=14_09.xlsx&amp;sheet=A0&amp;row=74&amp;col=6&amp;number=10600000000&amp;sourceID=14","10600000000")</f>
        <v>10600000000</v>
      </c>
      <c r="G74" s="4" t="str">
        <f>HYPERLINK("http://141.218.60.56/~jnz1568/getInfo.php?workbook=14_09.xlsx&amp;sheet=A0&amp;row=74&amp;col=7&amp;number=0&amp;sourceID=14","0")</f>
        <v>0</v>
      </c>
    </row>
    <row r="75" spans="1:7">
      <c r="A75" s="3">
        <v>14</v>
      </c>
      <c r="B75" s="3">
        <v>9</v>
      </c>
      <c r="C75" s="3">
        <v>96</v>
      </c>
      <c r="D75" s="3">
        <v>1</v>
      </c>
      <c r="E75" s="3">
        <v>-72.248</v>
      </c>
      <c r="F75" s="4" t="str">
        <f>HYPERLINK("http://141.218.60.56/~jnz1568/getInfo.php?workbook=14_09.xlsx&amp;sheet=A0&amp;row=75&amp;col=6&amp;number=232000000&amp;sourceID=14","232000000")</f>
        <v>232000000</v>
      </c>
      <c r="G75" s="4" t="str">
        <f>HYPERLINK("http://141.218.60.56/~jnz1568/getInfo.php?workbook=14_09.xlsx&amp;sheet=A0&amp;row=75&amp;col=7&amp;number=0&amp;sourceID=14","0")</f>
        <v>0</v>
      </c>
    </row>
    <row r="76" spans="1:7">
      <c r="A76" s="3">
        <v>14</v>
      </c>
      <c r="B76" s="3">
        <v>9</v>
      </c>
      <c r="C76" s="3">
        <v>97</v>
      </c>
      <c r="D76" s="3">
        <v>1</v>
      </c>
      <c r="E76" s="3">
        <v>-72.224</v>
      </c>
      <c r="F76" s="4" t="str">
        <f>HYPERLINK("http://141.218.60.56/~jnz1568/getInfo.php?workbook=14_09.xlsx&amp;sheet=A0&amp;row=76&amp;col=6&amp;number=7800000000&amp;sourceID=14","7800000000")</f>
        <v>7800000000</v>
      </c>
      <c r="G76" s="4" t="str">
        <f>HYPERLINK("http://141.218.60.56/~jnz1568/getInfo.php?workbook=14_09.xlsx&amp;sheet=A0&amp;row=76&amp;col=7&amp;number=0&amp;sourceID=14","0")</f>
        <v>0</v>
      </c>
    </row>
    <row r="77" spans="1:7">
      <c r="A77" s="3">
        <v>14</v>
      </c>
      <c r="B77" s="3">
        <v>9</v>
      </c>
      <c r="C77" s="3">
        <v>98</v>
      </c>
      <c r="D77" s="3">
        <v>1</v>
      </c>
      <c r="E77" s="3">
        <v>-72.181</v>
      </c>
      <c r="F77" s="4" t="str">
        <f>HYPERLINK("http://141.218.60.56/~jnz1568/getInfo.php?workbook=14_09.xlsx&amp;sheet=A0&amp;row=77&amp;col=6&amp;number=19800000000&amp;sourceID=14","19800000000")</f>
        <v>19800000000</v>
      </c>
      <c r="G77" s="4" t="str">
        <f>HYPERLINK("http://141.218.60.56/~jnz1568/getInfo.php?workbook=14_09.xlsx&amp;sheet=A0&amp;row=77&amp;col=7&amp;number=0&amp;sourceID=14","0")</f>
        <v>0</v>
      </c>
    </row>
    <row r="78" spans="1:7">
      <c r="A78" s="3">
        <v>14</v>
      </c>
      <c r="B78" s="3">
        <v>9</v>
      </c>
      <c r="C78" s="3">
        <v>99</v>
      </c>
      <c r="D78" s="3">
        <v>1</v>
      </c>
      <c r="E78" s="3">
        <v>-72.103</v>
      </c>
      <c r="F78" s="4" t="str">
        <f>HYPERLINK("http://141.218.60.56/~jnz1568/getInfo.php?workbook=14_09.xlsx&amp;sheet=A0&amp;row=78&amp;col=6&amp;number=42400000000&amp;sourceID=14","42400000000")</f>
        <v>42400000000</v>
      </c>
      <c r="G78" s="4" t="str">
        <f>HYPERLINK("http://141.218.60.56/~jnz1568/getInfo.php?workbook=14_09.xlsx&amp;sheet=A0&amp;row=78&amp;col=7&amp;number=0&amp;sourceID=14","0")</f>
        <v>0</v>
      </c>
    </row>
    <row r="79" spans="1:7">
      <c r="A79" s="3">
        <v>14</v>
      </c>
      <c r="B79" s="3">
        <v>9</v>
      </c>
      <c r="C79" s="3">
        <v>100</v>
      </c>
      <c r="D79" s="3">
        <v>1</v>
      </c>
      <c r="E79" s="3">
        <v>-72.065</v>
      </c>
      <c r="F79" s="4" t="str">
        <f>HYPERLINK("http://141.218.60.56/~jnz1568/getInfo.php?workbook=14_09.xlsx&amp;sheet=A0&amp;row=79&amp;col=6&amp;number=143000000000&amp;sourceID=14","143000000000")</f>
        <v>143000000000</v>
      </c>
      <c r="G79" s="4" t="str">
        <f>HYPERLINK("http://141.218.60.56/~jnz1568/getInfo.php?workbook=14_09.xlsx&amp;sheet=A0&amp;row=79&amp;col=7&amp;number=0&amp;sourceID=14","0")</f>
        <v>0</v>
      </c>
    </row>
    <row r="80" spans="1:7">
      <c r="A80" s="3">
        <v>14</v>
      </c>
      <c r="B80" s="3">
        <v>9</v>
      </c>
      <c r="C80" s="3">
        <v>101</v>
      </c>
      <c r="D80" s="3">
        <v>1</v>
      </c>
      <c r="E80" s="3">
        <v>-72.058</v>
      </c>
      <c r="F80" s="4" t="str">
        <f>HYPERLINK("http://141.218.60.56/~jnz1568/getInfo.php?workbook=14_09.xlsx&amp;sheet=A0&amp;row=80&amp;col=6&amp;number=711000&amp;sourceID=14","711000")</f>
        <v>711000</v>
      </c>
      <c r="G80" s="4" t="str">
        <f>HYPERLINK("http://141.218.60.56/~jnz1568/getInfo.php?workbook=14_09.xlsx&amp;sheet=A0&amp;row=80&amp;col=7&amp;number=0&amp;sourceID=14","0")</f>
        <v>0</v>
      </c>
    </row>
    <row r="81" spans="1:7">
      <c r="A81" s="3">
        <v>14</v>
      </c>
      <c r="B81" s="3">
        <v>9</v>
      </c>
      <c r="C81" s="3">
        <v>102</v>
      </c>
      <c r="D81" s="3">
        <v>1</v>
      </c>
      <c r="E81" s="3">
        <v>-72.047</v>
      </c>
      <c r="F81" s="4" t="str">
        <f>HYPERLINK("http://141.218.60.56/~jnz1568/getInfo.php?workbook=14_09.xlsx&amp;sheet=A0&amp;row=81&amp;col=6&amp;number=4030000&amp;sourceID=14","4030000")</f>
        <v>4030000</v>
      </c>
      <c r="G81" s="4" t="str">
        <f>HYPERLINK("http://141.218.60.56/~jnz1568/getInfo.php?workbook=14_09.xlsx&amp;sheet=A0&amp;row=81&amp;col=7&amp;number=0&amp;sourceID=14","0")</f>
        <v>0</v>
      </c>
    </row>
    <row r="82" spans="1:7">
      <c r="A82" s="3">
        <v>14</v>
      </c>
      <c r="B82" s="3">
        <v>9</v>
      </c>
      <c r="C82" s="3">
        <v>103</v>
      </c>
      <c r="D82" s="3">
        <v>1</v>
      </c>
      <c r="E82" s="3">
        <v>-71.967</v>
      </c>
      <c r="F82" s="4" t="str">
        <f>HYPERLINK("http://141.218.60.56/~jnz1568/getInfo.php?workbook=14_09.xlsx&amp;sheet=A0&amp;row=82&amp;col=6&amp;number=242000000000&amp;sourceID=14","242000000000")</f>
        <v>242000000000</v>
      </c>
      <c r="G82" s="4" t="str">
        <f>HYPERLINK("http://141.218.60.56/~jnz1568/getInfo.php?workbook=14_09.xlsx&amp;sheet=A0&amp;row=82&amp;col=7&amp;number=0&amp;sourceID=14","0")</f>
        <v>0</v>
      </c>
    </row>
    <row r="83" spans="1:7">
      <c r="A83" s="3">
        <v>14</v>
      </c>
      <c r="B83" s="3">
        <v>9</v>
      </c>
      <c r="C83" s="3">
        <v>106</v>
      </c>
      <c r="D83" s="3">
        <v>1</v>
      </c>
      <c r="E83" s="3">
        <v>-71.956</v>
      </c>
      <c r="F83" s="4" t="str">
        <f>HYPERLINK("http://141.218.60.56/~jnz1568/getInfo.php?workbook=14_09.xlsx&amp;sheet=A0&amp;row=83&amp;col=6&amp;number=288000&amp;sourceID=14","288000")</f>
        <v>288000</v>
      </c>
      <c r="G83" s="4" t="str">
        <f>HYPERLINK("http://141.218.60.56/~jnz1568/getInfo.php?workbook=14_09.xlsx&amp;sheet=A0&amp;row=83&amp;col=7&amp;number=0&amp;sourceID=14","0")</f>
        <v>0</v>
      </c>
    </row>
    <row r="84" spans="1:7">
      <c r="A84" s="3">
        <v>14</v>
      </c>
      <c r="B84" s="3">
        <v>9</v>
      </c>
      <c r="C84" s="3">
        <v>107</v>
      </c>
      <c r="D84" s="3">
        <v>1</v>
      </c>
      <c r="E84" s="3">
        <v>-71.941</v>
      </c>
      <c r="F84" s="4" t="str">
        <f>HYPERLINK("http://141.218.60.56/~jnz1568/getInfo.php?workbook=14_09.xlsx&amp;sheet=A0&amp;row=84&amp;col=6&amp;number=2570000&amp;sourceID=14","2570000")</f>
        <v>2570000</v>
      </c>
      <c r="G84" s="4" t="str">
        <f>HYPERLINK("http://141.218.60.56/~jnz1568/getInfo.php?workbook=14_09.xlsx&amp;sheet=A0&amp;row=84&amp;col=7&amp;number=0&amp;sourceID=14","0")</f>
        <v>0</v>
      </c>
    </row>
    <row r="85" spans="1:7">
      <c r="A85" s="3">
        <v>14</v>
      </c>
      <c r="B85" s="3">
        <v>9</v>
      </c>
      <c r="C85" s="3">
        <v>109</v>
      </c>
      <c r="D85" s="3">
        <v>1</v>
      </c>
      <c r="E85" s="3">
        <v>-71.921</v>
      </c>
      <c r="F85" s="4" t="str">
        <f>HYPERLINK("http://141.218.60.56/~jnz1568/getInfo.php?workbook=14_09.xlsx&amp;sheet=A0&amp;row=85&amp;col=6&amp;number=1210000&amp;sourceID=14","1210000")</f>
        <v>1210000</v>
      </c>
      <c r="G85" s="4" t="str">
        <f>HYPERLINK("http://141.218.60.56/~jnz1568/getInfo.php?workbook=14_09.xlsx&amp;sheet=A0&amp;row=85&amp;col=7&amp;number=0&amp;sourceID=14","0")</f>
        <v>0</v>
      </c>
    </row>
    <row r="86" spans="1:7">
      <c r="A86" s="3">
        <v>14</v>
      </c>
      <c r="B86" s="3">
        <v>9</v>
      </c>
      <c r="C86" s="3">
        <v>110</v>
      </c>
      <c r="D86" s="3">
        <v>1</v>
      </c>
      <c r="E86" s="3">
        <v>-71.891</v>
      </c>
      <c r="F86" s="4" t="str">
        <f>HYPERLINK("http://141.218.60.56/~jnz1568/getInfo.php?workbook=14_09.xlsx&amp;sheet=A0&amp;row=86&amp;col=6&amp;number=6800000000&amp;sourceID=14","6800000000")</f>
        <v>6800000000</v>
      </c>
      <c r="G86" s="4" t="str">
        <f>HYPERLINK("http://141.218.60.56/~jnz1568/getInfo.php?workbook=14_09.xlsx&amp;sheet=A0&amp;row=86&amp;col=7&amp;number=0&amp;sourceID=14","0")</f>
        <v>0</v>
      </c>
    </row>
    <row r="87" spans="1:7">
      <c r="A87" s="3">
        <v>14</v>
      </c>
      <c r="B87" s="3">
        <v>9</v>
      </c>
      <c r="C87" s="3">
        <v>113</v>
      </c>
      <c r="D87" s="3">
        <v>1</v>
      </c>
      <c r="E87" s="3">
        <v>-71.885</v>
      </c>
      <c r="F87" s="4" t="str">
        <f>HYPERLINK("http://141.218.60.56/~jnz1568/getInfo.php?workbook=14_09.xlsx&amp;sheet=A0&amp;row=87&amp;col=6&amp;number=323000&amp;sourceID=14","323000")</f>
        <v>323000</v>
      </c>
      <c r="G87" s="4" t="str">
        <f>HYPERLINK("http://141.218.60.56/~jnz1568/getInfo.php?workbook=14_09.xlsx&amp;sheet=A0&amp;row=87&amp;col=7&amp;number=0&amp;sourceID=14","0")</f>
        <v>0</v>
      </c>
    </row>
    <row r="88" spans="1:7">
      <c r="A88" s="3">
        <v>14</v>
      </c>
      <c r="B88" s="3">
        <v>9</v>
      </c>
      <c r="C88" s="3">
        <v>115</v>
      </c>
      <c r="D88" s="3">
        <v>1</v>
      </c>
      <c r="E88" s="3">
        <v>-71.877</v>
      </c>
      <c r="F88" s="4" t="str">
        <f>HYPERLINK("http://141.218.60.56/~jnz1568/getInfo.php?workbook=14_09.xlsx&amp;sheet=A0&amp;row=88&amp;col=6&amp;number=1190000&amp;sourceID=14","1190000")</f>
        <v>1190000</v>
      </c>
      <c r="G88" s="4" t="str">
        <f>HYPERLINK("http://141.218.60.56/~jnz1568/getInfo.php?workbook=14_09.xlsx&amp;sheet=A0&amp;row=88&amp;col=7&amp;number=0&amp;sourceID=14","0")</f>
        <v>0</v>
      </c>
    </row>
    <row r="89" spans="1:7">
      <c r="A89" s="3">
        <v>14</v>
      </c>
      <c r="B89" s="3">
        <v>9</v>
      </c>
      <c r="C89" s="3">
        <v>116</v>
      </c>
      <c r="D89" s="3">
        <v>1</v>
      </c>
      <c r="E89" s="3">
        <v>-71.876</v>
      </c>
      <c r="F89" s="4" t="str">
        <f>HYPERLINK("http://141.218.60.56/~jnz1568/getInfo.php?workbook=14_09.xlsx&amp;sheet=A0&amp;row=89&amp;col=6&amp;number=784000&amp;sourceID=14","784000")</f>
        <v>784000</v>
      </c>
      <c r="G89" s="4" t="str">
        <f>HYPERLINK("http://141.218.60.56/~jnz1568/getInfo.php?workbook=14_09.xlsx&amp;sheet=A0&amp;row=89&amp;col=7&amp;number=0&amp;sourceID=14","0")</f>
        <v>0</v>
      </c>
    </row>
    <row r="90" spans="1:7">
      <c r="A90" s="3">
        <v>14</v>
      </c>
      <c r="B90" s="3">
        <v>9</v>
      </c>
      <c r="C90" s="3">
        <v>117</v>
      </c>
      <c r="D90" s="3">
        <v>1</v>
      </c>
      <c r="E90" s="3">
        <v>-71.737</v>
      </c>
      <c r="F90" s="4" t="str">
        <f>HYPERLINK("http://141.218.60.56/~jnz1568/getInfo.php?workbook=14_09.xlsx&amp;sheet=A0&amp;row=90&amp;col=6&amp;number=310000&amp;sourceID=14","310000")</f>
        <v>310000</v>
      </c>
      <c r="G90" s="4" t="str">
        <f>HYPERLINK("http://141.218.60.56/~jnz1568/getInfo.php?workbook=14_09.xlsx&amp;sheet=A0&amp;row=90&amp;col=7&amp;number=0&amp;sourceID=14","0")</f>
        <v>0</v>
      </c>
    </row>
    <row r="91" spans="1:7">
      <c r="A91" s="3">
        <v>14</v>
      </c>
      <c r="B91" s="3">
        <v>9</v>
      </c>
      <c r="C91" s="3">
        <v>120</v>
      </c>
      <c r="D91" s="3">
        <v>1</v>
      </c>
      <c r="E91" s="3">
        <v>-71.709</v>
      </c>
      <c r="F91" s="4" t="str">
        <f>HYPERLINK("http://141.218.60.56/~jnz1568/getInfo.php?workbook=14_09.xlsx&amp;sheet=A0&amp;row=91&amp;col=6&amp;number=480000&amp;sourceID=14","480000")</f>
        <v>480000</v>
      </c>
      <c r="G91" s="4" t="str">
        <f>HYPERLINK("http://141.218.60.56/~jnz1568/getInfo.php?workbook=14_09.xlsx&amp;sheet=A0&amp;row=91&amp;col=7&amp;number=0&amp;sourceID=14","0")</f>
        <v>0</v>
      </c>
    </row>
    <row r="92" spans="1:7">
      <c r="A92" s="3">
        <v>14</v>
      </c>
      <c r="B92" s="3">
        <v>9</v>
      </c>
      <c r="C92" s="3">
        <v>122</v>
      </c>
      <c r="D92" s="3">
        <v>1</v>
      </c>
      <c r="E92" s="3">
        <v>-71.681</v>
      </c>
      <c r="F92" s="4" t="str">
        <f>HYPERLINK("http://141.218.60.56/~jnz1568/getInfo.php?workbook=14_09.xlsx&amp;sheet=A0&amp;row=92&amp;col=6&amp;number=504000&amp;sourceID=14","504000")</f>
        <v>504000</v>
      </c>
      <c r="G92" s="4" t="str">
        <f>HYPERLINK("http://141.218.60.56/~jnz1568/getInfo.php?workbook=14_09.xlsx&amp;sheet=A0&amp;row=92&amp;col=7&amp;number=0&amp;sourceID=14","0")</f>
        <v>0</v>
      </c>
    </row>
    <row r="93" spans="1:7">
      <c r="A93" s="3">
        <v>14</v>
      </c>
      <c r="B93" s="3">
        <v>9</v>
      </c>
      <c r="C93" s="3">
        <v>125</v>
      </c>
      <c r="D93" s="3">
        <v>1</v>
      </c>
      <c r="E93" s="3">
        <v>-71.292</v>
      </c>
      <c r="F93" s="4" t="str">
        <f>HYPERLINK("http://141.218.60.56/~jnz1568/getInfo.php?workbook=14_09.xlsx&amp;sheet=A0&amp;row=93&amp;col=6&amp;number=382000&amp;sourceID=14","382000")</f>
        <v>382000</v>
      </c>
      <c r="G93" s="4" t="str">
        <f>HYPERLINK("http://141.218.60.56/~jnz1568/getInfo.php?workbook=14_09.xlsx&amp;sheet=A0&amp;row=93&amp;col=7&amp;number=0&amp;sourceID=14","0")</f>
        <v>0</v>
      </c>
    </row>
    <row r="94" spans="1:7">
      <c r="A94" s="3">
        <v>14</v>
      </c>
      <c r="B94" s="3">
        <v>9</v>
      </c>
      <c r="C94" s="3">
        <v>126</v>
      </c>
      <c r="D94" s="3">
        <v>1</v>
      </c>
      <c r="E94" s="3">
        <v>-71.187</v>
      </c>
      <c r="F94" s="4" t="str">
        <f>HYPERLINK("http://141.218.60.56/~jnz1568/getInfo.php?workbook=14_09.xlsx&amp;sheet=A0&amp;row=94&amp;col=6&amp;number=1080000&amp;sourceID=14","1080000")</f>
        <v>1080000</v>
      </c>
      <c r="G94" s="4" t="str">
        <f>HYPERLINK("http://141.218.60.56/~jnz1568/getInfo.php?workbook=14_09.xlsx&amp;sheet=A0&amp;row=94&amp;col=7&amp;number=0&amp;sourceID=14","0")</f>
        <v>0</v>
      </c>
    </row>
    <row r="95" spans="1:7">
      <c r="A95" s="3">
        <v>14</v>
      </c>
      <c r="B95" s="3">
        <v>9</v>
      </c>
      <c r="C95" s="3">
        <v>127</v>
      </c>
      <c r="D95" s="3">
        <v>1</v>
      </c>
      <c r="E95" s="3">
        <v>-70.234</v>
      </c>
      <c r="F95" s="4" t="str">
        <f>HYPERLINK("http://141.218.60.56/~jnz1568/getInfo.php?workbook=14_09.xlsx&amp;sheet=A0&amp;row=95&amp;col=6&amp;number=65300000000&amp;sourceID=14","65300000000")</f>
        <v>65300000000</v>
      </c>
      <c r="G95" s="4" t="str">
        <f>HYPERLINK("http://141.218.60.56/~jnz1568/getInfo.php?workbook=14_09.xlsx&amp;sheet=A0&amp;row=95&amp;col=7&amp;number=0&amp;sourceID=14","0")</f>
        <v>0</v>
      </c>
    </row>
    <row r="96" spans="1:7">
      <c r="A96" s="3">
        <v>14</v>
      </c>
      <c r="B96" s="3">
        <v>9</v>
      </c>
      <c r="C96" s="3">
        <v>128</v>
      </c>
      <c r="D96" s="3">
        <v>1</v>
      </c>
      <c r="E96" s="3">
        <v>-70.189</v>
      </c>
      <c r="F96" s="4" t="str">
        <f>HYPERLINK("http://141.218.60.56/~jnz1568/getInfo.php?workbook=14_09.xlsx&amp;sheet=A0&amp;row=96&amp;col=6&amp;number=579000&amp;sourceID=14","579000")</f>
        <v>579000</v>
      </c>
      <c r="G96" s="4" t="str">
        <f>HYPERLINK("http://141.218.60.56/~jnz1568/getInfo.php?workbook=14_09.xlsx&amp;sheet=A0&amp;row=96&amp;col=7&amp;number=0&amp;sourceID=14","0")</f>
        <v>0</v>
      </c>
    </row>
    <row r="97" spans="1:7">
      <c r="A97" s="3">
        <v>14</v>
      </c>
      <c r="B97" s="3">
        <v>9</v>
      </c>
      <c r="C97" s="3">
        <v>131</v>
      </c>
      <c r="D97" s="3">
        <v>1</v>
      </c>
      <c r="E97" s="3">
        <v>-69.924</v>
      </c>
      <c r="F97" s="4" t="str">
        <f>HYPERLINK("http://141.218.60.56/~jnz1568/getInfo.php?workbook=14_09.xlsx&amp;sheet=A0&amp;row=97&amp;col=6&amp;number=2030000000&amp;sourceID=14","2030000000")</f>
        <v>2030000000</v>
      </c>
      <c r="G97" s="4" t="str">
        <f>HYPERLINK("http://141.218.60.56/~jnz1568/getInfo.php?workbook=14_09.xlsx&amp;sheet=A0&amp;row=97&amp;col=7&amp;number=0&amp;sourceID=14","0")</f>
        <v>0</v>
      </c>
    </row>
    <row r="98" spans="1:7">
      <c r="A98" s="3">
        <v>14</v>
      </c>
      <c r="B98" s="3">
        <v>9</v>
      </c>
      <c r="C98" s="3">
        <v>132</v>
      </c>
      <c r="D98" s="3">
        <v>1</v>
      </c>
      <c r="E98" s="3">
        <v>-69.922</v>
      </c>
      <c r="F98" s="4" t="str">
        <f>HYPERLINK("http://141.218.60.56/~jnz1568/getInfo.php?workbook=14_09.xlsx&amp;sheet=A0&amp;row=98&amp;col=6&amp;number=156000000000&amp;sourceID=14","156000000000")</f>
        <v>156000000000</v>
      </c>
      <c r="G98" s="4" t="str">
        <f>HYPERLINK("http://141.218.60.56/~jnz1568/getInfo.php?workbook=14_09.xlsx&amp;sheet=A0&amp;row=98&amp;col=7&amp;number=0&amp;sourceID=14","0")</f>
        <v>0</v>
      </c>
    </row>
    <row r="99" spans="1:7">
      <c r="A99" s="3">
        <v>14</v>
      </c>
      <c r="B99" s="3">
        <v>9</v>
      </c>
      <c r="C99" s="3">
        <v>134</v>
      </c>
      <c r="D99" s="3">
        <v>1</v>
      </c>
      <c r="E99" s="3">
        <v>-69.892</v>
      </c>
      <c r="F99" s="4" t="str">
        <f>HYPERLINK("http://141.218.60.56/~jnz1568/getInfo.php?workbook=14_09.xlsx&amp;sheet=A0&amp;row=99&amp;col=6&amp;number=91900000000&amp;sourceID=14","91900000000")</f>
        <v>91900000000</v>
      </c>
      <c r="G99" s="4" t="str">
        <f>HYPERLINK("http://141.218.60.56/~jnz1568/getInfo.php?workbook=14_09.xlsx&amp;sheet=A0&amp;row=99&amp;col=7&amp;number=0&amp;sourceID=14","0")</f>
        <v>0</v>
      </c>
    </row>
    <row r="100" spans="1:7">
      <c r="A100" s="3">
        <v>14</v>
      </c>
      <c r="B100" s="3">
        <v>9</v>
      </c>
      <c r="C100" s="3">
        <v>135</v>
      </c>
      <c r="D100" s="3">
        <v>1</v>
      </c>
      <c r="E100" s="3">
        <v>-69.885</v>
      </c>
      <c r="F100" s="4" t="str">
        <f>HYPERLINK("http://141.218.60.56/~jnz1568/getInfo.php?workbook=14_09.xlsx&amp;sheet=A0&amp;row=100&amp;col=6&amp;number=109000000000&amp;sourceID=14","109000000000")</f>
        <v>109000000000</v>
      </c>
      <c r="G100" s="4" t="str">
        <f>HYPERLINK("http://141.218.60.56/~jnz1568/getInfo.php?workbook=14_09.xlsx&amp;sheet=A0&amp;row=100&amp;col=7&amp;number=0&amp;sourceID=14","0")</f>
        <v>0</v>
      </c>
    </row>
    <row r="101" spans="1:7">
      <c r="A101" s="3">
        <v>14</v>
      </c>
      <c r="B101" s="3">
        <v>9</v>
      </c>
      <c r="C101" s="3">
        <v>136</v>
      </c>
      <c r="D101" s="3">
        <v>1</v>
      </c>
      <c r="E101" s="3">
        <v>-69.862</v>
      </c>
      <c r="F101" s="4" t="str">
        <f>HYPERLINK("http://141.218.60.56/~jnz1568/getInfo.php?workbook=14_09.xlsx&amp;sheet=A0&amp;row=101&amp;col=6&amp;number=24800000000&amp;sourceID=14","24800000000")</f>
        <v>24800000000</v>
      </c>
      <c r="G101" s="4" t="str">
        <f>HYPERLINK("http://141.218.60.56/~jnz1568/getInfo.php?workbook=14_09.xlsx&amp;sheet=A0&amp;row=101&amp;col=7&amp;number=0&amp;sourceID=14","0")</f>
        <v>0</v>
      </c>
    </row>
    <row r="102" spans="1:7">
      <c r="A102" s="3">
        <v>14</v>
      </c>
      <c r="B102" s="3">
        <v>9</v>
      </c>
      <c r="C102" s="3">
        <v>137</v>
      </c>
      <c r="D102" s="3">
        <v>1</v>
      </c>
      <c r="E102" s="3">
        <v>-69.819</v>
      </c>
      <c r="F102" s="4" t="str">
        <f>HYPERLINK("http://141.218.60.56/~jnz1568/getInfo.php?workbook=14_09.xlsx&amp;sheet=A0&amp;row=102&amp;col=6&amp;number=59200000000&amp;sourceID=14","59200000000")</f>
        <v>59200000000</v>
      </c>
      <c r="G102" s="4" t="str">
        <f>HYPERLINK("http://141.218.60.56/~jnz1568/getInfo.php?workbook=14_09.xlsx&amp;sheet=A0&amp;row=102&amp;col=7&amp;number=0&amp;sourceID=14","0")</f>
        <v>0</v>
      </c>
    </row>
    <row r="103" spans="1:7">
      <c r="A103" s="3">
        <v>14</v>
      </c>
      <c r="B103" s="3">
        <v>9</v>
      </c>
      <c r="C103" s="3">
        <v>138</v>
      </c>
      <c r="D103" s="3">
        <v>1</v>
      </c>
      <c r="E103" s="3">
        <v>-69.603</v>
      </c>
      <c r="F103" s="4" t="str">
        <f>HYPERLINK("http://141.218.60.56/~jnz1568/getInfo.php?workbook=14_09.xlsx&amp;sheet=A0&amp;row=103&amp;col=6&amp;number=2580000&amp;sourceID=14","2580000")</f>
        <v>2580000</v>
      </c>
      <c r="G103" s="4" t="str">
        <f>HYPERLINK("http://141.218.60.56/~jnz1568/getInfo.php?workbook=14_09.xlsx&amp;sheet=A0&amp;row=103&amp;col=7&amp;number=0&amp;sourceID=14","0")</f>
        <v>0</v>
      </c>
    </row>
    <row r="104" spans="1:7">
      <c r="A104" s="3">
        <v>14</v>
      </c>
      <c r="B104" s="3">
        <v>9</v>
      </c>
      <c r="C104" s="3">
        <v>139</v>
      </c>
      <c r="D104" s="3">
        <v>1</v>
      </c>
      <c r="E104" s="3">
        <v>-69.602</v>
      </c>
      <c r="F104" s="4" t="str">
        <f>HYPERLINK("http://141.218.60.56/~jnz1568/getInfo.php?workbook=14_09.xlsx&amp;sheet=A0&amp;row=104&amp;col=6&amp;number=1190000&amp;sourceID=14","1190000")</f>
        <v>1190000</v>
      </c>
      <c r="G104" s="4" t="str">
        <f>HYPERLINK("http://141.218.60.56/~jnz1568/getInfo.php?workbook=14_09.xlsx&amp;sheet=A0&amp;row=104&amp;col=7&amp;number=0&amp;sourceID=14","0")</f>
        <v>0</v>
      </c>
    </row>
    <row r="105" spans="1:7">
      <c r="A105" s="3">
        <v>14</v>
      </c>
      <c r="B105" s="3">
        <v>9</v>
      </c>
      <c r="C105" s="3">
        <v>141</v>
      </c>
      <c r="D105" s="3">
        <v>1</v>
      </c>
      <c r="E105" s="3">
        <v>-69.536</v>
      </c>
      <c r="F105" s="4" t="str">
        <f>HYPERLINK("http://141.218.60.56/~jnz1568/getInfo.php?workbook=14_09.xlsx&amp;sheet=A0&amp;row=105&amp;col=6&amp;number=694000&amp;sourceID=14","694000")</f>
        <v>694000</v>
      </c>
      <c r="G105" s="4" t="str">
        <f>HYPERLINK("http://141.218.60.56/~jnz1568/getInfo.php?workbook=14_09.xlsx&amp;sheet=A0&amp;row=105&amp;col=7&amp;number=0&amp;sourceID=14","0")</f>
        <v>0</v>
      </c>
    </row>
    <row r="106" spans="1:7">
      <c r="A106" s="3">
        <v>14</v>
      </c>
      <c r="B106" s="3">
        <v>9</v>
      </c>
      <c r="C106" s="3">
        <v>142</v>
      </c>
      <c r="D106" s="3">
        <v>1</v>
      </c>
      <c r="E106" s="3">
        <v>-69.536</v>
      </c>
      <c r="F106" s="4" t="str">
        <f>HYPERLINK("http://141.218.60.56/~jnz1568/getInfo.php?workbook=14_09.xlsx&amp;sheet=A0&amp;row=106&amp;col=6&amp;number=560000&amp;sourceID=14","560000")</f>
        <v>560000</v>
      </c>
      <c r="G106" s="4" t="str">
        <f>HYPERLINK("http://141.218.60.56/~jnz1568/getInfo.php?workbook=14_09.xlsx&amp;sheet=A0&amp;row=106&amp;col=7&amp;number=0&amp;sourceID=14","0")</f>
        <v>0</v>
      </c>
    </row>
    <row r="107" spans="1:7">
      <c r="A107" s="3">
        <v>14</v>
      </c>
      <c r="B107" s="3">
        <v>9</v>
      </c>
      <c r="C107" s="3">
        <v>145</v>
      </c>
      <c r="D107" s="3">
        <v>1</v>
      </c>
      <c r="E107" s="3">
        <v>-69.526</v>
      </c>
      <c r="F107" s="4" t="str">
        <f>HYPERLINK("http://141.218.60.56/~jnz1568/getInfo.php?workbook=14_09.xlsx&amp;sheet=A0&amp;row=107&amp;col=6&amp;number=120000000&amp;sourceID=14","120000000")</f>
        <v>120000000</v>
      </c>
      <c r="G107" s="4" t="str">
        <f>HYPERLINK("http://141.218.60.56/~jnz1568/getInfo.php?workbook=14_09.xlsx&amp;sheet=A0&amp;row=107&amp;col=7&amp;number=0&amp;sourceID=14","0")</f>
        <v>0</v>
      </c>
    </row>
    <row r="108" spans="1:7">
      <c r="A108" s="3">
        <v>14</v>
      </c>
      <c r="B108" s="3">
        <v>9</v>
      </c>
      <c r="C108" s="3">
        <v>146</v>
      </c>
      <c r="D108" s="3">
        <v>1</v>
      </c>
      <c r="E108" s="3">
        <v>-69.47</v>
      </c>
      <c r="F108" s="4" t="str">
        <f>HYPERLINK("http://141.218.60.56/~jnz1568/getInfo.php?workbook=14_09.xlsx&amp;sheet=A0&amp;row=108&amp;col=6&amp;number=551000&amp;sourceID=14","551000")</f>
        <v>551000</v>
      </c>
      <c r="G108" s="4" t="str">
        <f>HYPERLINK("http://141.218.60.56/~jnz1568/getInfo.php?workbook=14_09.xlsx&amp;sheet=A0&amp;row=108&amp;col=7&amp;number=0&amp;sourceID=14","0")</f>
        <v>0</v>
      </c>
    </row>
    <row r="109" spans="1:7">
      <c r="A109" s="3">
        <v>14</v>
      </c>
      <c r="B109" s="3">
        <v>9</v>
      </c>
      <c r="C109" s="3">
        <v>147</v>
      </c>
      <c r="D109" s="3">
        <v>1</v>
      </c>
      <c r="E109" s="3">
        <v>-69.47</v>
      </c>
      <c r="F109" s="4" t="str">
        <f>HYPERLINK("http://141.218.60.56/~jnz1568/getInfo.php?workbook=14_09.xlsx&amp;sheet=A0&amp;row=109&amp;col=6&amp;number=199000&amp;sourceID=14","199000")</f>
        <v>199000</v>
      </c>
      <c r="G109" s="4" t="str">
        <f>HYPERLINK("http://141.218.60.56/~jnz1568/getInfo.php?workbook=14_09.xlsx&amp;sheet=A0&amp;row=109&amp;col=7&amp;number=0&amp;sourceID=14","0")</f>
        <v>0</v>
      </c>
    </row>
    <row r="110" spans="1:7">
      <c r="A110" s="3">
        <v>14</v>
      </c>
      <c r="B110" s="3">
        <v>9</v>
      </c>
      <c r="C110" s="3">
        <v>148</v>
      </c>
      <c r="D110" s="3">
        <v>1</v>
      </c>
      <c r="E110" s="3">
        <v>-69.457</v>
      </c>
      <c r="F110" s="4" t="str">
        <f>HYPERLINK("http://141.218.60.56/~jnz1568/getInfo.php?workbook=14_09.xlsx&amp;sheet=A0&amp;row=110&amp;col=6&amp;number=197000000&amp;sourceID=14","197000000")</f>
        <v>197000000</v>
      </c>
      <c r="G110" s="4" t="str">
        <f>HYPERLINK("http://141.218.60.56/~jnz1568/getInfo.php?workbook=14_09.xlsx&amp;sheet=A0&amp;row=110&amp;col=7&amp;number=0&amp;sourceID=14","0")</f>
        <v>0</v>
      </c>
    </row>
    <row r="111" spans="1:7">
      <c r="A111" s="3">
        <v>14</v>
      </c>
      <c r="B111" s="3">
        <v>9</v>
      </c>
      <c r="C111" s="3">
        <v>151</v>
      </c>
      <c r="D111" s="3">
        <v>1</v>
      </c>
      <c r="E111" s="3">
        <v>-69.405</v>
      </c>
      <c r="F111" s="4" t="str">
        <f>HYPERLINK("http://141.218.60.56/~jnz1568/getInfo.php?workbook=14_09.xlsx&amp;sheet=A0&amp;row=111&amp;col=6&amp;number=35700000&amp;sourceID=14","35700000")</f>
        <v>35700000</v>
      </c>
      <c r="G111" s="4" t="str">
        <f>HYPERLINK("http://141.218.60.56/~jnz1568/getInfo.php?workbook=14_09.xlsx&amp;sheet=A0&amp;row=111&amp;col=7&amp;number=0&amp;sourceID=14","0")</f>
        <v>0</v>
      </c>
    </row>
    <row r="112" spans="1:7">
      <c r="A112" s="3">
        <v>14</v>
      </c>
      <c r="B112" s="3">
        <v>9</v>
      </c>
      <c r="C112" s="3">
        <v>152</v>
      </c>
      <c r="D112" s="3">
        <v>1</v>
      </c>
      <c r="E112" s="3">
        <v>-69.1</v>
      </c>
      <c r="F112" s="4" t="str">
        <f>HYPERLINK("http://141.218.60.56/~jnz1568/getInfo.php?workbook=14_09.xlsx&amp;sheet=A0&amp;row=112&amp;col=6&amp;number=9020000000&amp;sourceID=14","9020000000")</f>
        <v>9020000000</v>
      </c>
      <c r="G112" s="4" t="str">
        <f>HYPERLINK("http://141.218.60.56/~jnz1568/getInfo.php?workbook=14_09.xlsx&amp;sheet=A0&amp;row=112&amp;col=7&amp;number=0&amp;sourceID=14","0")</f>
        <v>0</v>
      </c>
    </row>
    <row r="113" spans="1:7">
      <c r="A113" s="3">
        <v>14</v>
      </c>
      <c r="B113" s="3">
        <v>9</v>
      </c>
      <c r="C113" s="3">
        <v>153</v>
      </c>
      <c r="D113" s="3">
        <v>1</v>
      </c>
      <c r="E113" s="3">
        <v>-69.016</v>
      </c>
      <c r="F113" s="4" t="str">
        <f>HYPERLINK("http://141.218.60.56/~jnz1568/getInfo.php?workbook=14_09.xlsx&amp;sheet=A0&amp;row=113&amp;col=6&amp;number=20600000000&amp;sourceID=14","20600000000")</f>
        <v>20600000000</v>
      </c>
      <c r="G113" s="4" t="str">
        <f>HYPERLINK("http://141.218.60.56/~jnz1568/getInfo.php?workbook=14_09.xlsx&amp;sheet=A0&amp;row=113&amp;col=7&amp;number=0&amp;sourceID=14","0")</f>
        <v>0</v>
      </c>
    </row>
    <row r="114" spans="1:7">
      <c r="A114" s="3">
        <v>14</v>
      </c>
      <c r="B114" s="3">
        <v>9</v>
      </c>
      <c r="C114" s="3">
        <v>154</v>
      </c>
      <c r="D114" s="3">
        <v>1</v>
      </c>
      <c r="E114" s="3">
        <v>-69.015</v>
      </c>
      <c r="F114" s="4" t="str">
        <f>HYPERLINK("http://141.218.60.56/~jnz1568/getInfo.php?workbook=14_09.xlsx&amp;sheet=A0&amp;row=114&amp;col=6&amp;number=2940000000&amp;sourceID=14","2940000000")</f>
        <v>2940000000</v>
      </c>
      <c r="G114" s="4" t="str">
        <f>HYPERLINK("http://141.218.60.56/~jnz1568/getInfo.php?workbook=14_09.xlsx&amp;sheet=A0&amp;row=114&amp;col=7&amp;number=0&amp;sourceID=14","0")</f>
        <v>0</v>
      </c>
    </row>
    <row r="115" spans="1:7">
      <c r="A115" s="3">
        <v>14</v>
      </c>
      <c r="B115" s="3">
        <v>9</v>
      </c>
      <c r="C115" s="3">
        <v>155</v>
      </c>
      <c r="D115" s="3">
        <v>1</v>
      </c>
      <c r="E115" s="3">
        <v>-68.984</v>
      </c>
      <c r="F115" s="4" t="str">
        <f>HYPERLINK("http://141.218.60.56/~jnz1568/getInfo.php?workbook=14_09.xlsx&amp;sheet=A0&amp;row=115&amp;col=6&amp;number=148000000&amp;sourceID=14","148000000")</f>
        <v>148000000</v>
      </c>
      <c r="G115" s="4" t="str">
        <f>HYPERLINK("http://141.218.60.56/~jnz1568/getInfo.php?workbook=14_09.xlsx&amp;sheet=A0&amp;row=115&amp;col=7&amp;number=0&amp;sourceID=14","0")</f>
        <v>0</v>
      </c>
    </row>
    <row r="116" spans="1:7">
      <c r="A116" s="3">
        <v>14</v>
      </c>
      <c r="B116" s="3">
        <v>9</v>
      </c>
      <c r="C116" s="3">
        <v>156</v>
      </c>
      <c r="D116" s="3">
        <v>1</v>
      </c>
      <c r="E116" s="3">
        <v>-68.94</v>
      </c>
      <c r="F116" s="4" t="str">
        <f>HYPERLINK("http://141.218.60.56/~jnz1568/getInfo.php?workbook=14_09.xlsx&amp;sheet=A0&amp;row=116&amp;col=6&amp;number=34000000000&amp;sourceID=14","34000000000")</f>
        <v>34000000000</v>
      </c>
      <c r="G116" s="4" t="str">
        <f>HYPERLINK("http://141.218.60.56/~jnz1568/getInfo.php?workbook=14_09.xlsx&amp;sheet=A0&amp;row=116&amp;col=7&amp;number=0&amp;sourceID=14","0")</f>
        <v>0</v>
      </c>
    </row>
    <row r="117" spans="1:7">
      <c r="A117" s="3">
        <v>14</v>
      </c>
      <c r="B117" s="3">
        <v>9</v>
      </c>
      <c r="C117" s="3">
        <v>157</v>
      </c>
      <c r="D117" s="3">
        <v>1</v>
      </c>
      <c r="E117" s="3">
        <v>-68.818</v>
      </c>
      <c r="F117" s="4" t="str">
        <f>HYPERLINK("http://141.218.60.56/~jnz1568/getInfo.php?workbook=14_09.xlsx&amp;sheet=A0&amp;row=117&amp;col=6&amp;number=10900000000&amp;sourceID=14","10900000000")</f>
        <v>10900000000</v>
      </c>
      <c r="G117" s="4" t="str">
        <f>HYPERLINK("http://141.218.60.56/~jnz1568/getInfo.php?workbook=14_09.xlsx&amp;sheet=A0&amp;row=117&amp;col=7&amp;number=0&amp;sourceID=14","0")</f>
        <v>0</v>
      </c>
    </row>
    <row r="118" spans="1:7">
      <c r="A118" s="3">
        <v>14</v>
      </c>
      <c r="B118" s="3">
        <v>9</v>
      </c>
      <c r="C118" s="3">
        <v>158</v>
      </c>
      <c r="D118" s="3">
        <v>1</v>
      </c>
      <c r="E118" s="3">
        <v>-68.793</v>
      </c>
      <c r="F118" s="4" t="str">
        <f>HYPERLINK("http://141.218.60.56/~jnz1568/getInfo.php?workbook=14_09.xlsx&amp;sheet=A0&amp;row=118&amp;col=6&amp;number=19300000000&amp;sourceID=14","19300000000")</f>
        <v>19300000000</v>
      </c>
      <c r="G118" s="4" t="str">
        <f>HYPERLINK("http://141.218.60.56/~jnz1568/getInfo.php?workbook=14_09.xlsx&amp;sheet=A0&amp;row=118&amp;col=7&amp;number=0&amp;sourceID=14","0")</f>
        <v>0</v>
      </c>
    </row>
    <row r="119" spans="1:7">
      <c r="A119" s="3">
        <v>14</v>
      </c>
      <c r="B119" s="3">
        <v>9</v>
      </c>
      <c r="C119" s="3">
        <v>159</v>
      </c>
      <c r="D119" s="3">
        <v>1</v>
      </c>
      <c r="E119" s="3">
        <v>-68.527</v>
      </c>
      <c r="F119" s="4" t="str">
        <f>HYPERLINK("http://141.218.60.56/~jnz1568/getInfo.php?workbook=14_09.xlsx&amp;sheet=A0&amp;row=119&amp;col=6&amp;number=771000&amp;sourceID=14","771000")</f>
        <v>771000</v>
      </c>
      <c r="G119" s="4" t="str">
        <f>HYPERLINK("http://141.218.60.56/~jnz1568/getInfo.php?workbook=14_09.xlsx&amp;sheet=A0&amp;row=119&amp;col=7&amp;number=0&amp;sourceID=14","0")</f>
        <v>0</v>
      </c>
    </row>
    <row r="120" spans="1:7">
      <c r="A120" s="3">
        <v>14</v>
      </c>
      <c r="B120" s="3">
        <v>9</v>
      </c>
      <c r="C120" s="3">
        <v>160</v>
      </c>
      <c r="D120" s="3">
        <v>1</v>
      </c>
      <c r="E120" s="3">
        <v>-68.521</v>
      </c>
      <c r="F120" s="4" t="str">
        <f>HYPERLINK("http://141.218.60.56/~jnz1568/getInfo.php?workbook=14_09.xlsx&amp;sheet=A0&amp;row=120&amp;col=6&amp;number=1450000&amp;sourceID=14","1450000")</f>
        <v>1450000</v>
      </c>
      <c r="G120" s="4" t="str">
        <f>HYPERLINK("http://141.218.60.56/~jnz1568/getInfo.php?workbook=14_09.xlsx&amp;sheet=A0&amp;row=120&amp;col=7&amp;number=0&amp;sourceID=14","0")</f>
        <v>0</v>
      </c>
    </row>
    <row r="121" spans="1:7">
      <c r="A121" s="3">
        <v>14</v>
      </c>
      <c r="B121" s="3">
        <v>9</v>
      </c>
      <c r="C121" s="3">
        <v>161</v>
      </c>
      <c r="D121" s="3">
        <v>1</v>
      </c>
      <c r="E121" s="3">
        <v>-67.11</v>
      </c>
      <c r="F121" s="4" t="str">
        <f>HYPERLINK("http://141.218.60.56/~jnz1568/getInfo.php?workbook=14_09.xlsx&amp;sheet=A0&amp;row=121&amp;col=6&amp;number=34100000000&amp;sourceID=14","34100000000")</f>
        <v>34100000000</v>
      </c>
      <c r="G121" s="4" t="str">
        <f>HYPERLINK("http://141.218.60.56/~jnz1568/getInfo.php?workbook=14_09.xlsx&amp;sheet=A0&amp;row=121&amp;col=7&amp;number=0&amp;sourceID=14","0")</f>
        <v>0</v>
      </c>
    </row>
    <row r="122" spans="1:7">
      <c r="A122" s="3">
        <v>14</v>
      </c>
      <c r="B122" s="3">
        <v>9</v>
      </c>
      <c r="C122" s="3">
        <v>162</v>
      </c>
      <c r="D122" s="3">
        <v>1</v>
      </c>
      <c r="E122" s="3">
        <v>-66.754</v>
      </c>
      <c r="F122" s="4" t="str">
        <f>HYPERLINK("http://141.218.60.56/~jnz1568/getInfo.php?workbook=14_09.xlsx&amp;sheet=A0&amp;row=122&amp;col=6&amp;number=37000000000&amp;sourceID=14","37000000000")</f>
        <v>37000000000</v>
      </c>
      <c r="G122" s="4" t="str">
        <f>HYPERLINK("http://141.218.60.56/~jnz1568/getInfo.php?workbook=14_09.xlsx&amp;sheet=A0&amp;row=122&amp;col=7&amp;number=0&amp;sourceID=14","0")</f>
        <v>0</v>
      </c>
    </row>
    <row r="123" spans="1:7">
      <c r="A123" s="3">
        <v>14</v>
      </c>
      <c r="B123" s="3">
        <v>9</v>
      </c>
      <c r="C123" s="3">
        <v>163</v>
      </c>
      <c r="D123" s="3">
        <v>1</v>
      </c>
      <c r="E123" s="3">
        <v>-66.748</v>
      </c>
      <c r="F123" s="4" t="str">
        <f>HYPERLINK("http://141.218.60.56/~jnz1568/getInfo.php?workbook=14_09.xlsx&amp;sheet=A0&amp;row=123&amp;col=6&amp;number=6070000000&amp;sourceID=14","6070000000")</f>
        <v>6070000000</v>
      </c>
      <c r="G123" s="4" t="str">
        <f>HYPERLINK("http://141.218.60.56/~jnz1568/getInfo.php?workbook=14_09.xlsx&amp;sheet=A0&amp;row=123&amp;col=7&amp;number=0&amp;sourceID=14","0")</f>
        <v>0</v>
      </c>
    </row>
    <row r="124" spans="1:7">
      <c r="A124" s="3">
        <v>14</v>
      </c>
      <c r="B124" s="3">
        <v>9</v>
      </c>
      <c r="C124" s="3">
        <v>165</v>
      </c>
      <c r="D124" s="3">
        <v>1</v>
      </c>
      <c r="E124" s="3">
        <v>-66.319</v>
      </c>
      <c r="F124" s="4" t="str">
        <f>HYPERLINK("http://141.218.60.56/~jnz1568/getInfo.php?workbook=14_09.xlsx&amp;sheet=A0&amp;row=124&amp;col=6&amp;number=551000&amp;sourceID=14","551000")</f>
        <v>551000</v>
      </c>
      <c r="G124" s="4" t="str">
        <f>HYPERLINK("http://141.218.60.56/~jnz1568/getInfo.php?workbook=14_09.xlsx&amp;sheet=A0&amp;row=124&amp;col=7&amp;number=0&amp;sourceID=14","0")</f>
        <v>0</v>
      </c>
    </row>
    <row r="125" spans="1:7">
      <c r="A125" s="3">
        <v>14</v>
      </c>
      <c r="B125" s="3">
        <v>9</v>
      </c>
      <c r="C125" s="3">
        <v>172</v>
      </c>
      <c r="D125" s="3">
        <v>1</v>
      </c>
      <c r="E125" s="3">
        <v>-64.733</v>
      </c>
      <c r="F125" s="4" t="str">
        <f>HYPERLINK("http://141.218.60.56/~jnz1568/getInfo.php?workbook=14_09.xlsx&amp;sheet=A0&amp;row=125&amp;col=6&amp;number=527000&amp;sourceID=14","527000")</f>
        <v>527000</v>
      </c>
      <c r="G125" s="4" t="str">
        <f>HYPERLINK("http://141.218.60.56/~jnz1568/getInfo.php?workbook=14_09.xlsx&amp;sheet=A0&amp;row=125&amp;col=7&amp;number=0&amp;sourceID=14","0")</f>
        <v>0</v>
      </c>
    </row>
    <row r="126" spans="1:7">
      <c r="A126" s="3">
        <v>14</v>
      </c>
      <c r="B126" s="3">
        <v>9</v>
      </c>
      <c r="C126" s="3">
        <v>173</v>
      </c>
      <c r="D126" s="3">
        <v>1</v>
      </c>
      <c r="E126" s="3">
        <v>-64.675</v>
      </c>
      <c r="F126" s="4" t="str">
        <f>HYPERLINK("http://141.218.60.56/~jnz1568/getInfo.php?workbook=14_09.xlsx&amp;sheet=A0&amp;row=126&amp;col=6&amp;number=492000&amp;sourceID=14","492000")</f>
        <v>492000</v>
      </c>
      <c r="G126" s="4" t="str">
        <f>HYPERLINK("http://141.218.60.56/~jnz1568/getInfo.php?workbook=14_09.xlsx&amp;sheet=A0&amp;row=126&amp;col=7&amp;number=0&amp;sourceID=14","0")</f>
        <v>0</v>
      </c>
    </row>
    <row r="127" spans="1:7">
      <c r="A127" s="3">
        <v>14</v>
      </c>
      <c r="B127" s="3">
        <v>9</v>
      </c>
      <c r="C127" s="3">
        <v>175</v>
      </c>
      <c r="D127" s="3">
        <v>1</v>
      </c>
      <c r="E127" s="3">
        <v>-64.396</v>
      </c>
      <c r="F127" s="4" t="str">
        <f>HYPERLINK("http://141.218.60.56/~jnz1568/getInfo.php?workbook=14_09.xlsx&amp;sheet=A0&amp;row=127&amp;col=6&amp;number=25700000&amp;sourceID=14","25700000")</f>
        <v>25700000</v>
      </c>
      <c r="G127" s="4" t="str">
        <f>HYPERLINK("http://141.218.60.56/~jnz1568/getInfo.php?workbook=14_09.xlsx&amp;sheet=A0&amp;row=127&amp;col=7&amp;number=0&amp;sourceID=14","0")</f>
        <v>0</v>
      </c>
    </row>
    <row r="128" spans="1:7">
      <c r="A128" s="3">
        <v>14</v>
      </c>
      <c r="B128" s="3">
        <v>9</v>
      </c>
      <c r="C128" s="3">
        <v>176</v>
      </c>
      <c r="D128" s="3">
        <v>1</v>
      </c>
      <c r="E128" s="3">
        <v>-64.317</v>
      </c>
      <c r="F128" s="4" t="str">
        <f>HYPERLINK("http://141.218.60.56/~jnz1568/getInfo.php?workbook=14_09.xlsx&amp;sheet=A0&amp;row=128&amp;col=6&amp;number=800000&amp;sourceID=14","800000")</f>
        <v>800000</v>
      </c>
      <c r="G128" s="4" t="str">
        <f>HYPERLINK("http://141.218.60.56/~jnz1568/getInfo.php?workbook=14_09.xlsx&amp;sheet=A0&amp;row=128&amp;col=7&amp;number=0&amp;sourceID=14","0")</f>
        <v>0</v>
      </c>
    </row>
    <row r="129" spans="1:7">
      <c r="A129" s="3">
        <v>14</v>
      </c>
      <c r="B129" s="3">
        <v>9</v>
      </c>
      <c r="C129" s="3">
        <v>177</v>
      </c>
      <c r="D129" s="3">
        <v>1</v>
      </c>
      <c r="E129" s="3">
        <v>-64.31</v>
      </c>
      <c r="F129" s="4" t="str">
        <f>HYPERLINK("http://141.218.60.56/~jnz1568/getInfo.php?workbook=14_09.xlsx&amp;sheet=A0&amp;row=129&amp;col=6&amp;number=22300000&amp;sourceID=14","22300000")</f>
        <v>22300000</v>
      </c>
      <c r="G129" s="4" t="str">
        <f>HYPERLINK("http://141.218.60.56/~jnz1568/getInfo.php?workbook=14_09.xlsx&amp;sheet=A0&amp;row=129&amp;col=7&amp;number=0&amp;sourceID=14","0")</f>
        <v>0</v>
      </c>
    </row>
    <row r="130" spans="1:7">
      <c r="A130" s="3">
        <v>14</v>
      </c>
      <c r="B130" s="3">
        <v>9</v>
      </c>
      <c r="C130" s="3">
        <v>179</v>
      </c>
      <c r="D130" s="3">
        <v>1</v>
      </c>
      <c r="E130" s="3">
        <v>-64.301</v>
      </c>
      <c r="F130" s="4" t="str">
        <f>HYPERLINK("http://141.218.60.56/~jnz1568/getInfo.php?workbook=14_09.xlsx&amp;sheet=A0&amp;row=130&amp;col=6&amp;number=297000&amp;sourceID=14","297000")</f>
        <v>297000</v>
      </c>
      <c r="G130" s="4" t="str">
        <f>HYPERLINK("http://141.218.60.56/~jnz1568/getInfo.php?workbook=14_09.xlsx&amp;sheet=A0&amp;row=130&amp;col=7&amp;number=0&amp;sourceID=14","0")</f>
        <v>0</v>
      </c>
    </row>
    <row r="131" spans="1:7">
      <c r="A131" s="3">
        <v>14</v>
      </c>
      <c r="B131" s="3">
        <v>9</v>
      </c>
      <c r="C131" s="3">
        <v>180</v>
      </c>
      <c r="D131" s="3">
        <v>1</v>
      </c>
      <c r="E131" s="3">
        <v>-64.255</v>
      </c>
      <c r="F131" s="4" t="str">
        <f>HYPERLINK("http://141.218.60.56/~jnz1568/getInfo.php?workbook=14_09.xlsx&amp;sheet=A0&amp;row=131&amp;col=6&amp;number=27200000&amp;sourceID=14","27200000")</f>
        <v>27200000</v>
      </c>
      <c r="G131" s="4" t="str">
        <f>HYPERLINK("http://141.218.60.56/~jnz1568/getInfo.php?workbook=14_09.xlsx&amp;sheet=A0&amp;row=131&amp;col=7&amp;number=0&amp;sourceID=14","0")</f>
        <v>0</v>
      </c>
    </row>
    <row r="132" spans="1:7">
      <c r="A132" s="3">
        <v>14</v>
      </c>
      <c r="B132" s="3">
        <v>9</v>
      </c>
      <c r="C132" s="3">
        <v>181</v>
      </c>
      <c r="D132" s="3">
        <v>1</v>
      </c>
      <c r="E132" s="3">
        <v>-64.078</v>
      </c>
      <c r="F132" s="4" t="str">
        <f>HYPERLINK("http://141.218.60.56/~jnz1568/getInfo.php?workbook=14_09.xlsx&amp;sheet=A0&amp;row=132&amp;col=6&amp;number=21100000&amp;sourceID=14","21100000")</f>
        <v>21100000</v>
      </c>
      <c r="G132" s="4" t="str">
        <f>HYPERLINK("http://141.218.60.56/~jnz1568/getInfo.php?workbook=14_09.xlsx&amp;sheet=A0&amp;row=132&amp;col=7&amp;number=0&amp;sourceID=14","0")</f>
        <v>0</v>
      </c>
    </row>
    <row r="133" spans="1:7">
      <c r="A133" s="3">
        <v>14</v>
      </c>
      <c r="B133" s="3">
        <v>9</v>
      </c>
      <c r="C133" s="3">
        <v>182</v>
      </c>
      <c r="D133" s="3">
        <v>1</v>
      </c>
      <c r="E133" s="3">
        <v>-64.074</v>
      </c>
      <c r="F133" s="4" t="str">
        <f>HYPERLINK("http://141.218.60.56/~jnz1568/getInfo.php?workbook=14_09.xlsx&amp;sheet=A0&amp;row=133&amp;col=6&amp;number=33200000&amp;sourceID=14","33200000")</f>
        <v>33200000</v>
      </c>
      <c r="G133" s="4" t="str">
        <f>HYPERLINK("http://141.218.60.56/~jnz1568/getInfo.php?workbook=14_09.xlsx&amp;sheet=A0&amp;row=133&amp;col=7&amp;number=0&amp;sourceID=14","0")</f>
        <v>0</v>
      </c>
    </row>
    <row r="134" spans="1:7">
      <c r="A134" s="3">
        <v>14</v>
      </c>
      <c r="B134" s="3">
        <v>9</v>
      </c>
      <c r="C134" s="3">
        <v>183</v>
      </c>
      <c r="D134" s="3">
        <v>1</v>
      </c>
      <c r="E134" s="3">
        <v>-63.727</v>
      </c>
      <c r="F134" s="4" t="str">
        <f>HYPERLINK("http://141.218.60.56/~jnz1568/getInfo.php?workbook=14_09.xlsx&amp;sheet=A0&amp;row=134&amp;col=6&amp;number=47700000&amp;sourceID=14","47700000")</f>
        <v>47700000</v>
      </c>
      <c r="G134" s="4" t="str">
        <f>HYPERLINK("http://141.218.60.56/~jnz1568/getInfo.php?workbook=14_09.xlsx&amp;sheet=A0&amp;row=134&amp;col=7&amp;number=0&amp;sourceID=14","0")</f>
        <v>0</v>
      </c>
    </row>
    <row r="135" spans="1:7">
      <c r="A135" s="3">
        <v>14</v>
      </c>
      <c r="B135" s="3">
        <v>9</v>
      </c>
      <c r="C135" s="3">
        <v>184</v>
      </c>
      <c r="D135" s="3">
        <v>1</v>
      </c>
      <c r="E135" s="3">
        <v>-63.631</v>
      </c>
      <c r="F135" s="4" t="str">
        <f>HYPERLINK("http://141.218.60.56/~jnz1568/getInfo.php?workbook=14_09.xlsx&amp;sheet=A0&amp;row=135&amp;col=6&amp;number=15400000&amp;sourceID=14","15400000")</f>
        <v>15400000</v>
      </c>
      <c r="G135" s="4" t="str">
        <f>HYPERLINK("http://141.218.60.56/~jnz1568/getInfo.php?workbook=14_09.xlsx&amp;sheet=A0&amp;row=135&amp;col=7&amp;number=0&amp;sourceID=14","0")</f>
        <v>0</v>
      </c>
    </row>
    <row r="136" spans="1:7">
      <c r="A136" s="3">
        <v>14</v>
      </c>
      <c r="B136" s="3">
        <v>9</v>
      </c>
      <c r="C136" s="3">
        <v>185</v>
      </c>
      <c r="D136" s="3">
        <v>1</v>
      </c>
      <c r="E136" s="3">
        <v>-62.66</v>
      </c>
      <c r="F136" s="4" t="str">
        <f>HYPERLINK("http://141.218.60.56/~jnz1568/getInfo.php?workbook=14_09.xlsx&amp;sheet=A0&amp;row=136&amp;col=6&amp;number=2990000000&amp;sourceID=14","2990000000")</f>
        <v>2990000000</v>
      </c>
      <c r="G136" s="4" t="str">
        <f>HYPERLINK("http://141.218.60.56/~jnz1568/getInfo.php?workbook=14_09.xlsx&amp;sheet=A0&amp;row=136&amp;col=7&amp;number=0&amp;sourceID=14","0")</f>
        <v>0</v>
      </c>
    </row>
    <row r="137" spans="1:7">
      <c r="A137" s="3">
        <v>14</v>
      </c>
      <c r="B137" s="3">
        <v>9</v>
      </c>
      <c r="C137" s="3">
        <v>186</v>
      </c>
      <c r="D137" s="3">
        <v>1</v>
      </c>
      <c r="E137" s="3">
        <v>-62.635</v>
      </c>
      <c r="F137" s="4" t="str">
        <f>HYPERLINK("http://141.218.60.56/~jnz1568/getInfo.php?workbook=14_09.xlsx&amp;sheet=A0&amp;row=137&amp;col=6&amp;number=15200000000&amp;sourceID=14","15200000000")</f>
        <v>15200000000</v>
      </c>
      <c r="G137" s="4" t="str">
        <f>HYPERLINK("http://141.218.60.56/~jnz1568/getInfo.php?workbook=14_09.xlsx&amp;sheet=A0&amp;row=137&amp;col=7&amp;number=0&amp;sourceID=14","0")</f>
        <v>0</v>
      </c>
    </row>
    <row r="138" spans="1:7">
      <c r="A138" s="3">
        <v>14</v>
      </c>
      <c r="B138" s="3">
        <v>9</v>
      </c>
      <c r="C138" s="3">
        <v>187</v>
      </c>
      <c r="D138" s="3">
        <v>1</v>
      </c>
      <c r="E138" s="3">
        <v>-62.443</v>
      </c>
      <c r="F138" s="4" t="str">
        <f>HYPERLINK("http://141.218.60.56/~jnz1568/getInfo.php?workbook=14_09.xlsx&amp;sheet=A0&amp;row=138&amp;col=6&amp;number=2720000000&amp;sourceID=14","2720000000")</f>
        <v>2720000000</v>
      </c>
      <c r="G138" s="4" t="str">
        <f>HYPERLINK("http://141.218.60.56/~jnz1568/getInfo.php?workbook=14_09.xlsx&amp;sheet=A0&amp;row=138&amp;col=7&amp;number=0&amp;sourceID=14","0")</f>
        <v>0</v>
      </c>
    </row>
    <row r="139" spans="1:7">
      <c r="A139" s="3">
        <v>14</v>
      </c>
      <c r="B139" s="3">
        <v>9</v>
      </c>
      <c r="C139" s="3">
        <v>188</v>
      </c>
      <c r="D139" s="3">
        <v>1</v>
      </c>
      <c r="E139" s="3">
        <v>-62.431</v>
      </c>
      <c r="F139" s="4" t="str">
        <f>HYPERLINK("http://141.218.60.56/~jnz1568/getInfo.php?workbook=14_09.xlsx&amp;sheet=A0&amp;row=139&amp;col=6&amp;number=6500000000&amp;sourceID=14","6500000000")</f>
        <v>6500000000</v>
      </c>
      <c r="G139" s="4" t="str">
        <f>HYPERLINK("http://141.218.60.56/~jnz1568/getInfo.php?workbook=14_09.xlsx&amp;sheet=A0&amp;row=139&amp;col=7&amp;number=0&amp;sourceID=14","0")</f>
        <v>0</v>
      </c>
    </row>
    <row r="140" spans="1:7">
      <c r="A140" s="3">
        <v>14</v>
      </c>
      <c r="B140" s="3">
        <v>9</v>
      </c>
      <c r="C140" s="3">
        <v>189</v>
      </c>
      <c r="D140" s="3">
        <v>1</v>
      </c>
      <c r="E140" s="3">
        <v>-61.911</v>
      </c>
      <c r="F140" s="4" t="str">
        <f>HYPERLINK("http://141.218.60.56/~jnz1568/getInfo.php?workbook=14_09.xlsx&amp;sheet=A0&amp;row=140&amp;col=6&amp;number=4130000000&amp;sourceID=14","4130000000")</f>
        <v>4130000000</v>
      </c>
      <c r="G140" s="4" t="str">
        <f>HYPERLINK("http://141.218.60.56/~jnz1568/getInfo.php?workbook=14_09.xlsx&amp;sheet=A0&amp;row=140&amp;col=7&amp;number=0&amp;sourceID=14","0")</f>
        <v>0</v>
      </c>
    </row>
    <row r="141" spans="1:7">
      <c r="A141" s="3">
        <v>14</v>
      </c>
      <c r="B141" s="3">
        <v>9</v>
      </c>
      <c r="C141" s="3">
        <v>190</v>
      </c>
      <c r="D141" s="3">
        <v>1</v>
      </c>
      <c r="E141" s="3">
        <v>-58.747</v>
      </c>
      <c r="F141" s="4" t="str">
        <f>HYPERLINK("http://141.218.60.56/~jnz1568/getInfo.php?workbook=14_09.xlsx&amp;sheet=A0&amp;row=141&amp;col=6&amp;number=4270000&amp;sourceID=14","4270000")</f>
        <v>4270000</v>
      </c>
      <c r="G141" s="4" t="str">
        <f>HYPERLINK("http://141.218.60.56/~jnz1568/getInfo.php?workbook=14_09.xlsx&amp;sheet=A0&amp;row=141&amp;col=7&amp;number=0&amp;sourceID=14","0")</f>
        <v>0</v>
      </c>
    </row>
    <row r="142" spans="1:7">
      <c r="A142" s="3">
        <v>14</v>
      </c>
      <c r="B142" s="3">
        <v>9</v>
      </c>
      <c r="C142" s="3">
        <v>191</v>
      </c>
      <c r="D142" s="3">
        <v>1</v>
      </c>
      <c r="E142" s="3">
        <v>-58.744</v>
      </c>
      <c r="F142" s="4" t="str">
        <f>HYPERLINK("http://141.218.60.56/~jnz1568/getInfo.php?workbook=14_09.xlsx&amp;sheet=A0&amp;row=142&amp;col=6&amp;number=18600000&amp;sourceID=14","18600000")</f>
        <v>18600000</v>
      </c>
      <c r="G142" s="4" t="str">
        <f>HYPERLINK("http://141.218.60.56/~jnz1568/getInfo.php?workbook=14_09.xlsx&amp;sheet=A0&amp;row=142&amp;col=7&amp;number=0&amp;sourceID=14","0")</f>
        <v>0</v>
      </c>
    </row>
    <row r="143" spans="1:7">
      <c r="A143" s="3">
        <v>14</v>
      </c>
      <c r="B143" s="3">
        <v>9</v>
      </c>
      <c r="C143" s="3">
        <v>192</v>
      </c>
      <c r="D143" s="3">
        <v>1</v>
      </c>
      <c r="E143" s="3">
        <v>-58.62</v>
      </c>
      <c r="F143" s="4" t="str">
        <f>HYPERLINK("http://141.218.60.56/~jnz1568/getInfo.php?workbook=14_09.xlsx&amp;sheet=A0&amp;row=143&amp;col=6&amp;number=9150000&amp;sourceID=14","9150000")</f>
        <v>9150000</v>
      </c>
      <c r="G143" s="4" t="str">
        <f>HYPERLINK("http://141.218.60.56/~jnz1568/getInfo.php?workbook=14_09.xlsx&amp;sheet=A0&amp;row=143&amp;col=7&amp;number=0&amp;sourceID=14","0")</f>
        <v>0</v>
      </c>
    </row>
    <row r="144" spans="1:7">
      <c r="A144" s="3">
        <v>14</v>
      </c>
      <c r="B144" s="3">
        <v>9</v>
      </c>
      <c r="C144" s="3">
        <v>193</v>
      </c>
      <c r="D144" s="3">
        <v>1</v>
      </c>
      <c r="E144" s="3">
        <v>-58.615</v>
      </c>
      <c r="F144" s="4" t="str">
        <f>HYPERLINK("http://141.218.60.56/~jnz1568/getInfo.php?workbook=14_09.xlsx&amp;sheet=A0&amp;row=144&amp;col=6&amp;number=18900000&amp;sourceID=14","18900000")</f>
        <v>18900000</v>
      </c>
      <c r="G144" s="4" t="str">
        <f>HYPERLINK("http://141.218.60.56/~jnz1568/getInfo.php?workbook=14_09.xlsx&amp;sheet=A0&amp;row=144&amp;col=7&amp;number=0&amp;sourceID=14","0")</f>
        <v>0</v>
      </c>
    </row>
    <row r="145" spans="1:7">
      <c r="A145" s="3">
        <v>14</v>
      </c>
      <c r="B145" s="3">
        <v>9</v>
      </c>
      <c r="C145" s="3">
        <v>194</v>
      </c>
      <c r="D145" s="3">
        <v>1</v>
      </c>
      <c r="E145" s="3">
        <v>-58.518</v>
      </c>
      <c r="F145" s="4" t="str">
        <f>HYPERLINK("http://141.218.60.56/~jnz1568/getInfo.php?workbook=14_09.xlsx&amp;sheet=A0&amp;row=145&amp;col=6&amp;number=7900000&amp;sourceID=14","7900000")</f>
        <v>7900000</v>
      </c>
      <c r="G145" s="4" t="str">
        <f>HYPERLINK("http://141.218.60.56/~jnz1568/getInfo.php?workbook=14_09.xlsx&amp;sheet=A0&amp;row=145&amp;col=7&amp;number=0&amp;sourceID=14","0")</f>
        <v>0</v>
      </c>
    </row>
    <row r="146" spans="1:7">
      <c r="A146" s="3">
        <v>14</v>
      </c>
      <c r="B146" s="3">
        <v>9</v>
      </c>
      <c r="C146" s="3">
        <v>195</v>
      </c>
      <c r="D146" s="3">
        <v>1</v>
      </c>
      <c r="E146" s="3">
        <v>-58.515</v>
      </c>
      <c r="F146" s="4" t="str">
        <f>HYPERLINK("http://141.218.60.56/~jnz1568/getInfo.php?workbook=14_09.xlsx&amp;sheet=A0&amp;row=146&amp;col=6&amp;number=11700000&amp;sourceID=14","11700000")</f>
        <v>11700000</v>
      </c>
      <c r="G146" s="4" t="str">
        <f>HYPERLINK("http://141.218.60.56/~jnz1568/getInfo.php?workbook=14_09.xlsx&amp;sheet=A0&amp;row=146&amp;col=7&amp;number=0&amp;sourceID=14","0")</f>
        <v>0</v>
      </c>
    </row>
    <row r="147" spans="1:7">
      <c r="A147" s="3">
        <v>14</v>
      </c>
      <c r="B147" s="3">
        <v>9</v>
      </c>
      <c r="C147" s="3">
        <v>3</v>
      </c>
      <c r="D147" s="3">
        <v>2</v>
      </c>
      <c r="E147" s="3">
        <v>249.125</v>
      </c>
      <c r="F147" s="4" t="str">
        <f>HYPERLINK("http://141.218.60.56/~jnz1568/getInfo.php?workbook=14_09.xlsx&amp;sheet=A0&amp;row=147&amp;col=6&amp;number=11400000000&amp;sourceID=14","11400000000")</f>
        <v>11400000000</v>
      </c>
      <c r="G147" s="4" t="str">
        <f>HYPERLINK("http://141.218.60.56/~jnz1568/getInfo.php?workbook=14_09.xlsx&amp;sheet=A0&amp;row=147&amp;col=7&amp;number=0&amp;sourceID=14","0")</f>
        <v>0</v>
      </c>
    </row>
    <row r="148" spans="1:7">
      <c r="A148" s="3">
        <v>14</v>
      </c>
      <c r="B148" s="3">
        <v>9</v>
      </c>
      <c r="C148" s="3">
        <v>5</v>
      </c>
      <c r="D148" s="3">
        <v>2</v>
      </c>
      <c r="E148" s="3">
        <v>101.159</v>
      </c>
      <c r="F148" s="4" t="str">
        <f>HYPERLINK("http://141.218.60.56/~jnz1568/getInfo.php?workbook=14_09.xlsx&amp;sheet=A0&amp;row=148&amp;col=6&amp;number=82900000&amp;sourceID=14","82900000")</f>
        <v>82900000</v>
      </c>
      <c r="G148" s="4" t="str">
        <f>HYPERLINK("http://141.218.60.56/~jnz1568/getInfo.php?workbook=14_09.xlsx&amp;sheet=A0&amp;row=148&amp;col=7&amp;number=0&amp;sourceID=14","0")</f>
        <v>0</v>
      </c>
    </row>
    <row r="149" spans="1:7">
      <c r="A149" s="3">
        <v>14</v>
      </c>
      <c r="B149" s="3">
        <v>9</v>
      </c>
      <c r="C149" s="3">
        <v>6</v>
      </c>
      <c r="D149" s="3">
        <v>2</v>
      </c>
      <c r="E149" s="3">
        <v>100.97</v>
      </c>
      <c r="F149" s="4" t="str">
        <f>HYPERLINK("http://141.218.60.56/~jnz1568/getInfo.php?workbook=14_09.xlsx&amp;sheet=A0&amp;row=149&amp;col=6&amp;number=276000000&amp;sourceID=14","276000000")</f>
        <v>276000000</v>
      </c>
      <c r="G149" s="4" t="str">
        <f>HYPERLINK("http://141.218.60.56/~jnz1568/getInfo.php?workbook=14_09.xlsx&amp;sheet=A0&amp;row=149&amp;col=7&amp;number=0&amp;sourceID=14","0")</f>
        <v>0</v>
      </c>
    </row>
    <row r="150" spans="1:7">
      <c r="A150" s="3">
        <v>14</v>
      </c>
      <c r="B150" s="3">
        <v>9</v>
      </c>
      <c r="C150" s="3">
        <v>7</v>
      </c>
      <c r="D150" s="3">
        <v>2</v>
      </c>
      <c r="E150" s="3">
        <v>99.966</v>
      </c>
      <c r="F150" s="4" t="str">
        <f>HYPERLINK("http://141.218.60.56/~jnz1568/getInfo.php?workbook=14_09.xlsx&amp;sheet=A0&amp;row=150&amp;col=6&amp;number=11500000000&amp;sourceID=14","11500000000")</f>
        <v>11500000000</v>
      </c>
      <c r="G150" s="4" t="str">
        <f>HYPERLINK("http://141.218.60.56/~jnz1568/getInfo.php?workbook=14_09.xlsx&amp;sheet=A0&amp;row=150&amp;col=7&amp;number=0&amp;sourceID=14","0")</f>
        <v>0</v>
      </c>
    </row>
    <row r="151" spans="1:7">
      <c r="A151" s="3">
        <v>14</v>
      </c>
      <c r="B151" s="3">
        <v>9</v>
      </c>
      <c r="C151" s="3">
        <v>8</v>
      </c>
      <c r="D151" s="3">
        <v>2</v>
      </c>
      <c r="E151" s="3">
        <v>99.599</v>
      </c>
      <c r="F151" s="4" t="str">
        <f>HYPERLINK("http://141.218.60.56/~jnz1568/getInfo.php?workbook=14_09.xlsx&amp;sheet=A0&amp;row=151&amp;col=6&amp;number=54200000000&amp;sourceID=14","54200000000")</f>
        <v>54200000000</v>
      </c>
      <c r="G151" s="4" t="str">
        <f>HYPERLINK("http://141.218.60.56/~jnz1568/getInfo.php?workbook=14_09.xlsx&amp;sheet=A0&amp;row=151&amp;col=7&amp;number=0&amp;sourceID=14","0")</f>
        <v>0</v>
      </c>
    </row>
    <row r="152" spans="1:7">
      <c r="A152" s="3">
        <v>14</v>
      </c>
      <c r="B152" s="3">
        <v>9</v>
      </c>
      <c r="C152" s="3">
        <v>10</v>
      </c>
      <c r="D152" s="3">
        <v>2</v>
      </c>
      <c r="E152" s="3">
        <v>96.491</v>
      </c>
      <c r="F152" s="4" t="str">
        <f>HYPERLINK("http://141.218.60.56/~jnz1568/getInfo.php?workbook=14_09.xlsx&amp;sheet=A0&amp;row=152&amp;col=6&amp;number=29200000000&amp;sourceID=14","29200000000")</f>
        <v>29200000000</v>
      </c>
      <c r="G152" s="4" t="str">
        <f>HYPERLINK("http://141.218.60.56/~jnz1568/getInfo.php?workbook=14_09.xlsx&amp;sheet=A0&amp;row=152&amp;col=7&amp;number=0&amp;sourceID=14","0")</f>
        <v>0</v>
      </c>
    </row>
    <row r="153" spans="1:7">
      <c r="A153" s="3">
        <v>14</v>
      </c>
      <c r="B153" s="3">
        <v>9</v>
      </c>
      <c r="C153" s="3">
        <v>12</v>
      </c>
      <c r="D153" s="3">
        <v>2</v>
      </c>
      <c r="E153" s="3">
        <v>93.918</v>
      </c>
      <c r="F153" s="4" t="str">
        <f>HYPERLINK("http://141.218.60.56/~jnz1568/getInfo.php?workbook=14_09.xlsx&amp;sheet=A0&amp;row=153&amp;col=6&amp;number=14800&amp;sourceID=14","14800")</f>
        <v>14800</v>
      </c>
      <c r="G153" s="4" t="str">
        <f>HYPERLINK("http://141.218.60.56/~jnz1568/getInfo.php?workbook=14_09.xlsx&amp;sheet=A0&amp;row=153&amp;col=7&amp;number=0&amp;sourceID=14","0")</f>
        <v>0</v>
      </c>
    </row>
    <row r="154" spans="1:7">
      <c r="A154" s="3">
        <v>14</v>
      </c>
      <c r="B154" s="3">
        <v>9</v>
      </c>
      <c r="C154" s="3">
        <v>15</v>
      </c>
      <c r="D154" s="3">
        <v>2</v>
      </c>
      <c r="E154" s="3">
        <v>92.969</v>
      </c>
      <c r="F154" s="4" t="str">
        <f>HYPERLINK("http://141.218.60.56/~jnz1568/getInfo.php?workbook=14_09.xlsx&amp;sheet=A0&amp;row=154&amp;col=6&amp;number=81500&amp;sourceID=14","81500")</f>
        <v>81500</v>
      </c>
      <c r="G154" s="4" t="str">
        <f>HYPERLINK("http://141.218.60.56/~jnz1568/getInfo.php?workbook=14_09.xlsx&amp;sheet=A0&amp;row=154&amp;col=7&amp;number=0&amp;sourceID=14","0")</f>
        <v>0</v>
      </c>
    </row>
    <row r="155" spans="1:7">
      <c r="A155" s="3">
        <v>14</v>
      </c>
      <c r="B155" s="3">
        <v>9</v>
      </c>
      <c r="C155" s="3">
        <v>16</v>
      </c>
      <c r="D155" s="3">
        <v>2</v>
      </c>
      <c r="E155" s="3">
        <v>92.84</v>
      </c>
      <c r="F155" s="4" t="str">
        <f>HYPERLINK("http://141.218.60.56/~jnz1568/getInfo.php?workbook=14_09.xlsx&amp;sheet=A0&amp;row=155&amp;col=6&amp;number=88300&amp;sourceID=14","88300")</f>
        <v>88300</v>
      </c>
      <c r="G155" s="4" t="str">
        <f>HYPERLINK("http://141.218.60.56/~jnz1568/getInfo.php?workbook=14_09.xlsx&amp;sheet=A0&amp;row=155&amp;col=7&amp;number=0&amp;sourceID=14","0")</f>
        <v>0</v>
      </c>
    </row>
    <row r="156" spans="1:7">
      <c r="A156" s="3">
        <v>14</v>
      </c>
      <c r="B156" s="3">
        <v>9</v>
      </c>
      <c r="C156" s="3">
        <v>18</v>
      </c>
      <c r="D156" s="3">
        <v>2</v>
      </c>
      <c r="E156" s="3">
        <v>92.447</v>
      </c>
      <c r="F156" s="4" t="str">
        <f>HYPERLINK("http://141.218.60.56/~jnz1568/getInfo.php?workbook=14_09.xlsx&amp;sheet=A0&amp;row=156&amp;col=6&amp;number=1520000&amp;sourceID=14","1520000")</f>
        <v>1520000</v>
      </c>
      <c r="G156" s="4" t="str">
        <f>HYPERLINK("http://141.218.60.56/~jnz1568/getInfo.php?workbook=14_09.xlsx&amp;sheet=A0&amp;row=156&amp;col=7&amp;number=0&amp;sourceID=14","0")</f>
        <v>0</v>
      </c>
    </row>
    <row r="157" spans="1:7">
      <c r="A157" s="3">
        <v>14</v>
      </c>
      <c r="B157" s="3">
        <v>9</v>
      </c>
      <c r="C157" s="3">
        <v>19</v>
      </c>
      <c r="D157" s="3">
        <v>2</v>
      </c>
      <c r="E157" s="3">
        <v>92.212</v>
      </c>
      <c r="F157" s="4" t="str">
        <f>HYPERLINK("http://141.218.60.56/~jnz1568/getInfo.php?workbook=14_09.xlsx&amp;sheet=A0&amp;row=157&amp;col=6&amp;number=2570000&amp;sourceID=14","2570000")</f>
        <v>2570000</v>
      </c>
      <c r="G157" s="4" t="str">
        <f>HYPERLINK("http://141.218.60.56/~jnz1568/getInfo.php?workbook=14_09.xlsx&amp;sheet=A0&amp;row=157&amp;col=7&amp;number=0&amp;sourceID=14","0")</f>
        <v>0</v>
      </c>
    </row>
    <row r="158" spans="1:7">
      <c r="A158" s="3">
        <v>14</v>
      </c>
      <c r="B158" s="3">
        <v>9</v>
      </c>
      <c r="C158" s="3">
        <v>21</v>
      </c>
      <c r="D158" s="3">
        <v>2</v>
      </c>
      <c r="E158" s="3">
        <v>91.855</v>
      </c>
      <c r="F158" s="4" t="str">
        <f>HYPERLINK("http://141.218.60.56/~jnz1568/getInfo.php?workbook=14_09.xlsx&amp;sheet=A0&amp;row=158&amp;col=6&amp;number=426000&amp;sourceID=14","426000")</f>
        <v>426000</v>
      </c>
      <c r="G158" s="4" t="str">
        <f>HYPERLINK("http://141.218.60.56/~jnz1568/getInfo.php?workbook=14_09.xlsx&amp;sheet=A0&amp;row=158&amp;col=7&amp;number=0&amp;sourceID=14","0")</f>
        <v>0</v>
      </c>
    </row>
    <row r="159" spans="1:7">
      <c r="A159" s="3">
        <v>14</v>
      </c>
      <c r="B159" s="3">
        <v>9</v>
      </c>
      <c r="C159" s="3">
        <v>22</v>
      </c>
      <c r="D159" s="3">
        <v>2</v>
      </c>
      <c r="E159" s="3">
        <v>91.79</v>
      </c>
      <c r="F159" s="4" t="str">
        <f>HYPERLINK("http://141.218.60.56/~jnz1568/getInfo.php?workbook=14_09.xlsx&amp;sheet=A0&amp;row=159&amp;col=6&amp;number=3260000&amp;sourceID=14","3260000")</f>
        <v>3260000</v>
      </c>
      <c r="G159" s="4" t="str">
        <f>HYPERLINK("http://141.218.60.56/~jnz1568/getInfo.php?workbook=14_09.xlsx&amp;sheet=A0&amp;row=159&amp;col=7&amp;number=0&amp;sourceID=14","0")</f>
        <v>0</v>
      </c>
    </row>
    <row r="160" spans="1:7">
      <c r="A160" s="3">
        <v>14</v>
      </c>
      <c r="B160" s="3">
        <v>9</v>
      </c>
      <c r="C160" s="3">
        <v>24</v>
      </c>
      <c r="D160" s="3">
        <v>2</v>
      </c>
      <c r="E160" s="3">
        <v>91.798</v>
      </c>
      <c r="F160" s="4" t="str">
        <f>HYPERLINK("http://141.218.60.56/~jnz1568/getInfo.php?workbook=14_09.xlsx&amp;sheet=A0&amp;row=160&amp;col=6&amp;number=15100000000&amp;sourceID=14","15100000000")</f>
        <v>15100000000</v>
      </c>
      <c r="G160" s="4" t="str">
        <f>HYPERLINK("http://141.218.60.56/~jnz1568/getInfo.php?workbook=14_09.xlsx&amp;sheet=A0&amp;row=160&amp;col=7&amp;number=0&amp;sourceID=14","0")</f>
        <v>0</v>
      </c>
    </row>
    <row r="161" spans="1:7">
      <c r="A161" s="3">
        <v>14</v>
      </c>
      <c r="B161" s="3">
        <v>9</v>
      </c>
      <c r="C161" s="3">
        <v>25</v>
      </c>
      <c r="D161" s="3">
        <v>2</v>
      </c>
      <c r="E161" s="3">
        <v>89.207</v>
      </c>
      <c r="F161" s="4" t="str">
        <f>HYPERLINK("http://141.218.60.56/~jnz1568/getInfo.php?workbook=14_09.xlsx&amp;sheet=A0&amp;row=161&amp;col=6&amp;number=3520000&amp;sourceID=14","3520000")</f>
        <v>3520000</v>
      </c>
      <c r="G161" s="4" t="str">
        <f>HYPERLINK("http://141.218.60.56/~jnz1568/getInfo.php?workbook=14_09.xlsx&amp;sheet=A0&amp;row=161&amp;col=7&amp;number=0&amp;sourceID=14","0")</f>
        <v>0</v>
      </c>
    </row>
    <row r="162" spans="1:7">
      <c r="A162" s="3">
        <v>14</v>
      </c>
      <c r="B162" s="3">
        <v>9</v>
      </c>
      <c r="C162" s="3">
        <v>27</v>
      </c>
      <c r="D162" s="3">
        <v>2</v>
      </c>
      <c r="E162" s="3">
        <v>88.576</v>
      </c>
      <c r="F162" s="4" t="str">
        <f>HYPERLINK("http://141.218.60.56/~jnz1568/getInfo.php?workbook=14_09.xlsx&amp;sheet=A0&amp;row=162&amp;col=6&amp;number=682000&amp;sourceID=14","682000")</f>
        <v>682000</v>
      </c>
      <c r="G162" s="4" t="str">
        <f>HYPERLINK("http://141.218.60.56/~jnz1568/getInfo.php?workbook=14_09.xlsx&amp;sheet=A0&amp;row=162&amp;col=7&amp;number=0&amp;sourceID=14","0")</f>
        <v>0</v>
      </c>
    </row>
    <row r="163" spans="1:7">
      <c r="A163" s="3">
        <v>14</v>
      </c>
      <c r="B163" s="3">
        <v>9</v>
      </c>
      <c r="C163" s="3">
        <v>28</v>
      </c>
      <c r="D163" s="3">
        <v>2</v>
      </c>
      <c r="E163" s="3">
        <v>88.343</v>
      </c>
      <c r="F163" s="4" t="str">
        <f>HYPERLINK("http://141.218.60.56/~jnz1568/getInfo.php?workbook=14_09.xlsx&amp;sheet=A0&amp;row=163&amp;col=6&amp;number=411000&amp;sourceID=14","411000")</f>
        <v>411000</v>
      </c>
      <c r="G163" s="4" t="str">
        <f>HYPERLINK("http://141.218.60.56/~jnz1568/getInfo.php?workbook=14_09.xlsx&amp;sheet=A0&amp;row=163&amp;col=7&amp;number=0&amp;sourceID=14","0")</f>
        <v>0</v>
      </c>
    </row>
    <row r="164" spans="1:7">
      <c r="A164" s="3">
        <v>14</v>
      </c>
      <c r="B164" s="3">
        <v>9</v>
      </c>
      <c r="C164" s="3">
        <v>29</v>
      </c>
      <c r="D164" s="3">
        <v>2</v>
      </c>
      <c r="E164" s="3">
        <v>87.504</v>
      </c>
      <c r="F164" s="4" t="str">
        <f>HYPERLINK("http://141.218.60.56/~jnz1568/getInfo.php?workbook=14_09.xlsx&amp;sheet=A0&amp;row=164&amp;col=6&amp;number=689000&amp;sourceID=14","689000")</f>
        <v>689000</v>
      </c>
      <c r="G164" s="4" t="str">
        <f>HYPERLINK("http://141.218.60.56/~jnz1568/getInfo.php?workbook=14_09.xlsx&amp;sheet=A0&amp;row=164&amp;col=7&amp;number=0&amp;sourceID=14","0")</f>
        <v>0</v>
      </c>
    </row>
    <row r="165" spans="1:7">
      <c r="A165" s="3">
        <v>14</v>
      </c>
      <c r="B165" s="3">
        <v>9</v>
      </c>
      <c r="C165" s="3">
        <v>33</v>
      </c>
      <c r="D165" s="3">
        <v>2</v>
      </c>
      <c r="E165" s="3">
        <v>84.994</v>
      </c>
      <c r="F165" s="4" t="str">
        <f>HYPERLINK("http://141.218.60.56/~jnz1568/getInfo.php?workbook=14_09.xlsx&amp;sheet=A0&amp;row=165&amp;col=6&amp;number=32700000&amp;sourceID=14","32700000")</f>
        <v>32700000</v>
      </c>
      <c r="G165" s="4" t="str">
        <f>HYPERLINK("http://141.218.60.56/~jnz1568/getInfo.php?workbook=14_09.xlsx&amp;sheet=A0&amp;row=165&amp;col=7&amp;number=0&amp;sourceID=14","0")</f>
        <v>0</v>
      </c>
    </row>
    <row r="166" spans="1:7">
      <c r="A166" s="3">
        <v>14</v>
      </c>
      <c r="B166" s="3">
        <v>9</v>
      </c>
      <c r="C166" s="3">
        <v>34</v>
      </c>
      <c r="D166" s="3">
        <v>2</v>
      </c>
      <c r="E166" s="3">
        <v>84.945</v>
      </c>
      <c r="F166" s="4" t="str">
        <f>HYPERLINK("http://141.218.60.56/~jnz1568/getInfo.php?workbook=14_09.xlsx&amp;sheet=A0&amp;row=166&amp;col=6&amp;number=161000000&amp;sourceID=14","161000000")</f>
        <v>161000000</v>
      </c>
      <c r="G166" s="4" t="str">
        <f>HYPERLINK("http://141.218.60.56/~jnz1568/getInfo.php?workbook=14_09.xlsx&amp;sheet=A0&amp;row=166&amp;col=7&amp;number=0&amp;sourceID=14","0")</f>
        <v>0</v>
      </c>
    </row>
    <row r="167" spans="1:7">
      <c r="A167" s="3">
        <v>14</v>
      </c>
      <c r="B167" s="3">
        <v>9</v>
      </c>
      <c r="C167" s="3">
        <v>38</v>
      </c>
      <c r="D167" s="3">
        <v>2</v>
      </c>
      <c r="E167" s="3">
        <v>-85.206</v>
      </c>
      <c r="F167" s="4" t="str">
        <f>HYPERLINK("http://141.218.60.56/~jnz1568/getInfo.php?workbook=14_09.xlsx&amp;sheet=A0&amp;row=167&amp;col=6&amp;number=2040000000&amp;sourceID=14","2040000000")</f>
        <v>2040000000</v>
      </c>
      <c r="G167" s="4" t="str">
        <f>HYPERLINK("http://141.218.60.56/~jnz1568/getInfo.php?workbook=14_09.xlsx&amp;sheet=A0&amp;row=167&amp;col=7&amp;number=0&amp;sourceID=14","0")</f>
        <v>0</v>
      </c>
    </row>
    <row r="168" spans="1:7">
      <c r="A168" s="3">
        <v>14</v>
      </c>
      <c r="B168" s="3">
        <v>9</v>
      </c>
      <c r="C168" s="3">
        <v>39</v>
      </c>
      <c r="D168" s="3">
        <v>2</v>
      </c>
      <c r="E168" s="3">
        <v>84.047</v>
      </c>
      <c r="F168" s="4" t="str">
        <f>HYPERLINK("http://141.218.60.56/~jnz1568/getInfo.php?workbook=14_09.xlsx&amp;sheet=A0&amp;row=168&amp;col=6&amp;number=2080000&amp;sourceID=14","2080000")</f>
        <v>2080000</v>
      </c>
      <c r="G168" s="4" t="str">
        <f>HYPERLINK("http://141.218.60.56/~jnz1568/getInfo.php?workbook=14_09.xlsx&amp;sheet=A0&amp;row=168&amp;col=7&amp;number=0&amp;sourceID=14","0")</f>
        <v>0</v>
      </c>
    </row>
    <row r="169" spans="1:7">
      <c r="A169" s="3">
        <v>14</v>
      </c>
      <c r="B169" s="3">
        <v>9</v>
      </c>
      <c r="C169" s="3">
        <v>40</v>
      </c>
      <c r="D169" s="3">
        <v>2</v>
      </c>
      <c r="E169" s="3">
        <v>83.97</v>
      </c>
      <c r="F169" s="4" t="str">
        <f>HYPERLINK("http://141.218.60.56/~jnz1568/getInfo.php?workbook=14_09.xlsx&amp;sheet=A0&amp;row=169&amp;col=6&amp;number=144000000&amp;sourceID=14","144000000")</f>
        <v>144000000</v>
      </c>
      <c r="G169" s="4" t="str">
        <f>HYPERLINK("http://141.218.60.56/~jnz1568/getInfo.php?workbook=14_09.xlsx&amp;sheet=A0&amp;row=169&amp;col=7&amp;number=0&amp;sourceID=14","0")</f>
        <v>0</v>
      </c>
    </row>
    <row r="170" spans="1:7">
      <c r="A170" s="3">
        <v>14</v>
      </c>
      <c r="B170" s="3">
        <v>9</v>
      </c>
      <c r="C170" s="3">
        <v>44</v>
      </c>
      <c r="D170" s="3">
        <v>2</v>
      </c>
      <c r="E170" s="3">
        <v>-84.705</v>
      </c>
      <c r="F170" s="4" t="str">
        <f>HYPERLINK("http://141.218.60.56/~jnz1568/getInfo.php?workbook=14_09.xlsx&amp;sheet=A0&amp;row=170&amp;col=6&amp;number=1110000&amp;sourceID=14","1110000")</f>
        <v>1110000</v>
      </c>
      <c r="G170" s="4" t="str">
        <f>HYPERLINK("http://141.218.60.56/~jnz1568/getInfo.php?workbook=14_09.xlsx&amp;sheet=A0&amp;row=170&amp;col=7&amp;number=0&amp;sourceID=14","0")</f>
        <v>0</v>
      </c>
    </row>
    <row r="171" spans="1:7">
      <c r="A171" s="3">
        <v>14</v>
      </c>
      <c r="B171" s="3">
        <v>9</v>
      </c>
      <c r="C171" s="3">
        <v>46</v>
      </c>
      <c r="D171" s="3">
        <v>2</v>
      </c>
      <c r="E171" s="3">
        <v>-84.662</v>
      </c>
      <c r="F171" s="4" t="str">
        <f>HYPERLINK("http://141.218.60.56/~jnz1568/getInfo.php?workbook=14_09.xlsx&amp;sheet=A0&amp;row=171&amp;col=6&amp;number=48800000000&amp;sourceID=14","48800000000")</f>
        <v>48800000000</v>
      </c>
      <c r="G171" s="4" t="str">
        <f>HYPERLINK("http://141.218.60.56/~jnz1568/getInfo.php?workbook=14_09.xlsx&amp;sheet=A0&amp;row=171&amp;col=7&amp;number=0&amp;sourceID=14","0")</f>
        <v>0</v>
      </c>
    </row>
    <row r="172" spans="1:7">
      <c r="A172" s="3">
        <v>14</v>
      </c>
      <c r="B172" s="3">
        <v>9</v>
      </c>
      <c r="C172" s="3">
        <v>47</v>
      </c>
      <c r="D172" s="3">
        <v>2</v>
      </c>
      <c r="E172" s="3">
        <v>-84.609</v>
      </c>
      <c r="F172" s="4" t="str">
        <f>HYPERLINK("http://141.218.60.56/~jnz1568/getInfo.php?workbook=14_09.xlsx&amp;sheet=A0&amp;row=172&amp;col=6&amp;number=97900000000&amp;sourceID=14","97900000000")</f>
        <v>97900000000</v>
      </c>
      <c r="G172" s="4" t="str">
        <f>HYPERLINK("http://141.218.60.56/~jnz1568/getInfo.php?workbook=14_09.xlsx&amp;sheet=A0&amp;row=172&amp;col=7&amp;number=0&amp;sourceID=14","0")</f>
        <v>0</v>
      </c>
    </row>
    <row r="173" spans="1:7">
      <c r="A173" s="3">
        <v>14</v>
      </c>
      <c r="B173" s="3">
        <v>9</v>
      </c>
      <c r="C173" s="3">
        <v>49</v>
      </c>
      <c r="D173" s="3">
        <v>2</v>
      </c>
      <c r="E173" s="3">
        <v>-84.36</v>
      </c>
      <c r="F173" s="4" t="str">
        <f>HYPERLINK("http://141.218.60.56/~jnz1568/getInfo.php?workbook=14_09.xlsx&amp;sheet=A0&amp;row=173&amp;col=6&amp;number=121000000000&amp;sourceID=14","121000000000")</f>
        <v>121000000000</v>
      </c>
      <c r="G173" s="4" t="str">
        <f>HYPERLINK("http://141.218.60.56/~jnz1568/getInfo.php?workbook=14_09.xlsx&amp;sheet=A0&amp;row=173&amp;col=7&amp;number=0&amp;sourceID=14","0")</f>
        <v>0</v>
      </c>
    </row>
    <row r="174" spans="1:7">
      <c r="A174" s="3">
        <v>14</v>
      </c>
      <c r="B174" s="3">
        <v>9</v>
      </c>
      <c r="C174" s="3">
        <v>52</v>
      </c>
      <c r="D174" s="3">
        <v>2</v>
      </c>
      <c r="E174" s="3">
        <v>-81.866</v>
      </c>
      <c r="F174" s="4" t="str">
        <f>HYPERLINK("http://141.218.60.56/~jnz1568/getInfo.php?workbook=14_09.xlsx&amp;sheet=A0&amp;row=174&amp;col=6&amp;number=64000000000&amp;sourceID=14","64000000000")</f>
        <v>64000000000</v>
      </c>
      <c r="G174" s="4" t="str">
        <f>HYPERLINK("http://141.218.60.56/~jnz1568/getInfo.php?workbook=14_09.xlsx&amp;sheet=A0&amp;row=174&amp;col=7&amp;number=0&amp;sourceID=14","0")</f>
        <v>0</v>
      </c>
    </row>
    <row r="175" spans="1:7">
      <c r="A175" s="3">
        <v>14</v>
      </c>
      <c r="B175" s="3">
        <v>9</v>
      </c>
      <c r="C175" s="3">
        <v>53</v>
      </c>
      <c r="D175" s="3">
        <v>2</v>
      </c>
      <c r="E175" s="3">
        <v>-81.786</v>
      </c>
      <c r="F175" s="4" t="str">
        <f>HYPERLINK("http://141.218.60.56/~jnz1568/getInfo.php?workbook=14_09.xlsx&amp;sheet=A0&amp;row=175&amp;col=6&amp;number=68300000000&amp;sourceID=14","68300000000")</f>
        <v>68300000000</v>
      </c>
      <c r="G175" s="4" t="str">
        <f>HYPERLINK("http://141.218.60.56/~jnz1568/getInfo.php?workbook=14_09.xlsx&amp;sheet=A0&amp;row=175&amp;col=7&amp;number=0&amp;sourceID=14","0")</f>
        <v>0</v>
      </c>
    </row>
    <row r="176" spans="1:7">
      <c r="A176" s="3">
        <v>14</v>
      </c>
      <c r="B176" s="3">
        <v>9</v>
      </c>
      <c r="C176" s="3">
        <v>55</v>
      </c>
      <c r="D176" s="3">
        <v>2</v>
      </c>
      <c r="E176" s="3">
        <v>-81.685</v>
      </c>
      <c r="F176" s="4" t="str">
        <f>HYPERLINK("http://141.218.60.56/~jnz1568/getInfo.php?workbook=14_09.xlsx&amp;sheet=A0&amp;row=176&amp;col=6&amp;number=343000000000&amp;sourceID=14","343000000000")</f>
        <v>343000000000</v>
      </c>
      <c r="G176" s="4" t="str">
        <f>HYPERLINK("http://141.218.60.56/~jnz1568/getInfo.php?workbook=14_09.xlsx&amp;sheet=A0&amp;row=176&amp;col=7&amp;number=0&amp;sourceID=14","0")</f>
        <v>0</v>
      </c>
    </row>
    <row r="177" spans="1:7">
      <c r="A177" s="3">
        <v>14</v>
      </c>
      <c r="B177" s="3">
        <v>9</v>
      </c>
      <c r="C177" s="3">
        <v>58</v>
      </c>
      <c r="D177" s="3">
        <v>2</v>
      </c>
      <c r="E177" s="3">
        <v>-81.531</v>
      </c>
      <c r="F177" s="4" t="str">
        <f>HYPERLINK("http://141.218.60.56/~jnz1568/getInfo.php?workbook=14_09.xlsx&amp;sheet=A0&amp;row=177&amp;col=6&amp;number=217000000000&amp;sourceID=14","217000000000")</f>
        <v>217000000000</v>
      </c>
      <c r="G177" s="4" t="str">
        <f>HYPERLINK("http://141.218.60.56/~jnz1568/getInfo.php?workbook=14_09.xlsx&amp;sheet=A0&amp;row=177&amp;col=7&amp;number=0&amp;sourceID=14","0")</f>
        <v>0</v>
      </c>
    </row>
    <row r="178" spans="1:7">
      <c r="A178" s="3">
        <v>14</v>
      </c>
      <c r="B178" s="3">
        <v>9</v>
      </c>
      <c r="C178" s="3">
        <v>60</v>
      </c>
      <c r="D178" s="3">
        <v>2</v>
      </c>
      <c r="E178" s="3">
        <v>-77.554</v>
      </c>
      <c r="F178" s="4" t="str">
        <f>HYPERLINK("http://141.218.60.56/~jnz1568/getInfo.php?workbook=14_09.xlsx&amp;sheet=A0&amp;row=178&amp;col=6&amp;number=64600000000&amp;sourceID=14","64600000000")</f>
        <v>64600000000</v>
      </c>
      <c r="G178" s="4" t="str">
        <f>HYPERLINK("http://141.218.60.56/~jnz1568/getInfo.php?workbook=14_09.xlsx&amp;sheet=A0&amp;row=178&amp;col=7&amp;number=0&amp;sourceID=14","0")</f>
        <v>0</v>
      </c>
    </row>
    <row r="179" spans="1:7">
      <c r="A179" s="3">
        <v>14</v>
      </c>
      <c r="B179" s="3">
        <v>9</v>
      </c>
      <c r="C179" s="3">
        <v>62</v>
      </c>
      <c r="D179" s="3">
        <v>2</v>
      </c>
      <c r="E179" s="3">
        <v>-76.667</v>
      </c>
      <c r="F179" s="4" t="str">
        <f>HYPERLINK("http://141.218.60.56/~jnz1568/getInfo.php?workbook=14_09.xlsx&amp;sheet=A0&amp;row=179&amp;col=6&amp;number=992000000&amp;sourceID=14","992000000")</f>
        <v>992000000</v>
      </c>
      <c r="G179" s="4" t="str">
        <f>HYPERLINK("http://141.218.60.56/~jnz1568/getInfo.php?workbook=14_09.xlsx&amp;sheet=A0&amp;row=179&amp;col=7&amp;number=0&amp;sourceID=14","0")</f>
        <v>0</v>
      </c>
    </row>
    <row r="180" spans="1:7">
      <c r="A180" s="3">
        <v>14</v>
      </c>
      <c r="B180" s="3">
        <v>9</v>
      </c>
      <c r="C180" s="3">
        <v>63</v>
      </c>
      <c r="D180" s="3">
        <v>2</v>
      </c>
      <c r="E180" s="3">
        <v>-76.531</v>
      </c>
      <c r="F180" s="4" t="str">
        <f>HYPERLINK("http://141.218.60.56/~jnz1568/getInfo.php?workbook=14_09.xlsx&amp;sheet=A0&amp;row=180&amp;col=6&amp;number=855000000&amp;sourceID=14","855000000")</f>
        <v>855000000</v>
      </c>
      <c r="G180" s="4" t="str">
        <f>HYPERLINK("http://141.218.60.56/~jnz1568/getInfo.php?workbook=14_09.xlsx&amp;sheet=A0&amp;row=180&amp;col=7&amp;number=0&amp;sourceID=14","0")</f>
        <v>0</v>
      </c>
    </row>
    <row r="181" spans="1:7">
      <c r="A181" s="3">
        <v>14</v>
      </c>
      <c r="B181" s="3">
        <v>9</v>
      </c>
      <c r="C181" s="3">
        <v>64</v>
      </c>
      <c r="D181" s="3">
        <v>2</v>
      </c>
      <c r="E181" s="3">
        <v>-76.451</v>
      </c>
      <c r="F181" s="4" t="str">
        <f>HYPERLINK("http://141.218.60.56/~jnz1568/getInfo.php?workbook=14_09.xlsx&amp;sheet=A0&amp;row=181&amp;col=6&amp;number=4700000000&amp;sourceID=14","4700000000")</f>
        <v>4700000000</v>
      </c>
      <c r="G181" s="4" t="str">
        <f>HYPERLINK("http://141.218.60.56/~jnz1568/getInfo.php?workbook=14_09.xlsx&amp;sheet=A0&amp;row=181&amp;col=7&amp;number=0&amp;sourceID=14","0")</f>
        <v>0</v>
      </c>
    </row>
    <row r="182" spans="1:7">
      <c r="A182" s="3">
        <v>14</v>
      </c>
      <c r="B182" s="3">
        <v>9</v>
      </c>
      <c r="C182" s="3">
        <v>65</v>
      </c>
      <c r="D182" s="3">
        <v>2</v>
      </c>
      <c r="E182" s="3">
        <v>-76.263</v>
      </c>
      <c r="F182" s="4" t="str">
        <f>HYPERLINK("http://141.218.60.56/~jnz1568/getInfo.php?workbook=14_09.xlsx&amp;sheet=A0&amp;row=182&amp;col=6&amp;number=24700000000&amp;sourceID=14","24700000000")</f>
        <v>24700000000</v>
      </c>
      <c r="G182" s="4" t="str">
        <f>HYPERLINK("http://141.218.60.56/~jnz1568/getInfo.php?workbook=14_09.xlsx&amp;sheet=A0&amp;row=182&amp;col=7&amp;number=0&amp;sourceID=14","0")</f>
        <v>0</v>
      </c>
    </row>
    <row r="183" spans="1:7">
      <c r="A183" s="3">
        <v>14</v>
      </c>
      <c r="B183" s="3">
        <v>9</v>
      </c>
      <c r="C183" s="3">
        <v>70</v>
      </c>
      <c r="D183" s="3">
        <v>2</v>
      </c>
      <c r="E183" s="3">
        <v>-74.86</v>
      </c>
      <c r="F183" s="4" t="str">
        <f>HYPERLINK("http://141.218.60.56/~jnz1568/getInfo.php?workbook=14_09.xlsx&amp;sheet=A0&amp;row=183&amp;col=6&amp;number=856000&amp;sourceID=14","856000")</f>
        <v>856000</v>
      </c>
      <c r="G183" s="4" t="str">
        <f>HYPERLINK("http://141.218.60.56/~jnz1568/getInfo.php?workbook=14_09.xlsx&amp;sheet=A0&amp;row=183&amp;col=7&amp;number=0&amp;sourceID=14","0")</f>
        <v>0</v>
      </c>
    </row>
    <row r="184" spans="1:7">
      <c r="A184" s="3">
        <v>14</v>
      </c>
      <c r="B184" s="3">
        <v>9</v>
      </c>
      <c r="C184" s="3">
        <v>71</v>
      </c>
      <c r="D184" s="3">
        <v>2</v>
      </c>
      <c r="E184" s="3">
        <v>-74.744</v>
      </c>
      <c r="F184" s="4" t="str">
        <f>HYPERLINK("http://141.218.60.56/~jnz1568/getInfo.php?workbook=14_09.xlsx&amp;sheet=A0&amp;row=184&amp;col=6&amp;number=536000&amp;sourceID=14","536000")</f>
        <v>536000</v>
      </c>
      <c r="G184" s="4" t="str">
        <f>HYPERLINK("http://141.218.60.56/~jnz1568/getInfo.php?workbook=14_09.xlsx&amp;sheet=A0&amp;row=184&amp;col=7&amp;number=0&amp;sourceID=14","0")</f>
        <v>0</v>
      </c>
    </row>
    <row r="185" spans="1:7">
      <c r="A185" s="3">
        <v>14</v>
      </c>
      <c r="B185" s="3">
        <v>9</v>
      </c>
      <c r="C185" s="3">
        <v>72</v>
      </c>
      <c r="D185" s="3">
        <v>2</v>
      </c>
      <c r="E185" s="3">
        <v>-74.701</v>
      </c>
      <c r="F185" s="4" t="str">
        <f>HYPERLINK("http://141.218.60.56/~jnz1568/getInfo.php?workbook=14_09.xlsx&amp;sheet=A0&amp;row=185&amp;col=6&amp;number=1550000&amp;sourceID=14","1550000")</f>
        <v>1550000</v>
      </c>
      <c r="G185" s="4" t="str">
        <f>HYPERLINK("http://141.218.60.56/~jnz1568/getInfo.php?workbook=14_09.xlsx&amp;sheet=A0&amp;row=185&amp;col=7&amp;number=0&amp;sourceID=14","0")</f>
        <v>0</v>
      </c>
    </row>
    <row r="186" spans="1:7">
      <c r="A186" s="3">
        <v>14</v>
      </c>
      <c r="B186" s="3">
        <v>9</v>
      </c>
      <c r="C186" s="3">
        <v>75</v>
      </c>
      <c r="D186" s="3">
        <v>2</v>
      </c>
      <c r="E186" s="3">
        <v>-74.583</v>
      </c>
      <c r="F186" s="4" t="str">
        <f>HYPERLINK("http://141.218.60.56/~jnz1568/getInfo.php?workbook=14_09.xlsx&amp;sheet=A0&amp;row=186&amp;col=6&amp;number=61400&amp;sourceID=14","61400")</f>
        <v>61400</v>
      </c>
      <c r="G186" s="4" t="str">
        <f>HYPERLINK("http://141.218.60.56/~jnz1568/getInfo.php?workbook=14_09.xlsx&amp;sheet=A0&amp;row=186&amp;col=7&amp;number=0&amp;sourceID=14","0")</f>
        <v>0</v>
      </c>
    </row>
    <row r="187" spans="1:7">
      <c r="A187" s="3">
        <v>14</v>
      </c>
      <c r="B187" s="3">
        <v>9</v>
      </c>
      <c r="C187" s="3">
        <v>76</v>
      </c>
      <c r="D187" s="3">
        <v>2</v>
      </c>
      <c r="E187" s="3">
        <v>-74.567</v>
      </c>
      <c r="F187" s="4" t="str">
        <f>HYPERLINK("http://141.218.60.56/~jnz1568/getInfo.php?workbook=14_09.xlsx&amp;sheet=A0&amp;row=187&amp;col=6&amp;number=3890000&amp;sourceID=14","3890000")</f>
        <v>3890000</v>
      </c>
      <c r="G187" s="4" t="str">
        <f>HYPERLINK("http://141.218.60.56/~jnz1568/getInfo.php?workbook=14_09.xlsx&amp;sheet=A0&amp;row=187&amp;col=7&amp;number=0&amp;sourceID=14","0")</f>
        <v>0</v>
      </c>
    </row>
    <row r="188" spans="1:7">
      <c r="A188" s="3">
        <v>14</v>
      </c>
      <c r="B188" s="3">
        <v>9</v>
      </c>
      <c r="C188" s="3">
        <v>77</v>
      </c>
      <c r="D188" s="3">
        <v>2</v>
      </c>
      <c r="E188" s="3">
        <v>-74.174</v>
      </c>
      <c r="F188" s="4" t="str">
        <f>HYPERLINK("http://141.218.60.56/~jnz1568/getInfo.php?workbook=14_09.xlsx&amp;sheet=A0&amp;row=188&amp;col=6&amp;number=5030000&amp;sourceID=14","5030000")</f>
        <v>5030000</v>
      </c>
      <c r="G188" s="4" t="str">
        <f>HYPERLINK("http://141.218.60.56/~jnz1568/getInfo.php?workbook=14_09.xlsx&amp;sheet=A0&amp;row=188&amp;col=7&amp;number=0&amp;sourceID=14","0")</f>
        <v>0</v>
      </c>
    </row>
    <row r="189" spans="1:7">
      <c r="A189" s="3">
        <v>14</v>
      </c>
      <c r="B189" s="3">
        <v>9</v>
      </c>
      <c r="C189" s="3">
        <v>80</v>
      </c>
      <c r="D189" s="3">
        <v>2</v>
      </c>
      <c r="E189" s="3">
        <v>-73.98</v>
      </c>
      <c r="F189" s="4" t="str">
        <f>HYPERLINK("http://141.218.60.56/~jnz1568/getInfo.php?workbook=14_09.xlsx&amp;sheet=A0&amp;row=189&amp;col=6&amp;number=9570000000&amp;sourceID=14","9570000000")</f>
        <v>9570000000</v>
      </c>
      <c r="G189" s="4" t="str">
        <f>HYPERLINK("http://141.218.60.56/~jnz1568/getInfo.php?workbook=14_09.xlsx&amp;sheet=A0&amp;row=189&amp;col=7&amp;number=0&amp;sourceID=14","0")</f>
        <v>0</v>
      </c>
    </row>
    <row r="190" spans="1:7">
      <c r="A190" s="3">
        <v>14</v>
      </c>
      <c r="B190" s="3">
        <v>9</v>
      </c>
      <c r="C190" s="3">
        <v>88</v>
      </c>
      <c r="D190" s="3">
        <v>2</v>
      </c>
      <c r="E190" s="3">
        <v>-72.864</v>
      </c>
      <c r="F190" s="4" t="str">
        <f>HYPERLINK("http://141.218.60.56/~jnz1568/getInfo.php?workbook=14_09.xlsx&amp;sheet=A0&amp;row=190&amp;col=6&amp;number=146000000&amp;sourceID=14","146000000")</f>
        <v>146000000</v>
      </c>
      <c r="G190" s="4" t="str">
        <f>HYPERLINK("http://141.218.60.56/~jnz1568/getInfo.php?workbook=14_09.xlsx&amp;sheet=A0&amp;row=190&amp;col=7&amp;number=0&amp;sourceID=14","0")</f>
        <v>0</v>
      </c>
    </row>
    <row r="191" spans="1:7">
      <c r="A191" s="3">
        <v>14</v>
      </c>
      <c r="B191" s="3">
        <v>9</v>
      </c>
      <c r="C191" s="3">
        <v>89</v>
      </c>
      <c r="D191" s="3">
        <v>2</v>
      </c>
      <c r="E191" s="3">
        <v>-72.826</v>
      </c>
      <c r="F191" s="4" t="str">
        <f>HYPERLINK("http://141.218.60.56/~jnz1568/getInfo.php?workbook=14_09.xlsx&amp;sheet=A0&amp;row=191&amp;col=6&amp;number=1560000000&amp;sourceID=14","1560000000")</f>
        <v>1560000000</v>
      </c>
      <c r="G191" s="4" t="str">
        <f>HYPERLINK("http://141.218.60.56/~jnz1568/getInfo.php?workbook=14_09.xlsx&amp;sheet=A0&amp;row=191&amp;col=7&amp;number=0&amp;sourceID=14","0")</f>
        <v>0</v>
      </c>
    </row>
    <row r="192" spans="1:7">
      <c r="A192" s="3">
        <v>14</v>
      </c>
      <c r="B192" s="3">
        <v>9</v>
      </c>
      <c r="C192" s="3">
        <v>92</v>
      </c>
      <c r="D192" s="3">
        <v>2</v>
      </c>
      <c r="E192" s="3">
        <v>-72.661</v>
      </c>
      <c r="F192" s="4" t="str">
        <f>HYPERLINK("http://141.218.60.56/~jnz1568/getInfo.php?workbook=14_09.xlsx&amp;sheet=A0&amp;row=192&amp;col=6&amp;number=1150000000&amp;sourceID=14","1150000000")</f>
        <v>1150000000</v>
      </c>
      <c r="G192" s="4" t="str">
        <f>HYPERLINK("http://141.218.60.56/~jnz1568/getInfo.php?workbook=14_09.xlsx&amp;sheet=A0&amp;row=192&amp;col=7&amp;number=0&amp;sourceID=14","0")</f>
        <v>0</v>
      </c>
    </row>
    <row r="193" spans="1:7">
      <c r="A193" s="3">
        <v>14</v>
      </c>
      <c r="B193" s="3">
        <v>9</v>
      </c>
      <c r="C193" s="3">
        <v>94</v>
      </c>
      <c r="D193" s="3">
        <v>2</v>
      </c>
      <c r="E193" s="3">
        <v>-72.605</v>
      </c>
      <c r="F193" s="4" t="str">
        <f>HYPERLINK("http://141.218.60.56/~jnz1568/getInfo.php?workbook=14_09.xlsx&amp;sheet=A0&amp;row=193&amp;col=6&amp;number=2710000000&amp;sourceID=14","2710000000")</f>
        <v>2710000000</v>
      </c>
      <c r="G193" s="4" t="str">
        <f>HYPERLINK("http://141.218.60.56/~jnz1568/getInfo.php?workbook=14_09.xlsx&amp;sheet=A0&amp;row=193&amp;col=7&amp;number=0&amp;sourceID=14","0")</f>
        <v>0</v>
      </c>
    </row>
    <row r="194" spans="1:7">
      <c r="A194" s="3">
        <v>14</v>
      </c>
      <c r="B194" s="3">
        <v>9</v>
      </c>
      <c r="C194" s="3">
        <v>96</v>
      </c>
      <c r="D194" s="3">
        <v>2</v>
      </c>
      <c r="E194" s="3">
        <v>-72.535</v>
      </c>
      <c r="F194" s="4" t="str">
        <f>HYPERLINK("http://141.218.60.56/~jnz1568/getInfo.php?workbook=14_09.xlsx&amp;sheet=A0&amp;row=194&amp;col=6&amp;number=3730000000&amp;sourceID=14","3730000000")</f>
        <v>3730000000</v>
      </c>
      <c r="G194" s="4" t="str">
        <f>HYPERLINK("http://141.218.60.56/~jnz1568/getInfo.php?workbook=14_09.xlsx&amp;sheet=A0&amp;row=194&amp;col=7&amp;number=0&amp;sourceID=14","0")</f>
        <v>0</v>
      </c>
    </row>
    <row r="195" spans="1:7">
      <c r="A195" s="3">
        <v>14</v>
      </c>
      <c r="B195" s="3">
        <v>9</v>
      </c>
      <c r="C195" s="3">
        <v>99</v>
      </c>
      <c r="D195" s="3">
        <v>2</v>
      </c>
      <c r="E195" s="3">
        <v>-72.389</v>
      </c>
      <c r="F195" s="4" t="str">
        <f>HYPERLINK("http://141.218.60.56/~jnz1568/getInfo.php?workbook=14_09.xlsx&amp;sheet=A0&amp;row=195&amp;col=6&amp;number=71200000000&amp;sourceID=14","71200000000")</f>
        <v>71200000000</v>
      </c>
      <c r="G195" s="4" t="str">
        <f>HYPERLINK("http://141.218.60.56/~jnz1568/getInfo.php?workbook=14_09.xlsx&amp;sheet=A0&amp;row=195&amp;col=7&amp;number=0&amp;sourceID=14","0")</f>
        <v>0</v>
      </c>
    </row>
    <row r="196" spans="1:7">
      <c r="A196" s="3">
        <v>14</v>
      </c>
      <c r="B196" s="3">
        <v>9</v>
      </c>
      <c r="C196" s="3">
        <v>100</v>
      </c>
      <c r="D196" s="3">
        <v>2</v>
      </c>
      <c r="E196" s="3">
        <v>-72.351</v>
      </c>
      <c r="F196" s="4" t="str">
        <f>HYPERLINK("http://141.218.60.56/~jnz1568/getInfo.php?workbook=14_09.xlsx&amp;sheet=A0&amp;row=196&amp;col=6&amp;number=43000000000&amp;sourceID=14","43000000000")</f>
        <v>43000000000</v>
      </c>
      <c r="G196" s="4" t="str">
        <f>HYPERLINK("http://141.218.60.56/~jnz1568/getInfo.php?workbook=14_09.xlsx&amp;sheet=A0&amp;row=196&amp;col=7&amp;number=0&amp;sourceID=14","0")</f>
        <v>0</v>
      </c>
    </row>
    <row r="197" spans="1:7">
      <c r="A197" s="3">
        <v>14</v>
      </c>
      <c r="B197" s="3">
        <v>9</v>
      </c>
      <c r="C197" s="3">
        <v>101</v>
      </c>
      <c r="D197" s="3">
        <v>2</v>
      </c>
      <c r="E197" s="3">
        <v>-72.343</v>
      </c>
      <c r="F197" s="4" t="str">
        <f>HYPERLINK("http://141.218.60.56/~jnz1568/getInfo.php?workbook=14_09.xlsx&amp;sheet=A0&amp;row=197&amp;col=6&amp;number=3570000&amp;sourceID=14","3570000")</f>
        <v>3570000</v>
      </c>
      <c r="G197" s="4" t="str">
        <f>HYPERLINK("http://141.218.60.56/~jnz1568/getInfo.php?workbook=14_09.xlsx&amp;sheet=A0&amp;row=197&amp;col=7&amp;number=0&amp;sourceID=14","0")</f>
        <v>0</v>
      </c>
    </row>
    <row r="198" spans="1:7">
      <c r="A198" s="3">
        <v>14</v>
      </c>
      <c r="B198" s="3">
        <v>9</v>
      </c>
      <c r="C198" s="3">
        <v>109</v>
      </c>
      <c r="D198" s="3">
        <v>2</v>
      </c>
      <c r="E198" s="3">
        <v>-72.205</v>
      </c>
      <c r="F198" s="4" t="str">
        <f>HYPERLINK("http://141.218.60.56/~jnz1568/getInfo.php?workbook=14_09.xlsx&amp;sheet=A0&amp;row=198&amp;col=6&amp;number=730000&amp;sourceID=14","730000")</f>
        <v>730000</v>
      </c>
      <c r="G198" s="4" t="str">
        <f>HYPERLINK("http://141.218.60.56/~jnz1568/getInfo.php?workbook=14_09.xlsx&amp;sheet=A0&amp;row=198&amp;col=7&amp;number=0&amp;sourceID=14","0")</f>
        <v>0</v>
      </c>
    </row>
    <row r="199" spans="1:7">
      <c r="A199" s="3">
        <v>14</v>
      </c>
      <c r="B199" s="3">
        <v>9</v>
      </c>
      <c r="C199" s="3">
        <v>110</v>
      </c>
      <c r="D199" s="3">
        <v>2</v>
      </c>
      <c r="E199" s="3">
        <v>-72.175</v>
      </c>
      <c r="F199" s="4" t="str">
        <f>HYPERLINK("http://141.218.60.56/~jnz1568/getInfo.php?workbook=14_09.xlsx&amp;sheet=A0&amp;row=199&amp;col=6&amp;number=187000000000&amp;sourceID=14","187000000000")</f>
        <v>187000000000</v>
      </c>
      <c r="G199" s="4" t="str">
        <f>HYPERLINK("http://141.218.60.56/~jnz1568/getInfo.php?workbook=14_09.xlsx&amp;sheet=A0&amp;row=199&amp;col=7&amp;number=0&amp;sourceID=14","0")</f>
        <v>0</v>
      </c>
    </row>
    <row r="200" spans="1:7">
      <c r="A200" s="3">
        <v>14</v>
      </c>
      <c r="B200" s="3">
        <v>9</v>
      </c>
      <c r="C200" s="3">
        <v>113</v>
      </c>
      <c r="D200" s="3">
        <v>2</v>
      </c>
      <c r="E200" s="3">
        <v>-72.169</v>
      </c>
      <c r="F200" s="4" t="str">
        <f>HYPERLINK("http://141.218.60.56/~jnz1568/getInfo.php?workbook=14_09.xlsx&amp;sheet=A0&amp;row=200&amp;col=6&amp;number=545000&amp;sourceID=14","545000")</f>
        <v>545000</v>
      </c>
      <c r="G200" s="4" t="str">
        <f>HYPERLINK("http://141.218.60.56/~jnz1568/getInfo.php?workbook=14_09.xlsx&amp;sheet=A0&amp;row=200&amp;col=7&amp;number=0&amp;sourceID=14","0")</f>
        <v>0</v>
      </c>
    </row>
    <row r="201" spans="1:7">
      <c r="A201" s="3">
        <v>14</v>
      </c>
      <c r="B201" s="3">
        <v>9</v>
      </c>
      <c r="C201" s="3">
        <v>115</v>
      </c>
      <c r="D201" s="3">
        <v>2</v>
      </c>
      <c r="E201" s="3">
        <v>-72.162</v>
      </c>
      <c r="F201" s="4" t="str">
        <f>HYPERLINK("http://141.218.60.56/~jnz1568/getInfo.php?workbook=14_09.xlsx&amp;sheet=A0&amp;row=201&amp;col=6&amp;number=480000&amp;sourceID=14","480000")</f>
        <v>480000</v>
      </c>
      <c r="G201" s="4" t="str">
        <f>HYPERLINK("http://141.218.60.56/~jnz1568/getInfo.php?workbook=14_09.xlsx&amp;sheet=A0&amp;row=201&amp;col=7&amp;number=0&amp;sourceID=14","0")</f>
        <v>0</v>
      </c>
    </row>
    <row r="202" spans="1:7">
      <c r="A202" s="3">
        <v>14</v>
      </c>
      <c r="B202" s="3">
        <v>9</v>
      </c>
      <c r="C202" s="3">
        <v>116</v>
      </c>
      <c r="D202" s="3">
        <v>2</v>
      </c>
      <c r="E202" s="3">
        <v>-72.16</v>
      </c>
      <c r="F202" s="4" t="str">
        <f>HYPERLINK("http://141.218.60.56/~jnz1568/getInfo.php?workbook=14_09.xlsx&amp;sheet=A0&amp;row=202&amp;col=6&amp;number=660000&amp;sourceID=14","660000")</f>
        <v>660000</v>
      </c>
      <c r="G202" s="4" t="str">
        <f>HYPERLINK("http://141.218.60.56/~jnz1568/getInfo.php?workbook=14_09.xlsx&amp;sheet=A0&amp;row=202&amp;col=7&amp;number=0&amp;sourceID=14","0")</f>
        <v>0</v>
      </c>
    </row>
    <row r="203" spans="1:7">
      <c r="A203" s="3">
        <v>14</v>
      </c>
      <c r="B203" s="3">
        <v>9</v>
      </c>
      <c r="C203" s="3">
        <v>117</v>
      </c>
      <c r="D203" s="3">
        <v>2</v>
      </c>
      <c r="E203" s="3">
        <v>-72.02</v>
      </c>
      <c r="F203" s="4" t="str">
        <f>HYPERLINK("http://141.218.60.56/~jnz1568/getInfo.php?workbook=14_09.xlsx&amp;sheet=A0&amp;row=203&amp;col=6&amp;number=281000&amp;sourceID=14","281000")</f>
        <v>281000</v>
      </c>
      <c r="G203" s="4" t="str">
        <f>HYPERLINK("http://141.218.60.56/~jnz1568/getInfo.php?workbook=14_09.xlsx&amp;sheet=A0&amp;row=203&amp;col=7&amp;number=0&amp;sourceID=14","0")</f>
        <v>0</v>
      </c>
    </row>
    <row r="204" spans="1:7">
      <c r="A204" s="3">
        <v>14</v>
      </c>
      <c r="B204" s="3">
        <v>9</v>
      </c>
      <c r="C204" s="3">
        <v>118</v>
      </c>
      <c r="D204" s="3">
        <v>2</v>
      </c>
      <c r="E204" s="3">
        <v>-72.016</v>
      </c>
      <c r="F204" s="4" t="str">
        <f>HYPERLINK("http://141.218.60.56/~jnz1568/getInfo.php?workbook=14_09.xlsx&amp;sheet=A0&amp;row=204&amp;col=6&amp;number=720000&amp;sourceID=14","720000")</f>
        <v>720000</v>
      </c>
      <c r="G204" s="4" t="str">
        <f>HYPERLINK("http://141.218.60.56/~jnz1568/getInfo.php?workbook=14_09.xlsx&amp;sheet=A0&amp;row=204&amp;col=7&amp;number=0&amp;sourceID=14","0")</f>
        <v>0</v>
      </c>
    </row>
    <row r="205" spans="1:7">
      <c r="A205" s="3">
        <v>14</v>
      </c>
      <c r="B205" s="3">
        <v>9</v>
      </c>
      <c r="C205" s="3">
        <v>122</v>
      </c>
      <c r="D205" s="3">
        <v>2</v>
      </c>
      <c r="E205" s="3">
        <v>-71.964</v>
      </c>
      <c r="F205" s="4" t="str">
        <f>HYPERLINK("http://141.218.60.56/~jnz1568/getInfo.php?workbook=14_09.xlsx&amp;sheet=A0&amp;row=205&amp;col=6&amp;number=420000&amp;sourceID=14","420000")</f>
        <v>420000</v>
      </c>
      <c r="G205" s="4" t="str">
        <f>HYPERLINK("http://141.218.60.56/~jnz1568/getInfo.php?workbook=14_09.xlsx&amp;sheet=A0&amp;row=205&amp;col=7&amp;number=0&amp;sourceID=14","0")</f>
        <v>0</v>
      </c>
    </row>
    <row r="206" spans="1:7">
      <c r="A206" s="3">
        <v>14</v>
      </c>
      <c r="B206" s="3">
        <v>9</v>
      </c>
      <c r="C206" s="3">
        <v>124</v>
      </c>
      <c r="D206" s="3">
        <v>2</v>
      </c>
      <c r="E206" s="3">
        <v>-71.905</v>
      </c>
      <c r="F206" s="4" t="str">
        <f>HYPERLINK("http://141.218.60.56/~jnz1568/getInfo.php?workbook=14_09.xlsx&amp;sheet=A0&amp;row=206&amp;col=6&amp;number=611000&amp;sourceID=14","611000")</f>
        <v>611000</v>
      </c>
      <c r="G206" s="4" t="str">
        <f>HYPERLINK("http://141.218.60.56/~jnz1568/getInfo.php?workbook=14_09.xlsx&amp;sheet=A0&amp;row=206&amp;col=7&amp;number=0&amp;sourceID=14","0")</f>
        <v>0</v>
      </c>
    </row>
    <row r="207" spans="1:7">
      <c r="A207" s="3">
        <v>14</v>
      </c>
      <c r="B207" s="3">
        <v>9</v>
      </c>
      <c r="C207" s="3">
        <v>125</v>
      </c>
      <c r="D207" s="3">
        <v>2</v>
      </c>
      <c r="E207" s="3">
        <v>-71.571</v>
      </c>
      <c r="F207" s="4" t="str">
        <f>HYPERLINK("http://141.218.60.56/~jnz1568/getInfo.php?workbook=14_09.xlsx&amp;sheet=A0&amp;row=207&amp;col=6&amp;number=530000&amp;sourceID=14","530000")</f>
        <v>530000</v>
      </c>
      <c r="G207" s="4" t="str">
        <f>HYPERLINK("http://141.218.60.56/~jnz1568/getInfo.php?workbook=14_09.xlsx&amp;sheet=A0&amp;row=207&amp;col=7&amp;number=0&amp;sourceID=14","0")</f>
        <v>0</v>
      </c>
    </row>
    <row r="208" spans="1:7">
      <c r="A208" s="3">
        <v>14</v>
      </c>
      <c r="B208" s="3">
        <v>9</v>
      </c>
      <c r="C208" s="3">
        <v>127</v>
      </c>
      <c r="D208" s="3">
        <v>2</v>
      </c>
      <c r="E208" s="3">
        <v>-70.505</v>
      </c>
      <c r="F208" s="4" t="str">
        <f>HYPERLINK("http://141.218.60.56/~jnz1568/getInfo.php?workbook=14_09.xlsx&amp;sheet=A0&amp;row=208&amp;col=6&amp;number=35300000000&amp;sourceID=14","35300000000")</f>
        <v>35300000000</v>
      </c>
      <c r="G208" s="4" t="str">
        <f>HYPERLINK("http://141.218.60.56/~jnz1568/getInfo.php?workbook=14_09.xlsx&amp;sheet=A0&amp;row=208&amp;col=7&amp;number=0&amp;sourceID=14","0")</f>
        <v>0</v>
      </c>
    </row>
    <row r="209" spans="1:7">
      <c r="A209" s="3">
        <v>14</v>
      </c>
      <c r="B209" s="3">
        <v>9</v>
      </c>
      <c r="C209" s="3">
        <v>132</v>
      </c>
      <c r="D209" s="3">
        <v>2</v>
      </c>
      <c r="E209" s="3">
        <v>-70.191</v>
      </c>
      <c r="F209" s="4" t="str">
        <f>HYPERLINK("http://141.218.60.56/~jnz1568/getInfo.php?workbook=14_09.xlsx&amp;sheet=A0&amp;row=209&amp;col=6&amp;number=36800000000&amp;sourceID=14","36800000000")</f>
        <v>36800000000</v>
      </c>
      <c r="G209" s="4" t="str">
        <f>HYPERLINK("http://141.218.60.56/~jnz1568/getInfo.php?workbook=14_09.xlsx&amp;sheet=A0&amp;row=209&amp;col=7&amp;number=0&amp;sourceID=14","0")</f>
        <v>0</v>
      </c>
    </row>
    <row r="210" spans="1:7">
      <c r="A210" s="3">
        <v>14</v>
      </c>
      <c r="B210" s="3">
        <v>9</v>
      </c>
      <c r="C210" s="3">
        <v>134</v>
      </c>
      <c r="D210" s="3">
        <v>2</v>
      </c>
      <c r="E210" s="3">
        <v>-70.161</v>
      </c>
      <c r="F210" s="4" t="str">
        <f>HYPERLINK("http://141.218.60.56/~jnz1568/getInfo.php?workbook=14_09.xlsx&amp;sheet=A0&amp;row=210&amp;col=6&amp;number=116000000000&amp;sourceID=14","116000000000")</f>
        <v>116000000000</v>
      </c>
      <c r="G210" s="4" t="str">
        <f>HYPERLINK("http://141.218.60.56/~jnz1568/getInfo.php?workbook=14_09.xlsx&amp;sheet=A0&amp;row=210&amp;col=7&amp;number=0&amp;sourceID=14","0")</f>
        <v>0</v>
      </c>
    </row>
    <row r="211" spans="1:7">
      <c r="A211" s="3">
        <v>14</v>
      </c>
      <c r="B211" s="3">
        <v>9</v>
      </c>
      <c r="C211" s="3">
        <v>136</v>
      </c>
      <c r="D211" s="3">
        <v>2</v>
      </c>
      <c r="E211" s="3">
        <v>-70.131</v>
      </c>
      <c r="F211" s="4" t="str">
        <f>HYPERLINK("http://141.218.60.56/~jnz1568/getInfo.php?workbook=14_09.xlsx&amp;sheet=A0&amp;row=211&amp;col=6&amp;number=105000000000&amp;sourceID=14","105000000000")</f>
        <v>105000000000</v>
      </c>
      <c r="G211" s="4" t="str">
        <f>HYPERLINK("http://141.218.60.56/~jnz1568/getInfo.php?workbook=14_09.xlsx&amp;sheet=A0&amp;row=211&amp;col=7&amp;number=0&amp;sourceID=14","0")</f>
        <v>0</v>
      </c>
    </row>
    <row r="212" spans="1:7">
      <c r="A212" s="3">
        <v>14</v>
      </c>
      <c r="B212" s="3">
        <v>9</v>
      </c>
      <c r="C212" s="3">
        <v>137</v>
      </c>
      <c r="D212" s="3">
        <v>2</v>
      </c>
      <c r="E212" s="3">
        <v>-70.087</v>
      </c>
      <c r="F212" s="4" t="str">
        <f>HYPERLINK("http://141.218.60.56/~jnz1568/getInfo.php?workbook=14_09.xlsx&amp;sheet=A0&amp;row=212&amp;col=6&amp;number=71200000000&amp;sourceID=14","71200000000")</f>
        <v>71200000000</v>
      </c>
      <c r="G212" s="4" t="str">
        <f>HYPERLINK("http://141.218.60.56/~jnz1568/getInfo.php?workbook=14_09.xlsx&amp;sheet=A0&amp;row=212&amp;col=7&amp;number=0&amp;sourceID=14","0")</f>
        <v>0</v>
      </c>
    </row>
    <row r="213" spans="1:7">
      <c r="A213" s="3">
        <v>14</v>
      </c>
      <c r="B213" s="3">
        <v>9</v>
      </c>
      <c r="C213" s="3">
        <v>139</v>
      </c>
      <c r="D213" s="3">
        <v>2</v>
      </c>
      <c r="E213" s="3">
        <v>-69.869</v>
      </c>
      <c r="F213" s="4" t="str">
        <f>HYPERLINK("http://141.218.60.56/~jnz1568/getInfo.php?workbook=14_09.xlsx&amp;sheet=A0&amp;row=213&amp;col=6&amp;number=1290000&amp;sourceID=14","1290000")</f>
        <v>1290000</v>
      </c>
      <c r="G213" s="4" t="str">
        <f>HYPERLINK("http://141.218.60.56/~jnz1568/getInfo.php?workbook=14_09.xlsx&amp;sheet=A0&amp;row=213&amp;col=7&amp;number=0&amp;sourceID=14","0")</f>
        <v>0</v>
      </c>
    </row>
    <row r="214" spans="1:7">
      <c r="A214" s="3">
        <v>14</v>
      </c>
      <c r="B214" s="3">
        <v>9</v>
      </c>
      <c r="C214" s="3">
        <v>141</v>
      </c>
      <c r="D214" s="3">
        <v>2</v>
      </c>
      <c r="E214" s="3">
        <v>-69.802</v>
      </c>
      <c r="F214" s="4" t="str">
        <f>HYPERLINK("http://141.218.60.56/~jnz1568/getInfo.php?workbook=14_09.xlsx&amp;sheet=A0&amp;row=214&amp;col=6&amp;number=231000&amp;sourceID=14","231000")</f>
        <v>231000</v>
      </c>
      <c r="G214" s="4" t="str">
        <f>HYPERLINK("http://141.218.60.56/~jnz1568/getInfo.php?workbook=14_09.xlsx&amp;sheet=A0&amp;row=214&amp;col=7&amp;number=0&amp;sourceID=14","0")</f>
        <v>0</v>
      </c>
    </row>
    <row r="215" spans="1:7">
      <c r="A215" s="3">
        <v>14</v>
      </c>
      <c r="B215" s="3">
        <v>9</v>
      </c>
      <c r="C215" s="3">
        <v>142</v>
      </c>
      <c r="D215" s="3">
        <v>2</v>
      </c>
      <c r="E215" s="3">
        <v>-69.802</v>
      </c>
      <c r="F215" s="4" t="str">
        <f>HYPERLINK("http://141.218.60.56/~jnz1568/getInfo.php?workbook=14_09.xlsx&amp;sheet=A0&amp;row=215&amp;col=6&amp;number=543000&amp;sourceID=14","543000")</f>
        <v>543000</v>
      </c>
      <c r="G215" s="4" t="str">
        <f>HYPERLINK("http://141.218.60.56/~jnz1568/getInfo.php?workbook=14_09.xlsx&amp;sheet=A0&amp;row=215&amp;col=7&amp;number=0&amp;sourceID=14","0")</f>
        <v>0</v>
      </c>
    </row>
    <row r="216" spans="1:7">
      <c r="A216" s="3">
        <v>14</v>
      </c>
      <c r="B216" s="3">
        <v>9</v>
      </c>
      <c r="C216" s="3">
        <v>147</v>
      </c>
      <c r="D216" s="3">
        <v>2</v>
      </c>
      <c r="E216" s="3">
        <v>-69.736</v>
      </c>
      <c r="F216" s="4" t="str">
        <f>HYPERLINK("http://141.218.60.56/~jnz1568/getInfo.php?workbook=14_09.xlsx&amp;sheet=A0&amp;row=216&amp;col=6&amp;number=502000&amp;sourceID=14","502000")</f>
        <v>502000</v>
      </c>
      <c r="G216" s="4" t="str">
        <f>HYPERLINK("http://141.218.60.56/~jnz1568/getInfo.php?workbook=14_09.xlsx&amp;sheet=A0&amp;row=216&amp;col=7&amp;number=0&amp;sourceID=14","0")</f>
        <v>0</v>
      </c>
    </row>
    <row r="217" spans="1:7">
      <c r="A217" s="3">
        <v>14</v>
      </c>
      <c r="B217" s="3">
        <v>9</v>
      </c>
      <c r="C217" s="3">
        <v>148</v>
      </c>
      <c r="D217" s="3">
        <v>2</v>
      </c>
      <c r="E217" s="3">
        <v>-69.722</v>
      </c>
      <c r="F217" s="4" t="str">
        <f>HYPERLINK("http://141.218.60.56/~jnz1568/getInfo.php?workbook=14_09.xlsx&amp;sheet=A0&amp;row=217&amp;col=6&amp;number=9840000&amp;sourceID=14","9840000")</f>
        <v>9840000</v>
      </c>
      <c r="G217" s="4" t="str">
        <f>HYPERLINK("http://141.218.60.56/~jnz1568/getInfo.php?workbook=14_09.xlsx&amp;sheet=A0&amp;row=217&amp;col=7&amp;number=0&amp;sourceID=14","0")</f>
        <v>0</v>
      </c>
    </row>
    <row r="218" spans="1:7">
      <c r="A218" s="3">
        <v>14</v>
      </c>
      <c r="B218" s="3">
        <v>9</v>
      </c>
      <c r="C218" s="3">
        <v>151</v>
      </c>
      <c r="D218" s="3">
        <v>2</v>
      </c>
      <c r="E218" s="3">
        <v>-69.67</v>
      </c>
      <c r="F218" s="4" t="str">
        <f>HYPERLINK("http://141.218.60.56/~jnz1568/getInfo.php?workbook=14_09.xlsx&amp;sheet=A0&amp;row=218&amp;col=6&amp;number=82700000&amp;sourceID=14","82700000")</f>
        <v>82700000</v>
      </c>
      <c r="G218" s="4" t="str">
        <f>HYPERLINK("http://141.218.60.56/~jnz1568/getInfo.php?workbook=14_09.xlsx&amp;sheet=A0&amp;row=218&amp;col=7&amp;number=0&amp;sourceID=14","0")</f>
        <v>0</v>
      </c>
    </row>
    <row r="219" spans="1:7">
      <c r="A219" s="3">
        <v>14</v>
      </c>
      <c r="B219" s="3">
        <v>9</v>
      </c>
      <c r="C219" s="3">
        <v>154</v>
      </c>
      <c r="D219" s="3">
        <v>2</v>
      </c>
      <c r="E219" s="3">
        <v>-69.277</v>
      </c>
      <c r="F219" s="4" t="str">
        <f>HYPERLINK("http://141.218.60.56/~jnz1568/getInfo.php?workbook=14_09.xlsx&amp;sheet=A0&amp;row=219&amp;col=6&amp;number=906000000&amp;sourceID=14","906000000")</f>
        <v>906000000</v>
      </c>
      <c r="G219" s="4" t="str">
        <f>HYPERLINK("http://141.218.60.56/~jnz1568/getInfo.php?workbook=14_09.xlsx&amp;sheet=A0&amp;row=219&amp;col=7&amp;number=0&amp;sourceID=14","0")</f>
        <v>0</v>
      </c>
    </row>
    <row r="220" spans="1:7">
      <c r="A220" s="3">
        <v>14</v>
      </c>
      <c r="B220" s="3">
        <v>9</v>
      </c>
      <c r="C220" s="3">
        <v>155</v>
      </c>
      <c r="D220" s="3">
        <v>2</v>
      </c>
      <c r="E220" s="3">
        <v>-69.246</v>
      </c>
      <c r="F220" s="4" t="str">
        <f>HYPERLINK("http://141.218.60.56/~jnz1568/getInfo.php?workbook=14_09.xlsx&amp;sheet=A0&amp;row=220&amp;col=6&amp;number=526000000&amp;sourceID=14","526000000")</f>
        <v>526000000</v>
      </c>
      <c r="G220" s="4" t="str">
        <f>HYPERLINK("http://141.218.60.56/~jnz1568/getInfo.php?workbook=14_09.xlsx&amp;sheet=A0&amp;row=220&amp;col=7&amp;number=0&amp;sourceID=14","0")</f>
        <v>0</v>
      </c>
    </row>
    <row r="221" spans="1:7">
      <c r="A221" s="3">
        <v>14</v>
      </c>
      <c r="B221" s="3">
        <v>9</v>
      </c>
      <c r="C221" s="3">
        <v>156</v>
      </c>
      <c r="D221" s="3">
        <v>2</v>
      </c>
      <c r="E221" s="3">
        <v>-69.201</v>
      </c>
      <c r="F221" s="4" t="str">
        <f>HYPERLINK("http://141.218.60.56/~jnz1568/getInfo.php?workbook=14_09.xlsx&amp;sheet=A0&amp;row=221&amp;col=6&amp;number=3570000000&amp;sourceID=14","3570000000")</f>
        <v>3570000000</v>
      </c>
      <c r="G221" s="4" t="str">
        <f>HYPERLINK("http://141.218.60.56/~jnz1568/getInfo.php?workbook=14_09.xlsx&amp;sheet=A0&amp;row=221&amp;col=7&amp;number=0&amp;sourceID=14","0")</f>
        <v>0</v>
      </c>
    </row>
    <row r="222" spans="1:7">
      <c r="A222" s="3">
        <v>14</v>
      </c>
      <c r="B222" s="3">
        <v>9</v>
      </c>
      <c r="C222" s="3">
        <v>157</v>
      </c>
      <c r="D222" s="3">
        <v>2</v>
      </c>
      <c r="E222" s="3">
        <v>-69.079</v>
      </c>
      <c r="F222" s="4" t="str">
        <f>HYPERLINK("http://141.218.60.56/~jnz1568/getInfo.php?workbook=14_09.xlsx&amp;sheet=A0&amp;row=222&amp;col=6&amp;number=30200000000&amp;sourceID=14","30200000000")</f>
        <v>30200000000</v>
      </c>
      <c r="G222" s="4" t="str">
        <f>HYPERLINK("http://141.218.60.56/~jnz1568/getInfo.php?workbook=14_09.xlsx&amp;sheet=A0&amp;row=222&amp;col=7&amp;number=0&amp;sourceID=14","0")</f>
        <v>0</v>
      </c>
    </row>
    <row r="223" spans="1:7">
      <c r="A223" s="3">
        <v>14</v>
      </c>
      <c r="B223" s="3">
        <v>9</v>
      </c>
      <c r="C223" s="3">
        <v>158</v>
      </c>
      <c r="D223" s="3">
        <v>2</v>
      </c>
      <c r="E223" s="3">
        <v>-69.054</v>
      </c>
      <c r="F223" s="4" t="str">
        <f>HYPERLINK("http://141.218.60.56/~jnz1568/getInfo.php?workbook=14_09.xlsx&amp;sheet=A0&amp;row=223&amp;col=6&amp;number=32000000000&amp;sourceID=14","32000000000")</f>
        <v>32000000000</v>
      </c>
      <c r="G223" s="4" t="str">
        <f>HYPERLINK("http://141.218.60.56/~jnz1568/getInfo.php?workbook=14_09.xlsx&amp;sheet=A0&amp;row=223&amp;col=7&amp;number=0&amp;sourceID=14","0")</f>
        <v>0</v>
      </c>
    </row>
    <row r="224" spans="1:7">
      <c r="A224" s="3">
        <v>14</v>
      </c>
      <c r="B224" s="3">
        <v>9</v>
      </c>
      <c r="C224" s="3">
        <v>159</v>
      </c>
      <c r="D224" s="3">
        <v>2</v>
      </c>
      <c r="E224" s="3">
        <v>-68.785</v>
      </c>
      <c r="F224" s="4" t="str">
        <f>HYPERLINK("http://141.218.60.56/~jnz1568/getInfo.php?workbook=14_09.xlsx&amp;sheet=A0&amp;row=224&amp;col=6&amp;number=937000&amp;sourceID=14","937000")</f>
        <v>937000</v>
      </c>
      <c r="G224" s="4" t="str">
        <f>HYPERLINK("http://141.218.60.56/~jnz1568/getInfo.php?workbook=14_09.xlsx&amp;sheet=A0&amp;row=224&amp;col=7&amp;number=0&amp;sourceID=14","0")</f>
        <v>0</v>
      </c>
    </row>
    <row r="225" spans="1:7">
      <c r="A225" s="3">
        <v>14</v>
      </c>
      <c r="B225" s="3">
        <v>9</v>
      </c>
      <c r="C225" s="3">
        <v>161</v>
      </c>
      <c r="D225" s="3">
        <v>2</v>
      </c>
      <c r="E225" s="3">
        <v>-67.358</v>
      </c>
      <c r="F225" s="4" t="str">
        <f>HYPERLINK("http://141.218.60.56/~jnz1568/getInfo.php?workbook=14_09.xlsx&amp;sheet=A0&amp;row=225&amp;col=6&amp;number=21200000000&amp;sourceID=14","21200000000")</f>
        <v>21200000000</v>
      </c>
      <c r="G225" s="4" t="str">
        <f>HYPERLINK("http://141.218.60.56/~jnz1568/getInfo.php?workbook=14_09.xlsx&amp;sheet=A0&amp;row=225&amp;col=7&amp;number=0&amp;sourceID=14","0")</f>
        <v>0</v>
      </c>
    </row>
    <row r="226" spans="1:7">
      <c r="A226" s="3">
        <v>14</v>
      </c>
      <c r="B226" s="3">
        <v>9</v>
      </c>
      <c r="C226" s="3">
        <v>163</v>
      </c>
      <c r="D226" s="3">
        <v>2</v>
      </c>
      <c r="E226" s="3">
        <v>-66.993</v>
      </c>
      <c r="F226" s="4" t="str">
        <f>HYPERLINK("http://141.218.60.56/~jnz1568/getInfo.php?workbook=14_09.xlsx&amp;sheet=A0&amp;row=226&amp;col=6&amp;number=37800000000&amp;sourceID=14","37800000000")</f>
        <v>37800000000</v>
      </c>
      <c r="G226" s="4" t="str">
        <f>HYPERLINK("http://141.218.60.56/~jnz1568/getInfo.php?workbook=14_09.xlsx&amp;sheet=A0&amp;row=226&amp;col=7&amp;number=0&amp;sourceID=14","0")</f>
        <v>0</v>
      </c>
    </row>
    <row r="227" spans="1:7">
      <c r="A227" s="3">
        <v>14</v>
      </c>
      <c r="B227" s="3">
        <v>9</v>
      </c>
      <c r="C227" s="3">
        <v>164</v>
      </c>
      <c r="D227" s="3">
        <v>2</v>
      </c>
      <c r="E227" s="3">
        <v>-66.562</v>
      </c>
      <c r="F227" s="4" t="str">
        <f>HYPERLINK("http://141.218.60.56/~jnz1568/getInfo.php?workbook=14_09.xlsx&amp;sheet=A0&amp;row=227&amp;col=6&amp;number=581000&amp;sourceID=14","581000")</f>
        <v>581000</v>
      </c>
      <c r="G227" s="4" t="str">
        <f>HYPERLINK("http://141.218.60.56/~jnz1568/getInfo.php?workbook=14_09.xlsx&amp;sheet=A0&amp;row=227&amp;col=7&amp;number=0&amp;sourceID=14","0")</f>
        <v>0</v>
      </c>
    </row>
    <row r="228" spans="1:7">
      <c r="A228" s="3">
        <v>14</v>
      </c>
      <c r="B228" s="3">
        <v>9</v>
      </c>
      <c r="C228" s="3">
        <v>176</v>
      </c>
      <c r="D228" s="3">
        <v>2</v>
      </c>
      <c r="E228" s="3">
        <v>-64.544</v>
      </c>
      <c r="F228" s="4" t="str">
        <f>HYPERLINK("http://141.218.60.56/~jnz1568/getInfo.php?workbook=14_09.xlsx&amp;sheet=A0&amp;row=228&amp;col=6&amp;number=3070000&amp;sourceID=14","3070000")</f>
        <v>3070000</v>
      </c>
      <c r="G228" s="4" t="str">
        <f>HYPERLINK("http://141.218.60.56/~jnz1568/getInfo.php?workbook=14_09.xlsx&amp;sheet=A0&amp;row=228&amp;col=7&amp;number=0&amp;sourceID=14","0")</f>
        <v>0</v>
      </c>
    </row>
    <row r="229" spans="1:7">
      <c r="A229" s="3">
        <v>14</v>
      </c>
      <c r="B229" s="3">
        <v>9</v>
      </c>
      <c r="C229" s="3">
        <v>180</v>
      </c>
      <c r="D229" s="3">
        <v>2</v>
      </c>
      <c r="E229" s="3">
        <v>-64.482</v>
      </c>
      <c r="F229" s="4" t="str">
        <f>HYPERLINK("http://141.218.60.56/~jnz1568/getInfo.php?workbook=14_09.xlsx&amp;sheet=A0&amp;row=229&amp;col=6&amp;number=17100000&amp;sourceID=14","17100000")</f>
        <v>17100000</v>
      </c>
      <c r="G229" s="4" t="str">
        <f>HYPERLINK("http://141.218.60.56/~jnz1568/getInfo.php?workbook=14_09.xlsx&amp;sheet=A0&amp;row=229&amp;col=7&amp;number=0&amp;sourceID=14","0")</f>
        <v>0</v>
      </c>
    </row>
    <row r="230" spans="1:7">
      <c r="A230" s="3">
        <v>14</v>
      </c>
      <c r="B230" s="3">
        <v>9</v>
      </c>
      <c r="C230" s="3">
        <v>181</v>
      </c>
      <c r="D230" s="3">
        <v>2</v>
      </c>
      <c r="E230" s="3">
        <v>-64.304</v>
      </c>
      <c r="F230" s="4" t="str">
        <f>HYPERLINK("http://141.218.60.56/~jnz1568/getInfo.php?workbook=14_09.xlsx&amp;sheet=A0&amp;row=230&amp;col=6&amp;number=27200000&amp;sourceID=14","27200000")</f>
        <v>27200000</v>
      </c>
      <c r="G230" s="4" t="str">
        <f>HYPERLINK("http://141.218.60.56/~jnz1568/getInfo.php?workbook=14_09.xlsx&amp;sheet=A0&amp;row=230&amp;col=7&amp;number=0&amp;sourceID=14","0")</f>
        <v>0</v>
      </c>
    </row>
    <row r="231" spans="1:7">
      <c r="A231" s="3">
        <v>14</v>
      </c>
      <c r="B231" s="3">
        <v>9</v>
      </c>
      <c r="C231" s="3">
        <v>182</v>
      </c>
      <c r="D231" s="3">
        <v>2</v>
      </c>
      <c r="E231" s="3">
        <v>-64.299</v>
      </c>
      <c r="F231" s="4" t="str">
        <f>HYPERLINK("http://141.218.60.56/~jnz1568/getInfo.php?workbook=14_09.xlsx&amp;sheet=A0&amp;row=231&amp;col=6&amp;number=15900000&amp;sourceID=14","15900000")</f>
        <v>15900000</v>
      </c>
      <c r="G231" s="4" t="str">
        <f>HYPERLINK("http://141.218.60.56/~jnz1568/getInfo.php?workbook=14_09.xlsx&amp;sheet=A0&amp;row=231&amp;col=7&amp;number=0&amp;sourceID=14","0")</f>
        <v>0</v>
      </c>
    </row>
    <row r="232" spans="1:7">
      <c r="A232" s="3">
        <v>14</v>
      </c>
      <c r="B232" s="3">
        <v>9</v>
      </c>
      <c r="C232" s="3">
        <v>184</v>
      </c>
      <c r="D232" s="3">
        <v>2</v>
      </c>
      <c r="E232" s="3">
        <v>-63.853</v>
      </c>
      <c r="F232" s="4" t="str">
        <f>HYPERLINK("http://141.218.60.56/~jnz1568/getInfo.php?workbook=14_09.xlsx&amp;sheet=A0&amp;row=232&amp;col=6&amp;number=31700000&amp;sourceID=14","31700000")</f>
        <v>31700000</v>
      </c>
      <c r="G232" s="4" t="str">
        <f>HYPERLINK("http://141.218.60.56/~jnz1568/getInfo.php?workbook=14_09.xlsx&amp;sheet=A0&amp;row=232&amp;col=7&amp;number=0&amp;sourceID=14","0")</f>
        <v>0</v>
      </c>
    </row>
    <row r="233" spans="1:7">
      <c r="A233" s="3">
        <v>14</v>
      </c>
      <c r="B233" s="3">
        <v>9</v>
      </c>
      <c r="C233" s="3">
        <v>185</v>
      </c>
      <c r="D233" s="3">
        <v>2</v>
      </c>
      <c r="E233" s="3">
        <v>-62.876</v>
      </c>
      <c r="F233" s="4" t="str">
        <f>HYPERLINK("http://141.218.60.56/~jnz1568/getInfo.php?workbook=14_09.xlsx&amp;sheet=A0&amp;row=233&amp;col=6&amp;number=13300000000&amp;sourceID=14","13300000000")</f>
        <v>13300000000</v>
      </c>
      <c r="G233" s="4" t="str">
        <f>HYPERLINK("http://141.218.60.56/~jnz1568/getInfo.php?workbook=14_09.xlsx&amp;sheet=A0&amp;row=233&amp;col=7&amp;number=0&amp;sourceID=14","0")</f>
        <v>0</v>
      </c>
    </row>
    <row r="234" spans="1:7">
      <c r="A234" s="3">
        <v>14</v>
      </c>
      <c r="B234" s="3">
        <v>9</v>
      </c>
      <c r="C234" s="3">
        <v>187</v>
      </c>
      <c r="D234" s="3">
        <v>2</v>
      </c>
      <c r="E234" s="3">
        <v>-62.658</v>
      </c>
      <c r="F234" s="4" t="str">
        <f>HYPERLINK("http://141.218.60.56/~jnz1568/getInfo.php?workbook=14_09.xlsx&amp;sheet=A0&amp;row=234&amp;col=6&amp;number=6390000000&amp;sourceID=14","6390000000")</f>
        <v>6390000000</v>
      </c>
      <c r="G234" s="4" t="str">
        <f>HYPERLINK("http://141.218.60.56/~jnz1568/getInfo.php?workbook=14_09.xlsx&amp;sheet=A0&amp;row=234&amp;col=7&amp;number=0&amp;sourceID=14","0")</f>
        <v>0</v>
      </c>
    </row>
    <row r="235" spans="1:7">
      <c r="A235" s="3">
        <v>14</v>
      </c>
      <c r="B235" s="3">
        <v>9</v>
      </c>
      <c r="C235" s="3">
        <v>188</v>
      </c>
      <c r="D235" s="3">
        <v>2</v>
      </c>
      <c r="E235" s="3">
        <v>-62.645</v>
      </c>
      <c r="F235" s="4" t="str">
        <f>HYPERLINK("http://141.218.60.56/~jnz1568/getInfo.php?workbook=14_09.xlsx&amp;sheet=A0&amp;row=235&amp;col=6&amp;number=2030000000&amp;sourceID=14","2030000000")</f>
        <v>2030000000</v>
      </c>
      <c r="G235" s="4" t="str">
        <f>HYPERLINK("http://141.218.60.56/~jnz1568/getInfo.php?workbook=14_09.xlsx&amp;sheet=A0&amp;row=235&amp;col=7&amp;number=0&amp;sourceID=14","0")</f>
        <v>0</v>
      </c>
    </row>
    <row r="236" spans="1:7">
      <c r="A236" s="3">
        <v>14</v>
      </c>
      <c r="B236" s="3">
        <v>9</v>
      </c>
      <c r="C236" s="3">
        <v>189</v>
      </c>
      <c r="D236" s="3">
        <v>2</v>
      </c>
      <c r="E236" s="3">
        <v>-62.122</v>
      </c>
      <c r="F236" s="4" t="str">
        <f>HYPERLINK("http://141.218.60.56/~jnz1568/getInfo.php?workbook=14_09.xlsx&amp;sheet=A0&amp;row=236&amp;col=6&amp;number=2160000000&amp;sourceID=14","2160000000")</f>
        <v>2160000000</v>
      </c>
      <c r="G236" s="4" t="str">
        <f>HYPERLINK("http://141.218.60.56/~jnz1568/getInfo.php?workbook=14_09.xlsx&amp;sheet=A0&amp;row=236&amp;col=7&amp;number=0&amp;sourceID=14","0")</f>
        <v>0</v>
      </c>
    </row>
    <row r="237" spans="1:7">
      <c r="A237" s="3">
        <v>14</v>
      </c>
      <c r="B237" s="3">
        <v>9</v>
      </c>
      <c r="C237" s="3">
        <v>190</v>
      </c>
      <c r="D237" s="3">
        <v>2</v>
      </c>
      <c r="E237" s="3">
        <v>-58.937</v>
      </c>
      <c r="F237" s="4" t="str">
        <f>HYPERLINK("http://141.218.60.56/~jnz1568/getInfo.php?workbook=14_09.xlsx&amp;sheet=A0&amp;row=237&amp;col=6&amp;number=15300000&amp;sourceID=14","15300000")</f>
        <v>15300000</v>
      </c>
      <c r="G237" s="4" t="str">
        <f>HYPERLINK("http://141.218.60.56/~jnz1568/getInfo.php?workbook=14_09.xlsx&amp;sheet=A0&amp;row=237&amp;col=7&amp;number=0&amp;sourceID=14","0")</f>
        <v>0</v>
      </c>
    </row>
    <row r="238" spans="1:7">
      <c r="A238" s="3">
        <v>14</v>
      </c>
      <c r="B238" s="3">
        <v>9</v>
      </c>
      <c r="C238" s="3">
        <v>192</v>
      </c>
      <c r="D238" s="3">
        <v>2</v>
      </c>
      <c r="E238" s="3">
        <v>-58.809</v>
      </c>
      <c r="F238" s="4" t="str">
        <f>HYPERLINK("http://141.218.60.56/~jnz1568/getInfo.php?workbook=14_09.xlsx&amp;sheet=A0&amp;row=238&amp;col=6&amp;number=10500000&amp;sourceID=14","10500000")</f>
        <v>10500000</v>
      </c>
      <c r="G238" s="4" t="str">
        <f>HYPERLINK("http://141.218.60.56/~jnz1568/getInfo.php?workbook=14_09.xlsx&amp;sheet=A0&amp;row=238&amp;col=7&amp;number=0&amp;sourceID=14","0")</f>
        <v>0</v>
      </c>
    </row>
    <row r="239" spans="1:7">
      <c r="A239" s="3">
        <v>14</v>
      </c>
      <c r="B239" s="3">
        <v>9</v>
      </c>
      <c r="C239" s="3">
        <v>194</v>
      </c>
      <c r="D239" s="3">
        <v>2</v>
      </c>
      <c r="E239" s="3">
        <v>-58.706</v>
      </c>
      <c r="F239" s="4" t="str">
        <f>HYPERLINK("http://141.218.60.56/~jnz1568/getInfo.php?workbook=14_09.xlsx&amp;sheet=A0&amp;row=239&amp;col=6&amp;number=7920000&amp;sourceID=14","7920000")</f>
        <v>7920000</v>
      </c>
      <c r="G239" s="4" t="str">
        <f>HYPERLINK("http://141.218.60.56/~jnz1568/getInfo.php?workbook=14_09.xlsx&amp;sheet=A0&amp;row=239&amp;col=7&amp;number=0&amp;sourceID=14","0")</f>
        <v>0</v>
      </c>
    </row>
    <row r="240" spans="1:7">
      <c r="A240" s="3">
        <v>14</v>
      </c>
      <c r="B240" s="3">
        <v>9</v>
      </c>
      <c r="C240" s="3">
        <v>195</v>
      </c>
      <c r="D240" s="3">
        <v>2</v>
      </c>
      <c r="E240" s="3">
        <v>-58.704</v>
      </c>
      <c r="F240" s="4" t="str">
        <f>HYPERLINK("http://141.218.60.56/~jnz1568/getInfo.php?workbook=14_09.xlsx&amp;sheet=A0&amp;row=240&amp;col=6&amp;number=3840000&amp;sourceID=14","3840000")</f>
        <v>3840000</v>
      </c>
      <c r="G240" s="4" t="str">
        <f>HYPERLINK("http://141.218.60.56/~jnz1568/getInfo.php?workbook=14_09.xlsx&amp;sheet=A0&amp;row=240&amp;col=7&amp;number=0&amp;sourceID=14","0")</f>
        <v>0</v>
      </c>
    </row>
    <row r="241" spans="1:7">
      <c r="A241" s="3">
        <v>14</v>
      </c>
      <c r="B241" s="3">
        <v>9</v>
      </c>
      <c r="C241" s="3">
        <v>12</v>
      </c>
      <c r="D241" s="3">
        <v>3</v>
      </c>
      <c r="E241" s="3">
        <v>150.748</v>
      </c>
      <c r="F241" s="4" t="str">
        <f>HYPERLINK("http://141.218.60.56/~jnz1568/getInfo.php?workbook=14_09.xlsx&amp;sheet=A0&amp;row=241&amp;col=6&amp;number=3770000&amp;sourceID=14","3770000")</f>
        <v>3770000</v>
      </c>
      <c r="G241" s="4" t="str">
        <f>HYPERLINK("http://141.218.60.56/~jnz1568/getInfo.php?workbook=14_09.xlsx&amp;sheet=A0&amp;row=241&amp;col=7&amp;number=0&amp;sourceID=14","0")</f>
        <v>0</v>
      </c>
    </row>
    <row r="242" spans="1:7">
      <c r="A242" s="3">
        <v>14</v>
      </c>
      <c r="B242" s="3">
        <v>9</v>
      </c>
      <c r="C242" s="3">
        <v>13</v>
      </c>
      <c r="D242" s="3">
        <v>3</v>
      </c>
      <c r="E242" s="3">
        <v>150.461</v>
      </c>
      <c r="F242" s="4" t="str">
        <f>HYPERLINK("http://141.218.60.56/~jnz1568/getInfo.php?workbook=14_09.xlsx&amp;sheet=A0&amp;row=242&amp;col=6&amp;number=2040000&amp;sourceID=14","2040000")</f>
        <v>2040000</v>
      </c>
      <c r="G242" s="4" t="str">
        <f>HYPERLINK("http://141.218.60.56/~jnz1568/getInfo.php?workbook=14_09.xlsx&amp;sheet=A0&amp;row=242&amp;col=7&amp;number=0&amp;sourceID=14","0")</f>
        <v>0</v>
      </c>
    </row>
    <row r="243" spans="1:7">
      <c r="A243" s="3">
        <v>14</v>
      </c>
      <c r="B243" s="3">
        <v>9</v>
      </c>
      <c r="C243" s="3">
        <v>16</v>
      </c>
      <c r="D243" s="3">
        <v>3</v>
      </c>
      <c r="E243" s="3">
        <v>147.991</v>
      </c>
      <c r="F243" s="4" t="str">
        <f>HYPERLINK("http://141.218.60.56/~jnz1568/getInfo.php?workbook=14_09.xlsx&amp;sheet=A0&amp;row=243&amp;col=6&amp;number=368000&amp;sourceID=14","368000")</f>
        <v>368000</v>
      </c>
      <c r="G243" s="4" t="str">
        <f>HYPERLINK("http://141.218.60.56/~jnz1568/getInfo.php?workbook=14_09.xlsx&amp;sheet=A0&amp;row=243&amp;col=7&amp;number=0&amp;sourceID=14","0")</f>
        <v>0</v>
      </c>
    </row>
    <row r="244" spans="1:7">
      <c r="A244" s="3">
        <v>14</v>
      </c>
      <c r="B244" s="3">
        <v>9</v>
      </c>
      <c r="C244" s="3">
        <v>17</v>
      </c>
      <c r="D244" s="3">
        <v>3</v>
      </c>
      <c r="E244" s="3">
        <v>147.816</v>
      </c>
      <c r="F244" s="4" t="str">
        <f>HYPERLINK("http://141.218.60.56/~jnz1568/getInfo.php?workbook=14_09.xlsx&amp;sheet=A0&amp;row=244&amp;col=6&amp;number=1090000&amp;sourceID=14","1090000")</f>
        <v>1090000</v>
      </c>
      <c r="G244" s="4" t="str">
        <f>HYPERLINK("http://141.218.60.56/~jnz1568/getInfo.php?workbook=14_09.xlsx&amp;sheet=A0&amp;row=244&amp;col=7&amp;number=0&amp;sourceID=14","0")</f>
        <v>0</v>
      </c>
    </row>
    <row r="245" spans="1:7">
      <c r="A245" s="3">
        <v>14</v>
      </c>
      <c r="B245" s="3">
        <v>9</v>
      </c>
      <c r="C245" s="3">
        <v>19</v>
      </c>
      <c r="D245" s="3">
        <v>3</v>
      </c>
      <c r="E245" s="3">
        <v>146.402</v>
      </c>
      <c r="F245" s="4" t="str">
        <f>HYPERLINK("http://141.218.60.56/~jnz1568/getInfo.php?workbook=14_09.xlsx&amp;sheet=A0&amp;row=245&amp;col=6&amp;number=18800000&amp;sourceID=14","18800000")</f>
        <v>18800000</v>
      </c>
      <c r="G245" s="4" t="str">
        <f>HYPERLINK("http://141.218.60.56/~jnz1568/getInfo.php?workbook=14_09.xlsx&amp;sheet=A0&amp;row=245&amp;col=7&amp;number=0&amp;sourceID=14","0")</f>
        <v>0</v>
      </c>
    </row>
    <row r="246" spans="1:7">
      <c r="A246" s="3">
        <v>14</v>
      </c>
      <c r="B246" s="3">
        <v>9</v>
      </c>
      <c r="C246" s="3">
        <v>20</v>
      </c>
      <c r="D246" s="3">
        <v>3</v>
      </c>
      <c r="E246" s="3">
        <v>-154.328</v>
      </c>
      <c r="F246" s="4" t="str">
        <f>HYPERLINK("http://141.218.60.56/~jnz1568/getInfo.php?workbook=14_09.xlsx&amp;sheet=A0&amp;row=246&amp;col=6&amp;number=282000000&amp;sourceID=14","282000000")</f>
        <v>282000000</v>
      </c>
      <c r="G246" s="4" t="str">
        <f>HYPERLINK("http://141.218.60.56/~jnz1568/getInfo.php?workbook=14_09.xlsx&amp;sheet=A0&amp;row=246&amp;col=7&amp;number=0&amp;sourceID=14","0")</f>
        <v>0</v>
      </c>
    </row>
    <row r="247" spans="1:7">
      <c r="A247" s="3">
        <v>14</v>
      </c>
      <c r="B247" s="3">
        <v>9</v>
      </c>
      <c r="C247" s="3">
        <v>21</v>
      </c>
      <c r="D247" s="3">
        <v>3</v>
      </c>
      <c r="E247" s="3">
        <v>145.503</v>
      </c>
      <c r="F247" s="4" t="str">
        <f>HYPERLINK("http://141.218.60.56/~jnz1568/getInfo.php?workbook=14_09.xlsx&amp;sheet=A0&amp;row=247&amp;col=6&amp;number=72800000&amp;sourceID=14","72800000")</f>
        <v>72800000</v>
      </c>
      <c r="G247" s="4" t="str">
        <f>HYPERLINK("http://141.218.60.56/~jnz1568/getInfo.php?workbook=14_09.xlsx&amp;sheet=A0&amp;row=247&amp;col=7&amp;number=0&amp;sourceID=14","0")</f>
        <v>0</v>
      </c>
    </row>
    <row r="248" spans="1:7">
      <c r="A248" s="3">
        <v>14</v>
      </c>
      <c r="B248" s="3">
        <v>9</v>
      </c>
      <c r="C248" s="3">
        <v>22</v>
      </c>
      <c r="D248" s="3">
        <v>3</v>
      </c>
      <c r="E248" s="3">
        <v>145.342</v>
      </c>
      <c r="F248" s="4" t="str">
        <f>HYPERLINK("http://141.218.60.56/~jnz1568/getInfo.php?workbook=14_09.xlsx&amp;sheet=A0&amp;row=248&amp;col=6&amp;number=384000000&amp;sourceID=14","384000000")</f>
        <v>384000000</v>
      </c>
      <c r="G248" s="4" t="str">
        <f>HYPERLINK("http://141.218.60.56/~jnz1568/getInfo.php?workbook=14_09.xlsx&amp;sheet=A0&amp;row=248&amp;col=7&amp;number=0&amp;sourceID=14","0")</f>
        <v>0</v>
      </c>
    </row>
    <row r="249" spans="1:7">
      <c r="A249" s="3">
        <v>14</v>
      </c>
      <c r="B249" s="3">
        <v>9</v>
      </c>
      <c r="C249" s="3">
        <v>23</v>
      </c>
      <c r="D249" s="3">
        <v>3</v>
      </c>
      <c r="E249" s="3">
        <v>-153.273</v>
      </c>
      <c r="F249" s="4" t="str">
        <f>HYPERLINK("http://141.218.60.56/~jnz1568/getInfo.php?workbook=14_09.xlsx&amp;sheet=A0&amp;row=249&amp;col=6&amp;number=195000000&amp;sourceID=14","195000000")</f>
        <v>195000000</v>
      </c>
      <c r="G249" s="4" t="str">
        <f>HYPERLINK("http://141.218.60.56/~jnz1568/getInfo.php?workbook=14_09.xlsx&amp;sheet=A0&amp;row=249&amp;col=7&amp;number=0&amp;sourceID=14","0")</f>
        <v>0</v>
      </c>
    </row>
    <row r="250" spans="1:7">
      <c r="A250" s="3">
        <v>14</v>
      </c>
      <c r="B250" s="3">
        <v>9</v>
      </c>
      <c r="C250" s="3">
        <v>27</v>
      </c>
      <c r="D250" s="3">
        <v>3</v>
      </c>
      <c r="E250" s="3">
        <v>137.444</v>
      </c>
      <c r="F250" s="4" t="str">
        <f>HYPERLINK("http://141.218.60.56/~jnz1568/getInfo.php?workbook=14_09.xlsx&amp;sheet=A0&amp;row=250&amp;col=6&amp;number=6320000&amp;sourceID=14","6320000")</f>
        <v>6320000</v>
      </c>
      <c r="G250" s="4" t="str">
        <f>HYPERLINK("http://141.218.60.56/~jnz1568/getInfo.php?workbook=14_09.xlsx&amp;sheet=A0&amp;row=250&amp;col=7&amp;number=0&amp;sourceID=14","0")</f>
        <v>0</v>
      </c>
    </row>
    <row r="251" spans="1:7">
      <c r="A251" s="3">
        <v>14</v>
      </c>
      <c r="B251" s="3">
        <v>9</v>
      </c>
      <c r="C251" s="3">
        <v>29</v>
      </c>
      <c r="D251" s="3">
        <v>3</v>
      </c>
      <c r="E251" s="3">
        <v>134.879</v>
      </c>
      <c r="F251" s="4" t="str">
        <f>HYPERLINK("http://141.218.60.56/~jnz1568/getInfo.php?workbook=14_09.xlsx&amp;sheet=A0&amp;row=251&amp;col=6&amp;number=1250000000&amp;sourceID=14","1250000000")</f>
        <v>1250000000</v>
      </c>
      <c r="G251" s="4" t="str">
        <f>HYPERLINK("http://141.218.60.56/~jnz1568/getInfo.php?workbook=14_09.xlsx&amp;sheet=A0&amp;row=251&amp;col=7&amp;number=0&amp;sourceID=14","0")</f>
        <v>0</v>
      </c>
    </row>
    <row r="252" spans="1:7">
      <c r="A252" s="3">
        <v>14</v>
      </c>
      <c r="B252" s="3">
        <v>9</v>
      </c>
      <c r="C252" s="3">
        <v>30</v>
      </c>
      <c r="D252" s="3">
        <v>3</v>
      </c>
      <c r="E252" s="3">
        <v>134.448</v>
      </c>
      <c r="F252" s="4" t="str">
        <f>HYPERLINK("http://141.218.60.56/~jnz1568/getInfo.php?workbook=14_09.xlsx&amp;sheet=A0&amp;row=252&amp;col=6&amp;number=1290000000&amp;sourceID=14","1290000000")</f>
        <v>1290000000</v>
      </c>
      <c r="G252" s="4" t="str">
        <f>HYPERLINK("http://141.218.60.56/~jnz1568/getInfo.php?workbook=14_09.xlsx&amp;sheet=A0&amp;row=252&amp;col=7&amp;number=0&amp;sourceID=14","0")</f>
        <v>0</v>
      </c>
    </row>
    <row r="253" spans="1:7">
      <c r="A253" s="3">
        <v>14</v>
      </c>
      <c r="B253" s="3">
        <v>9</v>
      </c>
      <c r="C253" s="3">
        <v>44</v>
      </c>
      <c r="D253" s="3">
        <v>3</v>
      </c>
      <c r="E253" s="3">
        <v>-131.834</v>
      </c>
      <c r="F253" s="4" t="str">
        <f>HYPERLINK("http://141.218.60.56/~jnz1568/getInfo.php?workbook=14_09.xlsx&amp;sheet=A0&amp;row=253&amp;col=6&amp;number=58100000&amp;sourceID=14","58100000")</f>
        <v>58100000</v>
      </c>
      <c r="G253" s="4" t="str">
        <f>HYPERLINK("http://141.218.60.56/~jnz1568/getInfo.php?workbook=14_09.xlsx&amp;sheet=A0&amp;row=253&amp;col=7&amp;number=0&amp;sourceID=14","0")</f>
        <v>0</v>
      </c>
    </row>
    <row r="254" spans="1:7">
      <c r="A254" s="3">
        <v>14</v>
      </c>
      <c r="B254" s="3">
        <v>9</v>
      </c>
      <c r="C254" s="3">
        <v>45</v>
      </c>
      <c r="D254" s="3">
        <v>3</v>
      </c>
      <c r="E254" s="3">
        <v>-131.776</v>
      </c>
      <c r="F254" s="4" t="str">
        <f>HYPERLINK("http://141.218.60.56/~jnz1568/getInfo.php?workbook=14_09.xlsx&amp;sheet=A0&amp;row=254&amp;col=6&amp;number=36500000&amp;sourceID=14","36500000")</f>
        <v>36500000</v>
      </c>
      <c r="G254" s="4" t="str">
        <f>HYPERLINK("http://141.218.60.56/~jnz1568/getInfo.php?workbook=14_09.xlsx&amp;sheet=A0&amp;row=254&amp;col=7&amp;number=0&amp;sourceID=14","0")</f>
        <v>0</v>
      </c>
    </row>
    <row r="255" spans="1:7">
      <c r="A255" s="3">
        <v>14</v>
      </c>
      <c r="B255" s="3">
        <v>9</v>
      </c>
      <c r="C255" s="3">
        <v>67</v>
      </c>
      <c r="D255" s="3">
        <v>3</v>
      </c>
      <c r="E255" s="3">
        <v>-110.27</v>
      </c>
      <c r="F255" s="4" t="str">
        <f>HYPERLINK("http://141.218.60.56/~jnz1568/getInfo.php?workbook=14_09.xlsx&amp;sheet=A0&amp;row=255&amp;col=6&amp;number=42600000&amp;sourceID=14","42600000")</f>
        <v>42600000</v>
      </c>
      <c r="G255" s="4" t="str">
        <f>HYPERLINK("http://141.218.60.56/~jnz1568/getInfo.php?workbook=14_09.xlsx&amp;sheet=A0&amp;row=255&amp;col=7&amp;number=0&amp;sourceID=14","0")</f>
        <v>0</v>
      </c>
    </row>
    <row r="256" spans="1:7">
      <c r="A256" s="3">
        <v>14</v>
      </c>
      <c r="B256" s="3">
        <v>9</v>
      </c>
      <c r="C256" s="3">
        <v>68</v>
      </c>
      <c r="D256" s="3">
        <v>3</v>
      </c>
      <c r="E256" s="3">
        <v>-110.092</v>
      </c>
      <c r="F256" s="4" t="str">
        <f>HYPERLINK("http://141.218.60.56/~jnz1568/getInfo.php?workbook=14_09.xlsx&amp;sheet=A0&amp;row=256&amp;col=6&amp;number=15500000&amp;sourceID=14","15500000")</f>
        <v>15500000</v>
      </c>
      <c r="G256" s="4" t="str">
        <f>HYPERLINK("http://141.218.60.56/~jnz1568/getInfo.php?workbook=14_09.xlsx&amp;sheet=A0&amp;row=256&amp;col=7&amp;number=0&amp;sourceID=14","0")</f>
        <v>0</v>
      </c>
    </row>
    <row r="257" spans="1:7">
      <c r="A257" s="3">
        <v>14</v>
      </c>
      <c r="B257" s="3">
        <v>9</v>
      </c>
      <c r="C257" s="3">
        <v>71</v>
      </c>
      <c r="D257" s="3">
        <v>3</v>
      </c>
      <c r="E257" s="3">
        <v>-109.187</v>
      </c>
      <c r="F257" s="4" t="str">
        <f>HYPERLINK("http://141.218.60.56/~jnz1568/getInfo.php?workbook=14_09.xlsx&amp;sheet=A0&amp;row=257&amp;col=6&amp;number=22100000&amp;sourceID=14","22100000")</f>
        <v>22100000</v>
      </c>
      <c r="G257" s="4" t="str">
        <f>HYPERLINK("http://141.218.60.56/~jnz1568/getInfo.php?workbook=14_09.xlsx&amp;sheet=A0&amp;row=257&amp;col=7&amp;number=0&amp;sourceID=14","0")</f>
        <v>0</v>
      </c>
    </row>
    <row r="258" spans="1:7">
      <c r="A258" s="3">
        <v>14</v>
      </c>
      <c r="B258" s="3">
        <v>9</v>
      </c>
      <c r="C258" s="3">
        <v>73</v>
      </c>
      <c r="D258" s="3">
        <v>3</v>
      </c>
      <c r="E258" s="3">
        <v>-109.053</v>
      </c>
      <c r="F258" s="4" t="str">
        <f>HYPERLINK("http://141.218.60.56/~jnz1568/getInfo.php?workbook=14_09.xlsx&amp;sheet=A0&amp;row=258&amp;col=6&amp;number=4340000&amp;sourceID=14","4340000")</f>
        <v>4340000</v>
      </c>
      <c r="G258" s="4" t="str">
        <f>HYPERLINK("http://141.218.60.56/~jnz1568/getInfo.php?workbook=14_09.xlsx&amp;sheet=A0&amp;row=258&amp;col=7&amp;number=0&amp;sourceID=14","0")</f>
        <v>0</v>
      </c>
    </row>
    <row r="259" spans="1:7">
      <c r="A259" s="3">
        <v>14</v>
      </c>
      <c r="B259" s="3">
        <v>9</v>
      </c>
      <c r="C259" s="3">
        <v>74</v>
      </c>
      <c r="D259" s="3">
        <v>3</v>
      </c>
      <c r="E259" s="3">
        <v>-108.91</v>
      </c>
      <c r="F259" s="4" t="str">
        <f>HYPERLINK("http://141.218.60.56/~jnz1568/getInfo.php?workbook=14_09.xlsx&amp;sheet=A0&amp;row=259&amp;col=6&amp;number=106000&amp;sourceID=14","106000")</f>
        <v>106000</v>
      </c>
      <c r="G259" s="4" t="str">
        <f>HYPERLINK("http://141.218.60.56/~jnz1568/getInfo.php?workbook=14_09.xlsx&amp;sheet=A0&amp;row=259&amp;col=7&amp;number=0&amp;sourceID=14","0")</f>
        <v>0</v>
      </c>
    </row>
    <row r="260" spans="1:7">
      <c r="A260" s="3">
        <v>14</v>
      </c>
      <c r="B260" s="3">
        <v>9</v>
      </c>
      <c r="C260" s="3">
        <v>75</v>
      </c>
      <c r="D260" s="3">
        <v>3</v>
      </c>
      <c r="E260" s="3">
        <v>-108.844</v>
      </c>
      <c r="F260" s="4" t="str">
        <f>HYPERLINK("http://141.218.60.56/~jnz1568/getInfo.php?workbook=14_09.xlsx&amp;sheet=A0&amp;row=260&amp;col=6&amp;number=30200000&amp;sourceID=14","30200000")</f>
        <v>30200000</v>
      </c>
      <c r="G260" s="4" t="str">
        <f>HYPERLINK("http://141.218.60.56/~jnz1568/getInfo.php?workbook=14_09.xlsx&amp;sheet=A0&amp;row=260&amp;col=7&amp;number=0&amp;sourceID=14","0")</f>
        <v>0</v>
      </c>
    </row>
    <row r="261" spans="1:7">
      <c r="A261" s="3">
        <v>14</v>
      </c>
      <c r="B261" s="3">
        <v>9</v>
      </c>
      <c r="C261" s="3">
        <v>76</v>
      </c>
      <c r="D261" s="3">
        <v>3</v>
      </c>
      <c r="E261" s="3">
        <v>-108.81</v>
      </c>
      <c r="F261" s="4" t="str">
        <f>HYPERLINK("http://141.218.60.56/~jnz1568/getInfo.php?workbook=14_09.xlsx&amp;sheet=A0&amp;row=261&amp;col=6&amp;number=7320000&amp;sourceID=14","7320000")</f>
        <v>7320000</v>
      </c>
      <c r="G261" s="4" t="str">
        <f>HYPERLINK("http://141.218.60.56/~jnz1568/getInfo.php?workbook=14_09.xlsx&amp;sheet=A0&amp;row=261&amp;col=7&amp;number=0&amp;sourceID=14","0")</f>
        <v>0</v>
      </c>
    </row>
    <row r="262" spans="1:7">
      <c r="A262" s="3">
        <v>14</v>
      </c>
      <c r="B262" s="3">
        <v>9</v>
      </c>
      <c r="C262" s="3">
        <v>77</v>
      </c>
      <c r="D262" s="3">
        <v>3</v>
      </c>
      <c r="E262" s="3">
        <v>-107.974</v>
      </c>
      <c r="F262" s="4" t="str">
        <f>HYPERLINK("http://141.218.60.56/~jnz1568/getInfo.php?workbook=14_09.xlsx&amp;sheet=A0&amp;row=262&amp;col=6&amp;number=932000000&amp;sourceID=14","932000000")</f>
        <v>932000000</v>
      </c>
      <c r="G262" s="4" t="str">
        <f>HYPERLINK("http://141.218.60.56/~jnz1568/getInfo.php?workbook=14_09.xlsx&amp;sheet=A0&amp;row=262&amp;col=7&amp;number=0&amp;sourceID=14","0")</f>
        <v>0</v>
      </c>
    </row>
    <row r="263" spans="1:7">
      <c r="A263" s="3">
        <v>14</v>
      </c>
      <c r="B263" s="3">
        <v>9</v>
      </c>
      <c r="C263" s="3">
        <v>78</v>
      </c>
      <c r="D263" s="3">
        <v>3</v>
      </c>
      <c r="E263" s="3">
        <v>-107.873</v>
      </c>
      <c r="F263" s="4" t="str">
        <f>HYPERLINK("http://141.218.60.56/~jnz1568/getInfo.php?workbook=14_09.xlsx&amp;sheet=A0&amp;row=263&amp;col=6&amp;number=256000000&amp;sourceID=14","256000000")</f>
        <v>256000000</v>
      </c>
      <c r="G263" s="4" t="str">
        <f>HYPERLINK("http://141.218.60.56/~jnz1568/getInfo.php?workbook=14_09.xlsx&amp;sheet=A0&amp;row=263&amp;col=7&amp;number=0&amp;sourceID=14","0")</f>
        <v>0</v>
      </c>
    </row>
    <row r="264" spans="1:7">
      <c r="A264" s="3">
        <v>14</v>
      </c>
      <c r="B264" s="3">
        <v>9</v>
      </c>
      <c r="C264" s="3">
        <v>79</v>
      </c>
      <c r="D264" s="3">
        <v>3</v>
      </c>
      <c r="E264" s="3">
        <v>-107.566</v>
      </c>
      <c r="F264" s="4" t="str">
        <f>HYPERLINK("http://141.218.60.56/~jnz1568/getInfo.php?workbook=14_09.xlsx&amp;sheet=A0&amp;row=264&amp;col=6&amp;number=247000&amp;sourceID=14","247000")</f>
        <v>247000</v>
      </c>
      <c r="G264" s="4" t="str">
        <f>HYPERLINK("http://141.218.60.56/~jnz1568/getInfo.php?workbook=14_09.xlsx&amp;sheet=A0&amp;row=264&amp;col=7&amp;number=0&amp;sourceID=14","0")</f>
        <v>0</v>
      </c>
    </row>
    <row r="265" spans="1:7">
      <c r="A265" s="3">
        <v>14</v>
      </c>
      <c r="B265" s="3">
        <v>9</v>
      </c>
      <c r="C265" s="3">
        <v>80</v>
      </c>
      <c r="D265" s="3">
        <v>3</v>
      </c>
      <c r="E265" s="3">
        <v>-107.564</v>
      </c>
      <c r="F265" s="4" t="str">
        <f>HYPERLINK("http://141.218.60.56/~jnz1568/getInfo.php?workbook=14_09.xlsx&amp;sheet=A0&amp;row=265&amp;col=6&amp;number=248000&amp;sourceID=14","248000")</f>
        <v>248000</v>
      </c>
      <c r="G265" s="4" t="str">
        <f>HYPERLINK("http://141.218.60.56/~jnz1568/getInfo.php?workbook=14_09.xlsx&amp;sheet=A0&amp;row=265&amp;col=7&amp;number=0&amp;sourceID=14","0")</f>
        <v>0</v>
      </c>
    </row>
    <row r="266" spans="1:7">
      <c r="A266" s="3">
        <v>14</v>
      </c>
      <c r="B266" s="3">
        <v>9</v>
      </c>
      <c r="C266" s="3">
        <v>82</v>
      </c>
      <c r="D266" s="3">
        <v>3</v>
      </c>
      <c r="E266" s="3">
        <v>-107.127</v>
      </c>
      <c r="F266" s="4" t="str">
        <f>HYPERLINK("http://141.218.60.56/~jnz1568/getInfo.php?workbook=14_09.xlsx&amp;sheet=A0&amp;row=266&amp;col=6&amp;number=340000000&amp;sourceID=14","340000000")</f>
        <v>340000000</v>
      </c>
      <c r="G266" s="4" t="str">
        <f>HYPERLINK("http://141.218.60.56/~jnz1568/getInfo.php?workbook=14_09.xlsx&amp;sheet=A0&amp;row=266&amp;col=7&amp;number=0&amp;sourceID=14","0")</f>
        <v>0</v>
      </c>
    </row>
    <row r="267" spans="1:7">
      <c r="A267" s="3">
        <v>14</v>
      </c>
      <c r="B267" s="3">
        <v>9</v>
      </c>
      <c r="C267" s="3">
        <v>83</v>
      </c>
      <c r="D267" s="3">
        <v>3</v>
      </c>
      <c r="E267" s="3">
        <v>-106.936</v>
      </c>
      <c r="F267" s="4" t="str">
        <f>HYPERLINK("http://141.218.60.56/~jnz1568/getInfo.php?workbook=14_09.xlsx&amp;sheet=A0&amp;row=267&amp;col=6&amp;number=162000000&amp;sourceID=14","162000000")</f>
        <v>162000000</v>
      </c>
      <c r="G267" s="4" t="str">
        <f>HYPERLINK("http://141.218.60.56/~jnz1568/getInfo.php?workbook=14_09.xlsx&amp;sheet=A0&amp;row=267&amp;col=7&amp;number=0&amp;sourceID=14","0")</f>
        <v>0</v>
      </c>
    </row>
    <row r="268" spans="1:7">
      <c r="A268" s="3">
        <v>14</v>
      </c>
      <c r="B268" s="3">
        <v>9</v>
      </c>
      <c r="C268" s="3">
        <v>84</v>
      </c>
      <c r="D268" s="3">
        <v>3</v>
      </c>
      <c r="E268" s="3">
        <v>-105.968</v>
      </c>
      <c r="F268" s="4" t="str">
        <f>HYPERLINK("http://141.218.60.56/~jnz1568/getInfo.php?workbook=14_09.xlsx&amp;sheet=A0&amp;row=268&amp;col=6&amp;number=43100000000&amp;sourceID=14","43100000000")</f>
        <v>43100000000</v>
      </c>
      <c r="G268" s="4" t="str">
        <f>HYPERLINK("http://141.218.60.56/~jnz1568/getInfo.php?workbook=14_09.xlsx&amp;sheet=A0&amp;row=268&amp;col=7&amp;number=0&amp;sourceID=14","0")</f>
        <v>0</v>
      </c>
    </row>
    <row r="269" spans="1:7">
      <c r="A269" s="3">
        <v>14</v>
      </c>
      <c r="B269" s="3">
        <v>9</v>
      </c>
      <c r="C269" s="3">
        <v>85</v>
      </c>
      <c r="D269" s="3">
        <v>3</v>
      </c>
      <c r="E269" s="3">
        <v>-105.669</v>
      </c>
      <c r="F269" s="4" t="str">
        <f>HYPERLINK("http://141.218.60.56/~jnz1568/getInfo.php?workbook=14_09.xlsx&amp;sheet=A0&amp;row=269&amp;col=6&amp;number=44700000000&amp;sourceID=14","44700000000")</f>
        <v>44700000000</v>
      </c>
      <c r="G269" s="4" t="str">
        <f>HYPERLINK("http://141.218.60.56/~jnz1568/getInfo.php?workbook=14_09.xlsx&amp;sheet=A0&amp;row=269&amp;col=7&amp;number=0&amp;sourceID=14","0")</f>
        <v>0</v>
      </c>
    </row>
    <row r="270" spans="1:7">
      <c r="A270" s="3">
        <v>14</v>
      </c>
      <c r="B270" s="3">
        <v>9</v>
      </c>
      <c r="C270" s="3">
        <v>108</v>
      </c>
      <c r="D270" s="3">
        <v>3</v>
      </c>
      <c r="E270" s="3">
        <v>-103.882</v>
      </c>
      <c r="F270" s="4" t="str">
        <f>HYPERLINK("http://141.218.60.56/~jnz1568/getInfo.php?workbook=14_09.xlsx&amp;sheet=A0&amp;row=270&amp;col=6&amp;number=203000&amp;sourceID=14","203000")</f>
        <v>203000</v>
      </c>
      <c r="G270" s="4" t="str">
        <f>HYPERLINK("http://141.218.60.56/~jnz1568/getInfo.php?workbook=14_09.xlsx&amp;sheet=A0&amp;row=270&amp;col=7&amp;number=0&amp;sourceID=14","0")</f>
        <v>0</v>
      </c>
    </row>
    <row r="271" spans="1:7">
      <c r="A271" s="3">
        <v>14</v>
      </c>
      <c r="B271" s="3">
        <v>9</v>
      </c>
      <c r="C271" s="3">
        <v>112</v>
      </c>
      <c r="D271" s="3">
        <v>3</v>
      </c>
      <c r="E271" s="3">
        <v>-103.779</v>
      </c>
      <c r="F271" s="4" t="str">
        <f>HYPERLINK("http://141.218.60.56/~jnz1568/getInfo.php?workbook=14_09.xlsx&amp;sheet=A0&amp;row=271&amp;col=6&amp;number=1980000&amp;sourceID=14","1980000")</f>
        <v>1980000</v>
      </c>
      <c r="G271" s="4" t="str">
        <f>HYPERLINK("http://141.218.60.56/~jnz1568/getInfo.php?workbook=14_09.xlsx&amp;sheet=A0&amp;row=271&amp;col=7&amp;number=0&amp;sourceID=14","0")</f>
        <v>0</v>
      </c>
    </row>
    <row r="272" spans="1:7">
      <c r="A272" s="3">
        <v>14</v>
      </c>
      <c r="B272" s="3">
        <v>9</v>
      </c>
      <c r="C272" s="3">
        <v>113</v>
      </c>
      <c r="D272" s="3">
        <v>3</v>
      </c>
      <c r="E272" s="3">
        <v>-103.779</v>
      </c>
      <c r="F272" s="4" t="str">
        <f>HYPERLINK("http://141.218.60.56/~jnz1568/getInfo.php?workbook=14_09.xlsx&amp;sheet=A0&amp;row=272&amp;col=6&amp;number=7810000&amp;sourceID=14","7810000")</f>
        <v>7810000</v>
      </c>
      <c r="G272" s="4" t="str">
        <f>HYPERLINK("http://141.218.60.56/~jnz1568/getInfo.php?workbook=14_09.xlsx&amp;sheet=A0&amp;row=272&amp;col=7&amp;number=0&amp;sourceID=14","0")</f>
        <v>0</v>
      </c>
    </row>
    <row r="273" spans="1:7">
      <c r="A273" s="3">
        <v>14</v>
      </c>
      <c r="B273" s="3">
        <v>9</v>
      </c>
      <c r="C273" s="3">
        <v>116</v>
      </c>
      <c r="D273" s="3">
        <v>3</v>
      </c>
      <c r="E273" s="3">
        <v>-103.76</v>
      </c>
      <c r="F273" s="4" t="str">
        <f>HYPERLINK("http://141.218.60.56/~jnz1568/getInfo.php?workbook=14_09.xlsx&amp;sheet=A0&amp;row=273&amp;col=6&amp;number=3790000&amp;sourceID=14","3790000")</f>
        <v>3790000</v>
      </c>
      <c r="G273" s="4" t="str">
        <f>HYPERLINK("http://141.218.60.56/~jnz1568/getInfo.php?workbook=14_09.xlsx&amp;sheet=A0&amp;row=273&amp;col=7&amp;number=0&amp;sourceID=14","0")</f>
        <v>0</v>
      </c>
    </row>
    <row r="274" spans="1:7">
      <c r="A274" s="3">
        <v>14</v>
      </c>
      <c r="B274" s="3">
        <v>9</v>
      </c>
      <c r="C274" s="3">
        <v>125</v>
      </c>
      <c r="D274" s="3">
        <v>3</v>
      </c>
      <c r="E274" s="3">
        <v>-102.547</v>
      </c>
      <c r="F274" s="4" t="str">
        <f>HYPERLINK("http://141.218.60.56/~jnz1568/getInfo.php?workbook=14_09.xlsx&amp;sheet=A0&amp;row=274&amp;col=6&amp;number=2610000000&amp;sourceID=14","2610000000")</f>
        <v>2610000000</v>
      </c>
      <c r="G274" s="4" t="str">
        <f>HYPERLINK("http://141.218.60.56/~jnz1568/getInfo.php?workbook=14_09.xlsx&amp;sheet=A0&amp;row=274&amp;col=7&amp;number=0&amp;sourceID=14","0")</f>
        <v>0</v>
      </c>
    </row>
    <row r="275" spans="1:7">
      <c r="A275" s="3">
        <v>14</v>
      </c>
      <c r="B275" s="3">
        <v>9</v>
      </c>
      <c r="C275" s="3">
        <v>126</v>
      </c>
      <c r="D275" s="3">
        <v>3</v>
      </c>
      <c r="E275" s="3">
        <v>-102.331</v>
      </c>
      <c r="F275" s="4" t="str">
        <f>HYPERLINK("http://141.218.60.56/~jnz1568/getInfo.php?workbook=14_09.xlsx&amp;sheet=A0&amp;row=275&amp;col=6&amp;number=3410000000&amp;sourceID=14","3410000000")</f>
        <v>3410000000</v>
      </c>
      <c r="G275" s="4" t="str">
        <f>HYPERLINK("http://141.218.60.56/~jnz1568/getInfo.php?workbook=14_09.xlsx&amp;sheet=A0&amp;row=275&amp;col=7&amp;number=0&amp;sourceID=14","0")</f>
        <v>0</v>
      </c>
    </row>
    <row r="276" spans="1:7">
      <c r="A276" s="3">
        <v>14</v>
      </c>
      <c r="B276" s="3">
        <v>9</v>
      </c>
      <c r="C276" s="3">
        <v>138</v>
      </c>
      <c r="D276" s="3">
        <v>3</v>
      </c>
      <c r="E276" s="3">
        <v>-99.089</v>
      </c>
      <c r="F276" s="4" t="str">
        <f>HYPERLINK("http://141.218.60.56/~jnz1568/getInfo.php?workbook=14_09.xlsx&amp;sheet=A0&amp;row=276&amp;col=6&amp;number=445000000&amp;sourceID=14","445000000")</f>
        <v>445000000</v>
      </c>
      <c r="G276" s="4" t="str">
        <f>HYPERLINK("http://141.218.60.56/~jnz1568/getInfo.php?workbook=14_09.xlsx&amp;sheet=A0&amp;row=276&amp;col=7&amp;number=0&amp;sourceID=14","0")</f>
        <v>0</v>
      </c>
    </row>
    <row r="277" spans="1:7">
      <c r="A277" s="3">
        <v>14</v>
      </c>
      <c r="B277" s="3">
        <v>9</v>
      </c>
      <c r="C277" s="3">
        <v>139</v>
      </c>
      <c r="D277" s="3">
        <v>3</v>
      </c>
      <c r="E277" s="3">
        <v>-99.087</v>
      </c>
      <c r="F277" s="4" t="str">
        <f>HYPERLINK("http://141.218.60.56/~jnz1568/getInfo.php?workbook=14_09.xlsx&amp;sheet=A0&amp;row=277&amp;col=6&amp;number=467000000&amp;sourceID=14","467000000")</f>
        <v>467000000</v>
      </c>
      <c r="G277" s="4" t="str">
        <f>HYPERLINK("http://141.218.60.56/~jnz1568/getInfo.php?workbook=14_09.xlsx&amp;sheet=A0&amp;row=277&amp;col=7&amp;number=0&amp;sourceID=14","0")</f>
        <v>0</v>
      </c>
    </row>
    <row r="278" spans="1:7">
      <c r="A278" s="3">
        <v>14</v>
      </c>
      <c r="B278" s="3">
        <v>9</v>
      </c>
      <c r="C278" s="3">
        <v>142</v>
      </c>
      <c r="D278" s="3">
        <v>3</v>
      </c>
      <c r="E278" s="3">
        <v>-98.952</v>
      </c>
      <c r="F278" s="4" t="str">
        <f>HYPERLINK("http://141.218.60.56/~jnz1568/getInfo.php?workbook=14_09.xlsx&amp;sheet=A0&amp;row=278&amp;col=6&amp;number=364000&amp;sourceID=14","364000")</f>
        <v>364000</v>
      </c>
      <c r="G278" s="4" t="str">
        <f>HYPERLINK("http://141.218.60.56/~jnz1568/getInfo.php?workbook=14_09.xlsx&amp;sheet=A0&amp;row=278&amp;col=7&amp;number=0&amp;sourceID=14","0")</f>
        <v>0</v>
      </c>
    </row>
    <row r="279" spans="1:7">
      <c r="A279" s="3">
        <v>14</v>
      </c>
      <c r="B279" s="3">
        <v>9</v>
      </c>
      <c r="C279" s="3">
        <v>152</v>
      </c>
      <c r="D279" s="3">
        <v>3</v>
      </c>
      <c r="E279" s="3">
        <v>-98.071</v>
      </c>
      <c r="F279" s="4" t="str">
        <f>HYPERLINK("http://141.218.60.56/~jnz1568/getInfo.php?workbook=14_09.xlsx&amp;sheet=A0&amp;row=279&amp;col=6&amp;number=1870000&amp;sourceID=14","1870000")</f>
        <v>1870000</v>
      </c>
      <c r="G279" s="4" t="str">
        <f>HYPERLINK("http://141.218.60.56/~jnz1568/getInfo.php?workbook=14_09.xlsx&amp;sheet=A0&amp;row=279&amp;col=7&amp;number=0&amp;sourceID=14","0")</f>
        <v>0</v>
      </c>
    </row>
    <row r="280" spans="1:7">
      <c r="A280" s="3">
        <v>14</v>
      </c>
      <c r="B280" s="3">
        <v>9</v>
      </c>
      <c r="C280" s="3">
        <v>153</v>
      </c>
      <c r="D280" s="3">
        <v>3</v>
      </c>
      <c r="E280" s="3">
        <v>-97.903</v>
      </c>
      <c r="F280" s="4" t="str">
        <f>HYPERLINK("http://141.218.60.56/~jnz1568/getInfo.php?workbook=14_09.xlsx&amp;sheet=A0&amp;row=280&amp;col=6&amp;number=4030000&amp;sourceID=14","4030000")</f>
        <v>4030000</v>
      </c>
      <c r="G280" s="4" t="str">
        <f>HYPERLINK("http://141.218.60.56/~jnz1568/getInfo.php?workbook=14_09.xlsx&amp;sheet=A0&amp;row=280&amp;col=7&amp;number=0&amp;sourceID=14","0")</f>
        <v>0</v>
      </c>
    </row>
    <row r="281" spans="1:7">
      <c r="A281" s="3">
        <v>14</v>
      </c>
      <c r="B281" s="3">
        <v>9</v>
      </c>
      <c r="C281" s="3">
        <v>156</v>
      </c>
      <c r="D281" s="3">
        <v>3</v>
      </c>
      <c r="E281" s="3">
        <v>-97.75</v>
      </c>
      <c r="F281" s="4" t="str">
        <f>HYPERLINK("http://141.218.60.56/~jnz1568/getInfo.php?workbook=14_09.xlsx&amp;sheet=A0&amp;row=281&amp;col=6&amp;number=3480000&amp;sourceID=14","3480000")</f>
        <v>3480000</v>
      </c>
      <c r="G281" s="4" t="str">
        <f>HYPERLINK("http://141.218.60.56/~jnz1568/getInfo.php?workbook=14_09.xlsx&amp;sheet=A0&amp;row=281&amp;col=7&amp;number=0&amp;sourceID=14","0")</f>
        <v>0</v>
      </c>
    </row>
    <row r="282" spans="1:7">
      <c r="A282" s="3">
        <v>14</v>
      </c>
      <c r="B282" s="3">
        <v>9</v>
      </c>
      <c r="C282" s="3">
        <v>157</v>
      </c>
      <c r="D282" s="3">
        <v>3</v>
      </c>
      <c r="E282" s="3">
        <v>-97.506</v>
      </c>
      <c r="F282" s="4" t="str">
        <f>HYPERLINK("http://141.218.60.56/~jnz1568/getInfo.php?workbook=14_09.xlsx&amp;sheet=A0&amp;row=282&amp;col=6&amp;number=2610000&amp;sourceID=14","2610000")</f>
        <v>2610000</v>
      </c>
      <c r="G282" s="4" t="str">
        <f>HYPERLINK("http://141.218.60.56/~jnz1568/getInfo.php?workbook=14_09.xlsx&amp;sheet=A0&amp;row=282&amp;col=7&amp;number=0&amp;sourceID=14","0")</f>
        <v>0</v>
      </c>
    </row>
    <row r="283" spans="1:7">
      <c r="A283" s="3">
        <v>14</v>
      </c>
      <c r="B283" s="3">
        <v>9</v>
      </c>
      <c r="C283" s="3">
        <v>159</v>
      </c>
      <c r="D283" s="3">
        <v>3</v>
      </c>
      <c r="E283" s="3">
        <v>-96.922</v>
      </c>
      <c r="F283" s="4" t="str">
        <f>HYPERLINK("http://141.218.60.56/~jnz1568/getInfo.php?workbook=14_09.xlsx&amp;sheet=A0&amp;row=283&amp;col=6&amp;number=395000000&amp;sourceID=14","395000000")</f>
        <v>395000000</v>
      </c>
      <c r="G283" s="4" t="str">
        <f>HYPERLINK("http://141.218.60.56/~jnz1568/getInfo.php?workbook=14_09.xlsx&amp;sheet=A0&amp;row=283&amp;col=7&amp;number=0&amp;sourceID=14","0")</f>
        <v>0</v>
      </c>
    </row>
    <row r="284" spans="1:7">
      <c r="A284" s="3">
        <v>14</v>
      </c>
      <c r="B284" s="3">
        <v>9</v>
      </c>
      <c r="C284" s="3">
        <v>160</v>
      </c>
      <c r="D284" s="3">
        <v>3</v>
      </c>
      <c r="E284" s="3">
        <v>-96.911</v>
      </c>
      <c r="F284" s="4" t="str">
        <f>HYPERLINK("http://141.218.60.56/~jnz1568/getInfo.php?workbook=14_09.xlsx&amp;sheet=A0&amp;row=284&amp;col=6&amp;number=461000000&amp;sourceID=14","461000000")</f>
        <v>461000000</v>
      </c>
      <c r="G284" s="4" t="str">
        <f>HYPERLINK("http://141.218.60.56/~jnz1568/getInfo.php?workbook=14_09.xlsx&amp;sheet=A0&amp;row=284&amp;col=7&amp;number=0&amp;sourceID=14","0")</f>
        <v>0</v>
      </c>
    </row>
    <row r="285" spans="1:7">
      <c r="A285" s="3">
        <v>14</v>
      </c>
      <c r="B285" s="3">
        <v>9</v>
      </c>
      <c r="C285" s="3">
        <v>166</v>
      </c>
      <c r="D285" s="3">
        <v>3</v>
      </c>
      <c r="E285" s="3">
        <v>-91.824</v>
      </c>
      <c r="F285" s="4" t="str">
        <f>HYPERLINK("http://141.218.60.56/~jnz1568/getInfo.php?workbook=14_09.xlsx&amp;sheet=A0&amp;row=285&amp;col=6&amp;number=24100000000&amp;sourceID=14","24100000000")</f>
        <v>24100000000</v>
      </c>
      <c r="G285" s="4" t="str">
        <f>HYPERLINK("http://141.218.60.56/~jnz1568/getInfo.php?workbook=14_09.xlsx&amp;sheet=A0&amp;row=285&amp;col=7&amp;number=0&amp;sourceID=14","0")</f>
        <v>0</v>
      </c>
    </row>
    <row r="286" spans="1:7">
      <c r="A286" s="3">
        <v>14</v>
      </c>
      <c r="B286" s="3">
        <v>9</v>
      </c>
      <c r="C286" s="3">
        <v>167</v>
      </c>
      <c r="D286" s="3">
        <v>3</v>
      </c>
      <c r="E286" s="3">
        <v>-91.812</v>
      </c>
      <c r="F286" s="4" t="str">
        <f>HYPERLINK("http://141.218.60.56/~jnz1568/getInfo.php?workbook=14_09.xlsx&amp;sheet=A0&amp;row=286&amp;col=6&amp;number=22300000000&amp;sourceID=14","22300000000")</f>
        <v>22300000000</v>
      </c>
      <c r="G286" s="4" t="str">
        <f>HYPERLINK("http://141.218.60.56/~jnz1568/getInfo.php?workbook=14_09.xlsx&amp;sheet=A0&amp;row=286&amp;col=7&amp;number=0&amp;sourceID=14","0")</f>
        <v>0</v>
      </c>
    </row>
    <row r="287" spans="1:7">
      <c r="A287" s="3">
        <v>14</v>
      </c>
      <c r="B287" s="3">
        <v>9</v>
      </c>
      <c r="C287" s="3">
        <v>168</v>
      </c>
      <c r="D287" s="3">
        <v>3</v>
      </c>
      <c r="E287" s="3">
        <v>-89.992</v>
      </c>
      <c r="F287" s="4" t="str">
        <f>HYPERLINK("http://141.218.60.56/~jnz1568/getInfo.php?workbook=14_09.xlsx&amp;sheet=A0&amp;row=287&amp;col=6&amp;number=53100000&amp;sourceID=14","53100000")</f>
        <v>53100000</v>
      </c>
      <c r="G287" s="4" t="str">
        <f>HYPERLINK("http://141.218.60.56/~jnz1568/getInfo.php?workbook=14_09.xlsx&amp;sheet=A0&amp;row=287&amp;col=7&amp;number=0&amp;sourceID=14","0")</f>
        <v>0</v>
      </c>
    </row>
    <row r="288" spans="1:7">
      <c r="A288" s="3">
        <v>14</v>
      </c>
      <c r="B288" s="3">
        <v>9</v>
      </c>
      <c r="C288" s="3">
        <v>169</v>
      </c>
      <c r="D288" s="3">
        <v>3</v>
      </c>
      <c r="E288" s="3">
        <v>-89.925</v>
      </c>
      <c r="F288" s="4" t="str">
        <f>HYPERLINK("http://141.218.60.56/~jnz1568/getInfo.php?workbook=14_09.xlsx&amp;sheet=A0&amp;row=288&amp;col=6&amp;number=150000000&amp;sourceID=14","150000000")</f>
        <v>150000000</v>
      </c>
      <c r="G288" s="4" t="str">
        <f>HYPERLINK("http://141.218.60.56/~jnz1568/getInfo.php?workbook=14_09.xlsx&amp;sheet=A0&amp;row=288&amp;col=7&amp;number=0&amp;sourceID=14","0")</f>
        <v>0</v>
      </c>
    </row>
    <row r="289" spans="1:7">
      <c r="A289" s="3">
        <v>14</v>
      </c>
      <c r="B289" s="3">
        <v>9</v>
      </c>
      <c r="C289" s="3">
        <v>174</v>
      </c>
      <c r="D289" s="3">
        <v>3</v>
      </c>
      <c r="E289" s="3">
        <v>-89.297</v>
      </c>
      <c r="F289" s="4" t="str">
        <f>HYPERLINK("http://141.218.60.56/~jnz1568/getInfo.php?workbook=14_09.xlsx&amp;sheet=A0&amp;row=289&amp;col=6&amp;number=59900000&amp;sourceID=14","59900000")</f>
        <v>59900000</v>
      </c>
      <c r="G289" s="4" t="str">
        <f>HYPERLINK("http://141.218.60.56/~jnz1568/getInfo.php?workbook=14_09.xlsx&amp;sheet=A0&amp;row=289&amp;col=7&amp;number=0&amp;sourceID=14","0")</f>
        <v>0</v>
      </c>
    </row>
    <row r="290" spans="1:7">
      <c r="A290" s="3">
        <v>14</v>
      </c>
      <c r="B290" s="3">
        <v>9</v>
      </c>
      <c r="C290" s="3">
        <v>178</v>
      </c>
      <c r="D290" s="3">
        <v>3</v>
      </c>
      <c r="E290" s="3">
        <v>-88.682</v>
      </c>
      <c r="F290" s="4" t="str">
        <f>HYPERLINK("http://141.218.60.56/~jnz1568/getInfo.php?workbook=14_09.xlsx&amp;sheet=A0&amp;row=290&amp;col=6&amp;number=3440000000&amp;sourceID=14","3440000000")</f>
        <v>3440000000</v>
      </c>
      <c r="G290" s="4" t="str">
        <f>HYPERLINK("http://141.218.60.56/~jnz1568/getInfo.php?workbook=14_09.xlsx&amp;sheet=A0&amp;row=290&amp;col=7&amp;number=0&amp;sourceID=14","0")</f>
        <v>0</v>
      </c>
    </row>
    <row r="291" spans="1:7">
      <c r="A291" s="3">
        <v>14</v>
      </c>
      <c r="B291" s="3">
        <v>9</v>
      </c>
      <c r="C291" s="3">
        <v>179</v>
      </c>
      <c r="D291" s="3">
        <v>3</v>
      </c>
      <c r="E291" s="3">
        <v>-88.679</v>
      </c>
      <c r="F291" s="4" t="str">
        <f>HYPERLINK("http://141.218.60.56/~jnz1568/getInfo.php?workbook=14_09.xlsx&amp;sheet=A0&amp;row=291&amp;col=6&amp;number=1900000000&amp;sourceID=14","1900000000")</f>
        <v>1900000000</v>
      </c>
      <c r="G291" s="4" t="str">
        <f>HYPERLINK("http://141.218.60.56/~jnz1568/getInfo.php?workbook=14_09.xlsx&amp;sheet=A0&amp;row=291&amp;col=7&amp;number=0&amp;sourceID=14","0")</f>
        <v>0</v>
      </c>
    </row>
    <row r="292" spans="1:7">
      <c r="A292" s="3">
        <v>14</v>
      </c>
      <c r="B292" s="3">
        <v>9</v>
      </c>
      <c r="C292" s="3">
        <v>182</v>
      </c>
      <c r="D292" s="3">
        <v>3</v>
      </c>
      <c r="E292" s="3">
        <v>-88.247</v>
      </c>
      <c r="F292" s="4" t="str">
        <f>HYPERLINK("http://141.218.60.56/~jnz1568/getInfo.php?workbook=14_09.xlsx&amp;sheet=A0&amp;row=292&amp;col=6&amp;number=12000000000&amp;sourceID=14","12000000000")</f>
        <v>12000000000</v>
      </c>
      <c r="G292" s="4" t="str">
        <f>HYPERLINK("http://141.218.60.56/~jnz1568/getInfo.php?workbook=14_09.xlsx&amp;sheet=A0&amp;row=292&amp;col=7&amp;number=0&amp;sourceID=14","0")</f>
        <v>0</v>
      </c>
    </row>
    <row r="293" spans="1:7">
      <c r="A293" s="3">
        <v>14</v>
      </c>
      <c r="B293" s="3">
        <v>9</v>
      </c>
      <c r="C293" s="3">
        <v>183</v>
      </c>
      <c r="D293" s="3">
        <v>3</v>
      </c>
      <c r="E293" s="3">
        <v>-87.592</v>
      </c>
      <c r="F293" s="4" t="str">
        <f>HYPERLINK("http://141.218.60.56/~jnz1568/getInfo.php?workbook=14_09.xlsx&amp;sheet=A0&amp;row=293&amp;col=6&amp;number=422000000000&amp;sourceID=14","422000000000")</f>
        <v>422000000000</v>
      </c>
      <c r="G293" s="4" t="str">
        <f>HYPERLINK("http://141.218.60.56/~jnz1568/getInfo.php?workbook=14_09.xlsx&amp;sheet=A0&amp;row=293&amp;col=7&amp;number=0&amp;sourceID=14","0")</f>
        <v>0</v>
      </c>
    </row>
    <row r="294" spans="1:7">
      <c r="A294" s="3">
        <v>14</v>
      </c>
      <c r="B294" s="3">
        <v>9</v>
      </c>
      <c r="C294" s="3">
        <v>184</v>
      </c>
      <c r="D294" s="3">
        <v>3</v>
      </c>
      <c r="E294" s="3">
        <v>-87.409</v>
      </c>
      <c r="F294" s="4" t="str">
        <f>HYPERLINK("http://141.218.60.56/~jnz1568/getInfo.php?workbook=14_09.xlsx&amp;sheet=A0&amp;row=294&amp;col=6&amp;number=418000000000&amp;sourceID=14","418000000000")</f>
        <v>418000000000</v>
      </c>
      <c r="G294" s="4" t="str">
        <f>HYPERLINK("http://141.218.60.56/~jnz1568/getInfo.php?workbook=14_09.xlsx&amp;sheet=A0&amp;row=294&amp;col=7&amp;number=0&amp;sourceID=14","0")</f>
        <v>0</v>
      </c>
    </row>
    <row r="295" spans="1:7">
      <c r="A295" s="3">
        <v>14</v>
      </c>
      <c r="B295" s="3">
        <v>9</v>
      </c>
      <c r="C295" s="3">
        <v>185</v>
      </c>
      <c r="D295" s="3">
        <v>3</v>
      </c>
      <c r="E295" s="3">
        <v>-85.587</v>
      </c>
      <c r="F295" s="4" t="str">
        <f>HYPERLINK("http://141.218.60.56/~jnz1568/getInfo.php?workbook=14_09.xlsx&amp;sheet=A0&amp;row=295&amp;col=6&amp;number=2620000&amp;sourceID=14","2620000")</f>
        <v>2620000</v>
      </c>
      <c r="G295" s="4" t="str">
        <f>HYPERLINK("http://141.218.60.56/~jnz1568/getInfo.php?workbook=14_09.xlsx&amp;sheet=A0&amp;row=295&amp;col=7&amp;number=0&amp;sourceID=14","0")</f>
        <v>0</v>
      </c>
    </row>
    <row r="296" spans="1:7">
      <c r="A296" s="3">
        <v>14</v>
      </c>
      <c r="B296" s="3">
        <v>9</v>
      </c>
      <c r="C296" s="3">
        <v>186</v>
      </c>
      <c r="D296" s="3">
        <v>3</v>
      </c>
      <c r="E296" s="3">
        <v>-85.541</v>
      </c>
      <c r="F296" s="4" t="str">
        <f>HYPERLINK("http://141.218.60.56/~jnz1568/getInfo.php?workbook=14_09.xlsx&amp;sheet=A0&amp;row=296&amp;col=6&amp;number=2750000&amp;sourceID=14","2750000")</f>
        <v>2750000</v>
      </c>
      <c r="G296" s="4" t="str">
        <f>HYPERLINK("http://141.218.60.56/~jnz1568/getInfo.php?workbook=14_09.xlsx&amp;sheet=A0&amp;row=296&amp;col=7&amp;number=0&amp;sourceID=14","0")</f>
        <v>0</v>
      </c>
    </row>
    <row r="297" spans="1:7">
      <c r="A297" s="3">
        <v>14</v>
      </c>
      <c r="B297" s="3">
        <v>9</v>
      </c>
      <c r="C297" s="3">
        <v>192</v>
      </c>
      <c r="D297" s="3">
        <v>3</v>
      </c>
      <c r="E297" s="3">
        <v>-78.224</v>
      </c>
      <c r="F297" s="4" t="str">
        <f>HYPERLINK("http://141.218.60.56/~jnz1568/getInfo.php?workbook=14_09.xlsx&amp;sheet=A0&amp;row=297&amp;col=6&amp;number=225000000000&amp;sourceID=14","225000000000")</f>
        <v>225000000000</v>
      </c>
      <c r="G297" s="4" t="str">
        <f>HYPERLINK("http://141.218.60.56/~jnz1568/getInfo.php?workbook=14_09.xlsx&amp;sheet=A0&amp;row=297&amp;col=7&amp;number=0&amp;sourceID=14","0")</f>
        <v>0</v>
      </c>
    </row>
    <row r="298" spans="1:7">
      <c r="A298" s="3">
        <v>14</v>
      </c>
      <c r="B298" s="3">
        <v>9</v>
      </c>
      <c r="C298" s="3">
        <v>193</v>
      </c>
      <c r="D298" s="3">
        <v>3</v>
      </c>
      <c r="E298" s="3">
        <v>-78.215</v>
      </c>
      <c r="F298" s="4" t="str">
        <f>HYPERLINK("http://141.218.60.56/~jnz1568/getInfo.php?workbook=14_09.xlsx&amp;sheet=A0&amp;row=298&amp;col=6&amp;number=233000000000&amp;sourceID=14","233000000000")</f>
        <v>233000000000</v>
      </c>
      <c r="G298" s="4" t="str">
        <f>HYPERLINK("http://141.218.60.56/~jnz1568/getInfo.php?workbook=14_09.xlsx&amp;sheet=A0&amp;row=298&amp;col=7&amp;number=0&amp;sourceID=14","0")</f>
        <v>0</v>
      </c>
    </row>
    <row r="299" spans="1:7">
      <c r="A299" s="3">
        <v>14</v>
      </c>
      <c r="B299" s="3">
        <v>9</v>
      </c>
      <c r="C299" s="3">
        <v>194</v>
      </c>
      <c r="D299" s="3">
        <v>3</v>
      </c>
      <c r="E299" s="3">
        <v>-78.042</v>
      </c>
      <c r="F299" s="4" t="str">
        <f>HYPERLINK("http://141.218.60.56/~jnz1568/getInfo.php?workbook=14_09.xlsx&amp;sheet=A0&amp;row=299&amp;col=6&amp;number=292000000&amp;sourceID=14","292000000")</f>
        <v>292000000</v>
      </c>
      <c r="G299" s="4" t="str">
        <f>HYPERLINK("http://141.218.60.56/~jnz1568/getInfo.php?workbook=14_09.xlsx&amp;sheet=A0&amp;row=299&amp;col=7&amp;number=0&amp;sourceID=14","0")</f>
        <v>0</v>
      </c>
    </row>
    <row r="300" spans="1:7">
      <c r="A300" s="3">
        <v>14</v>
      </c>
      <c r="B300" s="3">
        <v>9</v>
      </c>
      <c r="C300" s="3">
        <v>11</v>
      </c>
      <c r="D300" s="3">
        <v>4</v>
      </c>
      <c r="E300" s="3">
        <v>1277.579</v>
      </c>
      <c r="F300" s="4" t="str">
        <f>HYPERLINK("http://141.218.60.56/~jnz1568/getInfo.php?workbook=14_09.xlsx&amp;sheet=A0&amp;row=300&amp;col=6&amp;number=586000000&amp;sourceID=14","586000000")</f>
        <v>586000000</v>
      </c>
      <c r="G300" s="4" t="str">
        <f>HYPERLINK("http://141.218.60.56/~jnz1568/getInfo.php?workbook=14_09.xlsx&amp;sheet=A0&amp;row=300&amp;col=7&amp;number=0&amp;sourceID=14","0")</f>
        <v>0</v>
      </c>
    </row>
    <row r="301" spans="1:7">
      <c r="A301" s="3">
        <v>14</v>
      </c>
      <c r="B301" s="3">
        <v>9</v>
      </c>
      <c r="C301" s="3">
        <v>12</v>
      </c>
      <c r="D301" s="3">
        <v>4</v>
      </c>
      <c r="E301" s="3">
        <v>1261.032</v>
      </c>
      <c r="F301" s="4" t="str">
        <f>HYPERLINK("http://141.218.60.56/~jnz1568/getInfo.php?workbook=14_09.xlsx&amp;sheet=A0&amp;row=301&amp;col=6&amp;number=429000000&amp;sourceID=14","429000000")</f>
        <v>429000000</v>
      </c>
      <c r="G301" s="4" t="str">
        <f>HYPERLINK("http://141.218.60.56/~jnz1568/getInfo.php?workbook=14_09.xlsx&amp;sheet=A0&amp;row=301&amp;col=7&amp;number=0&amp;sourceID=14","0")</f>
        <v>0</v>
      </c>
    </row>
    <row r="302" spans="1:7">
      <c r="A302" s="3">
        <v>14</v>
      </c>
      <c r="B302" s="3">
        <v>9</v>
      </c>
      <c r="C302" s="3">
        <v>14</v>
      </c>
      <c r="D302" s="3">
        <v>4</v>
      </c>
      <c r="E302" s="3">
        <v>1130.985</v>
      </c>
      <c r="F302" s="4" t="str">
        <f>HYPERLINK("http://141.218.60.56/~jnz1568/getInfo.php?workbook=14_09.xlsx&amp;sheet=A0&amp;row=302&amp;col=6&amp;number=1090000000&amp;sourceID=14","1090000000")</f>
        <v>1090000000</v>
      </c>
      <c r="G302" s="4" t="str">
        <f>HYPERLINK("http://141.218.60.56/~jnz1568/getInfo.php?workbook=14_09.xlsx&amp;sheet=A0&amp;row=302&amp;col=7&amp;number=0&amp;sourceID=14","0")</f>
        <v>0</v>
      </c>
    </row>
    <row r="303" spans="1:7">
      <c r="A303" s="3">
        <v>14</v>
      </c>
      <c r="B303" s="3">
        <v>9</v>
      </c>
      <c r="C303" s="3">
        <v>15</v>
      </c>
      <c r="D303" s="3">
        <v>4</v>
      </c>
      <c r="E303" s="3">
        <v>1109.134</v>
      </c>
      <c r="F303" s="4" t="str">
        <f>HYPERLINK("http://141.218.60.56/~jnz1568/getInfo.php?workbook=14_09.xlsx&amp;sheet=A0&amp;row=303&amp;col=6&amp;number=211000000&amp;sourceID=14","211000000")</f>
        <v>211000000</v>
      </c>
      <c r="G303" s="4" t="str">
        <f>HYPERLINK("http://141.218.60.56/~jnz1568/getInfo.php?workbook=14_09.xlsx&amp;sheet=A0&amp;row=303&amp;col=7&amp;number=0&amp;sourceID=14","0")</f>
        <v>0</v>
      </c>
    </row>
    <row r="304" spans="1:7">
      <c r="A304" s="3">
        <v>14</v>
      </c>
      <c r="B304" s="3">
        <v>9</v>
      </c>
      <c r="C304" s="3">
        <v>16</v>
      </c>
      <c r="D304" s="3">
        <v>4</v>
      </c>
      <c r="E304" s="3">
        <v>1090.989</v>
      </c>
      <c r="F304" s="4" t="str">
        <f>HYPERLINK("http://141.218.60.56/~jnz1568/getInfo.php?workbook=14_09.xlsx&amp;sheet=A0&amp;row=304&amp;col=6&amp;number=22200000&amp;sourceID=14","22200000")</f>
        <v>22200000</v>
      </c>
      <c r="G304" s="4" t="str">
        <f>HYPERLINK("http://141.218.60.56/~jnz1568/getInfo.php?workbook=14_09.xlsx&amp;sheet=A0&amp;row=304&amp;col=7&amp;number=0&amp;sourceID=14","0")</f>
        <v>0</v>
      </c>
    </row>
    <row r="305" spans="1:7">
      <c r="A305" s="3">
        <v>14</v>
      </c>
      <c r="B305" s="3">
        <v>9</v>
      </c>
      <c r="C305" s="3">
        <v>18</v>
      </c>
      <c r="D305" s="3">
        <v>4</v>
      </c>
      <c r="E305" s="3">
        <v>1039.053</v>
      </c>
      <c r="F305" s="4" t="str">
        <f>HYPERLINK("http://141.218.60.56/~jnz1568/getInfo.php?workbook=14_09.xlsx&amp;sheet=A0&amp;row=305&amp;col=6&amp;number=11500000&amp;sourceID=14","11500000")</f>
        <v>11500000</v>
      </c>
      <c r="G305" s="4" t="str">
        <f>HYPERLINK("http://141.218.60.56/~jnz1568/getInfo.php?workbook=14_09.xlsx&amp;sheet=A0&amp;row=305&amp;col=7&amp;number=0&amp;sourceID=14","0")</f>
        <v>0</v>
      </c>
    </row>
    <row r="306" spans="1:7">
      <c r="A306" s="3">
        <v>14</v>
      </c>
      <c r="B306" s="3">
        <v>9</v>
      </c>
      <c r="C306" s="3">
        <v>19</v>
      </c>
      <c r="D306" s="3">
        <v>4</v>
      </c>
      <c r="E306" s="3">
        <v>1010.196</v>
      </c>
      <c r="F306" s="4" t="str">
        <f>HYPERLINK("http://141.218.60.56/~jnz1568/getInfo.php?workbook=14_09.xlsx&amp;sheet=A0&amp;row=306&amp;col=6&amp;number=832000&amp;sourceID=14","832000")</f>
        <v>832000</v>
      </c>
      <c r="G306" s="4" t="str">
        <f>HYPERLINK("http://141.218.60.56/~jnz1568/getInfo.php?workbook=14_09.xlsx&amp;sheet=A0&amp;row=306&amp;col=7&amp;number=0&amp;sourceID=14","0")</f>
        <v>0</v>
      </c>
    </row>
    <row r="307" spans="1:7">
      <c r="A307" s="3">
        <v>14</v>
      </c>
      <c r="B307" s="3">
        <v>9</v>
      </c>
      <c r="C307" s="3">
        <v>21</v>
      </c>
      <c r="D307" s="3">
        <v>4</v>
      </c>
      <c r="E307" s="3">
        <v>968.886</v>
      </c>
      <c r="F307" s="4" t="str">
        <f>HYPERLINK("http://141.218.60.56/~jnz1568/getInfo.php?workbook=14_09.xlsx&amp;sheet=A0&amp;row=307&amp;col=6&amp;number=623000000&amp;sourceID=14","623000000")</f>
        <v>623000000</v>
      </c>
      <c r="G307" s="4" t="str">
        <f>HYPERLINK("http://141.218.60.56/~jnz1568/getInfo.php?workbook=14_09.xlsx&amp;sheet=A0&amp;row=307&amp;col=7&amp;number=0&amp;sourceID=14","0")</f>
        <v>0</v>
      </c>
    </row>
    <row r="308" spans="1:7">
      <c r="A308" s="3">
        <v>14</v>
      </c>
      <c r="B308" s="3">
        <v>9</v>
      </c>
      <c r="C308" s="3">
        <v>22</v>
      </c>
      <c r="D308" s="3">
        <v>4</v>
      </c>
      <c r="E308" s="3">
        <v>961.768</v>
      </c>
      <c r="F308" s="4" t="str">
        <f>HYPERLINK("http://141.218.60.56/~jnz1568/getInfo.php?workbook=14_09.xlsx&amp;sheet=A0&amp;row=308&amp;col=6&amp;number=121000000&amp;sourceID=14","121000000")</f>
        <v>121000000</v>
      </c>
      <c r="G308" s="4" t="str">
        <f>HYPERLINK("http://141.218.60.56/~jnz1568/getInfo.php?workbook=14_09.xlsx&amp;sheet=A0&amp;row=308&amp;col=7&amp;number=0&amp;sourceID=14","0")</f>
        <v>0</v>
      </c>
    </row>
    <row r="309" spans="1:7">
      <c r="A309" s="3">
        <v>14</v>
      </c>
      <c r="B309" s="3">
        <v>9</v>
      </c>
      <c r="C309" s="3">
        <v>26</v>
      </c>
      <c r="D309" s="3">
        <v>4</v>
      </c>
      <c r="E309" s="3">
        <v>720.641</v>
      </c>
      <c r="F309" s="4" t="str">
        <f>HYPERLINK("http://141.218.60.56/~jnz1568/getInfo.php?workbook=14_09.xlsx&amp;sheet=A0&amp;row=309&amp;col=6&amp;number=145000&amp;sourceID=14","145000")</f>
        <v>145000</v>
      </c>
      <c r="G309" s="4" t="str">
        <f>HYPERLINK("http://141.218.60.56/~jnz1568/getInfo.php?workbook=14_09.xlsx&amp;sheet=A0&amp;row=309&amp;col=7&amp;number=0&amp;sourceID=14","0")</f>
        <v>0</v>
      </c>
    </row>
    <row r="310" spans="1:7">
      <c r="A310" s="3">
        <v>14</v>
      </c>
      <c r="B310" s="3">
        <v>9</v>
      </c>
      <c r="C310" s="3">
        <v>27</v>
      </c>
      <c r="D310" s="3">
        <v>4</v>
      </c>
      <c r="E310" s="3">
        <v>696.82</v>
      </c>
      <c r="F310" s="4" t="str">
        <f>HYPERLINK("http://141.218.60.56/~jnz1568/getInfo.php?workbook=14_09.xlsx&amp;sheet=A0&amp;row=310&amp;col=6&amp;number=68000&amp;sourceID=14","68000")</f>
        <v>68000</v>
      </c>
      <c r="G310" s="4" t="str">
        <f>HYPERLINK("http://141.218.60.56/~jnz1568/getInfo.php?workbook=14_09.xlsx&amp;sheet=A0&amp;row=310&amp;col=7&amp;number=0&amp;sourceID=14","0")</f>
        <v>0</v>
      </c>
    </row>
    <row r="311" spans="1:7">
      <c r="A311" s="3">
        <v>14</v>
      </c>
      <c r="B311" s="3">
        <v>9</v>
      </c>
      <c r="C311" s="3">
        <v>28</v>
      </c>
      <c r="D311" s="3">
        <v>4</v>
      </c>
      <c r="E311" s="3">
        <v>682.674</v>
      </c>
      <c r="F311" s="4" t="str">
        <f>HYPERLINK("http://141.218.60.56/~jnz1568/getInfo.php?workbook=14_09.xlsx&amp;sheet=A0&amp;row=311&amp;col=6&amp;number=556000&amp;sourceID=14","556000")</f>
        <v>556000</v>
      </c>
      <c r="G311" s="4" t="str">
        <f>HYPERLINK("http://141.218.60.56/~jnz1568/getInfo.php?workbook=14_09.xlsx&amp;sheet=A0&amp;row=311&amp;col=7&amp;number=0&amp;sourceID=14","0")</f>
        <v>0</v>
      </c>
    </row>
    <row r="312" spans="1:7">
      <c r="A312" s="3">
        <v>14</v>
      </c>
      <c r="B312" s="3">
        <v>9</v>
      </c>
      <c r="C312" s="3">
        <v>29</v>
      </c>
      <c r="D312" s="3">
        <v>4</v>
      </c>
      <c r="E312" s="3">
        <v>635.546</v>
      </c>
      <c r="F312" s="4" t="str">
        <f>HYPERLINK("http://141.218.60.56/~jnz1568/getInfo.php?workbook=14_09.xlsx&amp;sheet=A0&amp;row=312&amp;col=6&amp;number=1140000&amp;sourceID=14","1140000")</f>
        <v>1140000</v>
      </c>
      <c r="G312" s="4" t="str">
        <f>HYPERLINK("http://141.218.60.56/~jnz1568/getInfo.php?workbook=14_09.xlsx&amp;sheet=A0&amp;row=312&amp;col=7&amp;number=0&amp;sourceID=14","0")</f>
        <v>0</v>
      </c>
    </row>
    <row r="313" spans="1:7">
      <c r="A313" s="3">
        <v>14</v>
      </c>
      <c r="B313" s="3">
        <v>9</v>
      </c>
      <c r="C313" s="3">
        <v>31</v>
      </c>
      <c r="D313" s="3">
        <v>4</v>
      </c>
      <c r="E313" s="3">
        <v>525.322</v>
      </c>
      <c r="F313" s="4" t="str">
        <f>HYPERLINK("http://141.218.60.56/~jnz1568/getInfo.php?workbook=14_09.xlsx&amp;sheet=A0&amp;row=313&amp;col=6&amp;number=31200&amp;sourceID=14","31200")</f>
        <v>31200</v>
      </c>
      <c r="G313" s="4" t="str">
        <f>HYPERLINK("http://141.218.60.56/~jnz1568/getInfo.php?workbook=14_09.xlsx&amp;sheet=A0&amp;row=313&amp;col=7&amp;number=0&amp;sourceID=14","0")</f>
        <v>0</v>
      </c>
    </row>
    <row r="314" spans="1:7">
      <c r="A314" s="3">
        <v>14</v>
      </c>
      <c r="B314" s="3">
        <v>9</v>
      </c>
      <c r="C314" s="3">
        <v>32</v>
      </c>
      <c r="D314" s="3">
        <v>4</v>
      </c>
      <c r="E314" s="3">
        <v>524.589</v>
      </c>
      <c r="F314" s="4" t="str">
        <f>HYPERLINK("http://141.218.60.56/~jnz1568/getInfo.php?workbook=14_09.xlsx&amp;sheet=A0&amp;row=314&amp;col=6&amp;number=32700&amp;sourceID=14","32700")</f>
        <v>32700</v>
      </c>
      <c r="G314" s="4" t="str">
        <f>HYPERLINK("http://141.218.60.56/~jnz1568/getInfo.php?workbook=14_09.xlsx&amp;sheet=A0&amp;row=314&amp;col=7&amp;number=0&amp;sourceID=14","0")</f>
        <v>0</v>
      </c>
    </row>
    <row r="315" spans="1:7">
      <c r="A315" s="3">
        <v>14</v>
      </c>
      <c r="B315" s="3">
        <v>9</v>
      </c>
      <c r="C315" s="3">
        <v>35</v>
      </c>
      <c r="D315" s="3">
        <v>4</v>
      </c>
      <c r="E315" s="3">
        <v>501.688</v>
      </c>
      <c r="F315" s="4" t="str">
        <f>HYPERLINK("http://141.218.60.56/~jnz1568/getInfo.php?workbook=14_09.xlsx&amp;sheet=A0&amp;row=315&amp;col=6&amp;number=52100&amp;sourceID=14","52100")</f>
        <v>52100</v>
      </c>
      <c r="G315" s="4" t="str">
        <f>HYPERLINK("http://141.218.60.56/~jnz1568/getInfo.php?workbook=14_09.xlsx&amp;sheet=A0&amp;row=315&amp;col=7&amp;number=0&amp;sourceID=14","0")</f>
        <v>0</v>
      </c>
    </row>
    <row r="316" spans="1:7">
      <c r="A316" s="3">
        <v>14</v>
      </c>
      <c r="B316" s="3">
        <v>9</v>
      </c>
      <c r="C316" s="3">
        <v>39</v>
      </c>
      <c r="D316" s="3">
        <v>4</v>
      </c>
      <c r="E316" s="3">
        <v>489.373</v>
      </c>
      <c r="F316" s="4" t="str">
        <f>HYPERLINK("http://141.218.60.56/~jnz1568/getInfo.php?workbook=14_09.xlsx&amp;sheet=A0&amp;row=316&amp;col=6&amp;number=49000&amp;sourceID=14","49000")</f>
        <v>49000</v>
      </c>
      <c r="G316" s="4" t="str">
        <f>HYPERLINK("http://141.218.60.56/~jnz1568/getInfo.php?workbook=14_09.xlsx&amp;sheet=A0&amp;row=316&amp;col=7&amp;number=0&amp;sourceID=14","0")</f>
        <v>0</v>
      </c>
    </row>
    <row r="317" spans="1:7">
      <c r="A317" s="3">
        <v>14</v>
      </c>
      <c r="B317" s="3">
        <v>9</v>
      </c>
      <c r="C317" s="3">
        <v>44</v>
      </c>
      <c r="D317" s="3">
        <v>4</v>
      </c>
      <c r="E317" s="3">
        <v>-473.481</v>
      </c>
      <c r="F317" s="4" t="str">
        <f>HYPERLINK("http://141.218.60.56/~jnz1568/getInfo.php?workbook=14_09.xlsx&amp;sheet=A0&amp;row=317&amp;col=6&amp;number=157000&amp;sourceID=14","157000")</f>
        <v>157000</v>
      </c>
      <c r="G317" s="4" t="str">
        <f>HYPERLINK("http://141.218.60.56/~jnz1568/getInfo.php?workbook=14_09.xlsx&amp;sheet=A0&amp;row=317&amp;col=7&amp;number=0&amp;sourceID=14","0")</f>
        <v>0</v>
      </c>
    </row>
    <row r="318" spans="1:7">
      <c r="A318" s="3">
        <v>14</v>
      </c>
      <c r="B318" s="3">
        <v>9</v>
      </c>
      <c r="C318" s="3">
        <v>66</v>
      </c>
      <c r="D318" s="3">
        <v>4</v>
      </c>
      <c r="E318" s="3">
        <v>-279.306</v>
      </c>
      <c r="F318" s="4" t="str">
        <f>HYPERLINK("http://141.218.60.56/~jnz1568/getInfo.php?workbook=14_09.xlsx&amp;sheet=A0&amp;row=318&amp;col=6&amp;number=8560000000&amp;sourceID=14","8560000000")</f>
        <v>8560000000</v>
      </c>
      <c r="G318" s="4" t="str">
        <f>HYPERLINK("http://141.218.60.56/~jnz1568/getInfo.php?workbook=14_09.xlsx&amp;sheet=A0&amp;row=318&amp;col=7&amp;number=0&amp;sourceID=14","0")</f>
        <v>0</v>
      </c>
    </row>
    <row r="319" spans="1:7">
      <c r="A319" s="3">
        <v>14</v>
      </c>
      <c r="B319" s="3">
        <v>9</v>
      </c>
      <c r="C319" s="3">
        <v>67</v>
      </c>
      <c r="D319" s="3">
        <v>4</v>
      </c>
      <c r="E319" s="3">
        <v>-278.136</v>
      </c>
      <c r="F319" s="4" t="str">
        <f>HYPERLINK("http://141.218.60.56/~jnz1568/getInfo.php?workbook=14_09.xlsx&amp;sheet=A0&amp;row=319&amp;col=6&amp;number=5640000000&amp;sourceID=14","5640000000")</f>
        <v>5640000000</v>
      </c>
      <c r="G319" s="4" t="str">
        <f>HYPERLINK("http://141.218.60.56/~jnz1568/getInfo.php?workbook=14_09.xlsx&amp;sheet=A0&amp;row=319&amp;col=7&amp;number=0&amp;sourceID=14","0")</f>
        <v>0</v>
      </c>
    </row>
    <row r="320" spans="1:7">
      <c r="A320" s="3">
        <v>14</v>
      </c>
      <c r="B320" s="3">
        <v>9</v>
      </c>
      <c r="C320" s="3">
        <v>69</v>
      </c>
      <c r="D320" s="3">
        <v>4</v>
      </c>
      <c r="E320" s="3">
        <v>-273.83</v>
      </c>
      <c r="F320" s="4" t="str">
        <f>HYPERLINK("http://141.218.60.56/~jnz1568/getInfo.php?workbook=14_09.xlsx&amp;sheet=A0&amp;row=320&amp;col=6&amp;number=2320000000&amp;sourceID=14","2320000000")</f>
        <v>2320000000</v>
      </c>
      <c r="G320" s="4" t="str">
        <f>HYPERLINK("http://141.218.60.56/~jnz1568/getInfo.php?workbook=14_09.xlsx&amp;sheet=A0&amp;row=320&amp;col=7&amp;number=0&amp;sourceID=14","0")</f>
        <v>0</v>
      </c>
    </row>
    <row r="321" spans="1:7">
      <c r="A321" s="3">
        <v>14</v>
      </c>
      <c r="B321" s="3">
        <v>9</v>
      </c>
      <c r="C321" s="3">
        <v>70</v>
      </c>
      <c r="D321" s="3">
        <v>4</v>
      </c>
      <c r="E321" s="3">
        <v>-272.885</v>
      </c>
      <c r="F321" s="4" t="str">
        <f>HYPERLINK("http://141.218.60.56/~jnz1568/getInfo.php?workbook=14_09.xlsx&amp;sheet=A0&amp;row=321&amp;col=6&amp;number=137000000&amp;sourceID=14","137000000")</f>
        <v>137000000</v>
      </c>
      <c r="G321" s="4" t="str">
        <f>HYPERLINK("http://141.218.60.56/~jnz1568/getInfo.php?workbook=14_09.xlsx&amp;sheet=A0&amp;row=321&amp;col=7&amp;number=0&amp;sourceID=14","0")</f>
        <v>0</v>
      </c>
    </row>
    <row r="322" spans="1:7">
      <c r="A322" s="3">
        <v>14</v>
      </c>
      <c r="B322" s="3">
        <v>9</v>
      </c>
      <c r="C322" s="3">
        <v>71</v>
      </c>
      <c r="D322" s="3">
        <v>4</v>
      </c>
      <c r="E322" s="3">
        <v>-271.347</v>
      </c>
      <c r="F322" s="4" t="str">
        <f>HYPERLINK("http://141.218.60.56/~jnz1568/getInfo.php?workbook=14_09.xlsx&amp;sheet=A0&amp;row=322&amp;col=6&amp;number=3270000&amp;sourceID=14","3270000")</f>
        <v>3270000</v>
      </c>
      <c r="G322" s="4" t="str">
        <f>HYPERLINK("http://141.218.60.56/~jnz1568/getInfo.php?workbook=14_09.xlsx&amp;sheet=A0&amp;row=322&amp;col=7&amp;number=0&amp;sourceID=14","0")</f>
        <v>0</v>
      </c>
    </row>
    <row r="323" spans="1:7">
      <c r="A323" s="3">
        <v>14</v>
      </c>
      <c r="B323" s="3">
        <v>9</v>
      </c>
      <c r="C323" s="3">
        <v>72</v>
      </c>
      <c r="D323" s="3">
        <v>4</v>
      </c>
      <c r="E323" s="3">
        <v>-270.78</v>
      </c>
      <c r="F323" s="4" t="str">
        <f>HYPERLINK("http://141.218.60.56/~jnz1568/getInfo.php?workbook=14_09.xlsx&amp;sheet=A0&amp;row=323&amp;col=6&amp;number=130000&amp;sourceID=14","130000")</f>
        <v>130000</v>
      </c>
      <c r="G323" s="4" t="str">
        <f>HYPERLINK("http://141.218.60.56/~jnz1568/getInfo.php?workbook=14_09.xlsx&amp;sheet=A0&amp;row=323&amp;col=7&amp;number=0&amp;sourceID=14","0")</f>
        <v>0</v>
      </c>
    </row>
    <row r="324" spans="1:7">
      <c r="A324" s="3">
        <v>14</v>
      </c>
      <c r="B324" s="3">
        <v>9</v>
      </c>
      <c r="C324" s="3">
        <v>75</v>
      </c>
      <c r="D324" s="3">
        <v>4</v>
      </c>
      <c r="E324" s="3">
        <v>-269.235</v>
      </c>
      <c r="F324" s="4" t="str">
        <f>HYPERLINK("http://141.218.60.56/~jnz1568/getInfo.php?workbook=14_09.xlsx&amp;sheet=A0&amp;row=324&amp;col=6&amp;number=180000000&amp;sourceID=14","180000000")</f>
        <v>180000000</v>
      </c>
      <c r="G324" s="4" t="str">
        <f>HYPERLINK("http://141.218.60.56/~jnz1568/getInfo.php?workbook=14_09.xlsx&amp;sheet=A0&amp;row=324&amp;col=7&amp;number=0&amp;sourceID=14","0")</f>
        <v>0</v>
      </c>
    </row>
    <row r="325" spans="1:7">
      <c r="A325" s="3">
        <v>14</v>
      </c>
      <c r="B325" s="3">
        <v>9</v>
      </c>
      <c r="C325" s="3">
        <v>76</v>
      </c>
      <c r="D325" s="3">
        <v>4</v>
      </c>
      <c r="E325" s="3">
        <v>-269.027</v>
      </c>
      <c r="F325" s="4" t="str">
        <f>HYPERLINK("http://141.218.60.56/~jnz1568/getInfo.php?workbook=14_09.xlsx&amp;sheet=A0&amp;row=325&amp;col=6&amp;number=12100000&amp;sourceID=14","12100000")</f>
        <v>12100000</v>
      </c>
      <c r="G325" s="4" t="str">
        <f>HYPERLINK("http://141.218.60.56/~jnz1568/getInfo.php?workbook=14_09.xlsx&amp;sheet=A0&amp;row=325&amp;col=7&amp;number=0&amp;sourceID=14","0")</f>
        <v>0</v>
      </c>
    </row>
    <row r="326" spans="1:7">
      <c r="A326" s="3">
        <v>14</v>
      </c>
      <c r="B326" s="3">
        <v>9</v>
      </c>
      <c r="C326" s="3">
        <v>77</v>
      </c>
      <c r="D326" s="3">
        <v>4</v>
      </c>
      <c r="E326" s="3">
        <v>-263.977</v>
      </c>
      <c r="F326" s="4" t="str">
        <f>HYPERLINK("http://141.218.60.56/~jnz1568/getInfo.php?workbook=14_09.xlsx&amp;sheet=A0&amp;row=326&amp;col=6&amp;number=60000000&amp;sourceID=14","60000000")</f>
        <v>60000000</v>
      </c>
      <c r="G326" s="4" t="str">
        <f>HYPERLINK("http://141.218.60.56/~jnz1568/getInfo.php?workbook=14_09.xlsx&amp;sheet=A0&amp;row=326&amp;col=7&amp;number=0&amp;sourceID=14","0")</f>
        <v>0</v>
      </c>
    </row>
    <row r="327" spans="1:7">
      <c r="A327" s="3">
        <v>14</v>
      </c>
      <c r="B327" s="3">
        <v>9</v>
      </c>
      <c r="C327" s="3">
        <v>81</v>
      </c>
      <c r="D327" s="3">
        <v>4</v>
      </c>
      <c r="E327" s="3">
        <v>-260.825</v>
      </c>
      <c r="F327" s="4" t="str">
        <f>HYPERLINK("http://141.218.60.56/~jnz1568/getInfo.php?workbook=14_09.xlsx&amp;sheet=A0&amp;row=327&amp;col=6&amp;number=7770000000&amp;sourceID=14","7770000000")</f>
        <v>7770000000</v>
      </c>
      <c r="G327" s="4" t="str">
        <f>HYPERLINK("http://141.218.60.56/~jnz1568/getInfo.php?workbook=14_09.xlsx&amp;sheet=A0&amp;row=327&amp;col=7&amp;number=0&amp;sourceID=14","0")</f>
        <v>0</v>
      </c>
    </row>
    <row r="328" spans="1:7">
      <c r="A328" s="3">
        <v>14</v>
      </c>
      <c r="B328" s="3">
        <v>9</v>
      </c>
      <c r="C328" s="3">
        <v>82</v>
      </c>
      <c r="D328" s="3">
        <v>4</v>
      </c>
      <c r="E328" s="3">
        <v>-258.968</v>
      </c>
      <c r="F328" s="4" t="str">
        <f>HYPERLINK("http://141.218.60.56/~jnz1568/getInfo.php?workbook=14_09.xlsx&amp;sheet=A0&amp;row=328&amp;col=6&amp;number=5420000000&amp;sourceID=14","5420000000")</f>
        <v>5420000000</v>
      </c>
      <c r="G328" s="4" t="str">
        <f>HYPERLINK("http://141.218.60.56/~jnz1568/getInfo.php?workbook=14_09.xlsx&amp;sheet=A0&amp;row=328&amp;col=7&amp;number=0&amp;sourceID=14","0")</f>
        <v>0</v>
      </c>
    </row>
    <row r="329" spans="1:7">
      <c r="A329" s="3">
        <v>14</v>
      </c>
      <c r="B329" s="3">
        <v>9</v>
      </c>
      <c r="C329" s="3">
        <v>84</v>
      </c>
      <c r="D329" s="3">
        <v>4</v>
      </c>
      <c r="E329" s="3">
        <v>-252.301</v>
      </c>
      <c r="F329" s="4" t="str">
        <f>HYPERLINK("http://141.218.60.56/~jnz1568/getInfo.php?workbook=14_09.xlsx&amp;sheet=A0&amp;row=329&amp;col=6&amp;number=66500000&amp;sourceID=14","66500000")</f>
        <v>66500000</v>
      </c>
      <c r="G329" s="4" t="str">
        <f>HYPERLINK("http://141.218.60.56/~jnz1568/getInfo.php?workbook=14_09.xlsx&amp;sheet=A0&amp;row=329&amp;col=7&amp;number=0&amp;sourceID=14","0")</f>
        <v>0</v>
      </c>
    </row>
    <row r="330" spans="1:7">
      <c r="A330" s="3">
        <v>14</v>
      </c>
      <c r="B330" s="3">
        <v>9</v>
      </c>
      <c r="C330" s="3">
        <v>86</v>
      </c>
      <c r="D330" s="3">
        <v>4</v>
      </c>
      <c r="E330" s="3">
        <v>-248.669</v>
      </c>
      <c r="F330" s="4" t="str">
        <f>HYPERLINK("http://141.218.60.56/~jnz1568/getInfo.php?workbook=14_09.xlsx&amp;sheet=A0&amp;row=330&amp;col=6&amp;number=282000&amp;sourceID=14","282000")</f>
        <v>282000</v>
      </c>
      <c r="G330" s="4" t="str">
        <f>HYPERLINK("http://141.218.60.56/~jnz1568/getInfo.php?workbook=14_09.xlsx&amp;sheet=A0&amp;row=330&amp;col=7&amp;number=0&amp;sourceID=14","0")</f>
        <v>0</v>
      </c>
    </row>
    <row r="331" spans="1:7">
      <c r="A331" s="3">
        <v>14</v>
      </c>
      <c r="B331" s="3">
        <v>9</v>
      </c>
      <c r="C331" s="3">
        <v>87</v>
      </c>
      <c r="D331" s="3">
        <v>4</v>
      </c>
      <c r="E331" s="3">
        <v>-248.481</v>
      </c>
      <c r="F331" s="4" t="str">
        <f>HYPERLINK("http://141.218.60.56/~jnz1568/getInfo.php?workbook=14_09.xlsx&amp;sheet=A0&amp;row=331&amp;col=6&amp;number=291000&amp;sourceID=14","291000")</f>
        <v>291000</v>
      </c>
      <c r="G331" s="4" t="str">
        <f>HYPERLINK("http://141.218.60.56/~jnz1568/getInfo.php?workbook=14_09.xlsx&amp;sheet=A0&amp;row=331&amp;col=7&amp;number=0&amp;sourceID=14","0")</f>
        <v>0</v>
      </c>
    </row>
    <row r="332" spans="1:7">
      <c r="A332" s="3">
        <v>14</v>
      </c>
      <c r="B332" s="3">
        <v>9</v>
      </c>
      <c r="C332" s="3">
        <v>88</v>
      </c>
      <c r="D332" s="3">
        <v>4</v>
      </c>
      <c r="E332" s="3">
        <v>-248.112</v>
      </c>
      <c r="F332" s="4" t="str">
        <f>HYPERLINK("http://141.218.60.56/~jnz1568/getInfo.php?workbook=14_09.xlsx&amp;sheet=A0&amp;row=332&amp;col=6&amp;number=223000&amp;sourceID=14","223000")</f>
        <v>223000</v>
      </c>
      <c r="G332" s="4" t="str">
        <f>HYPERLINK("http://141.218.60.56/~jnz1568/getInfo.php?workbook=14_09.xlsx&amp;sheet=A0&amp;row=332&amp;col=7&amp;number=0&amp;sourceID=14","0")</f>
        <v>0</v>
      </c>
    </row>
    <row r="333" spans="1:7">
      <c r="A333" s="3">
        <v>14</v>
      </c>
      <c r="B333" s="3">
        <v>9</v>
      </c>
      <c r="C333" s="3">
        <v>89</v>
      </c>
      <c r="D333" s="3">
        <v>4</v>
      </c>
      <c r="E333" s="3">
        <v>-247.662</v>
      </c>
      <c r="F333" s="4" t="str">
        <f>HYPERLINK("http://141.218.60.56/~jnz1568/getInfo.php?workbook=14_09.xlsx&amp;sheet=A0&amp;row=333&amp;col=6&amp;number=107000&amp;sourceID=14","107000")</f>
        <v>107000</v>
      </c>
      <c r="G333" s="4" t="str">
        <f>HYPERLINK("http://141.218.60.56/~jnz1568/getInfo.php?workbook=14_09.xlsx&amp;sheet=A0&amp;row=333&amp;col=7&amp;number=0&amp;sourceID=14","0")</f>
        <v>0</v>
      </c>
    </row>
    <row r="334" spans="1:7">
      <c r="A334" s="3">
        <v>14</v>
      </c>
      <c r="B334" s="3">
        <v>9</v>
      </c>
      <c r="C334" s="3">
        <v>90</v>
      </c>
      <c r="D334" s="3">
        <v>4</v>
      </c>
      <c r="E334" s="3">
        <v>-247.08</v>
      </c>
      <c r="F334" s="4" t="str">
        <f>HYPERLINK("http://141.218.60.56/~jnz1568/getInfo.php?workbook=14_09.xlsx&amp;sheet=A0&amp;row=334&amp;col=6&amp;number=308000&amp;sourceID=14","308000")</f>
        <v>308000</v>
      </c>
      <c r="G334" s="4" t="str">
        <f>HYPERLINK("http://141.218.60.56/~jnz1568/getInfo.php?workbook=14_09.xlsx&amp;sheet=A0&amp;row=334&amp;col=7&amp;number=0&amp;sourceID=14","0")</f>
        <v>0</v>
      </c>
    </row>
    <row r="335" spans="1:7">
      <c r="A335" s="3">
        <v>14</v>
      </c>
      <c r="B335" s="3">
        <v>9</v>
      </c>
      <c r="C335" s="3">
        <v>92</v>
      </c>
      <c r="D335" s="3">
        <v>4</v>
      </c>
      <c r="E335" s="3">
        <v>-245.767</v>
      </c>
      <c r="F335" s="4" t="str">
        <f>HYPERLINK("http://141.218.60.56/~jnz1568/getInfo.php?workbook=14_09.xlsx&amp;sheet=A0&amp;row=335&amp;col=6&amp;number=188000&amp;sourceID=14","188000")</f>
        <v>188000</v>
      </c>
      <c r="G335" s="4" t="str">
        <f>HYPERLINK("http://141.218.60.56/~jnz1568/getInfo.php?workbook=14_09.xlsx&amp;sheet=A0&amp;row=335&amp;col=7&amp;number=0&amp;sourceID=14","0")</f>
        <v>0</v>
      </c>
    </row>
    <row r="336" spans="1:7">
      <c r="A336" s="3">
        <v>14</v>
      </c>
      <c r="B336" s="3">
        <v>9</v>
      </c>
      <c r="C336" s="3">
        <v>105</v>
      </c>
      <c r="D336" s="3">
        <v>4</v>
      </c>
      <c r="E336" s="3">
        <v>-241.111</v>
      </c>
      <c r="F336" s="4" t="str">
        <f>HYPERLINK("http://141.218.60.56/~jnz1568/getInfo.php?workbook=14_09.xlsx&amp;sheet=A0&amp;row=336&amp;col=6&amp;number=2690000&amp;sourceID=14","2690000")</f>
        <v>2690000</v>
      </c>
      <c r="G336" s="4" t="str">
        <f>HYPERLINK("http://141.218.60.56/~jnz1568/getInfo.php?workbook=14_09.xlsx&amp;sheet=A0&amp;row=336&amp;col=7&amp;number=0&amp;sourceID=14","0")</f>
        <v>0</v>
      </c>
    </row>
    <row r="337" spans="1:7">
      <c r="A337" s="3">
        <v>14</v>
      </c>
      <c r="B337" s="3">
        <v>9</v>
      </c>
      <c r="C337" s="3">
        <v>106</v>
      </c>
      <c r="D337" s="3">
        <v>4</v>
      </c>
      <c r="E337" s="3">
        <v>-241.025</v>
      </c>
      <c r="F337" s="4" t="str">
        <f>HYPERLINK("http://141.218.60.56/~jnz1568/getInfo.php?workbook=14_09.xlsx&amp;sheet=A0&amp;row=337&amp;col=6&amp;number=987000&amp;sourceID=14","987000")</f>
        <v>987000</v>
      </c>
      <c r="G337" s="4" t="str">
        <f>HYPERLINK("http://141.218.60.56/~jnz1568/getInfo.php?workbook=14_09.xlsx&amp;sheet=A0&amp;row=337&amp;col=7&amp;number=0&amp;sourceID=14","0")</f>
        <v>0</v>
      </c>
    </row>
    <row r="338" spans="1:7">
      <c r="A338" s="3">
        <v>14</v>
      </c>
      <c r="B338" s="3">
        <v>9</v>
      </c>
      <c r="C338" s="3">
        <v>107</v>
      </c>
      <c r="D338" s="3">
        <v>4</v>
      </c>
      <c r="E338" s="3">
        <v>-240.861</v>
      </c>
      <c r="F338" s="4" t="str">
        <f>HYPERLINK("http://141.218.60.56/~jnz1568/getInfo.php?workbook=14_09.xlsx&amp;sheet=A0&amp;row=338&amp;col=6&amp;number=1480000&amp;sourceID=14","1480000")</f>
        <v>1480000</v>
      </c>
      <c r="G338" s="4" t="str">
        <f>HYPERLINK("http://141.218.60.56/~jnz1568/getInfo.php?workbook=14_09.xlsx&amp;sheet=A0&amp;row=338&amp;col=7&amp;number=0&amp;sourceID=14","0")</f>
        <v>0</v>
      </c>
    </row>
    <row r="339" spans="1:7">
      <c r="A339" s="3">
        <v>14</v>
      </c>
      <c r="B339" s="3">
        <v>9</v>
      </c>
      <c r="C339" s="3">
        <v>108</v>
      </c>
      <c r="D339" s="3">
        <v>4</v>
      </c>
      <c r="E339" s="3">
        <v>-240.786</v>
      </c>
      <c r="F339" s="4" t="str">
        <f>HYPERLINK("http://141.218.60.56/~jnz1568/getInfo.php?workbook=14_09.xlsx&amp;sheet=A0&amp;row=339&amp;col=6&amp;number=316000&amp;sourceID=14","316000")</f>
        <v>316000</v>
      </c>
      <c r="G339" s="4" t="str">
        <f>HYPERLINK("http://141.218.60.56/~jnz1568/getInfo.php?workbook=14_09.xlsx&amp;sheet=A0&amp;row=339&amp;col=7&amp;number=0&amp;sourceID=14","0")</f>
        <v>0</v>
      </c>
    </row>
    <row r="340" spans="1:7">
      <c r="A340" s="3">
        <v>14</v>
      </c>
      <c r="B340" s="3">
        <v>9</v>
      </c>
      <c r="C340" s="3">
        <v>109</v>
      </c>
      <c r="D340" s="3">
        <v>4</v>
      </c>
      <c r="E340" s="3">
        <v>-240.63</v>
      </c>
      <c r="F340" s="4" t="str">
        <f>HYPERLINK("http://141.218.60.56/~jnz1568/getInfo.php?workbook=14_09.xlsx&amp;sheet=A0&amp;row=340&amp;col=6&amp;number=1720000&amp;sourceID=14","1720000")</f>
        <v>1720000</v>
      </c>
      <c r="G340" s="4" t="str">
        <f>HYPERLINK("http://141.218.60.56/~jnz1568/getInfo.php?workbook=14_09.xlsx&amp;sheet=A0&amp;row=340&amp;col=7&amp;number=0&amp;sourceID=14","0")</f>
        <v>0</v>
      </c>
    </row>
    <row r="341" spans="1:7">
      <c r="A341" s="3">
        <v>14</v>
      </c>
      <c r="B341" s="3">
        <v>9</v>
      </c>
      <c r="C341" s="3">
        <v>115</v>
      </c>
      <c r="D341" s="3">
        <v>4</v>
      </c>
      <c r="E341" s="3">
        <v>-240.148</v>
      </c>
      <c r="F341" s="4" t="str">
        <f>HYPERLINK("http://141.218.60.56/~jnz1568/getInfo.php?workbook=14_09.xlsx&amp;sheet=A0&amp;row=341&amp;col=6&amp;number=1980000&amp;sourceID=14","1980000")</f>
        <v>1980000</v>
      </c>
      <c r="G341" s="4" t="str">
        <f>HYPERLINK("http://141.218.60.56/~jnz1568/getInfo.php?workbook=14_09.xlsx&amp;sheet=A0&amp;row=341&amp;col=7&amp;number=0&amp;sourceID=14","0")</f>
        <v>0</v>
      </c>
    </row>
    <row r="342" spans="1:7">
      <c r="A342" s="3">
        <v>14</v>
      </c>
      <c r="B342" s="3">
        <v>9</v>
      </c>
      <c r="C342" s="3">
        <v>116</v>
      </c>
      <c r="D342" s="3">
        <v>4</v>
      </c>
      <c r="E342" s="3">
        <v>-240.132</v>
      </c>
      <c r="F342" s="4" t="str">
        <f>HYPERLINK("http://141.218.60.56/~jnz1568/getInfo.php?workbook=14_09.xlsx&amp;sheet=A0&amp;row=342&amp;col=6&amp;number=701000&amp;sourceID=14","701000")</f>
        <v>701000</v>
      </c>
      <c r="G342" s="4" t="str">
        <f>HYPERLINK("http://141.218.60.56/~jnz1568/getInfo.php?workbook=14_09.xlsx&amp;sheet=A0&amp;row=342&amp;col=7&amp;number=0&amp;sourceID=14","0")</f>
        <v>0</v>
      </c>
    </row>
    <row r="343" spans="1:7">
      <c r="A343" s="3">
        <v>14</v>
      </c>
      <c r="B343" s="3">
        <v>9</v>
      </c>
      <c r="C343" s="3">
        <v>117</v>
      </c>
      <c r="D343" s="3">
        <v>4</v>
      </c>
      <c r="E343" s="3">
        <v>-238.584</v>
      </c>
      <c r="F343" s="4" t="str">
        <f>HYPERLINK("http://141.218.60.56/~jnz1568/getInfo.php?workbook=14_09.xlsx&amp;sheet=A0&amp;row=343&amp;col=6&amp;number=329000&amp;sourceID=14","329000")</f>
        <v>329000</v>
      </c>
      <c r="G343" s="4" t="str">
        <f>HYPERLINK("http://141.218.60.56/~jnz1568/getInfo.php?workbook=14_09.xlsx&amp;sheet=A0&amp;row=343&amp;col=7&amp;number=0&amp;sourceID=14","0")</f>
        <v>0</v>
      </c>
    </row>
    <row r="344" spans="1:7">
      <c r="A344" s="3">
        <v>14</v>
      </c>
      <c r="B344" s="3">
        <v>9</v>
      </c>
      <c r="C344" s="3">
        <v>118</v>
      </c>
      <c r="D344" s="3">
        <v>4</v>
      </c>
      <c r="E344" s="3">
        <v>-238.542</v>
      </c>
      <c r="F344" s="4" t="str">
        <f>HYPERLINK("http://141.218.60.56/~jnz1568/getInfo.php?workbook=14_09.xlsx&amp;sheet=A0&amp;row=344&amp;col=6&amp;number=3740000&amp;sourceID=14","3740000")</f>
        <v>3740000</v>
      </c>
      <c r="G344" s="4" t="str">
        <f>HYPERLINK("http://141.218.60.56/~jnz1568/getInfo.php?workbook=14_09.xlsx&amp;sheet=A0&amp;row=344&amp;col=7&amp;number=0&amp;sourceID=14","0")</f>
        <v>0</v>
      </c>
    </row>
    <row r="345" spans="1:7">
      <c r="A345" s="3">
        <v>14</v>
      </c>
      <c r="B345" s="3">
        <v>9</v>
      </c>
      <c r="C345" s="3">
        <v>121</v>
      </c>
      <c r="D345" s="3">
        <v>4</v>
      </c>
      <c r="E345" s="3">
        <v>-238.035</v>
      </c>
      <c r="F345" s="4" t="str">
        <f>HYPERLINK("http://141.218.60.56/~jnz1568/getInfo.php?workbook=14_09.xlsx&amp;sheet=A0&amp;row=345&amp;col=6&amp;number=15100000&amp;sourceID=14","15100000")</f>
        <v>15100000</v>
      </c>
      <c r="G345" s="4" t="str">
        <f>HYPERLINK("http://141.218.60.56/~jnz1568/getInfo.php?workbook=14_09.xlsx&amp;sheet=A0&amp;row=345&amp;col=7&amp;number=0&amp;sourceID=14","0")</f>
        <v>0</v>
      </c>
    </row>
    <row r="346" spans="1:7">
      <c r="A346" s="3">
        <v>14</v>
      </c>
      <c r="B346" s="3">
        <v>9</v>
      </c>
      <c r="C346" s="3">
        <v>122</v>
      </c>
      <c r="D346" s="3">
        <v>4</v>
      </c>
      <c r="E346" s="3">
        <v>-237.97</v>
      </c>
      <c r="F346" s="4" t="str">
        <f>HYPERLINK("http://141.218.60.56/~jnz1568/getInfo.php?workbook=14_09.xlsx&amp;sheet=A0&amp;row=346&amp;col=6&amp;number=527000&amp;sourceID=14","527000")</f>
        <v>527000</v>
      </c>
      <c r="G346" s="4" t="str">
        <f>HYPERLINK("http://141.218.60.56/~jnz1568/getInfo.php?workbook=14_09.xlsx&amp;sheet=A0&amp;row=346&amp;col=7&amp;number=0&amp;sourceID=14","0")</f>
        <v>0</v>
      </c>
    </row>
    <row r="347" spans="1:7">
      <c r="A347" s="3">
        <v>14</v>
      </c>
      <c r="B347" s="3">
        <v>9</v>
      </c>
      <c r="C347" s="3">
        <v>123</v>
      </c>
      <c r="D347" s="3">
        <v>4</v>
      </c>
      <c r="E347" s="3">
        <v>-237.344</v>
      </c>
      <c r="F347" s="4" t="str">
        <f>HYPERLINK("http://141.218.60.56/~jnz1568/getInfo.php?workbook=14_09.xlsx&amp;sheet=A0&amp;row=347&amp;col=6&amp;number=4550000&amp;sourceID=14","4550000")</f>
        <v>4550000</v>
      </c>
      <c r="G347" s="4" t="str">
        <f>HYPERLINK("http://141.218.60.56/~jnz1568/getInfo.php?workbook=14_09.xlsx&amp;sheet=A0&amp;row=347&amp;col=7&amp;number=0&amp;sourceID=14","0")</f>
        <v>0</v>
      </c>
    </row>
    <row r="348" spans="1:7">
      <c r="A348" s="3">
        <v>14</v>
      </c>
      <c r="B348" s="3">
        <v>9</v>
      </c>
      <c r="C348" s="3">
        <v>124</v>
      </c>
      <c r="D348" s="3">
        <v>4</v>
      </c>
      <c r="E348" s="3">
        <v>-237.333</v>
      </c>
      <c r="F348" s="4" t="str">
        <f>HYPERLINK("http://141.218.60.56/~jnz1568/getInfo.php?workbook=14_09.xlsx&amp;sheet=A0&amp;row=348&amp;col=6&amp;number=304000&amp;sourceID=14","304000")</f>
        <v>304000</v>
      </c>
      <c r="G348" s="4" t="str">
        <f>HYPERLINK("http://141.218.60.56/~jnz1568/getInfo.php?workbook=14_09.xlsx&amp;sheet=A0&amp;row=348&amp;col=7&amp;number=0&amp;sourceID=14","0")</f>
        <v>0</v>
      </c>
    </row>
    <row r="349" spans="1:7">
      <c r="A349" s="3">
        <v>14</v>
      </c>
      <c r="B349" s="3">
        <v>9</v>
      </c>
      <c r="C349" s="3">
        <v>125</v>
      </c>
      <c r="D349" s="3">
        <v>4</v>
      </c>
      <c r="E349" s="3">
        <v>-233.733</v>
      </c>
      <c r="F349" s="4" t="str">
        <f>HYPERLINK("http://141.218.60.56/~jnz1568/getInfo.php?workbook=14_09.xlsx&amp;sheet=A0&amp;row=349&amp;col=6&amp;number=2360000&amp;sourceID=14","2360000")</f>
        <v>2360000</v>
      </c>
      <c r="G349" s="4" t="str">
        <f>HYPERLINK("http://141.218.60.56/~jnz1568/getInfo.php?workbook=14_09.xlsx&amp;sheet=A0&amp;row=349&amp;col=7&amp;number=0&amp;sourceID=14","0")</f>
        <v>0</v>
      </c>
    </row>
    <row r="350" spans="1:7">
      <c r="A350" s="3">
        <v>14</v>
      </c>
      <c r="B350" s="3">
        <v>9</v>
      </c>
      <c r="C350" s="3">
        <v>159</v>
      </c>
      <c r="D350" s="3">
        <v>4</v>
      </c>
      <c r="E350" s="3">
        <v>-206.429</v>
      </c>
      <c r="F350" s="4" t="str">
        <f>HYPERLINK("http://141.218.60.56/~jnz1568/getInfo.php?workbook=14_09.xlsx&amp;sheet=A0&amp;row=350&amp;col=6&amp;number=489000&amp;sourceID=14","489000")</f>
        <v>489000</v>
      </c>
      <c r="G350" s="4" t="str">
        <f>HYPERLINK("http://141.218.60.56/~jnz1568/getInfo.php?workbook=14_09.xlsx&amp;sheet=A0&amp;row=350&amp;col=7&amp;number=0&amp;sourceID=14","0")</f>
        <v>0</v>
      </c>
    </row>
    <row r="351" spans="1:7">
      <c r="A351" s="3">
        <v>14</v>
      </c>
      <c r="B351" s="3">
        <v>9</v>
      </c>
      <c r="C351" s="3">
        <v>166</v>
      </c>
      <c r="D351" s="3">
        <v>4</v>
      </c>
      <c r="E351" s="3">
        <v>-184.599</v>
      </c>
      <c r="F351" s="4" t="str">
        <f>HYPERLINK("http://141.218.60.56/~jnz1568/getInfo.php?workbook=14_09.xlsx&amp;sheet=A0&amp;row=351&amp;col=6&amp;number=133000000&amp;sourceID=14","133000000")</f>
        <v>133000000</v>
      </c>
      <c r="G351" s="4" t="str">
        <f>HYPERLINK("http://141.218.60.56/~jnz1568/getInfo.php?workbook=14_09.xlsx&amp;sheet=A0&amp;row=351&amp;col=7&amp;number=0&amp;sourceID=14","0")</f>
        <v>0</v>
      </c>
    </row>
    <row r="352" spans="1:7">
      <c r="A352" s="3">
        <v>14</v>
      </c>
      <c r="B352" s="3">
        <v>9</v>
      </c>
      <c r="C352" s="3">
        <v>169</v>
      </c>
      <c r="D352" s="3">
        <v>4</v>
      </c>
      <c r="E352" s="3">
        <v>-177.081</v>
      </c>
      <c r="F352" s="4" t="str">
        <f>HYPERLINK("http://141.218.60.56/~jnz1568/getInfo.php?workbook=14_09.xlsx&amp;sheet=A0&amp;row=352&amp;col=6&amp;number=26300000&amp;sourceID=14","26300000")</f>
        <v>26300000</v>
      </c>
      <c r="G352" s="4" t="str">
        <f>HYPERLINK("http://141.218.60.56/~jnz1568/getInfo.php?workbook=14_09.xlsx&amp;sheet=A0&amp;row=352&amp;col=7&amp;number=0&amp;sourceID=14","0")</f>
        <v>0</v>
      </c>
    </row>
    <row r="353" spans="1:7">
      <c r="A353" s="3">
        <v>14</v>
      </c>
      <c r="B353" s="3">
        <v>9</v>
      </c>
      <c r="C353" s="3">
        <v>170</v>
      </c>
      <c r="D353" s="3">
        <v>4</v>
      </c>
      <c r="E353" s="3">
        <v>-176.616</v>
      </c>
      <c r="F353" s="4" t="str">
        <f>HYPERLINK("http://141.218.60.56/~jnz1568/getInfo.php?workbook=14_09.xlsx&amp;sheet=A0&amp;row=353&amp;col=6&amp;number=47300000&amp;sourceID=14","47300000")</f>
        <v>47300000</v>
      </c>
      <c r="G353" s="4" t="str">
        <f>HYPERLINK("http://141.218.60.56/~jnz1568/getInfo.php?workbook=14_09.xlsx&amp;sheet=A0&amp;row=353&amp;col=7&amp;number=0&amp;sourceID=14","0")</f>
        <v>0</v>
      </c>
    </row>
    <row r="354" spans="1:7">
      <c r="A354" s="3">
        <v>14</v>
      </c>
      <c r="B354" s="3">
        <v>9</v>
      </c>
      <c r="C354" s="3">
        <v>172</v>
      </c>
      <c r="D354" s="3">
        <v>4</v>
      </c>
      <c r="E354" s="3">
        <v>-175.452</v>
      </c>
      <c r="F354" s="4" t="str">
        <f>HYPERLINK("http://141.218.60.56/~jnz1568/getInfo.php?workbook=14_09.xlsx&amp;sheet=A0&amp;row=354&amp;col=6&amp;number=2880000&amp;sourceID=14","2880000")</f>
        <v>2880000</v>
      </c>
      <c r="G354" s="4" t="str">
        <f>HYPERLINK("http://141.218.60.56/~jnz1568/getInfo.php?workbook=14_09.xlsx&amp;sheet=A0&amp;row=354&amp;col=7&amp;number=0&amp;sourceID=14","0")</f>
        <v>0</v>
      </c>
    </row>
    <row r="355" spans="1:7">
      <c r="A355" s="3">
        <v>14</v>
      </c>
      <c r="B355" s="3">
        <v>9</v>
      </c>
      <c r="C355" s="3">
        <v>173</v>
      </c>
      <c r="D355" s="3">
        <v>4</v>
      </c>
      <c r="E355" s="3">
        <v>-175.026</v>
      </c>
      <c r="F355" s="4" t="str">
        <f>HYPERLINK("http://141.218.60.56/~jnz1568/getInfo.php?workbook=14_09.xlsx&amp;sheet=A0&amp;row=355&amp;col=6&amp;number=447000&amp;sourceID=14","447000")</f>
        <v>447000</v>
      </c>
      <c r="G355" s="4" t="str">
        <f>HYPERLINK("http://141.218.60.56/~jnz1568/getInfo.php?workbook=14_09.xlsx&amp;sheet=A0&amp;row=355&amp;col=7&amp;number=0&amp;sourceID=14","0")</f>
        <v>0</v>
      </c>
    </row>
    <row r="356" spans="1:7">
      <c r="A356" s="3">
        <v>14</v>
      </c>
      <c r="B356" s="3">
        <v>9</v>
      </c>
      <c r="C356" s="3">
        <v>175</v>
      </c>
      <c r="D356" s="3">
        <v>4</v>
      </c>
      <c r="E356" s="3">
        <v>-173</v>
      </c>
      <c r="F356" s="4" t="str">
        <f>HYPERLINK("http://141.218.60.56/~jnz1568/getInfo.php?workbook=14_09.xlsx&amp;sheet=A0&amp;row=356&amp;col=6&amp;number=60000000&amp;sourceID=14","60000000")</f>
        <v>60000000</v>
      </c>
      <c r="G356" s="4" t="str">
        <f>HYPERLINK("http://141.218.60.56/~jnz1568/getInfo.php?workbook=14_09.xlsx&amp;sheet=A0&amp;row=356&amp;col=7&amp;number=0&amp;sourceID=14","0")</f>
        <v>0</v>
      </c>
    </row>
    <row r="357" spans="1:7">
      <c r="A357" s="3">
        <v>14</v>
      </c>
      <c r="B357" s="3">
        <v>9</v>
      </c>
      <c r="C357" s="3">
        <v>176</v>
      </c>
      <c r="D357" s="3">
        <v>4</v>
      </c>
      <c r="E357" s="3">
        <v>-172.426</v>
      </c>
      <c r="F357" s="4" t="str">
        <f>HYPERLINK("http://141.218.60.56/~jnz1568/getInfo.php?workbook=14_09.xlsx&amp;sheet=A0&amp;row=357&amp;col=6&amp;number=23200000&amp;sourceID=14","23200000")</f>
        <v>23200000</v>
      </c>
      <c r="G357" s="4" t="str">
        <f>HYPERLINK("http://141.218.60.56/~jnz1568/getInfo.php?workbook=14_09.xlsx&amp;sheet=A0&amp;row=357&amp;col=7&amp;number=0&amp;sourceID=14","0")</f>
        <v>0</v>
      </c>
    </row>
    <row r="358" spans="1:7">
      <c r="A358" s="3">
        <v>14</v>
      </c>
      <c r="B358" s="3">
        <v>9</v>
      </c>
      <c r="C358" s="3">
        <v>177</v>
      </c>
      <c r="D358" s="3">
        <v>4</v>
      </c>
      <c r="E358" s="3">
        <v>-172.375</v>
      </c>
      <c r="F358" s="4" t="str">
        <f>HYPERLINK("http://141.218.60.56/~jnz1568/getInfo.php?workbook=14_09.xlsx&amp;sheet=A0&amp;row=358&amp;col=6&amp;number=58400000&amp;sourceID=14","58400000")</f>
        <v>58400000</v>
      </c>
      <c r="G358" s="4" t="str">
        <f>HYPERLINK("http://141.218.60.56/~jnz1568/getInfo.php?workbook=14_09.xlsx&amp;sheet=A0&amp;row=358&amp;col=7&amp;number=0&amp;sourceID=14","0")</f>
        <v>0</v>
      </c>
    </row>
    <row r="359" spans="1:7">
      <c r="A359" s="3">
        <v>14</v>
      </c>
      <c r="B359" s="3">
        <v>9</v>
      </c>
      <c r="C359" s="3">
        <v>179</v>
      </c>
      <c r="D359" s="3">
        <v>4</v>
      </c>
      <c r="E359" s="3">
        <v>-172.315</v>
      </c>
      <c r="F359" s="4" t="str">
        <f>HYPERLINK("http://141.218.60.56/~jnz1568/getInfo.php?workbook=14_09.xlsx&amp;sheet=A0&amp;row=359&amp;col=6&amp;number=3380000&amp;sourceID=14","3380000")</f>
        <v>3380000</v>
      </c>
      <c r="G359" s="4" t="str">
        <f>HYPERLINK("http://141.218.60.56/~jnz1568/getInfo.php?workbook=14_09.xlsx&amp;sheet=A0&amp;row=359&amp;col=7&amp;number=0&amp;sourceID=14","0")</f>
        <v>0</v>
      </c>
    </row>
    <row r="360" spans="1:7">
      <c r="A360" s="3">
        <v>14</v>
      </c>
      <c r="B360" s="3">
        <v>9</v>
      </c>
      <c r="C360" s="3">
        <v>180</v>
      </c>
      <c r="D360" s="3">
        <v>4</v>
      </c>
      <c r="E360" s="3">
        <v>-171.986</v>
      </c>
      <c r="F360" s="4" t="str">
        <f>HYPERLINK("http://141.218.60.56/~jnz1568/getInfo.php?workbook=14_09.xlsx&amp;sheet=A0&amp;row=360&amp;col=6&amp;number=1660000&amp;sourceID=14","1660000")</f>
        <v>1660000</v>
      </c>
      <c r="G360" s="4" t="str">
        <f>HYPERLINK("http://141.218.60.56/~jnz1568/getInfo.php?workbook=14_09.xlsx&amp;sheet=A0&amp;row=360&amp;col=7&amp;number=0&amp;sourceID=14","0")</f>
        <v>0</v>
      </c>
    </row>
    <row r="361" spans="1:7">
      <c r="A361" s="3">
        <v>14</v>
      </c>
      <c r="B361" s="3">
        <v>9</v>
      </c>
      <c r="C361" s="3">
        <v>11</v>
      </c>
      <c r="D361" s="3">
        <v>5</v>
      </c>
      <c r="E361" s="3">
        <v>1329.864</v>
      </c>
      <c r="F361" s="4" t="str">
        <f>HYPERLINK("http://141.218.60.56/~jnz1568/getInfo.php?workbook=14_09.xlsx&amp;sheet=A0&amp;row=361&amp;col=6&amp;number=117000000&amp;sourceID=14","117000000")</f>
        <v>117000000</v>
      </c>
      <c r="G361" s="4" t="str">
        <f>HYPERLINK("http://141.218.60.56/~jnz1568/getInfo.php?workbook=14_09.xlsx&amp;sheet=A0&amp;row=361&amp;col=7&amp;number=0&amp;sourceID=14","0")</f>
        <v>0</v>
      </c>
    </row>
    <row r="362" spans="1:7">
      <c r="A362" s="3">
        <v>14</v>
      </c>
      <c r="B362" s="3">
        <v>9</v>
      </c>
      <c r="C362" s="3">
        <v>12</v>
      </c>
      <c r="D362" s="3">
        <v>5</v>
      </c>
      <c r="E362" s="3">
        <v>1311.944</v>
      </c>
      <c r="F362" s="4" t="str">
        <f>HYPERLINK("http://141.218.60.56/~jnz1568/getInfo.php?workbook=14_09.xlsx&amp;sheet=A0&amp;row=362&amp;col=6&amp;number=102000000&amp;sourceID=14","102000000")</f>
        <v>102000000</v>
      </c>
      <c r="G362" s="4" t="str">
        <f>HYPERLINK("http://141.218.60.56/~jnz1568/getInfo.php?workbook=14_09.xlsx&amp;sheet=A0&amp;row=362&amp;col=7&amp;number=0&amp;sourceID=14","0")</f>
        <v>0</v>
      </c>
    </row>
    <row r="363" spans="1:7">
      <c r="A363" s="3">
        <v>14</v>
      </c>
      <c r="B363" s="3">
        <v>9</v>
      </c>
      <c r="C363" s="3">
        <v>13</v>
      </c>
      <c r="D363" s="3">
        <v>5</v>
      </c>
      <c r="E363" s="3">
        <v>1290.492</v>
      </c>
      <c r="F363" s="4" t="str">
        <f>HYPERLINK("http://141.218.60.56/~jnz1568/getInfo.php?workbook=14_09.xlsx&amp;sheet=A0&amp;row=363&amp;col=6&amp;number=612000000&amp;sourceID=14","612000000")</f>
        <v>612000000</v>
      </c>
      <c r="G363" s="4" t="str">
        <f>HYPERLINK("http://141.218.60.56/~jnz1568/getInfo.php?workbook=14_09.xlsx&amp;sheet=A0&amp;row=363&amp;col=7&amp;number=0&amp;sourceID=14","0")</f>
        <v>0</v>
      </c>
    </row>
    <row r="364" spans="1:7">
      <c r="A364" s="3">
        <v>14</v>
      </c>
      <c r="B364" s="3">
        <v>9</v>
      </c>
      <c r="C364" s="3">
        <v>15</v>
      </c>
      <c r="D364" s="3">
        <v>5</v>
      </c>
      <c r="E364" s="3">
        <v>1148.33</v>
      </c>
      <c r="F364" s="4" t="str">
        <f>HYPERLINK("http://141.218.60.56/~jnz1568/getInfo.php?workbook=14_09.xlsx&amp;sheet=A0&amp;row=364&amp;col=6&amp;number=831000000&amp;sourceID=14","831000000")</f>
        <v>831000000</v>
      </c>
      <c r="G364" s="4" t="str">
        <f>HYPERLINK("http://141.218.60.56/~jnz1568/getInfo.php?workbook=14_09.xlsx&amp;sheet=A0&amp;row=364&amp;col=7&amp;number=0&amp;sourceID=14","0")</f>
        <v>0</v>
      </c>
    </row>
    <row r="365" spans="1:7">
      <c r="A365" s="3">
        <v>14</v>
      </c>
      <c r="B365" s="3">
        <v>9</v>
      </c>
      <c r="C365" s="3">
        <v>16</v>
      </c>
      <c r="D365" s="3">
        <v>5</v>
      </c>
      <c r="E365" s="3">
        <v>1128.89</v>
      </c>
      <c r="F365" s="4" t="str">
        <f>HYPERLINK("http://141.218.60.56/~jnz1568/getInfo.php?workbook=14_09.xlsx&amp;sheet=A0&amp;row=365&amp;col=6&amp;number=529000000&amp;sourceID=14","529000000")</f>
        <v>529000000</v>
      </c>
      <c r="G365" s="4" t="str">
        <f>HYPERLINK("http://141.218.60.56/~jnz1568/getInfo.php?workbook=14_09.xlsx&amp;sheet=A0&amp;row=365&amp;col=7&amp;number=0&amp;sourceID=14","0")</f>
        <v>0</v>
      </c>
    </row>
    <row r="366" spans="1:7">
      <c r="A366" s="3">
        <v>14</v>
      </c>
      <c r="B366" s="3">
        <v>9</v>
      </c>
      <c r="C366" s="3">
        <v>17</v>
      </c>
      <c r="D366" s="3">
        <v>5</v>
      </c>
      <c r="E366" s="3">
        <v>1118.786</v>
      </c>
      <c r="F366" s="4" t="str">
        <f>HYPERLINK("http://141.218.60.56/~jnz1568/getInfo.php?workbook=14_09.xlsx&amp;sheet=A0&amp;row=366&amp;col=6&amp;number=138000000&amp;sourceID=14","138000000")</f>
        <v>138000000</v>
      </c>
      <c r="G366" s="4" t="str">
        <f>HYPERLINK("http://141.218.60.56/~jnz1568/getInfo.php?workbook=14_09.xlsx&amp;sheet=A0&amp;row=366&amp;col=7&amp;number=0&amp;sourceID=14","0")</f>
        <v>0</v>
      </c>
    </row>
    <row r="367" spans="1:7">
      <c r="A367" s="3">
        <v>14</v>
      </c>
      <c r="B367" s="3">
        <v>9</v>
      </c>
      <c r="C367" s="3">
        <v>18</v>
      </c>
      <c r="D367" s="3">
        <v>5</v>
      </c>
      <c r="E367" s="3">
        <v>1073.375</v>
      </c>
      <c r="F367" s="4" t="str">
        <f>HYPERLINK("http://141.218.60.56/~jnz1568/getInfo.php?workbook=14_09.xlsx&amp;sheet=A0&amp;row=367&amp;col=6&amp;number=20500000&amp;sourceID=14","20500000")</f>
        <v>20500000</v>
      </c>
      <c r="G367" s="4" t="str">
        <f>HYPERLINK("http://141.218.60.56/~jnz1568/getInfo.php?workbook=14_09.xlsx&amp;sheet=A0&amp;row=367&amp;col=7&amp;number=0&amp;sourceID=14","0")</f>
        <v>0</v>
      </c>
    </row>
    <row r="368" spans="1:7">
      <c r="A368" s="3">
        <v>14</v>
      </c>
      <c r="B368" s="3">
        <v>9</v>
      </c>
      <c r="C368" s="3">
        <v>19</v>
      </c>
      <c r="D368" s="3">
        <v>5</v>
      </c>
      <c r="E368" s="3">
        <v>1042.609</v>
      </c>
      <c r="F368" s="4" t="str">
        <f>HYPERLINK("http://141.218.60.56/~jnz1568/getInfo.php?workbook=14_09.xlsx&amp;sheet=A0&amp;row=368&amp;col=6&amp;number=3070000&amp;sourceID=14","3070000")</f>
        <v>3070000</v>
      </c>
      <c r="G368" s="4" t="str">
        <f>HYPERLINK("http://141.218.60.56/~jnz1568/getInfo.php?workbook=14_09.xlsx&amp;sheet=A0&amp;row=368&amp;col=7&amp;number=0&amp;sourceID=14","0")</f>
        <v>0</v>
      </c>
    </row>
    <row r="369" spans="1:7">
      <c r="A369" s="3">
        <v>14</v>
      </c>
      <c r="B369" s="3">
        <v>9</v>
      </c>
      <c r="C369" s="3">
        <v>20</v>
      </c>
      <c r="D369" s="3">
        <v>5</v>
      </c>
      <c r="E369" s="3">
        <v>-1024.886</v>
      </c>
      <c r="F369" s="4" t="str">
        <f>HYPERLINK("http://141.218.60.56/~jnz1568/getInfo.php?workbook=14_09.xlsx&amp;sheet=A0&amp;row=369&amp;col=6&amp;number=1610000&amp;sourceID=14","1610000")</f>
        <v>1610000</v>
      </c>
      <c r="G369" s="4" t="str">
        <f>HYPERLINK("http://141.218.60.56/~jnz1568/getInfo.php?workbook=14_09.xlsx&amp;sheet=A0&amp;row=369&amp;col=7&amp;number=0&amp;sourceID=14","0")</f>
        <v>0</v>
      </c>
    </row>
    <row r="370" spans="1:7">
      <c r="A370" s="3">
        <v>14</v>
      </c>
      <c r="B370" s="3">
        <v>9</v>
      </c>
      <c r="C370" s="3">
        <v>21</v>
      </c>
      <c r="D370" s="3">
        <v>5</v>
      </c>
      <c r="E370" s="3">
        <v>998.663</v>
      </c>
      <c r="F370" s="4" t="str">
        <f>HYPERLINK("http://141.218.60.56/~jnz1568/getInfo.php?workbook=14_09.xlsx&amp;sheet=A0&amp;row=370&amp;col=6&amp;number=485000000&amp;sourceID=14","485000000")</f>
        <v>485000000</v>
      </c>
      <c r="G370" s="4" t="str">
        <f>HYPERLINK("http://141.218.60.56/~jnz1568/getInfo.php?workbook=14_09.xlsx&amp;sheet=A0&amp;row=370&amp;col=7&amp;number=0&amp;sourceID=14","0")</f>
        <v>0</v>
      </c>
    </row>
    <row r="371" spans="1:7">
      <c r="A371" s="3">
        <v>14</v>
      </c>
      <c r="B371" s="3">
        <v>9</v>
      </c>
      <c r="C371" s="3">
        <v>22</v>
      </c>
      <c r="D371" s="3">
        <v>5</v>
      </c>
      <c r="E371" s="3">
        <v>991.102</v>
      </c>
      <c r="F371" s="4" t="str">
        <f>HYPERLINK("http://141.218.60.56/~jnz1568/getInfo.php?workbook=14_09.xlsx&amp;sheet=A0&amp;row=371&amp;col=6&amp;number=107000000&amp;sourceID=14","107000000")</f>
        <v>107000000</v>
      </c>
      <c r="G371" s="4" t="str">
        <f>HYPERLINK("http://141.218.60.56/~jnz1568/getInfo.php?workbook=14_09.xlsx&amp;sheet=A0&amp;row=371&amp;col=7&amp;number=0&amp;sourceID=14","0")</f>
        <v>0</v>
      </c>
    </row>
    <row r="372" spans="1:7">
      <c r="A372" s="3">
        <v>14</v>
      </c>
      <c r="B372" s="3">
        <v>9</v>
      </c>
      <c r="C372" s="3">
        <v>23</v>
      </c>
      <c r="D372" s="3">
        <v>5</v>
      </c>
      <c r="E372" s="3">
        <v>-980.096</v>
      </c>
      <c r="F372" s="4" t="str">
        <f>HYPERLINK("http://141.218.60.56/~jnz1568/getInfo.php?workbook=14_09.xlsx&amp;sheet=A0&amp;row=372&amp;col=6&amp;number=2350000&amp;sourceID=14","2350000")</f>
        <v>2350000</v>
      </c>
      <c r="G372" s="4" t="str">
        <f>HYPERLINK("http://141.218.60.56/~jnz1568/getInfo.php?workbook=14_09.xlsx&amp;sheet=A0&amp;row=372&amp;col=7&amp;number=0&amp;sourceID=14","0")</f>
        <v>0</v>
      </c>
    </row>
    <row r="373" spans="1:7">
      <c r="A373" s="3">
        <v>14</v>
      </c>
      <c r="B373" s="3">
        <v>9</v>
      </c>
      <c r="C373" s="3">
        <v>25</v>
      </c>
      <c r="D373" s="3">
        <v>5</v>
      </c>
      <c r="E373" s="3">
        <v>755</v>
      </c>
      <c r="F373" s="4" t="str">
        <f>HYPERLINK("http://141.218.60.56/~jnz1568/getInfo.php?workbook=14_09.xlsx&amp;sheet=A0&amp;row=373&amp;col=6&amp;number=19700&amp;sourceID=14","19700")</f>
        <v>19700</v>
      </c>
      <c r="G373" s="4" t="str">
        <f>HYPERLINK("http://141.218.60.56/~jnz1568/getInfo.php?workbook=14_09.xlsx&amp;sheet=A0&amp;row=373&amp;col=7&amp;number=0&amp;sourceID=14","0")</f>
        <v>0</v>
      </c>
    </row>
    <row r="374" spans="1:7">
      <c r="A374" s="3">
        <v>14</v>
      </c>
      <c r="B374" s="3">
        <v>9</v>
      </c>
      <c r="C374" s="3">
        <v>27</v>
      </c>
      <c r="D374" s="3">
        <v>5</v>
      </c>
      <c r="E374" s="3">
        <v>712.09</v>
      </c>
      <c r="F374" s="4" t="str">
        <f>HYPERLINK("http://141.218.60.56/~jnz1568/getInfo.php?workbook=14_09.xlsx&amp;sheet=A0&amp;row=374&amp;col=6&amp;number=362000&amp;sourceID=14","362000")</f>
        <v>362000</v>
      </c>
      <c r="G374" s="4" t="str">
        <f>HYPERLINK("http://141.218.60.56/~jnz1568/getInfo.php?workbook=14_09.xlsx&amp;sheet=A0&amp;row=374&amp;col=7&amp;number=0&amp;sourceID=14","0")</f>
        <v>0</v>
      </c>
    </row>
    <row r="375" spans="1:7">
      <c r="A375" s="3">
        <v>14</v>
      </c>
      <c r="B375" s="3">
        <v>9</v>
      </c>
      <c r="C375" s="3">
        <v>29</v>
      </c>
      <c r="D375" s="3">
        <v>5</v>
      </c>
      <c r="E375" s="3">
        <v>648.224</v>
      </c>
      <c r="F375" s="4" t="str">
        <f>HYPERLINK("http://141.218.60.56/~jnz1568/getInfo.php?workbook=14_09.xlsx&amp;sheet=A0&amp;row=375&amp;col=6&amp;number=24600000&amp;sourceID=14","24600000")</f>
        <v>24600000</v>
      </c>
      <c r="G375" s="4" t="str">
        <f>HYPERLINK("http://141.218.60.56/~jnz1568/getInfo.php?workbook=14_09.xlsx&amp;sheet=A0&amp;row=375&amp;col=7&amp;number=0&amp;sourceID=14","0")</f>
        <v>0</v>
      </c>
    </row>
    <row r="376" spans="1:7">
      <c r="A376" s="3">
        <v>14</v>
      </c>
      <c r="B376" s="3">
        <v>9</v>
      </c>
      <c r="C376" s="3">
        <v>30</v>
      </c>
      <c r="D376" s="3">
        <v>5</v>
      </c>
      <c r="E376" s="3">
        <v>638.382</v>
      </c>
      <c r="F376" s="4" t="str">
        <f>HYPERLINK("http://141.218.60.56/~jnz1568/getInfo.php?workbook=14_09.xlsx&amp;sheet=A0&amp;row=376&amp;col=6&amp;number=5370000&amp;sourceID=14","5370000")</f>
        <v>5370000</v>
      </c>
      <c r="G376" s="4" t="str">
        <f>HYPERLINK("http://141.218.60.56/~jnz1568/getInfo.php?workbook=14_09.xlsx&amp;sheet=A0&amp;row=376&amp;col=7&amp;number=0&amp;sourceID=14","0")</f>
        <v>0</v>
      </c>
    </row>
    <row r="377" spans="1:7">
      <c r="A377" s="3">
        <v>14</v>
      </c>
      <c r="B377" s="3">
        <v>9</v>
      </c>
      <c r="C377" s="3">
        <v>34</v>
      </c>
      <c r="D377" s="3">
        <v>5</v>
      </c>
      <c r="E377" s="3">
        <v>529.979</v>
      </c>
      <c r="F377" s="4" t="str">
        <f>HYPERLINK("http://141.218.60.56/~jnz1568/getInfo.php?workbook=14_09.xlsx&amp;sheet=A0&amp;row=377&amp;col=6&amp;number=35000&amp;sourceID=14","35000")</f>
        <v>35000</v>
      </c>
      <c r="G377" s="4" t="str">
        <f>HYPERLINK("http://141.218.60.56/~jnz1568/getInfo.php?workbook=14_09.xlsx&amp;sheet=A0&amp;row=377&amp;col=7&amp;number=0&amp;sourceID=14","0")</f>
        <v>0</v>
      </c>
    </row>
    <row r="378" spans="1:7">
      <c r="A378" s="3">
        <v>14</v>
      </c>
      <c r="B378" s="3">
        <v>9</v>
      </c>
      <c r="C378" s="3">
        <v>36</v>
      </c>
      <c r="D378" s="3">
        <v>5</v>
      </c>
      <c r="E378" s="3">
        <v>505.326</v>
      </c>
      <c r="F378" s="4" t="str">
        <f>HYPERLINK("http://141.218.60.56/~jnz1568/getInfo.php?workbook=14_09.xlsx&amp;sheet=A0&amp;row=378&amp;col=6&amp;number=35300&amp;sourceID=14","35300")</f>
        <v>35300</v>
      </c>
      <c r="G378" s="4" t="str">
        <f>HYPERLINK("http://141.218.60.56/~jnz1568/getInfo.php?workbook=14_09.xlsx&amp;sheet=A0&amp;row=378&amp;col=7&amp;number=0&amp;sourceID=14","0")</f>
        <v>0</v>
      </c>
    </row>
    <row r="379" spans="1:7">
      <c r="A379" s="3">
        <v>14</v>
      </c>
      <c r="B379" s="3">
        <v>9</v>
      </c>
      <c r="C379" s="3">
        <v>44</v>
      </c>
      <c r="D379" s="3">
        <v>5</v>
      </c>
      <c r="E379" s="3">
        <v>-480.472</v>
      </c>
      <c r="F379" s="4" t="str">
        <f>HYPERLINK("http://141.218.60.56/~jnz1568/getInfo.php?workbook=14_09.xlsx&amp;sheet=A0&amp;row=379&amp;col=6&amp;number=3270000&amp;sourceID=14","3270000")</f>
        <v>3270000</v>
      </c>
      <c r="G379" s="4" t="str">
        <f>HYPERLINK("http://141.218.60.56/~jnz1568/getInfo.php?workbook=14_09.xlsx&amp;sheet=A0&amp;row=379&amp;col=7&amp;number=0&amp;sourceID=14","0")</f>
        <v>0</v>
      </c>
    </row>
    <row r="380" spans="1:7">
      <c r="A380" s="3">
        <v>14</v>
      </c>
      <c r="B380" s="3">
        <v>9</v>
      </c>
      <c r="C380" s="3">
        <v>45</v>
      </c>
      <c r="D380" s="3">
        <v>5</v>
      </c>
      <c r="E380" s="3">
        <v>-479.7</v>
      </c>
      <c r="F380" s="4" t="str">
        <f>HYPERLINK("http://141.218.60.56/~jnz1568/getInfo.php?workbook=14_09.xlsx&amp;sheet=A0&amp;row=380&amp;col=6&amp;number=1160000&amp;sourceID=14","1160000")</f>
        <v>1160000</v>
      </c>
      <c r="G380" s="4" t="str">
        <f>HYPERLINK("http://141.218.60.56/~jnz1568/getInfo.php?workbook=14_09.xlsx&amp;sheet=A0&amp;row=380&amp;col=7&amp;number=0&amp;sourceID=14","0")</f>
        <v>0</v>
      </c>
    </row>
    <row r="381" spans="1:7">
      <c r="A381" s="3">
        <v>14</v>
      </c>
      <c r="B381" s="3">
        <v>9</v>
      </c>
      <c r="C381" s="3">
        <v>66</v>
      </c>
      <c r="D381" s="3">
        <v>5</v>
      </c>
      <c r="E381" s="3">
        <v>-281.724</v>
      </c>
      <c r="F381" s="4" t="str">
        <f>HYPERLINK("http://141.218.60.56/~jnz1568/getInfo.php?workbook=14_09.xlsx&amp;sheet=A0&amp;row=381&amp;col=6&amp;number=2710000000&amp;sourceID=14","2710000000")</f>
        <v>2710000000</v>
      </c>
      <c r="G381" s="4" t="str">
        <f>HYPERLINK("http://141.218.60.56/~jnz1568/getInfo.php?workbook=14_09.xlsx&amp;sheet=A0&amp;row=381&amp;col=7&amp;number=0&amp;sourceID=14","0")</f>
        <v>0</v>
      </c>
    </row>
    <row r="382" spans="1:7">
      <c r="A382" s="3">
        <v>14</v>
      </c>
      <c r="B382" s="3">
        <v>9</v>
      </c>
      <c r="C382" s="3">
        <v>67</v>
      </c>
      <c r="D382" s="3">
        <v>5</v>
      </c>
      <c r="E382" s="3">
        <v>-280.534</v>
      </c>
      <c r="F382" s="4" t="str">
        <f>HYPERLINK("http://141.218.60.56/~jnz1568/getInfo.php?workbook=14_09.xlsx&amp;sheet=A0&amp;row=382&amp;col=6&amp;number=1450000000&amp;sourceID=14","1450000000")</f>
        <v>1450000000</v>
      </c>
      <c r="G382" s="4" t="str">
        <f>HYPERLINK("http://141.218.60.56/~jnz1568/getInfo.php?workbook=14_09.xlsx&amp;sheet=A0&amp;row=382&amp;col=7&amp;number=0&amp;sourceID=14","0")</f>
        <v>0</v>
      </c>
    </row>
    <row r="383" spans="1:7">
      <c r="A383" s="3">
        <v>14</v>
      </c>
      <c r="B383" s="3">
        <v>9</v>
      </c>
      <c r="C383" s="3">
        <v>68</v>
      </c>
      <c r="D383" s="3">
        <v>5</v>
      </c>
      <c r="E383" s="3">
        <v>-279.383</v>
      </c>
      <c r="F383" s="4" t="str">
        <f>HYPERLINK("http://141.218.60.56/~jnz1568/getInfo.php?workbook=14_09.xlsx&amp;sheet=A0&amp;row=383&amp;col=6&amp;number=9130000000&amp;sourceID=14","9130000000")</f>
        <v>9130000000</v>
      </c>
      <c r="G383" s="4" t="str">
        <f>HYPERLINK("http://141.218.60.56/~jnz1568/getInfo.php?workbook=14_09.xlsx&amp;sheet=A0&amp;row=383&amp;col=7&amp;number=0&amp;sourceID=14","0")</f>
        <v>0</v>
      </c>
    </row>
    <row r="384" spans="1:7">
      <c r="A384" s="3">
        <v>14</v>
      </c>
      <c r="B384" s="3">
        <v>9</v>
      </c>
      <c r="C384" s="3">
        <v>70</v>
      </c>
      <c r="D384" s="3">
        <v>5</v>
      </c>
      <c r="E384" s="3">
        <v>-275.193</v>
      </c>
      <c r="F384" s="4" t="str">
        <f>HYPERLINK("http://141.218.60.56/~jnz1568/getInfo.php?workbook=14_09.xlsx&amp;sheet=A0&amp;row=384&amp;col=6&amp;number=1700000000&amp;sourceID=14","1700000000")</f>
        <v>1700000000</v>
      </c>
      <c r="G384" s="4" t="str">
        <f>HYPERLINK("http://141.218.60.56/~jnz1568/getInfo.php?workbook=14_09.xlsx&amp;sheet=A0&amp;row=384&amp;col=7&amp;number=0&amp;sourceID=14","0")</f>
        <v>0</v>
      </c>
    </row>
    <row r="385" spans="1:7">
      <c r="A385" s="3">
        <v>14</v>
      </c>
      <c r="B385" s="3">
        <v>9</v>
      </c>
      <c r="C385" s="3">
        <v>71</v>
      </c>
      <c r="D385" s="3">
        <v>5</v>
      </c>
      <c r="E385" s="3">
        <v>-273.628</v>
      </c>
      <c r="F385" s="4" t="str">
        <f>HYPERLINK("http://141.218.60.56/~jnz1568/getInfo.php?workbook=14_09.xlsx&amp;sheet=A0&amp;row=385&amp;col=6&amp;number=888000000&amp;sourceID=14","888000000")</f>
        <v>888000000</v>
      </c>
      <c r="G385" s="4" t="str">
        <f>HYPERLINK("http://141.218.60.56/~jnz1568/getInfo.php?workbook=14_09.xlsx&amp;sheet=A0&amp;row=385&amp;col=7&amp;number=0&amp;sourceID=14","0")</f>
        <v>0</v>
      </c>
    </row>
    <row r="386" spans="1:7">
      <c r="A386" s="3">
        <v>14</v>
      </c>
      <c r="B386" s="3">
        <v>9</v>
      </c>
      <c r="C386" s="3">
        <v>72</v>
      </c>
      <c r="D386" s="3">
        <v>5</v>
      </c>
      <c r="E386" s="3">
        <v>-273.052</v>
      </c>
      <c r="F386" s="4" t="str">
        <f>HYPERLINK("http://141.218.60.56/~jnz1568/getInfo.php?workbook=14_09.xlsx&amp;sheet=A0&amp;row=386&amp;col=6&amp;number=849000000&amp;sourceID=14","849000000")</f>
        <v>849000000</v>
      </c>
      <c r="G386" s="4" t="str">
        <f>HYPERLINK("http://141.218.60.56/~jnz1568/getInfo.php?workbook=14_09.xlsx&amp;sheet=A0&amp;row=386&amp;col=7&amp;number=0&amp;sourceID=14","0")</f>
        <v>0</v>
      </c>
    </row>
    <row r="387" spans="1:7">
      <c r="A387" s="3">
        <v>14</v>
      </c>
      <c r="B387" s="3">
        <v>9</v>
      </c>
      <c r="C387" s="3">
        <v>73</v>
      </c>
      <c r="D387" s="3">
        <v>5</v>
      </c>
      <c r="E387" s="3">
        <v>-272.789</v>
      </c>
      <c r="F387" s="4" t="str">
        <f>HYPERLINK("http://141.218.60.56/~jnz1568/getInfo.php?workbook=14_09.xlsx&amp;sheet=A0&amp;row=387&amp;col=6&amp;number=85400000&amp;sourceID=14","85400000")</f>
        <v>85400000</v>
      </c>
      <c r="G387" s="4" t="str">
        <f>HYPERLINK("http://141.218.60.56/~jnz1568/getInfo.php?workbook=14_09.xlsx&amp;sheet=A0&amp;row=387&amp;col=7&amp;number=0&amp;sourceID=14","0")</f>
        <v>0</v>
      </c>
    </row>
    <row r="388" spans="1:7">
      <c r="A388" s="3">
        <v>14</v>
      </c>
      <c r="B388" s="3">
        <v>9</v>
      </c>
      <c r="C388" s="3">
        <v>74</v>
      </c>
      <c r="D388" s="3">
        <v>5</v>
      </c>
      <c r="E388" s="3">
        <v>-271.892</v>
      </c>
      <c r="F388" s="4" t="str">
        <f>HYPERLINK("http://141.218.60.56/~jnz1568/getInfo.php?workbook=14_09.xlsx&amp;sheet=A0&amp;row=388&amp;col=6&amp;number=112000000&amp;sourceID=14","112000000")</f>
        <v>112000000</v>
      </c>
      <c r="G388" s="4" t="str">
        <f>HYPERLINK("http://141.218.60.56/~jnz1568/getInfo.php?workbook=14_09.xlsx&amp;sheet=A0&amp;row=388&amp;col=7&amp;number=0&amp;sourceID=14","0")</f>
        <v>0</v>
      </c>
    </row>
    <row r="389" spans="1:7">
      <c r="A389" s="3">
        <v>14</v>
      </c>
      <c r="B389" s="3">
        <v>9</v>
      </c>
      <c r="C389" s="3">
        <v>75</v>
      </c>
      <c r="D389" s="3">
        <v>5</v>
      </c>
      <c r="E389" s="3">
        <v>-271.481</v>
      </c>
      <c r="F389" s="4" t="str">
        <f>HYPERLINK("http://141.218.60.56/~jnz1568/getInfo.php?workbook=14_09.xlsx&amp;sheet=A0&amp;row=389&amp;col=6&amp;number=774000000&amp;sourceID=14","774000000")</f>
        <v>774000000</v>
      </c>
      <c r="G389" s="4" t="str">
        <f>HYPERLINK("http://141.218.60.56/~jnz1568/getInfo.php?workbook=14_09.xlsx&amp;sheet=A0&amp;row=389&amp;col=7&amp;number=0&amp;sourceID=14","0")</f>
        <v>0</v>
      </c>
    </row>
    <row r="390" spans="1:7">
      <c r="A390" s="3">
        <v>14</v>
      </c>
      <c r="B390" s="3">
        <v>9</v>
      </c>
      <c r="C390" s="3">
        <v>76</v>
      </c>
      <c r="D390" s="3">
        <v>5</v>
      </c>
      <c r="E390" s="3">
        <v>-271.27</v>
      </c>
      <c r="F390" s="4" t="str">
        <f>HYPERLINK("http://141.218.60.56/~jnz1568/getInfo.php?workbook=14_09.xlsx&amp;sheet=A0&amp;row=390&amp;col=6&amp;number=217000000&amp;sourceID=14","217000000")</f>
        <v>217000000</v>
      </c>
      <c r="G390" s="4" t="str">
        <f>HYPERLINK("http://141.218.60.56/~jnz1568/getInfo.php?workbook=14_09.xlsx&amp;sheet=A0&amp;row=390&amp;col=7&amp;number=0&amp;sourceID=14","0")</f>
        <v>0</v>
      </c>
    </row>
    <row r="391" spans="1:7">
      <c r="A391" s="3">
        <v>14</v>
      </c>
      <c r="B391" s="3">
        <v>9</v>
      </c>
      <c r="C391" s="3">
        <v>77</v>
      </c>
      <c r="D391" s="3">
        <v>5</v>
      </c>
      <c r="E391" s="3">
        <v>-266.136</v>
      </c>
      <c r="F391" s="4" t="str">
        <f>HYPERLINK("http://141.218.60.56/~jnz1568/getInfo.php?workbook=14_09.xlsx&amp;sheet=A0&amp;row=391&amp;col=6&amp;number=45200000&amp;sourceID=14","45200000")</f>
        <v>45200000</v>
      </c>
      <c r="G391" s="4" t="str">
        <f>HYPERLINK("http://141.218.60.56/~jnz1568/getInfo.php?workbook=14_09.xlsx&amp;sheet=A0&amp;row=391&amp;col=7&amp;number=0&amp;sourceID=14","0")</f>
        <v>0</v>
      </c>
    </row>
    <row r="392" spans="1:7">
      <c r="A392" s="3">
        <v>14</v>
      </c>
      <c r="B392" s="3">
        <v>9</v>
      </c>
      <c r="C392" s="3">
        <v>78</v>
      </c>
      <c r="D392" s="3">
        <v>5</v>
      </c>
      <c r="E392" s="3">
        <v>-265.519</v>
      </c>
      <c r="F392" s="4" t="str">
        <f>HYPERLINK("http://141.218.60.56/~jnz1568/getInfo.php?workbook=14_09.xlsx&amp;sheet=A0&amp;row=392&amp;col=6&amp;number=21800000&amp;sourceID=14","21800000")</f>
        <v>21800000</v>
      </c>
      <c r="G392" s="4" t="str">
        <f>HYPERLINK("http://141.218.60.56/~jnz1568/getInfo.php?workbook=14_09.xlsx&amp;sheet=A0&amp;row=392&amp;col=7&amp;number=0&amp;sourceID=14","0")</f>
        <v>0</v>
      </c>
    </row>
    <row r="393" spans="1:7">
      <c r="A393" s="3">
        <v>14</v>
      </c>
      <c r="B393" s="3">
        <v>9</v>
      </c>
      <c r="C393" s="3">
        <v>81</v>
      </c>
      <c r="D393" s="3">
        <v>5</v>
      </c>
      <c r="E393" s="3">
        <v>-262.933</v>
      </c>
      <c r="F393" s="4" t="str">
        <f>HYPERLINK("http://141.218.60.56/~jnz1568/getInfo.php?workbook=14_09.xlsx&amp;sheet=A0&amp;row=393&amp;col=6&amp;number=2920000000&amp;sourceID=14","2920000000")</f>
        <v>2920000000</v>
      </c>
      <c r="G393" s="4" t="str">
        <f>HYPERLINK("http://141.218.60.56/~jnz1568/getInfo.php?workbook=14_09.xlsx&amp;sheet=A0&amp;row=393&amp;col=7&amp;number=0&amp;sourceID=14","0")</f>
        <v>0</v>
      </c>
    </row>
    <row r="394" spans="1:7">
      <c r="A394" s="3">
        <v>14</v>
      </c>
      <c r="B394" s="3">
        <v>9</v>
      </c>
      <c r="C394" s="3">
        <v>82</v>
      </c>
      <c r="D394" s="3">
        <v>5</v>
      </c>
      <c r="E394" s="3">
        <v>-261.045</v>
      </c>
      <c r="F394" s="4" t="str">
        <f>HYPERLINK("http://141.218.60.56/~jnz1568/getInfo.php?workbook=14_09.xlsx&amp;sheet=A0&amp;row=394&amp;col=6&amp;number=1500000000&amp;sourceID=14","1500000000")</f>
        <v>1500000000</v>
      </c>
      <c r="G394" s="4" t="str">
        <f>HYPERLINK("http://141.218.60.56/~jnz1568/getInfo.php?workbook=14_09.xlsx&amp;sheet=A0&amp;row=394&amp;col=7&amp;number=0&amp;sourceID=14","0")</f>
        <v>0</v>
      </c>
    </row>
    <row r="395" spans="1:7">
      <c r="A395" s="3">
        <v>14</v>
      </c>
      <c r="B395" s="3">
        <v>9</v>
      </c>
      <c r="C395" s="3">
        <v>83</v>
      </c>
      <c r="D395" s="3">
        <v>5</v>
      </c>
      <c r="E395" s="3">
        <v>-259.916</v>
      </c>
      <c r="F395" s="4" t="str">
        <f>HYPERLINK("http://141.218.60.56/~jnz1568/getInfo.php?workbook=14_09.xlsx&amp;sheet=A0&amp;row=395&amp;col=6&amp;number=9940000000&amp;sourceID=14","9940000000")</f>
        <v>9940000000</v>
      </c>
      <c r="G395" s="4" t="str">
        <f>HYPERLINK("http://141.218.60.56/~jnz1568/getInfo.php?workbook=14_09.xlsx&amp;sheet=A0&amp;row=395&amp;col=7&amp;number=0&amp;sourceID=14","0")</f>
        <v>0</v>
      </c>
    </row>
    <row r="396" spans="1:7">
      <c r="A396" s="3">
        <v>14</v>
      </c>
      <c r="B396" s="3">
        <v>9</v>
      </c>
      <c r="C396" s="3">
        <v>84</v>
      </c>
      <c r="D396" s="3">
        <v>5</v>
      </c>
      <c r="E396" s="3">
        <v>-254.272</v>
      </c>
      <c r="F396" s="4" t="str">
        <f>HYPERLINK("http://141.218.60.56/~jnz1568/getInfo.php?workbook=14_09.xlsx&amp;sheet=A0&amp;row=396&amp;col=6&amp;number=72700000&amp;sourceID=14","72700000")</f>
        <v>72700000</v>
      </c>
      <c r="G396" s="4" t="str">
        <f>HYPERLINK("http://141.218.60.56/~jnz1568/getInfo.php?workbook=14_09.xlsx&amp;sheet=A0&amp;row=396&amp;col=7&amp;number=0&amp;sourceID=14","0")</f>
        <v>0</v>
      </c>
    </row>
    <row r="397" spans="1:7">
      <c r="A397" s="3">
        <v>14</v>
      </c>
      <c r="B397" s="3">
        <v>9</v>
      </c>
      <c r="C397" s="3">
        <v>85</v>
      </c>
      <c r="D397" s="3">
        <v>5</v>
      </c>
      <c r="E397" s="3">
        <v>-252.558</v>
      </c>
      <c r="F397" s="4" t="str">
        <f>HYPERLINK("http://141.218.60.56/~jnz1568/getInfo.php?workbook=14_09.xlsx&amp;sheet=A0&amp;row=397&amp;col=6&amp;number=2260000&amp;sourceID=14","2260000")</f>
        <v>2260000</v>
      </c>
      <c r="G397" s="4" t="str">
        <f>HYPERLINK("http://141.218.60.56/~jnz1568/getInfo.php?workbook=14_09.xlsx&amp;sheet=A0&amp;row=397&amp;col=7&amp;number=0&amp;sourceID=14","0")</f>
        <v>0</v>
      </c>
    </row>
    <row r="398" spans="1:7">
      <c r="A398" s="3">
        <v>14</v>
      </c>
      <c r="B398" s="3">
        <v>9</v>
      </c>
      <c r="C398" s="3">
        <v>88</v>
      </c>
      <c r="D398" s="3">
        <v>5</v>
      </c>
      <c r="E398" s="3">
        <v>-250.018</v>
      </c>
      <c r="F398" s="4" t="str">
        <f>HYPERLINK("http://141.218.60.56/~jnz1568/getInfo.php?workbook=14_09.xlsx&amp;sheet=A0&amp;row=398&amp;col=6&amp;number=82600&amp;sourceID=14","82600")</f>
        <v>82600</v>
      </c>
      <c r="G398" s="4" t="str">
        <f>HYPERLINK("http://141.218.60.56/~jnz1568/getInfo.php?workbook=14_09.xlsx&amp;sheet=A0&amp;row=398&amp;col=7&amp;number=0&amp;sourceID=14","0")</f>
        <v>0</v>
      </c>
    </row>
    <row r="399" spans="1:7">
      <c r="A399" s="3">
        <v>14</v>
      </c>
      <c r="B399" s="3">
        <v>9</v>
      </c>
      <c r="C399" s="3">
        <v>89</v>
      </c>
      <c r="D399" s="3">
        <v>5</v>
      </c>
      <c r="E399" s="3">
        <v>-249.561</v>
      </c>
      <c r="F399" s="4" t="str">
        <f>HYPERLINK("http://141.218.60.56/~jnz1568/getInfo.php?workbook=14_09.xlsx&amp;sheet=A0&amp;row=399&amp;col=6&amp;number=221000&amp;sourceID=14","221000")</f>
        <v>221000</v>
      </c>
      <c r="G399" s="4" t="str">
        <f>HYPERLINK("http://141.218.60.56/~jnz1568/getInfo.php?workbook=14_09.xlsx&amp;sheet=A0&amp;row=399&amp;col=7&amp;number=0&amp;sourceID=14","0")</f>
        <v>0</v>
      </c>
    </row>
    <row r="400" spans="1:7">
      <c r="A400" s="3">
        <v>14</v>
      </c>
      <c r="B400" s="3">
        <v>9</v>
      </c>
      <c r="C400" s="3">
        <v>91</v>
      </c>
      <c r="D400" s="3">
        <v>5</v>
      </c>
      <c r="E400" s="3">
        <v>-248.183</v>
      </c>
      <c r="F400" s="4" t="str">
        <f>HYPERLINK("http://141.218.60.56/~jnz1568/getInfo.php?workbook=14_09.xlsx&amp;sheet=A0&amp;row=400&amp;col=6&amp;number=176000&amp;sourceID=14","176000")</f>
        <v>176000</v>
      </c>
      <c r="G400" s="4" t="str">
        <f>HYPERLINK("http://141.218.60.56/~jnz1568/getInfo.php?workbook=14_09.xlsx&amp;sheet=A0&amp;row=400&amp;col=7&amp;number=0&amp;sourceID=14","0")</f>
        <v>0</v>
      </c>
    </row>
    <row r="401" spans="1:7">
      <c r="A401" s="3">
        <v>14</v>
      </c>
      <c r="B401" s="3">
        <v>9</v>
      </c>
      <c r="C401" s="3">
        <v>92</v>
      </c>
      <c r="D401" s="3">
        <v>5</v>
      </c>
      <c r="E401" s="3">
        <v>-247.637</v>
      </c>
      <c r="F401" s="4" t="str">
        <f>HYPERLINK("http://141.218.60.56/~jnz1568/getInfo.php?workbook=14_09.xlsx&amp;sheet=A0&amp;row=401&amp;col=6&amp;number=105000&amp;sourceID=14","105000")</f>
        <v>105000</v>
      </c>
      <c r="G401" s="4" t="str">
        <f>HYPERLINK("http://141.218.60.56/~jnz1568/getInfo.php?workbook=14_09.xlsx&amp;sheet=A0&amp;row=401&amp;col=7&amp;number=0&amp;sourceID=14","0")</f>
        <v>0</v>
      </c>
    </row>
    <row r="402" spans="1:7">
      <c r="A402" s="3">
        <v>14</v>
      </c>
      <c r="B402" s="3">
        <v>9</v>
      </c>
      <c r="C402" s="3">
        <v>94</v>
      </c>
      <c r="D402" s="3">
        <v>5</v>
      </c>
      <c r="E402" s="3">
        <v>-246.993</v>
      </c>
      <c r="F402" s="4" t="str">
        <f>HYPERLINK("http://141.218.60.56/~jnz1568/getInfo.php?workbook=14_09.xlsx&amp;sheet=A0&amp;row=402&amp;col=6&amp;number=217000&amp;sourceID=14","217000")</f>
        <v>217000</v>
      </c>
      <c r="G402" s="4" t="str">
        <f>HYPERLINK("http://141.218.60.56/~jnz1568/getInfo.php?workbook=14_09.xlsx&amp;sheet=A0&amp;row=402&amp;col=7&amp;number=0&amp;sourceID=14","0")</f>
        <v>0</v>
      </c>
    </row>
    <row r="403" spans="1:7">
      <c r="A403" s="3">
        <v>14</v>
      </c>
      <c r="B403" s="3">
        <v>9</v>
      </c>
      <c r="C403" s="3">
        <v>95</v>
      </c>
      <c r="D403" s="3">
        <v>5</v>
      </c>
      <c r="E403" s="3">
        <v>-246.484</v>
      </c>
      <c r="F403" s="4" t="str">
        <f>HYPERLINK("http://141.218.60.56/~jnz1568/getInfo.php?workbook=14_09.xlsx&amp;sheet=A0&amp;row=403&amp;col=6&amp;number=94700&amp;sourceID=14","94700")</f>
        <v>94700</v>
      </c>
      <c r="G403" s="4" t="str">
        <f>HYPERLINK("http://141.218.60.56/~jnz1568/getInfo.php?workbook=14_09.xlsx&amp;sheet=A0&amp;row=403&amp;col=7&amp;number=0&amp;sourceID=14","0")</f>
        <v>0</v>
      </c>
    </row>
    <row r="404" spans="1:7">
      <c r="A404" s="3">
        <v>14</v>
      </c>
      <c r="B404" s="3">
        <v>9</v>
      </c>
      <c r="C404" s="3">
        <v>106</v>
      </c>
      <c r="D404" s="3">
        <v>5</v>
      </c>
      <c r="E404" s="3">
        <v>-242.824</v>
      </c>
      <c r="F404" s="4" t="str">
        <f>HYPERLINK("http://141.218.60.56/~jnz1568/getInfo.php?workbook=14_09.xlsx&amp;sheet=A0&amp;row=404&amp;col=6&amp;number=2640000&amp;sourceID=14","2640000")</f>
        <v>2640000</v>
      </c>
      <c r="G404" s="4" t="str">
        <f>HYPERLINK("http://141.218.60.56/~jnz1568/getInfo.php?workbook=14_09.xlsx&amp;sheet=A0&amp;row=404&amp;col=7&amp;number=0&amp;sourceID=14","0")</f>
        <v>0</v>
      </c>
    </row>
    <row r="405" spans="1:7">
      <c r="A405" s="3">
        <v>14</v>
      </c>
      <c r="B405" s="3">
        <v>9</v>
      </c>
      <c r="C405" s="3">
        <v>108</v>
      </c>
      <c r="D405" s="3">
        <v>5</v>
      </c>
      <c r="E405" s="3">
        <v>-242.581</v>
      </c>
      <c r="F405" s="4" t="str">
        <f>HYPERLINK("http://141.218.60.56/~jnz1568/getInfo.php?workbook=14_09.xlsx&amp;sheet=A0&amp;row=405&amp;col=6&amp;number=3620000&amp;sourceID=14","3620000")</f>
        <v>3620000</v>
      </c>
      <c r="G405" s="4" t="str">
        <f>HYPERLINK("http://141.218.60.56/~jnz1568/getInfo.php?workbook=14_09.xlsx&amp;sheet=A0&amp;row=405&amp;col=7&amp;number=0&amp;sourceID=14","0")</f>
        <v>0</v>
      </c>
    </row>
    <row r="406" spans="1:7">
      <c r="A406" s="3">
        <v>14</v>
      </c>
      <c r="B406" s="3">
        <v>9</v>
      </c>
      <c r="C406" s="3">
        <v>109</v>
      </c>
      <c r="D406" s="3">
        <v>5</v>
      </c>
      <c r="E406" s="3">
        <v>-242.422</v>
      </c>
      <c r="F406" s="4" t="str">
        <f>HYPERLINK("http://141.218.60.56/~jnz1568/getInfo.php?workbook=14_09.xlsx&amp;sheet=A0&amp;row=406&amp;col=6&amp;number=3140000&amp;sourceID=14","3140000")</f>
        <v>3140000</v>
      </c>
      <c r="G406" s="4" t="str">
        <f>HYPERLINK("http://141.218.60.56/~jnz1568/getInfo.php?workbook=14_09.xlsx&amp;sheet=A0&amp;row=406&amp;col=7&amp;number=0&amp;sourceID=14","0")</f>
        <v>0</v>
      </c>
    </row>
    <row r="407" spans="1:7">
      <c r="A407" s="3">
        <v>14</v>
      </c>
      <c r="B407" s="3">
        <v>9</v>
      </c>
      <c r="C407" s="3">
        <v>112</v>
      </c>
      <c r="D407" s="3">
        <v>5</v>
      </c>
      <c r="E407" s="3">
        <v>-242.021</v>
      </c>
      <c r="F407" s="4" t="str">
        <f>HYPERLINK("http://141.218.60.56/~jnz1568/getInfo.php?workbook=14_09.xlsx&amp;sheet=A0&amp;row=407&amp;col=6&amp;number=4150000&amp;sourceID=14","4150000")</f>
        <v>4150000</v>
      </c>
      <c r="G407" s="4" t="str">
        <f>HYPERLINK("http://141.218.60.56/~jnz1568/getInfo.php?workbook=14_09.xlsx&amp;sheet=A0&amp;row=407&amp;col=7&amp;number=0&amp;sourceID=14","0")</f>
        <v>0</v>
      </c>
    </row>
    <row r="408" spans="1:7">
      <c r="A408" s="3">
        <v>14</v>
      </c>
      <c r="B408" s="3">
        <v>9</v>
      </c>
      <c r="C408" s="3">
        <v>115</v>
      </c>
      <c r="D408" s="3">
        <v>5</v>
      </c>
      <c r="E408" s="3">
        <v>-241.933</v>
      </c>
      <c r="F408" s="4" t="str">
        <f>HYPERLINK("http://141.218.60.56/~jnz1568/getInfo.php?workbook=14_09.xlsx&amp;sheet=A0&amp;row=408&amp;col=6&amp;number=1230000&amp;sourceID=14","1230000")</f>
        <v>1230000</v>
      </c>
      <c r="G408" s="4" t="str">
        <f>HYPERLINK("http://141.218.60.56/~jnz1568/getInfo.php?workbook=14_09.xlsx&amp;sheet=A0&amp;row=408&amp;col=7&amp;number=0&amp;sourceID=14","0")</f>
        <v>0</v>
      </c>
    </row>
    <row r="409" spans="1:7">
      <c r="A409" s="3">
        <v>14</v>
      </c>
      <c r="B409" s="3">
        <v>9</v>
      </c>
      <c r="C409" s="3">
        <v>116</v>
      </c>
      <c r="D409" s="3">
        <v>5</v>
      </c>
      <c r="E409" s="3">
        <v>-241.917</v>
      </c>
      <c r="F409" s="4" t="str">
        <f>HYPERLINK("http://141.218.60.56/~jnz1568/getInfo.php?workbook=14_09.xlsx&amp;sheet=A0&amp;row=409&amp;col=6&amp;number=5700000&amp;sourceID=14","5700000")</f>
        <v>5700000</v>
      </c>
      <c r="G409" s="4" t="str">
        <f>HYPERLINK("http://141.218.60.56/~jnz1568/getInfo.php?workbook=14_09.xlsx&amp;sheet=A0&amp;row=409&amp;col=7&amp;number=0&amp;sourceID=14","0")</f>
        <v>0</v>
      </c>
    </row>
    <row r="410" spans="1:7">
      <c r="A410" s="3">
        <v>14</v>
      </c>
      <c r="B410" s="3">
        <v>9</v>
      </c>
      <c r="C410" s="3">
        <v>117</v>
      </c>
      <c r="D410" s="3">
        <v>5</v>
      </c>
      <c r="E410" s="3">
        <v>-240.346</v>
      </c>
      <c r="F410" s="4" t="str">
        <f>HYPERLINK("http://141.218.60.56/~jnz1568/getInfo.php?workbook=14_09.xlsx&amp;sheet=A0&amp;row=410&amp;col=6&amp;number=4120000&amp;sourceID=14","4120000")</f>
        <v>4120000</v>
      </c>
      <c r="G410" s="4" t="str">
        <f>HYPERLINK("http://141.218.60.56/~jnz1568/getInfo.php?workbook=14_09.xlsx&amp;sheet=A0&amp;row=410&amp;col=7&amp;number=0&amp;sourceID=14","0")</f>
        <v>0</v>
      </c>
    </row>
    <row r="411" spans="1:7">
      <c r="A411" s="3">
        <v>14</v>
      </c>
      <c r="B411" s="3">
        <v>9</v>
      </c>
      <c r="C411" s="3">
        <v>118</v>
      </c>
      <c r="D411" s="3">
        <v>5</v>
      </c>
      <c r="E411" s="3">
        <v>-240.303</v>
      </c>
      <c r="F411" s="4" t="str">
        <f>HYPERLINK("http://141.218.60.56/~jnz1568/getInfo.php?workbook=14_09.xlsx&amp;sheet=A0&amp;row=411&amp;col=6&amp;number=7940000&amp;sourceID=14","7940000")</f>
        <v>7940000</v>
      </c>
      <c r="G411" s="4" t="str">
        <f>HYPERLINK("http://141.218.60.56/~jnz1568/getInfo.php?workbook=14_09.xlsx&amp;sheet=A0&amp;row=411&amp;col=7&amp;number=0&amp;sourceID=14","0")</f>
        <v>0</v>
      </c>
    </row>
    <row r="412" spans="1:7">
      <c r="A412" s="3">
        <v>14</v>
      </c>
      <c r="B412" s="3">
        <v>9</v>
      </c>
      <c r="C412" s="3">
        <v>122</v>
      </c>
      <c r="D412" s="3">
        <v>5</v>
      </c>
      <c r="E412" s="3">
        <v>-239.723</v>
      </c>
      <c r="F412" s="4" t="str">
        <f>HYPERLINK("http://141.218.60.56/~jnz1568/getInfo.php?workbook=14_09.xlsx&amp;sheet=A0&amp;row=412&amp;col=6&amp;number=2400000&amp;sourceID=14","2400000")</f>
        <v>2400000</v>
      </c>
      <c r="G412" s="4" t="str">
        <f>HYPERLINK("http://141.218.60.56/~jnz1568/getInfo.php?workbook=14_09.xlsx&amp;sheet=A0&amp;row=412&amp;col=7&amp;number=0&amp;sourceID=14","0")</f>
        <v>0</v>
      </c>
    </row>
    <row r="413" spans="1:7">
      <c r="A413" s="3">
        <v>14</v>
      </c>
      <c r="B413" s="3">
        <v>9</v>
      </c>
      <c r="C413" s="3">
        <v>124</v>
      </c>
      <c r="D413" s="3">
        <v>5</v>
      </c>
      <c r="E413" s="3">
        <v>-239.077</v>
      </c>
      <c r="F413" s="4" t="str">
        <f>HYPERLINK("http://141.218.60.56/~jnz1568/getInfo.php?workbook=14_09.xlsx&amp;sheet=A0&amp;row=413&amp;col=6&amp;number=1300000&amp;sourceID=14","1300000")</f>
        <v>1300000</v>
      </c>
      <c r="G413" s="4" t="str">
        <f>HYPERLINK("http://141.218.60.56/~jnz1568/getInfo.php?workbook=14_09.xlsx&amp;sheet=A0&amp;row=413&amp;col=7&amp;number=0&amp;sourceID=14","0")</f>
        <v>0</v>
      </c>
    </row>
    <row r="414" spans="1:7">
      <c r="A414" s="3">
        <v>14</v>
      </c>
      <c r="B414" s="3">
        <v>9</v>
      </c>
      <c r="C414" s="3">
        <v>125</v>
      </c>
      <c r="D414" s="3">
        <v>5</v>
      </c>
      <c r="E414" s="3">
        <v>-235.424</v>
      </c>
      <c r="F414" s="4" t="str">
        <f>HYPERLINK("http://141.218.60.56/~jnz1568/getInfo.php?workbook=14_09.xlsx&amp;sheet=A0&amp;row=414&amp;col=6&amp;number=24700000&amp;sourceID=14","24700000")</f>
        <v>24700000</v>
      </c>
      <c r="G414" s="4" t="str">
        <f>HYPERLINK("http://141.218.60.56/~jnz1568/getInfo.php?workbook=14_09.xlsx&amp;sheet=A0&amp;row=414&amp;col=7&amp;number=0&amp;sourceID=14","0")</f>
        <v>0</v>
      </c>
    </row>
    <row r="415" spans="1:7">
      <c r="A415" s="3">
        <v>14</v>
      </c>
      <c r="B415" s="3">
        <v>9</v>
      </c>
      <c r="C415" s="3">
        <v>126</v>
      </c>
      <c r="D415" s="3">
        <v>5</v>
      </c>
      <c r="E415" s="3">
        <v>-234.289</v>
      </c>
      <c r="F415" s="4" t="str">
        <f>HYPERLINK("http://141.218.60.56/~jnz1568/getInfo.php?workbook=14_09.xlsx&amp;sheet=A0&amp;row=415&amp;col=6&amp;number=6910000&amp;sourceID=14","6910000")</f>
        <v>6910000</v>
      </c>
      <c r="G415" s="4" t="str">
        <f>HYPERLINK("http://141.218.60.56/~jnz1568/getInfo.php?workbook=14_09.xlsx&amp;sheet=A0&amp;row=415&amp;col=7&amp;number=0&amp;sourceID=14","0")</f>
        <v>0</v>
      </c>
    </row>
    <row r="416" spans="1:7">
      <c r="A416" s="3">
        <v>14</v>
      </c>
      <c r="B416" s="3">
        <v>9</v>
      </c>
      <c r="C416" s="3">
        <v>159</v>
      </c>
      <c r="D416" s="3">
        <v>5</v>
      </c>
      <c r="E416" s="3">
        <v>-207.747</v>
      </c>
      <c r="F416" s="4" t="str">
        <f>HYPERLINK("http://141.218.60.56/~jnz1568/getInfo.php?workbook=14_09.xlsx&amp;sheet=A0&amp;row=416&amp;col=6&amp;number=360000&amp;sourceID=14","360000")</f>
        <v>360000</v>
      </c>
      <c r="G416" s="4" t="str">
        <f>HYPERLINK("http://141.218.60.56/~jnz1568/getInfo.php?workbook=14_09.xlsx&amp;sheet=A0&amp;row=416&amp;col=7&amp;number=0&amp;sourceID=14","0")</f>
        <v>0</v>
      </c>
    </row>
    <row r="417" spans="1:7">
      <c r="A417" s="3">
        <v>14</v>
      </c>
      <c r="B417" s="3">
        <v>9</v>
      </c>
      <c r="C417" s="3">
        <v>166</v>
      </c>
      <c r="D417" s="3">
        <v>5</v>
      </c>
      <c r="E417" s="3">
        <v>-185.652</v>
      </c>
      <c r="F417" s="4" t="str">
        <f>HYPERLINK("http://141.218.60.56/~jnz1568/getInfo.php?workbook=14_09.xlsx&amp;sheet=A0&amp;row=417&amp;col=6&amp;number=12400000&amp;sourceID=14","12400000")</f>
        <v>12400000</v>
      </c>
      <c r="G417" s="4" t="str">
        <f>HYPERLINK("http://141.218.60.56/~jnz1568/getInfo.php?workbook=14_09.xlsx&amp;sheet=A0&amp;row=417&amp;col=7&amp;number=0&amp;sourceID=14","0")</f>
        <v>0</v>
      </c>
    </row>
    <row r="418" spans="1:7">
      <c r="A418" s="3">
        <v>14</v>
      </c>
      <c r="B418" s="3">
        <v>9</v>
      </c>
      <c r="C418" s="3">
        <v>167</v>
      </c>
      <c r="D418" s="3">
        <v>5</v>
      </c>
      <c r="E418" s="3">
        <v>-185.603</v>
      </c>
      <c r="F418" s="4" t="str">
        <f>HYPERLINK("http://141.218.60.56/~jnz1568/getInfo.php?workbook=14_09.xlsx&amp;sheet=A0&amp;row=418&amp;col=6&amp;number=32100000&amp;sourceID=14","32100000")</f>
        <v>32100000</v>
      </c>
      <c r="G418" s="4" t="str">
        <f>HYPERLINK("http://141.218.60.56/~jnz1568/getInfo.php?workbook=14_09.xlsx&amp;sheet=A0&amp;row=418&amp;col=7&amp;number=0&amp;sourceID=14","0")</f>
        <v>0</v>
      </c>
    </row>
    <row r="419" spans="1:7">
      <c r="A419" s="3">
        <v>14</v>
      </c>
      <c r="B419" s="3">
        <v>9</v>
      </c>
      <c r="C419" s="3">
        <v>168</v>
      </c>
      <c r="D419" s="3">
        <v>5</v>
      </c>
      <c r="E419" s="3">
        <v>-178.312</v>
      </c>
      <c r="F419" s="4" t="str">
        <f>HYPERLINK("http://141.218.60.56/~jnz1568/getInfo.php?workbook=14_09.xlsx&amp;sheet=A0&amp;row=419&amp;col=6&amp;number=46200000&amp;sourceID=14","46200000")</f>
        <v>46200000</v>
      </c>
      <c r="G419" s="4" t="str">
        <f>HYPERLINK("http://141.218.60.56/~jnz1568/getInfo.php?workbook=14_09.xlsx&amp;sheet=A0&amp;row=419&amp;col=7&amp;number=0&amp;sourceID=14","0")</f>
        <v>0</v>
      </c>
    </row>
    <row r="420" spans="1:7">
      <c r="A420" s="3">
        <v>14</v>
      </c>
      <c r="B420" s="3">
        <v>9</v>
      </c>
      <c r="C420" s="3">
        <v>169</v>
      </c>
      <c r="D420" s="3">
        <v>5</v>
      </c>
      <c r="E420" s="3">
        <v>-178.05</v>
      </c>
      <c r="F420" s="4" t="str">
        <f>HYPERLINK("http://141.218.60.56/~jnz1568/getInfo.php?workbook=14_09.xlsx&amp;sheet=A0&amp;row=420&amp;col=6&amp;number=12000000&amp;sourceID=14","12000000")</f>
        <v>12000000</v>
      </c>
      <c r="G420" s="4" t="str">
        <f>HYPERLINK("http://141.218.60.56/~jnz1568/getInfo.php?workbook=14_09.xlsx&amp;sheet=A0&amp;row=420&amp;col=7&amp;number=0&amp;sourceID=14","0")</f>
        <v>0</v>
      </c>
    </row>
    <row r="421" spans="1:7">
      <c r="A421" s="3">
        <v>14</v>
      </c>
      <c r="B421" s="3">
        <v>9</v>
      </c>
      <c r="C421" s="3">
        <v>170</v>
      </c>
      <c r="D421" s="3">
        <v>5</v>
      </c>
      <c r="E421" s="3">
        <v>-177.58</v>
      </c>
      <c r="F421" s="4" t="str">
        <f>HYPERLINK("http://141.218.60.56/~jnz1568/getInfo.php?workbook=14_09.xlsx&amp;sheet=A0&amp;row=421&amp;col=6&amp;number=6800000&amp;sourceID=14","6800000")</f>
        <v>6800000</v>
      </c>
      <c r="G421" s="4" t="str">
        <f>HYPERLINK("http://141.218.60.56/~jnz1568/getInfo.php?workbook=14_09.xlsx&amp;sheet=A0&amp;row=421&amp;col=7&amp;number=0&amp;sourceID=14","0")</f>
        <v>0</v>
      </c>
    </row>
    <row r="422" spans="1:7">
      <c r="A422" s="3">
        <v>14</v>
      </c>
      <c r="B422" s="3">
        <v>9</v>
      </c>
      <c r="C422" s="3">
        <v>173</v>
      </c>
      <c r="D422" s="3">
        <v>5</v>
      </c>
      <c r="E422" s="3">
        <v>-175.973</v>
      </c>
      <c r="F422" s="4" t="str">
        <f>HYPERLINK("http://141.218.60.56/~jnz1568/getInfo.php?workbook=14_09.xlsx&amp;sheet=A0&amp;row=422&amp;col=6&amp;number=2930000&amp;sourceID=14","2930000")</f>
        <v>2930000</v>
      </c>
      <c r="G422" s="4" t="str">
        <f>HYPERLINK("http://141.218.60.56/~jnz1568/getInfo.php?workbook=14_09.xlsx&amp;sheet=A0&amp;row=422&amp;col=7&amp;number=0&amp;sourceID=14","0")</f>
        <v>0</v>
      </c>
    </row>
    <row r="423" spans="1:7">
      <c r="A423" s="3">
        <v>14</v>
      </c>
      <c r="B423" s="3">
        <v>9</v>
      </c>
      <c r="C423" s="3">
        <v>174</v>
      </c>
      <c r="D423" s="3">
        <v>5</v>
      </c>
      <c r="E423" s="3">
        <v>-175.607</v>
      </c>
      <c r="F423" s="4" t="str">
        <f>HYPERLINK("http://141.218.60.56/~jnz1568/getInfo.php?workbook=14_09.xlsx&amp;sheet=A0&amp;row=423&amp;col=6&amp;number=1080000&amp;sourceID=14","1080000")</f>
        <v>1080000</v>
      </c>
      <c r="G423" s="4" t="str">
        <f>HYPERLINK("http://141.218.60.56/~jnz1568/getInfo.php?workbook=14_09.xlsx&amp;sheet=A0&amp;row=423&amp;col=7&amp;number=0&amp;sourceID=14","0")</f>
        <v>0</v>
      </c>
    </row>
    <row r="424" spans="1:7">
      <c r="A424" s="3">
        <v>14</v>
      </c>
      <c r="B424" s="3">
        <v>9</v>
      </c>
      <c r="C424" s="3">
        <v>176</v>
      </c>
      <c r="D424" s="3">
        <v>5</v>
      </c>
      <c r="E424" s="3">
        <v>-173.344</v>
      </c>
      <c r="F424" s="4" t="str">
        <f>HYPERLINK("http://141.218.60.56/~jnz1568/getInfo.php?workbook=14_09.xlsx&amp;sheet=A0&amp;row=424&amp;col=6&amp;number=84200000&amp;sourceID=14","84200000")</f>
        <v>84200000</v>
      </c>
      <c r="G424" s="4" t="str">
        <f>HYPERLINK("http://141.218.60.56/~jnz1568/getInfo.php?workbook=14_09.xlsx&amp;sheet=A0&amp;row=424&amp;col=7&amp;number=0&amp;sourceID=14","0")</f>
        <v>0</v>
      </c>
    </row>
    <row r="425" spans="1:7">
      <c r="A425" s="3">
        <v>14</v>
      </c>
      <c r="B425" s="3">
        <v>9</v>
      </c>
      <c r="C425" s="3">
        <v>178</v>
      </c>
      <c r="D425" s="3">
        <v>5</v>
      </c>
      <c r="E425" s="3">
        <v>-173.242</v>
      </c>
      <c r="F425" s="4" t="str">
        <f>HYPERLINK("http://141.218.60.56/~jnz1568/getInfo.php?workbook=14_09.xlsx&amp;sheet=A0&amp;row=425&amp;col=6&amp;number=16000000&amp;sourceID=14","16000000")</f>
        <v>16000000</v>
      </c>
      <c r="G425" s="4" t="str">
        <f>HYPERLINK("http://141.218.60.56/~jnz1568/getInfo.php?workbook=14_09.xlsx&amp;sheet=A0&amp;row=425&amp;col=7&amp;number=0&amp;sourceID=14","0")</f>
        <v>0</v>
      </c>
    </row>
    <row r="426" spans="1:7">
      <c r="A426" s="3">
        <v>14</v>
      </c>
      <c r="B426" s="3">
        <v>9</v>
      </c>
      <c r="C426" s="3">
        <v>179</v>
      </c>
      <c r="D426" s="3">
        <v>5</v>
      </c>
      <c r="E426" s="3">
        <v>-173.232</v>
      </c>
      <c r="F426" s="4" t="str">
        <f>HYPERLINK("http://141.218.60.56/~jnz1568/getInfo.php?workbook=14_09.xlsx&amp;sheet=A0&amp;row=426&amp;col=6&amp;number=56300000&amp;sourceID=14","56300000")</f>
        <v>56300000</v>
      </c>
      <c r="G426" s="4" t="str">
        <f>HYPERLINK("http://141.218.60.56/~jnz1568/getInfo.php?workbook=14_09.xlsx&amp;sheet=A0&amp;row=426&amp;col=7&amp;number=0&amp;sourceID=14","0")</f>
        <v>0</v>
      </c>
    </row>
    <row r="427" spans="1:7">
      <c r="A427" s="3">
        <v>14</v>
      </c>
      <c r="B427" s="3">
        <v>9</v>
      </c>
      <c r="C427" s="3">
        <v>180</v>
      </c>
      <c r="D427" s="3">
        <v>5</v>
      </c>
      <c r="E427" s="3">
        <v>-172.899</v>
      </c>
      <c r="F427" s="4" t="str">
        <f>HYPERLINK("http://141.218.60.56/~jnz1568/getInfo.php?workbook=14_09.xlsx&amp;sheet=A0&amp;row=427&amp;col=6&amp;number=4420000&amp;sourceID=14","4420000")</f>
        <v>4420000</v>
      </c>
      <c r="G427" s="4" t="str">
        <f>HYPERLINK("http://141.218.60.56/~jnz1568/getInfo.php?workbook=14_09.xlsx&amp;sheet=A0&amp;row=427&amp;col=7&amp;number=0&amp;sourceID=14","0")</f>
        <v>0</v>
      </c>
    </row>
    <row r="428" spans="1:7">
      <c r="A428" s="3">
        <v>14</v>
      </c>
      <c r="B428" s="3">
        <v>9</v>
      </c>
      <c r="C428" s="3">
        <v>181</v>
      </c>
      <c r="D428" s="3">
        <v>5</v>
      </c>
      <c r="E428" s="3">
        <v>-171.62</v>
      </c>
      <c r="F428" s="4" t="str">
        <f>HYPERLINK("http://141.218.60.56/~jnz1568/getInfo.php?workbook=14_09.xlsx&amp;sheet=A0&amp;row=428&amp;col=6&amp;number=1370000&amp;sourceID=14","1370000")</f>
        <v>1370000</v>
      </c>
      <c r="G428" s="4" t="str">
        <f>HYPERLINK("http://141.218.60.56/~jnz1568/getInfo.php?workbook=14_09.xlsx&amp;sheet=A0&amp;row=428&amp;col=7&amp;number=0&amp;sourceID=14","0")</f>
        <v>0</v>
      </c>
    </row>
    <row r="429" spans="1:7">
      <c r="A429" s="3">
        <v>14</v>
      </c>
      <c r="B429" s="3">
        <v>9</v>
      </c>
      <c r="C429" s="3">
        <v>182</v>
      </c>
      <c r="D429" s="3">
        <v>5</v>
      </c>
      <c r="E429" s="3">
        <v>-171.591</v>
      </c>
      <c r="F429" s="4" t="str">
        <f>HYPERLINK("http://141.218.60.56/~jnz1568/getInfo.php?workbook=14_09.xlsx&amp;sheet=A0&amp;row=429&amp;col=6&amp;number=425000&amp;sourceID=14","425000")</f>
        <v>425000</v>
      </c>
      <c r="G429" s="4" t="str">
        <f>HYPERLINK("http://141.218.60.56/~jnz1568/getInfo.php?workbook=14_09.xlsx&amp;sheet=A0&amp;row=429&amp;col=7&amp;number=0&amp;sourceID=14","0")</f>
        <v>0</v>
      </c>
    </row>
    <row r="430" spans="1:7">
      <c r="A430" s="3">
        <v>14</v>
      </c>
      <c r="B430" s="3">
        <v>9</v>
      </c>
      <c r="C430" s="3">
        <v>12</v>
      </c>
      <c r="D430" s="3">
        <v>6</v>
      </c>
      <c r="E430" s="3">
        <v>1344.579</v>
      </c>
      <c r="F430" s="4" t="str">
        <f>HYPERLINK("http://141.218.60.56/~jnz1568/getInfo.php?workbook=14_09.xlsx&amp;sheet=A0&amp;row=430&amp;col=6&amp;number=169000000&amp;sourceID=14","169000000")</f>
        <v>169000000</v>
      </c>
      <c r="G430" s="4" t="str">
        <f>HYPERLINK("http://141.218.60.56/~jnz1568/getInfo.php?workbook=14_09.xlsx&amp;sheet=A0&amp;row=430&amp;col=7&amp;number=0&amp;sourceID=14","0")</f>
        <v>0</v>
      </c>
    </row>
    <row r="431" spans="1:7">
      <c r="A431" s="3">
        <v>14</v>
      </c>
      <c r="B431" s="3">
        <v>9</v>
      </c>
      <c r="C431" s="3">
        <v>13</v>
      </c>
      <c r="D431" s="3">
        <v>6</v>
      </c>
      <c r="E431" s="3">
        <v>1322.056</v>
      </c>
      <c r="F431" s="4" t="str">
        <f>HYPERLINK("http://141.218.60.56/~jnz1568/getInfo.php?workbook=14_09.xlsx&amp;sheet=A0&amp;row=431&amp;col=6&amp;number=77400000&amp;sourceID=14","77400000")</f>
        <v>77400000</v>
      </c>
      <c r="G431" s="4" t="str">
        <f>HYPERLINK("http://141.218.60.56/~jnz1568/getInfo.php?workbook=14_09.xlsx&amp;sheet=A0&amp;row=431&amp;col=7&amp;number=0&amp;sourceID=14","0")</f>
        <v>0</v>
      </c>
    </row>
    <row r="432" spans="1:7">
      <c r="A432" s="3">
        <v>14</v>
      </c>
      <c r="B432" s="3">
        <v>9</v>
      </c>
      <c r="C432" s="3">
        <v>16</v>
      </c>
      <c r="D432" s="3">
        <v>6</v>
      </c>
      <c r="E432" s="3">
        <v>1152.97</v>
      </c>
      <c r="F432" s="4" t="str">
        <f>HYPERLINK("http://141.218.60.56/~jnz1568/getInfo.php?workbook=14_09.xlsx&amp;sheet=A0&amp;row=432&amp;col=6&amp;number=510000000&amp;sourceID=14","510000000")</f>
        <v>510000000</v>
      </c>
      <c r="G432" s="4" t="str">
        <f>HYPERLINK("http://141.218.60.56/~jnz1568/getInfo.php?workbook=14_09.xlsx&amp;sheet=A0&amp;row=432&amp;col=7&amp;number=0&amp;sourceID=14","0")</f>
        <v>0</v>
      </c>
    </row>
    <row r="433" spans="1:7">
      <c r="A433" s="3">
        <v>14</v>
      </c>
      <c r="B433" s="3">
        <v>9</v>
      </c>
      <c r="C433" s="3">
        <v>17</v>
      </c>
      <c r="D433" s="3">
        <v>6</v>
      </c>
      <c r="E433" s="3">
        <v>1142.432</v>
      </c>
      <c r="F433" s="4" t="str">
        <f>HYPERLINK("http://141.218.60.56/~jnz1568/getInfo.php?workbook=14_09.xlsx&amp;sheet=A0&amp;row=433&amp;col=6&amp;number=931000000&amp;sourceID=14","931000000")</f>
        <v>931000000</v>
      </c>
      <c r="G433" s="4" t="str">
        <f>HYPERLINK("http://141.218.60.56/~jnz1568/getInfo.php?workbook=14_09.xlsx&amp;sheet=A0&amp;row=433&amp;col=7&amp;number=0&amp;sourceID=14","0")</f>
        <v>0</v>
      </c>
    </row>
    <row r="434" spans="1:7">
      <c r="A434" s="3">
        <v>14</v>
      </c>
      <c r="B434" s="3">
        <v>9</v>
      </c>
      <c r="C434" s="3">
        <v>19</v>
      </c>
      <c r="D434" s="3">
        <v>6</v>
      </c>
      <c r="E434" s="3">
        <v>1063.115</v>
      </c>
      <c r="F434" s="4" t="str">
        <f>HYPERLINK("http://141.218.60.56/~jnz1568/getInfo.php?workbook=14_09.xlsx&amp;sheet=A0&amp;row=434&amp;col=6&amp;number=2590000&amp;sourceID=14","2590000")</f>
        <v>2590000</v>
      </c>
      <c r="G434" s="4" t="str">
        <f>HYPERLINK("http://141.218.60.56/~jnz1568/getInfo.php?workbook=14_09.xlsx&amp;sheet=A0&amp;row=434&amp;col=7&amp;number=0&amp;sourceID=14","0")</f>
        <v>0</v>
      </c>
    </row>
    <row r="435" spans="1:7">
      <c r="A435" s="3">
        <v>14</v>
      </c>
      <c r="B435" s="3">
        <v>9</v>
      </c>
      <c r="C435" s="3">
        <v>20</v>
      </c>
      <c r="D435" s="3">
        <v>6</v>
      </c>
      <c r="E435" s="3">
        <v>-1044.879</v>
      </c>
      <c r="F435" s="4" t="str">
        <f>HYPERLINK("http://141.218.60.56/~jnz1568/getInfo.php?workbook=14_09.xlsx&amp;sheet=A0&amp;row=435&amp;col=6&amp;number=45700&amp;sourceID=14","45700")</f>
        <v>45700</v>
      </c>
      <c r="G435" s="4" t="str">
        <f>HYPERLINK("http://141.218.60.56/~jnz1568/getInfo.php?workbook=14_09.xlsx&amp;sheet=A0&amp;row=435&amp;col=7&amp;number=0&amp;sourceID=14","0")</f>
        <v>0</v>
      </c>
    </row>
    <row r="436" spans="1:7">
      <c r="A436" s="3">
        <v>14</v>
      </c>
      <c r="B436" s="3">
        <v>9</v>
      </c>
      <c r="C436" s="3">
        <v>21</v>
      </c>
      <c r="D436" s="3">
        <v>6</v>
      </c>
      <c r="E436" s="3">
        <v>1017.461</v>
      </c>
      <c r="F436" s="4" t="str">
        <f>HYPERLINK("http://141.218.60.56/~jnz1568/getInfo.php?workbook=14_09.xlsx&amp;sheet=A0&amp;row=436&amp;col=6&amp;number=306000000&amp;sourceID=14","306000000")</f>
        <v>306000000</v>
      </c>
      <c r="G436" s="4" t="str">
        <f>HYPERLINK("http://141.218.60.56/~jnz1568/getInfo.php?workbook=14_09.xlsx&amp;sheet=A0&amp;row=436&amp;col=7&amp;number=0&amp;sourceID=14","0")</f>
        <v>0</v>
      </c>
    </row>
    <row r="437" spans="1:7">
      <c r="A437" s="3">
        <v>14</v>
      </c>
      <c r="B437" s="3">
        <v>9</v>
      </c>
      <c r="C437" s="3">
        <v>22</v>
      </c>
      <c r="D437" s="3">
        <v>6</v>
      </c>
      <c r="E437" s="3">
        <v>1009.614</v>
      </c>
      <c r="F437" s="4" t="str">
        <f>HYPERLINK("http://141.218.60.56/~jnz1568/getInfo.php?workbook=14_09.xlsx&amp;sheet=A0&amp;row=437&amp;col=6&amp;number=34800000&amp;sourceID=14","34800000")</f>
        <v>34800000</v>
      </c>
      <c r="G437" s="4" t="str">
        <f>HYPERLINK("http://141.218.60.56/~jnz1568/getInfo.php?workbook=14_09.xlsx&amp;sheet=A0&amp;row=437&amp;col=7&amp;number=0&amp;sourceID=14","0")</f>
        <v>0</v>
      </c>
    </row>
    <row r="438" spans="1:7">
      <c r="A438" s="3">
        <v>14</v>
      </c>
      <c r="B438" s="3">
        <v>9</v>
      </c>
      <c r="C438" s="3">
        <v>23</v>
      </c>
      <c r="D438" s="3">
        <v>6</v>
      </c>
      <c r="E438" s="3">
        <v>-998.365</v>
      </c>
      <c r="F438" s="4" t="str">
        <f>HYPERLINK("http://141.218.60.56/~jnz1568/getInfo.php?workbook=14_09.xlsx&amp;sheet=A0&amp;row=438&amp;col=6&amp;number=1870000&amp;sourceID=14","1870000")</f>
        <v>1870000</v>
      </c>
      <c r="G438" s="4" t="str">
        <f>HYPERLINK("http://141.218.60.56/~jnz1568/getInfo.php?workbook=14_09.xlsx&amp;sheet=A0&amp;row=438&amp;col=7&amp;number=0&amp;sourceID=14","0")</f>
        <v>0</v>
      </c>
    </row>
    <row r="439" spans="1:7">
      <c r="A439" s="3">
        <v>14</v>
      </c>
      <c r="B439" s="3">
        <v>9</v>
      </c>
      <c r="C439" s="3">
        <v>29</v>
      </c>
      <c r="D439" s="3">
        <v>6</v>
      </c>
      <c r="E439" s="3">
        <v>656.092</v>
      </c>
      <c r="F439" s="4" t="str">
        <f>HYPERLINK("http://141.218.60.56/~jnz1568/getInfo.php?workbook=14_09.xlsx&amp;sheet=A0&amp;row=439&amp;col=6&amp;number=225000&amp;sourceID=14","225000")</f>
        <v>225000</v>
      </c>
      <c r="G439" s="4" t="str">
        <f>HYPERLINK("http://141.218.60.56/~jnz1568/getInfo.php?workbook=14_09.xlsx&amp;sheet=A0&amp;row=439&amp;col=7&amp;number=0&amp;sourceID=14","0")</f>
        <v>0</v>
      </c>
    </row>
    <row r="440" spans="1:7">
      <c r="A440" s="3">
        <v>14</v>
      </c>
      <c r="B440" s="3">
        <v>9</v>
      </c>
      <c r="C440" s="3">
        <v>30</v>
      </c>
      <c r="D440" s="3">
        <v>6</v>
      </c>
      <c r="E440" s="3">
        <v>646.012</v>
      </c>
      <c r="F440" s="4" t="str">
        <f>HYPERLINK("http://141.218.60.56/~jnz1568/getInfo.php?workbook=14_09.xlsx&amp;sheet=A0&amp;row=440&amp;col=6&amp;number=5690000&amp;sourceID=14","5690000")</f>
        <v>5690000</v>
      </c>
      <c r="G440" s="4" t="str">
        <f>HYPERLINK("http://141.218.60.56/~jnz1568/getInfo.php?workbook=14_09.xlsx&amp;sheet=A0&amp;row=440&amp;col=7&amp;number=0&amp;sourceID=14","0")</f>
        <v>0</v>
      </c>
    </row>
    <row r="441" spans="1:7">
      <c r="A441" s="3">
        <v>14</v>
      </c>
      <c r="B441" s="3">
        <v>9</v>
      </c>
      <c r="C441" s="3">
        <v>44</v>
      </c>
      <c r="D441" s="3">
        <v>6</v>
      </c>
      <c r="E441" s="3">
        <v>-484.821</v>
      </c>
      <c r="F441" s="4" t="str">
        <f>HYPERLINK("http://141.218.60.56/~jnz1568/getInfo.php?workbook=14_09.xlsx&amp;sheet=A0&amp;row=441&amp;col=6&amp;number=30300&amp;sourceID=14","30300")</f>
        <v>30300</v>
      </c>
      <c r="G441" s="4" t="str">
        <f>HYPERLINK("http://141.218.60.56/~jnz1568/getInfo.php?workbook=14_09.xlsx&amp;sheet=A0&amp;row=441&amp;col=7&amp;number=0&amp;sourceID=14","0")</f>
        <v>0</v>
      </c>
    </row>
    <row r="442" spans="1:7">
      <c r="A442" s="3">
        <v>14</v>
      </c>
      <c r="B442" s="3">
        <v>9</v>
      </c>
      <c r="C442" s="3">
        <v>45</v>
      </c>
      <c r="D442" s="3">
        <v>6</v>
      </c>
      <c r="E442" s="3">
        <v>-484.035</v>
      </c>
      <c r="F442" s="4" t="str">
        <f>HYPERLINK("http://141.218.60.56/~jnz1568/getInfo.php?workbook=14_09.xlsx&amp;sheet=A0&amp;row=442&amp;col=6&amp;number=1140000&amp;sourceID=14","1140000")</f>
        <v>1140000</v>
      </c>
      <c r="G442" s="4" t="str">
        <f>HYPERLINK("http://141.218.60.56/~jnz1568/getInfo.php?workbook=14_09.xlsx&amp;sheet=A0&amp;row=442&amp;col=7&amp;number=0&amp;sourceID=14","0")</f>
        <v>0</v>
      </c>
    </row>
    <row r="443" spans="1:7">
      <c r="A443" s="3">
        <v>14</v>
      </c>
      <c r="B443" s="3">
        <v>9</v>
      </c>
      <c r="C443" s="3">
        <v>67</v>
      </c>
      <c r="D443" s="3">
        <v>6</v>
      </c>
      <c r="E443" s="3">
        <v>-282.011</v>
      </c>
      <c r="F443" s="4" t="str">
        <f>HYPERLINK("http://141.218.60.56/~jnz1568/getInfo.php?workbook=14_09.xlsx&amp;sheet=A0&amp;row=443&amp;col=6&amp;number=3480000000&amp;sourceID=14","3480000000")</f>
        <v>3480000000</v>
      </c>
      <c r="G443" s="4" t="str">
        <f>HYPERLINK("http://141.218.60.56/~jnz1568/getInfo.php?workbook=14_09.xlsx&amp;sheet=A0&amp;row=443&amp;col=7&amp;number=0&amp;sourceID=14","0")</f>
        <v>0</v>
      </c>
    </row>
    <row r="444" spans="1:7">
      <c r="A444" s="3">
        <v>14</v>
      </c>
      <c r="B444" s="3">
        <v>9</v>
      </c>
      <c r="C444" s="3">
        <v>68</v>
      </c>
      <c r="D444" s="3">
        <v>6</v>
      </c>
      <c r="E444" s="3">
        <v>-280.848</v>
      </c>
      <c r="F444" s="4" t="str">
        <f>HYPERLINK("http://141.218.60.56/~jnz1568/getInfo.php?workbook=14_09.xlsx&amp;sheet=A0&amp;row=444&amp;col=6&amp;number=1470000000&amp;sourceID=14","1470000000")</f>
        <v>1470000000</v>
      </c>
      <c r="G444" s="4" t="str">
        <f>HYPERLINK("http://141.218.60.56/~jnz1568/getInfo.php?workbook=14_09.xlsx&amp;sheet=A0&amp;row=444&amp;col=7&amp;number=0&amp;sourceID=14","0")</f>
        <v>0</v>
      </c>
    </row>
    <row r="445" spans="1:7">
      <c r="A445" s="3">
        <v>14</v>
      </c>
      <c r="B445" s="3">
        <v>9</v>
      </c>
      <c r="C445" s="3">
        <v>71</v>
      </c>
      <c r="D445" s="3">
        <v>6</v>
      </c>
      <c r="E445" s="3">
        <v>-275.033</v>
      </c>
      <c r="F445" s="4" t="str">
        <f>HYPERLINK("http://141.218.60.56/~jnz1568/getInfo.php?workbook=14_09.xlsx&amp;sheet=A0&amp;row=445&amp;col=6&amp;number=1430000000&amp;sourceID=14","1430000000")</f>
        <v>1430000000</v>
      </c>
      <c r="G445" s="4" t="str">
        <f>HYPERLINK("http://141.218.60.56/~jnz1568/getInfo.php?workbook=14_09.xlsx&amp;sheet=A0&amp;row=445&amp;col=7&amp;number=0&amp;sourceID=14","0")</f>
        <v>0</v>
      </c>
    </row>
    <row r="446" spans="1:7">
      <c r="A446" s="3">
        <v>14</v>
      </c>
      <c r="B446" s="3">
        <v>9</v>
      </c>
      <c r="C446" s="3">
        <v>73</v>
      </c>
      <c r="D446" s="3">
        <v>6</v>
      </c>
      <c r="E446" s="3">
        <v>-274.186</v>
      </c>
      <c r="F446" s="4" t="str">
        <f>HYPERLINK("http://141.218.60.56/~jnz1568/getInfo.php?workbook=14_09.xlsx&amp;sheet=A0&amp;row=446&amp;col=6&amp;number=2320000000&amp;sourceID=14","2320000000")</f>
        <v>2320000000</v>
      </c>
      <c r="G446" s="4" t="str">
        <f>HYPERLINK("http://141.218.60.56/~jnz1568/getInfo.php?workbook=14_09.xlsx&amp;sheet=A0&amp;row=446&amp;col=7&amp;number=0&amp;sourceID=14","0")</f>
        <v>0</v>
      </c>
    </row>
    <row r="447" spans="1:7">
      <c r="A447" s="3">
        <v>14</v>
      </c>
      <c r="B447" s="3">
        <v>9</v>
      </c>
      <c r="C447" s="3">
        <v>74</v>
      </c>
      <c r="D447" s="3">
        <v>6</v>
      </c>
      <c r="E447" s="3">
        <v>-273.279</v>
      </c>
      <c r="F447" s="4" t="str">
        <f>HYPERLINK("http://141.218.60.56/~jnz1568/getInfo.php?workbook=14_09.xlsx&amp;sheet=A0&amp;row=447&amp;col=6&amp;number=2880000&amp;sourceID=14","2880000")</f>
        <v>2880000</v>
      </c>
      <c r="G447" s="4" t="str">
        <f>HYPERLINK("http://141.218.60.56/~jnz1568/getInfo.php?workbook=14_09.xlsx&amp;sheet=A0&amp;row=447&amp;col=7&amp;number=0&amp;sourceID=14","0")</f>
        <v>0</v>
      </c>
    </row>
    <row r="448" spans="1:7">
      <c r="A448" s="3">
        <v>14</v>
      </c>
      <c r="B448" s="3">
        <v>9</v>
      </c>
      <c r="C448" s="3">
        <v>75</v>
      </c>
      <c r="D448" s="3">
        <v>6</v>
      </c>
      <c r="E448" s="3">
        <v>-272.864</v>
      </c>
      <c r="F448" s="4" t="str">
        <f>HYPERLINK("http://141.218.60.56/~jnz1568/getInfo.php?workbook=14_09.xlsx&amp;sheet=A0&amp;row=448&amp;col=6&amp;number=1260000000&amp;sourceID=14","1260000000")</f>
        <v>1260000000</v>
      </c>
      <c r="G448" s="4" t="str">
        <f>HYPERLINK("http://141.218.60.56/~jnz1568/getInfo.php?workbook=14_09.xlsx&amp;sheet=A0&amp;row=448&amp;col=7&amp;number=0&amp;sourceID=14","0")</f>
        <v>0</v>
      </c>
    </row>
    <row r="449" spans="1:7">
      <c r="A449" s="3">
        <v>14</v>
      </c>
      <c r="B449" s="3">
        <v>9</v>
      </c>
      <c r="C449" s="3">
        <v>76</v>
      </c>
      <c r="D449" s="3">
        <v>6</v>
      </c>
      <c r="E449" s="3">
        <v>-272.651</v>
      </c>
      <c r="F449" s="4" t="str">
        <f>HYPERLINK("http://141.218.60.56/~jnz1568/getInfo.php?workbook=14_09.xlsx&amp;sheet=A0&amp;row=449&amp;col=6&amp;number=15900000&amp;sourceID=14","15900000")</f>
        <v>15900000</v>
      </c>
      <c r="G449" s="4" t="str">
        <f>HYPERLINK("http://141.218.60.56/~jnz1568/getInfo.php?workbook=14_09.xlsx&amp;sheet=A0&amp;row=449&amp;col=7&amp;number=0&amp;sourceID=14","0")</f>
        <v>0</v>
      </c>
    </row>
    <row r="450" spans="1:7">
      <c r="A450" s="3">
        <v>14</v>
      </c>
      <c r="B450" s="3">
        <v>9</v>
      </c>
      <c r="C450" s="3">
        <v>77</v>
      </c>
      <c r="D450" s="3">
        <v>6</v>
      </c>
      <c r="E450" s="3">
        <v>-267.465</v>
      </c>
      <c r="F450" s="4" t="str">
        <f>HYPERLINK("http://141.218.60.56/~jnz1568/getInfo.php?workbook=14_09.xlsx&amp;sheet=A0&amp;row=450&amp;col=6&amp;number=59700000&amp;sourceID=14","59700000")</f>
        <v>59700000</v>
      </c>
      <c r="G450" s="4" t="str">
        <f>HYPERLINK("http://141.218.60.56/~jnz1568/getInfo.php?workbook=14_09.xlsx&amp;sheet=A0&amp;row=450&amp;col=7&amp;number=0&amp;sourceID=14","0")</f>
        <v>0</v>
      </c>
    </row>
    <row r="451" spans="1:7">
      <c r="A451" s="3">
        <v>14</v>
      </c>
      <c r="B451" s="3">
        <v>9</v>
      </c>
      <c r="C451" s="3">
        <v>78</v>
      </c>
      <c r="D451" s="3">
        <v>6</v>
      </c>
      <c r="E451" s="3">
        <v>-266.841</v>
      </c>
      <c r="F451" s="4" t="str">
        <f>HYPERLINK("http://141.218.60.56/~jnz1568/getInfo.php?workbook=14_09.xlsx&amp;sheet=A0&amp;row=451&amp;col=6&amp;number=162000&amp;sourceID=14","162000")</f>
        <v>162000</v>
      </c>
      <c r="G451" s="4" t="str">
        <f>HYPERLINK("http://141.218.60.56/~jnz1568/getInfo.php?workbook=14_09.xlsx&amp;sheet=A0&amp;row=451&amp;col=7&amp;number=0&amp;sourceID=14","0")</f>
        <v>0</v>
      </c>
    </row>
    <row r="452" spans="1:7">
      <c r="A452" s="3">
        <v>14</v>
      </c>
      <c r="B452" s="3">
        <v>9</v>
      </c>
      <c r="C452" s="3">
        <v>82</v>
      </c>
      <c r="D452" s="3">
        <v>6</v>
      </c>
      <c r="E452" s="3">
        <v>-262.324</v>
      </c>
      <c r="F452" s="4" t="str">
        <f>HYPERLINK("http://141.218.60.56/~jnz1568/getInfo.php?workbook=14_09.xlsx&amp;sheet=A0&amp;row=452&amp;col=6&amp;number=4270000000&amp;sourceID=14","4270000000")</f>
        <v>4270000000</v>
      </c>
      <c r="G452" s="4" t="str">
        <f>HYPERLINK("http://141.218.60.56/~jnz1568/getInfo.php?workbook=14_09.xlsx&amp;sheet=A0&amp;row=452&amp;col=7&amp;number=0&amp;sourceID=14","0")</f>
        <v>0</v>
      </c>
    </row>
    <row r="453" spans="1:7">
      <c r="A453" s="3">
        <v>14</v>
      </c>
      <c r="B453" s="3">
        <v>9</v>
      </c>
      <c r="C453" s="3">
        <v>83</v>
      </c>
      <c r="D453" s="3">
        <v>6</v>
      </c>
      <c r="E453" s="3">
        <v>-261.183</v>
      </c>
      <c r="F453" s="4" t="str">
        <f>HYPERLINK("http://141.218.60.56/~jnz1568/getInfo.php?workbook=14_09.xlsx&amp;sheet=A0&amp;row=453&amp;col=6&amp;number=1860000000&amp;sourceID=14","1860000000")</f>
        <v>1860000000</v>
      </c>
      <c r="G453" s="4" t="str">
        <f>HYPERLINK("http://141.218.60.56/~jnz1568/getInfo.php?workbook=14_09.xlsx&amp;sheet=A0&amp;row=453&amp;col=7&amp;number=0&amp;sourceID=14","0")</f>
        <v>0</v>
      </c>
    </row>
    <row r="454" spans="1:7">
      <c r="A454" s="3">
        <v>14</v>
      </c>
      <c r="B454" s="3">
        <v>9</v>
      </c>
      <c r="C454" s="3">
        <v>84</v>
      </c>
      <c r="D454" s="3">
        <v>6</v>
      </c>
      <c r="E454" s="3">
        <v>-255.485</v>
      </c>
      <c r="F454" s="4" t="str">
        <f>HYPERLINK("http://141.218.60.56/~jnz1568/getInfo.php?workbook=14_09.xlsx&amp;sheet=A0&amp;row=454&amp;col=6&amp;number=24500000&amp;sourceID=14","24500000")</f>
        <v>24500000</v>
      </c>
      <c r="G454" s="4" t="str">
        <f>HYPERLINK("http://141.218.60.56/~jnz1568/getInfo.php?workbook=14_09.xlsx&amp;sheet=A0&amp;row=454&amp;col=7&amp;number=0&amp;sourceID=14","0")</f>
        <v>0</v>
      </c>
    </row>
    <row r="455" spans="1:7">
      <c r="A455" s="3">
        <v>14</v>
      </c>
      <c r="B455" s="3">
        <v>9</v>
      </c>
      <c r="C455" s="3">
        <v>85</v>
      </c>
      <c r="D455" s="3">
        <v>6</v>
      </c>
      <c r="E455" s="3">
        <v>-253.754</v>
      </c>
      <c r="F455" s="4" t="str">
        <f>HYPERLINK("http://141.218.60.56/~jnz1568/getInfo.php?workbook=14_09.xlsx&amp;sheet=A0&amp;row=455&amp;col=6&amp;number=69400000&amp;sourceID=14","69400000")</f>
        <v>69400000</v>
      </c>
      <c r="G455" s="4" t="str">
        <f>HYPERLINK("http://141.218.60.56/~jnz1568/getInfo.php?workbook=14_09.xlsx&amp;sheet=A0&amp;row=455&amp;col=7&amp;number=0&amp;sourceID=14","0")</f>
        <v>0</v>
      </c>
    </row>
    <row r="456" spans="1:7">
      <c r="A456" s="3">
        <v>14</v>
      </c>
      <c r="B456" s="3">
        <v>9</v>
      </c>
      <c r="C456" s="3">
        <v>96</v>
      </c>
      <c r="D456" s="3">
        <v>6</v>
      </c>
      <c r="E456" s="3">
        <v>-247.318</v>
      </c>
      <c r="F456" s="4" t="str">
        <f>HYPERLINK("http://141.218.60.56/~jnz1568/getInfo.php?workbook=14_09.xlsx&amp;sheet=A0&amp;row=456&amp;col=6&amp;number=290000&amp;sourceID=14","290000")</f>
        <v>290000</v>
      </c>
      <c r="G456" s="4" t="str">
        <f>HYPERLINK("http://141.218.60.56/~jnz1568/getInfo.php?workbook=14_09.xlsx&amp;sheet=A0&amp;row=456&amp;col=7&amp;number=0&amp;sourceID=14","0")</f>
        <v>0</v>
      </c>
    </row>
    <row r="457" spans="1:7">
      <c r="A457" s="3">
        <v>14</v>
      </c>
      <c r="B457" s="3">
        <v>9</v>
      </c>
      <c r="C457" s="3">
        <v>97</v>
      </c>
      <c r="D457" s="3">
        <v>6</v>
      </c>
      <c r="E457" s="3">
        <v>-247.042</v>
      </c>
      <c r="F457" s="4" t="str">
        <f>HYPERLINK("http://141.218.60.56/~jnz1568/getInfo.php?workbook=14_09.xlsx&amp;sheet=A0&amp;row=457&amp;col=6&amp;number=221000&amp;sourceID=14","221000")</f>
        <v>221000</v>
      </c>
      <c r="G457" s="4" t="str">
        <f>HYPERLINK("http://141.218.60.56/~jnz1568/getInfo.php?workbook=14_09.xlsx&amp;sheet=A0&amp;row=457&amp;col=7&amp;number=0&amp;sourceID=14","0")</f>
        <v>0</v>
      </c>
    </row>
    <row r="458" spans="1:7">
      <c r="A458" s="3">
        <v>14</v>
      </c>
      <c r="B458" s="3">
        <v>9</v>
      </c>
      <c r="C458" s="3">
        <v>108</v>
      </c>
      <c r="D458" s="3">
        <v>6</v>
      </c>
      <c r="E458" s="3">
        <v>-243.685</v>
      </c>
      <c r="F458" s="4" t="str">
        <f>HYPERLINK("http://141.218.60.56/~jnz1568/getInfo.php?workbook=14_09.xlsx&amp;sheet=A0&amp;row=458&amp;col=6&amp;number=2790000&amp;sourceID=14","2790000")</f>
        <v>2790000</v>
      </c>
      <c r="G458" s="4" t="str">
        <f>HYPERLINK("http://141.218.60.56/~jnz1568/getInfo.php?workbook=14_09.xlsx&amp;sheet=A0&amp;row=458&amp;col=7&amp;number=0&amp;sourceID=14","0")</f>
        <v>0</v>
      </c>
    </row>
    <row r="459" spans="1:7">
      <c r="A459" s="3">
        <v>14</v>
      </c>
      <c r="B459" s="3">
        <v>9</v>
      </c>
      <c r="C459" s="3">
        <v>112</v>
      </c>
      <c r="D459" s="3">
        <v>6</v>
      </c>
      <c r="E459" s="3">
        <v>-243.12</v>
      </c>
      <c r="F459" s="4" t="str">
        <f>HYPERLINK("http://141.218.60.56/~jnz1568/getInfo.php?workbook=14_09.xlsx&amp;sheet=A0&amp;row=459&amp;col=6&amp;number=21500000&amp;sourceID=14","21500000")</f>
        <v>21500000</v>
      </c>
      <c r="G459" s="4" t="str">
        <f>HYPERLINK("http://141.218.60.56/~jnz1568/getInfo.php?workbook=14_09.xlsx&amp;sheet=A0&amp;row=459&amp;col=7&amp;number=0&amp;sourceID=14","0")</f>
        <v>0</v>
      </c>
    </row>
    <row r="460" spans="1:7">
      <c r="A460" s="3">
        <v>14</v>
      </c>
      <c r="B460" s="3">
        <v>9</v>
      </c>
      <c r="C460" s="3">
        <v>113</v>
      </c>
      <c r="D460" s="3">
        <v>6</v>
      </c>
      <c r="E460" s="3">
        <v>-243.12</v>
      </c>
      <c r="F460" s="4" t="str">
        <f>HYPERLINK("http://141.218.60.56/~jnz1568/getInfo.php?workbook=14_09.xlsx&amp;sheet=A0&amp;row=460&amp;col=6&amp;number=1310000&amp;sourceID=14","1310000")</f>
        <v>1310000</v>
      </c>
      <c r="G460" s="4" t="str">
        <f>HYPERLINK("http://141.218.60.56/~jnz1568/getInfo.php?workbook=14_09.xlsx&amp;sheet=A0&amp;row=460&amp;col=7&amp;number=0&amp;sourceID=14","0")</f>
        <v>0</v>
      </c>
    </row>
    <row r="461" spans="1:7">
      <c r="A461" s="3">
        <v>14</v>
      </c>
      <c r="B461" s="3">
        <v>9</v>
      </c>
      <c r="C461" s="3">
        <v>116</v>
      </c>
      <c r="D461" s="3">
        <v>6</v>
      </c>
      <c r="E461" s="3">
        <v>-243.014</v>
      </c>
      <c r="F461" s="4" t="str">
        <f>HYPERLINK("http://141.218.60.56/~jnz1568/getInfo.php?workbook=14_09.xlsx&amp;sheet=A0&amp;row=461&amp;col=6&amp;number=3450000&amp;sourceID=14","3450000")</f>
        <v>3450000</v>
      </c>
      <c r="G461" s="4" t="str">
        <f>HYPERLINK("http://141.218.60.56/~jnz1568/getInfo.php?workbook=14_09.xlsx&amp;sheet=A0&amp;row=461&amp;col=7&amp;number=0&amp;sourceID=14","0")</f>
        <v>0</v>
      </c>
    </row>
    <row r="462" spans="1:7">
      <c r="A462" s="3">
        <v>14</v>
      </c>
      <c r="B462" s="3">
        <v>9</v>
      </c>
      <c r="C462" s="3">
        <v>117</v>
      </c>
      <c r="D462" s="3">
        <v>6</v>
      </c>
      <c r="E462" s="3">
        <v>-241.429</v>
      </c>
      <c r="F462" s="4" t="str">
        <f>HYPERLINK("http://141.218.60.56/~jnz1568/getInfo.php?workbook=14_09.xlsx&amp;sheet=A0&amp;row=462&amp;col=6&amp;number=3440000&amp;sourceID=14","3440000")</f>
        <v>3440000</v>
      </c>
      <c r="G462" s="4" t="str">
        <f>HYPERLINK("http://141.218.60.56/~jnz1568/getInfo.php?workbook=14_09.xlsx&amp;sheet=A0&amp;row=462&amp;col=7&amp;number=0&amp;sourceID=14","0")</f>
        <v>0</v>
      </c>
    </row>
    <row r="463" spans="1:7">
      <c r="A463" s="3">
        <v>14</v>
      </c>
      <c r="B463" s="3">
        <v>9</v>
      </c>
      <c r="C463" s="3">
        <v>125</v>
      </c>
      <c r="D463" s="3">
        <v>6</v>
      </c>
      <c r="E463" s="3">
        <v>-236.464</v>
      </c>
      <c r="F463" s="4" t="str">
        <f>HYPERLINK("http://141.218.60.56/~jnz1568/getInfo.php?workbook=14_09.xlsx&amp;sheet=A0&amp;row=463&amp;col=6&amp;number=108000&amp;sourceID=14","108000")</f>
        <v>108000</v>
      </c>
      <c r="G463" s="4" t="str">
        <f>HYPERLINK("http://141.218.60.56/~jnz1568/getInfo.php?workbook=14_09.xlsx&amp;sheet=A0&amp;row=463&amp;col=7&amp;number=0&amp;sourceID=14","0")</f>
        <v>0</v>
      </c>
    </row>
    <row r="464" spans="1:7">
      <c r="A464" s="3">
        <v>14</v>
      </c>
      <c r="B464" s="3">
        <v>9</v>
      </c>
      <c r="C464" s="3">
        <v>126</v>
      </c>
      <c r="D464" s="3">
        <v>6</v>
      </c>
      <c r="E464" s="3">
        <v>-235.318</v>
      </c>
      <c r="F464" s="4" t="str">
        <f>HYPERLINK("http://141.218.60.56/~jnz1568/getInfo.php?workbook=14_09.xlsx&amp;sheet=A0&amp;row=464&amp;col=6&amp;number=10200000&amp;sourceID=14","10200000")</f>
        <v>10200000</v>
      </c>
      <c r="G464" s="4" t="str">
        <f>HYPERLINK("http://141.218.60.56/~jnz1568/getInfo.php?workbook=14_09.xlsx&amp;sheet=A0&amp;row=464&amp;col=7&amp;number=0&amp;sourceID=14","0")</f>
        <v>0</v>
      </c>
    </row>
    <row r="465" spans="1:7">
      <c r="A465" s="3">
        <v>14</v>
      </c>
      <c r="B465" s="3">
        <v>9</v>
      </c>
      <c r="C465" s="3">
        <v>159</v>
      </c>
      <c r="D465" s="3">
        <v>6</v>
      </c>
      <c r="E465" s="3">
        <v>-208.556</v>
      </c>
      <c r="F465" s="4" t="str">
        <f>HYPERLINK("http://141.218.60.56/~jnz1568/getInfo.php?workbook=14_09.xlsx&amp;sheet=A0&amp;row=465&amp;col=6&amp;number=91500&amp;sourceID=14","91500")</f>
        <v>91500</v>
      </c>
      <c r="G465" s="4" t="str">
        <f>HYPERLINK("http://141.218.60.56/~jnz1568/getInfo.php?workbook=14_09.xlsx&amp;sheet=A0&amp;row=465&amp;col=7&amp;number=0&amp;sourceID=14","0")</f>
        <v>0</v>
      </c>
    </row>
    <row r="466" spans="1:7">
      <c r="A466" s="3">
        <v>14</v>
      </c>
      <c r="B466" s="3">
        <v>9</v>
      </c>
      <c r="C466" s="3">
        <v>160</v>
      </c>
      <c r="D466" s="3">
        <v>6</v>
      </c>
      <c r="E466" s="3">
        <v>-208.501</v>
      </c>
      <c r="F466" s="4" t="str">
        <f>HYPERLINK("http://141.218.60.56/~jnz1568/getInfo.php?workbook=14_09.xlsx&amp;sheet=A0&amp;row=466&amp;col=6&amp;number=323000&amp;sourceID=14","323000")</f>
        <v>323000</v>
      </c>
      <c r="G466" s="4" t="str">
        <f>HYPERLINK("http://141.218.60.56/~jnz1568/getInfo.php?workbook=14_09.xlsx&amp;sheet=A0&amp;row=466&amp;col=7&amp;number=0&amp;sourceID=14","0")</f>
        <v>0</v>
      </c>
    </row>
    <row r="467" spans="1:7">
      <c r="A467" s="3">
        <v>14</v>
      </c>
      <c r="B467" s="3">
        <v>9</v>
      </c>
      <c r="C467" s="3">
        <v>166</v>
      </c>
      <c r="D467" s="3">
        <v>6</v>
      </c>
      <c r="E467" s="3">
        <v>-186.298</v>
      </c>
      <c r="F467" s="4" t="str">
        <f>HYPERLINK("http://141.218.60.56/~jnz1568/getInfo.php?workbook=14_09.xlsx&amp;sheet=A0&amp;row=467&amp;col=6&amp;number=5480000&amp;sourceID=14","5480000")</f>
        <v>5480000</v>
      </c>
      <c r="G467" s="4" t="str">
        <f>HYPERLINK("http://141.218.60.56/~jnz1568/getInfo.php?workbook=14_09.xlsx&amp;sheet=A0&amp;row=467&amp;col=7&amp;number=0&amp;sourceID=14","0")</f>
        <v>0</v>
      </c>
    </row>
    <row r="468" spans="1:7">
      <c r="A468" s="3">
        <v>14</v>
      </c>
      <c r="B468" s="3">
        <v>9</v>
      </c>
      <c r="C468" s="3">
        <v>167</v>
      </c>
      <c r="D468" s="3">
        <v>6</v>
      </c>
      <c r="E468" s="3">
        <v>-186.248</v>
      </c>
      <c r="F468" s="4" t="str">
        <f>HYPERLINK("http://141.218.60.56/~jnz1568/getInfo.php?workbook=14_09.xlsx&amp;sheet=A0&amp;row=468&amp;col=6&amp;number=14200000&amp;sourceID=14","14200000")</f>
        <v>14200000</v>
      </c>
      <c r="G468" s="4" t="str">
        <f>HYPERLINK("http://141.218.60.56/~jnz1568/getInfo.php?workbook=14_09.xlsx&amp;sheet=A0&amp;row=468&amp;col=7&amp;number=0&amp;sourceID=14","0")</f>
        <v>0</v>
      </c>
    </row>
    <row r="469" spans="1:7">
      <c r="A469" s="3">
        <v>14</v>
      </c>
      <c r="B469" s="3">
        <v>9</v>
      </c>
      <c r="C469" s="3">
        <v>168</v>
      </c>
      <c r="D469" s="3">
        <v>6</v>
      </c>
      <c r="E469" s="3">
        <v>-178.908</v>
      </c>
      <c r="F469" s="4" t="str">
        <f>HYPERLINK("http://141.218.60.56/~jnz1568/getInfo.php?workbook=14_09.xlsx&amp;sheet=A0&amp;row=469&amp;col=6&amp;number=5740000&amp;sourceID=14","5740000")</f>
        <v>5740000</v>
      </c>
      <c r="G469" s="4" t="str">
        <f>HYPERLINK("http://141.218.60.56/~jnz1568/getInfo.php?workbook=14_09.xlsx&amp;sheet=A0&amp;row=469&amp;col=7&amp;number=0&amp;sourceID=14","0")</f>
        <v>0</v>
      </c>
    </row>
    <row r="470" spans="1:7">
      <c r="A470" s="3">
        <v>14</v>
      </c>
      <c r="B470" s="3">
        <v>9</v>
      </c>
      <c r="C470" s="3">
        <v>169</v>
      </c>
      <c r="D470" s="3">
        <v>6</v>
      </c>
      <c r="E470" s="3">
        <v>-178.644</v>
      </c>
      <c r="F470" s="4" t="str">
        <f>HYPERLINK("http://141.218.60.56/~jnz1568/getInfo.php?workbook=14_09.xlsx&amp;sheet=A0&amp;row=470&amp;col=6&amp;number=15300000&amp;sourceID=14","15300000")</f>
        <v>15300000</v>
      </c>
      <c r="G470" s="4" t="str">
        <f>HYPERLINK("http://141.218.60.56/~jnz1568/getInfo.php?workbook=14_09.xlsx&amp;sheet=A0&amp;row=470&amp;col=7&amp;number=0&amp;sourceID=14","0")</f>
        <v>0</v>
      </c>
    </row>
    <row r="471" spans="1:7">
      <c r="A471" s="3">
        <v>14</v>
      </c>
      <c r="B471" s="3">
        <v>9</v>
      </c>
      <c r="C471" s="3">
        <v>174</v>
      </c>
      <c r="D471" s="3">
        <v>6</v>
      </c>
      <c r="E471" s="3">
        <v>-176.185</v>
      </c>
      <c r="F471" s="4" t="str">
        <f>HYPERLINK("http://141.218.60.56/~jnz1568/getInfo.php?workbook=14_09.xlsx&amp;sheet=A0&amp;row=471&amp;col=6&amp;number=1240000&amp;sourceID=14","1240000")</f>
        <v>1240000</v>
      </c>
      <c r="G471" s="4" t="str">
        <f>HYPERLINK("http://141.218.60.56/~jnz1568/getInfo.php?workbook=14_09.xlsx&amp;sheet=A0&amp;row=471&amp;col=7&amp;number=0&amp;sourceID=14","0")</f>
        <v>0</v>
      </c>
    </row>
    <row r="472" spans="1:7">
      <c r="A472" s="3">
        <v>14</v>
      </c>
      <c r="B472" s="3">
        <v>9</v>
      </c>
      <c r="C472" s="3">
        <v>178</v>
      </c>
      <c r="D472" s="3">
        <v>6</v>
      </c>
      <c r="E472" s="3">
        <v>-173.804</v>
      </c>
      <c r="F472" s="4" t="str">
        <f>HYPERLINK("http://141.218.60.56/~jnz1568/getInfo.php?workbook=14_09.xlsx&amp;sheet=A0&amp;row=472&amp;col=6&amp;number=103000000&amp;sourceID=14","103000000")</f>
        <v>103000000</v>
      </c>
      <c r="G472" s="4" t="str">
        <f>HYPERLINK("http://141.218.60.56/~jnz1568/getInfo.php?workbook=14_09.xlsx&amp;sheet=A0&amp;row=472&amp;col=7&amp;number=0&amp;sourceID=14","0")</f>
        <v>0</v>
      </c>
    </row>
    <row r="473" spans="1:7">
      <c r="A473" s="3">
        <v>14</v>
      </c>
      <c r="B473" s="3">
        <v>9</v>
      </c>
      <c r="C473" s="3">
        <v>179</v>
      </c>
      <c r="D473" s="3">
        <v>6</v>
      </c>
      <c r="E473" s="3">
        <v>-173.795</v>
      </c>
      <c r="F473" s="4" t="str">
        <f>HYPERLINK("http://141.218.60.56/~jnz1568/getInfo.php?workbook=14_09.xlsx&amp;sheet=A0&amp;row=473&amp;col=6&amp;number=55500000&amp;sourceID=14","55500000")</f>
        <v>55500000</v>
      </c>
      <c r="G473" s="4" t="str">
        <f>HYPERLINK("http://141.218.60.56/~jnz1568/getInfo.php?workbook=14_09.xlsx&amp;sheet=A0&amp;row=473&amp;col=7&amp;number=0&amp;sourceID=14","0")</f>
        <v>0</v>
      </c>
    </row>
    <row r="474" spans="1:7">
      <c r="A474" s="3">
        <v>14</v>
      </c>
      <c r="B474" s="3">
        <v>9</v>
      </c>
      <c r="C474" s="3">
        <v>182</v>
      </c>
      <c r="D474" s="3">
        <v>6</v>
      </c>
      <c r="E474" s="3">
        <v>-172.143</v>
      </c>
      <c r="F474" s="4" t="str">
        <f>HYPERLINK("http://141.218.60.56/~jnz1568/getInfo.php?workbook=14_09.xlsx&amp;sheet=A0&amp;row=474&amp;col=6&amp;number=390000&amp;sourceID=14","390000")</f>
        <v>390000</v>
      </c>
      <c r="G474" s="4" t="str">
        <f>HYPERLINK("http://141.218.60.56/~jnz1568/getInfo.php?workbook=14_09.xlsx&amp;sheet=A0&amp;row=474&amp;col=7&amp;number=0&amp;sourceID=14","0")</f>
        <v>0</v>
      </c>
    </row>
    <row r="475" spans="1:7">
      <c r="A475" s="3">
        <v>14</v>
      </c>
      <c r="B475" s="3">
        <v>9</v>
      </c>
      <c r="C475" s="3">
        <v>11</v>
      </c>
      <c r="D475" s="3">
        <v>7</v>
      </c>
      <c r="E475" s="3">
        <v>1577.345</v>
      </c>
      <c r="F475" s="4" t="str">
        <f>HYPERLINK("http://141.218.60.56/~jnz1568/getInfo.php?workbook=14_09.xlsx&amp;sheet=A0&amp;row=475&amp;col=6&amp;number=197000&amp;sourceID=14","197000")</f>
        <v>197000</v>
      </c>
      <c r="G475" s="4" t="str">
        <f>HYPERLINK("http://141.218.60.56/~jnz1568/getInfo.php?workbook=14_09.xlsx&amp;sheet=A0&amp;row=475&amp;col=7&amp;number=0&amp;sourceID=14","0")</f>
        <v>0</v>
      </c>
    </row>
    <row r="476" spans="1:7">
      <c r="A476" s="3">
        <v>14</v>
      </c>
      <c r="B476" s="3">
        <v>9</v>
      </c>
      <c r="C476" s="3">
        <v>12</v>
      </c>
      <c r="D476" s="3">
        <v>7</v>
      </c>
      <c r="E476" s="3">
        <v>1552.197</v>
      </c>
      <c r="F476" s="4" t="str">
        <f>HYPERLINK("http://141.218.60.56/~jnz1568/getInfo.php?workbook=14_09.xlsx&amp;sheet=A0&amp;row=476&amp;col=6&amp;number=45300&amp;sourceID=14","45300")</f>
        <v>45300</v>
      </c>
      <c r="G476" s="4" t="str">
        <f>HYPERLINK("http://141.218.60.56/~jnz1568/getInfo.php?workbook=14_09.xlsx&amp;sheet=A0&amp;row=476&amp;col=7&amp;number=0&amp;sourceID=14","0")</f>
        <v>0</v>
      </c>
    </row>
    <row r="477" spans="1:7">
      <c r="A477" s="3">
        <v>14</v>
      </c>
      <c r="B477" s="3">
        <v>9</v>
      </c>
      <c r="C477" s="3">
        <v>13</v>
      </c>
      <c r="D477" s="3">
        <v>7</v>
      </c>
      <c r="E477" s="3">
        <v>1522.259</v>
      </c>
      <c r="F477" s="4" t="str">
        <f>HYPERLINK("http://141.218.60.56/~jnz1568/getInfo.php?workbook=14_09.xlsx&amp;sheet=A0&amp;row=477&amp;col=6&amp;number=670000&amp;sourceID=14","670000")</f>
        <v>670000</v>
      </c>
      <c r="G477" s="4" t="str">
        <f>HYPERLINK("http://141.218.60.56/~jnz1568/getInfo.php?workbook=14_09.xlsx&amp;sheet=A0&amp;row=477&amp;col=7&amp;number=0&amp;sourceID=14","0")</f>
        <v>0</v>
      </c>
    </row>
    <row r="478" spans="1:7">
      <c r="A478" s="3">
        <v>14</v>
      </c>
      <c r="B478" s="3">
        <v>9</v>
      </c>
      <c r="C478" s="3">
        <v>15</v>
      </c>
      <c r="D478" s="3">
        <v>7</v>
      </c>
      <c r="E478" s="3">
        <v>1328.285</v>
      </c>
      <c r="F478" s="4" t="str">
        <f>HYPERLINK("http://141.218.60.56/~jnz1568/getInfo.php?workbook=14_09.xlsx&amp;sheet=A0&amp;row=478&amp;col=6&amp;number=16200000&amp;sourceID=14","16200000")</f>
        <v>16200000</v>
      </c>
      <c r="G478" s="4" t="str">
        <f>HYPERLINK("http://141.218.60.56/~jnz1568/getInfo.php?workbook=14_09.xlsx&amp;sheet=A0&amp;row=478&amp;col=7&amp;number=0&amp;sourceID=14","0")</f>
        <v>0</v>
      </c>
    </row>
    <row r="479" spans="1:7">
      <c r="A479" s="3">
        <v>14</v>
      </c>
      <c r="B479" s="3">
        <v>9</v>
      </c>
      <c r="C479" s="3">
        <v>17</v>
      </c>
      <c r="D479" s="3">
        <v>7</v>
      </c>
      <c r="E479" s="3">
        <v>1288.915</v>
      </c>
      <c r="F479" s="4" t="str">
        <f>HYPERLINK("http://141.218.60.56/~jnz1568/getInfo.php?workbook=14_09.xlsx&amp;sheet=A0&amp;row=479&amp;col=6&amp;number=288000&amp;sourceID=14","288000")</f>
        <v>288000</v>
      </c>
      <c r="G479" s="4" t="str">
        <f>HYPERLINK("http://141.218.60.56/~jnz1568/getInfo.php?workbook=14_09.xlsx&amp;sheet=A0&amp;row=479&amp;col=7&amp;number=0&amp;sourceID=14","0")</f>
        <v>0</v>
      </c>
    </row>
    <row r="480" spans="1:7">
      <c r="A480" s="3">
        <v>14</v>
      </c>
      <c r="B480" s="3">
        <v>9</v>
      </c>
      <c r="C480" s="3">
        <v>18</v>
      </c>
      <c r="D480" s="3">
        <v>7</v>
      </c>
      <c r="E480" s="3">
        <v>1229.012</v>
      </c>
      <c r="F480" s="4" t="str">
        <f>HYPERLINK("http://141.218.60.56/~jnz1568/getInfo.php?workbook=14_09.xlsx&amp;sheet=A0&amp;row=480&amp;col=6&amp;number=833000000&amp;sourceID=14","833000000")</f>
        <v>833000000</v>
      </c>
      <c r="G480" s="4" t="str">
        <f>HYPERLINK("http://141.218.60.56/~jnz1568/getInfo.php?workbook=14_09.xlsx&amp;sheet=A0&amp;row=480&amp;col=7&amp;number=0&amp;sourceID=14","0")</f>
        <v>0</v>
      </c>
    </row>
    <row r="481" spans="1:7">
      <c r="A481" s="3">
        <v>14</v>
      </c>
      <c r="B481" s="3">
        <v>9</v>
      </c>
      <c r="C481" s="3">
        <v>19</v>
      </c>
      <c r="D481" s="3">
        <v>7</v>
      </c>
      <c r="E481" s="3">
        <v>1188.844</v>
      </c>
      <c r="F481" s="4" t="str">
        <f>HYPERLINK("http://141.218.60.56/~jnz1568/getInfo.php?workbook=14_09.xlsx&amp;sheet=A0&amp;row=481&amp;col=6&amp;number=318000000&amp;sourceID=14","318000000")</f>
        <v>318000000</v>
      </c>
      <c r="G481" s="4" t="str">
        <f>HYPERLINK("http://141.218.60.56/~jnz1568/getInfo.php?workbook=14_09.xlsx&amp;sheet=A0&amp;row=481&amp;col=7&amp;number=0&amp;sourceID=14","0")</f>
        <v>0</v>
      </c>
    </row>
    <row r="482" spans="1:7">
      <c r="A482" s="3">
        <v>14</v>
      </c>
      <c r="B482" s="3">
        <v>9</v>
      </c>
      <c r="C482" s="3">
        <v>20</v>
      </c>
      <c r="D482" s="3">
        <v>7</v>
      </c>
      <c r="E482" s="3">
        <v>-1178.955</v>
      </c>
      <c r="F482" s="4" t="str">
        <f>HYPERLINK("http://141.218.60.56/~jnz1568/getInfo.php?workbook=14_09.xlsx&amp;sheet=A0&amp;row=482&amp;col=6&amp;number=788000000&amp;sourceID=14","788000000")</f>
        <v>788000000</v>
      </c>
      <c r="G482" s="4" t="str">
        <f>HYPERLINK("http://141.218.60.56/~jnz1568/getInfo.php?workbook=14_09.xlsx&amp;sheet=A0&amp;row=482&amp;col=7&amp;number=0&amp;sourceID=14","0")</f>
        <v>0</v>
      </c>
    </row>
    <row r="483" spans="1:7">
      <c r="A483" s="3">
        <v>14</v>
      </c>
      <c r="B483" s="3">
        <v>9</v>
      </c>
      <c r="C483" s="3">
        <v>21</v>
      </c>
      <c r="D483" s="3">
        <v>7</v>
      </c>
      <c r="E483" s="3">
        <v>1132.042</v>
      </c>
      <c r="F483" s="4" t="str">
        <f>HYPERLINK("http://141.218.60.56/~jnz1568/getInfo.php?workbook=14_09.xlsx&amp;sheet=A0&amp;row=483&amp;col=6&amp;number=69400000&amp;sourceID=14","69400000")</f>
        <v>69400000</v>
      </c>
      <c r="G483" s="4" t="str">
        <f>HYPERLINK("http://141.218.60.56/~jnz1568/getInfo.php?workbook=14_09.xlsx&amp;sheet=A0&amp;row=483&amp;col=7&amp;number=0&amp;sourceID=14","0")</f>
        <v>0</v>
      </c>
    </row>
    <row r="484" spans="1:7">
      <c r="A484" s="3">
        <v>14</v>
      </c>
      <c r="B484" s="3">
        <v>9</v>
      </c>
      <c r="C484" s="3">
        <v>22</v>
      </c>
      <c r="D484" s="3">
        <v>7</v>
      </c>
      <c r="E484" s="3">
        <v>1122.336</v>
      </c>
      <c r="F484" s="4" t="str">
        <f>HYPERLINK("http://141.218.60.56/~jnz1568/getInfo.php?workbook=14_09.xlsx&amp;sheet=A0&amp;row=484&amp;col=6&amp;number=319000000&amp;sourceID=14","319000000")</f>
        <v>319000000</v>
      </c>
      <c r="G484" s="4" t="str">
        <f>HYPERLINK("http://141.218.60.56/~jnz1568/getInfo.php?workbook=14_09.xlsx&amp;sheet=A0&amp;row=484&amp;col=7&amp;number=0&amp;sourceID=14","0")</f>
        <v>0</v>
      </c>
    </row>
    <row r="485" spans="1:7">
      <c r="A485" s="3">
        <v>14</v>
      </c>
      <c r="B485" s="3">
        <v>9</v>
      </c>
      <c r="C485" s="3">
        <v>23</v>
      </c>
      <c r="D485" s="3">
        <v>7</v>
      </c>
      <c r="E485" s="3">
        <v>-1120.074</v>
      </c>
      <c r="F485" s="4" t="str">
        <f>HYPERLINK("http://141.218.60.56/~jnz1568/getInfo.php?workbook=14_09.xlsx&amp;sheet=A0&amp;row=485&amp;col=6&amp;number=94400000&amp;sourceID=14","94400000")</f>
        <v>94400000</v>
      </c>
      <c r="G485" s="4" t="str">
        <f>HYPERLINK("http://141.218.60.56/~jnz1568/getInfo.php?workbook=14_09.xlsx&amp;sheet=A0&amp;row=485&amp;col=7&amp;number=0&amp;sourceID=14","0")</f>
        <v>0</v>
      </c>
    </row>
    <row r="486" spans="1:7">
      <c r="A486" s="3">
        <v>14</v>
      </c>
      <c r="B486" s="3">
        <v>9</v>
      </c>
      <c r="C486" s="3">
        <v>25</v>
      </c>
      <c r="D486" s="3">
        <v>7</v>
      </c>
      <c r="E486" s="3">
        <v>828.827</v>
      </c>
      <c r="F486" s="4" t="str">
        <f>HYPERLINK("http://141.218.60.56/~jnz1568/getInfo.php?workbook=14_09.xlsx&amp;sheet=A0&amp;row=486&amp;col=6&amp;number=73200&amp;sourceID=14","73200")</f>
        <v>73200</v>
      </c>
      <c r="G486" s="4" t="str">
        <f>HYPERLINK("http://141.218.60.56/~jnz1568/getInfo.php?workbook=14_09.xlsx&amp;sheet=A0&amp;row=486&amp;col=7&amp;number=0&amp;sourceID=14","0")</f>
        <v>0</v>
      </c>
    </row>
    <row r="487" spans="1:7">
      <c r="A487" s="3">
        <v>14</v>
      </c>
      <c r="B487" s="3">
        <v>9</v>
      </c>
      <c r="C487" s="3">
        <v>27</v>
      </c>
      <c r="D487" s="3">
        <v>7</v>
      </c>
      <c r="E487" s="3">
        <v>777.402</v>
      </c>
      <c r="F487" s="4" t="str">
        <f>HYPERLINK("http://141.218.60.56/~jnz1568/getInfo.php?workbook=14_09.xlsx&amp;sheet=A0&amp;row=487&amp;col=6&amp;number=17800000&amp;sourceID=14","17800000")</f>
        <v>17800000</v>
      </c>
      <c r="G487" s="4" t="str">
        <f>HYPERLINK("http://141.218.60.56/~jnz1568/getInfo.php?workbook=14_09.xlsx&amp;sheet=A0&amp;row=487&amp;col=7&amp;number=0&amp;sourceID=14","0")</f>
        <v>0</v>
      </c>
    </row>
    <row r="488" spans="1:7">
      <c r="A488" s="3">
        <v>14</v>
      </c>
      <c r="B488" s="3">
        <v>9</v>
      </c>
      <c r="C488" s="3">
        <v>28</v>
      </c>
      <c r="D488" s="3">
        <v>7</v>
      </c>
      <c r="E488" s="3">
        <v>759.835</v>
      </c>
      <c r="F488" s="4" t="str">
        <f>HYPERLINK("http://141.218.60.56/~jnz1568/getInfo.php?workbook=14_09.xlsx&amp;sheet=A0&amp;row=488&amp;col=6&amp;number=10600000&amp;sourceID=14","10600000")</f>
        <v>10600000</v>
      </c>
      <c r="G488" s="4" t="str">
        <f>HYPERLINK("http://141.218.60.56/~jnz1568/getInfo.php?workbook=14_09.xlsx&amp;sheet=A0&amp;row=488&amp;col=7&amp;number=0&amp;sourceID=14","0")</f>
        <v>0</v>
      </c>
    </row>
    <row r="489" spans="1:7">
      <c r="A489" s="3">
        <v>14</v>
      </c>
      <c r="B489" s="3">
        <v>9</v>
      </c>
      <c r="C489" s="3">
        <v>29</v>
      </c>
      <c r="D489" s="3">
        <v>7</v>
      </c>
      <c r="E489" s="3">
        <v>701.904</v>
      </c>
      <c r="F489" s="4" t="str">
        <f>HYPERLINK("http://141.218.60.56/~jnz1568/getInfo.php?workbook=14_09.xlsx&amp;sheet=A0&amp;row=489&amp;col=6&amp;number=1980000000&amp;sourceID=14","1980000000")</f>
        <v>1980000000</v>
      </c>
      <c r="G489" s="4" t="str">
        <f>HYPERLINK("http://141.218.60.56/~jnz1568/getInfo.php?workbook=14_09.xlsx&amp;sheet=A0&amp;row=489&amp;col=7&amp;number=0&amp;sourceID=14","0")</f>
        <v>0</v>
      </c>
    </row>
    <row r="490" spans="1:7">
      <c r="A490" s="3">
        <v>14</v>
      </c>
      <c r="B490" s="3">
        <v>9</v>
      </c>
      <c r="C490" s="3">
        <v>30</v>
      </c>
      <c r="D490" s="3">
        <v>7</v>
      </c>
      <c r="E490" s="3">
        <v>690.379</v>
      </c>
      <c r="F490" s="4" t="str">
        <f>HYPERLINK("http://141.218.60.56/~jnz1568/getInfo.php?workbook=14_09.xlsx&amp;sheet=A0&amp;row=490&amp;col=6&amp;number=647000000&amp;sourceID=14","647000000")</f>
        <v>647000000</v>
      </c>
      <c r="G490" s="4" t="str">
        <f>HYPERLINK("http://141.218.60.56/~jnz1568/getInfo.php?workbook=14_09.xlsx&amp;sheet=A0&amp;row=490&amp;col=7&amp;number=0&amp;sourceID=14","0")</f>
        <v>0</v>
      </c>
    </row>
    <row r="491" spans="1:7">
      <c r="A491" s="3">
        <v>14</v>
      </c>
      <c r="B491" s="3">
        <v>9</v>
      </c>
      <c r="C491" s="3">
        <v>41</v>
      </c>
      <c r="D491" s="3">
        <v>7</v>
      </c>
      <c r="E491" s="3">
        <v>526.819</v>
      </c>
      <c r="F491" s="4" t="str">
        <f>HYPERLINK("http://141.218.60.56/~jnz1568/getInfo.php?workbook=14_09.xlsx&amp;sheet=A0&amp;row=491&amp;col=6&amp;number=40800&amp;sourceID=14","40800")</f>
        <v>40800</v>
      </c>
      <c r="G491" s="4" t="str">
        <f>HYPERLINK("http://141.218.60.56/~jnz1568/getInfo.php?workbook=14_09.xlsx&amp;sheet=A0&amp;row=491&amp;col=7&amp;number=0&amp;sourceID=14","0")</f>
        <v>0</v>
      </c>
    </row>
    <row r="492" spans="1:7">
      <c r="A492" s="3">
        <v>14</v>
      </c>
      <c r="B492" s="3">
        <v>9</v>
      </c>
      <c r="C492" s="3">
        <v>44</v>
      </c>
      <c r="D492" s="3">
        <v>7</v>
      </c>
      <c r="E492" s="3">
        <v>-511.829</v>
      </c>
      <c r="F492" s="4" t="str">
        <f>HYPERLINK("http://141.218.60.56/~jnz1568/getInfo.php?workbook=14_09.xlsx&amp;sheet=A0&amp;row=492&amp;col=6&amp;number=232000000&amp;sourceID=14","232000000")</f>
        <v>232000000</v>
      </c>
      <c r="G492" s="4" t="str">
        <f>HYPERLINK("http://141.218.60.56/~jnz1568/getInfo.php?workbook=14_09.xlsx&amp;sheet=A0&amp;row=492&amp;col=7&amp;number=0&amp;sourceID=14","0")</f>
        <v>0</v>
      </c>
    </row>
    <row r="493" spans="1:7">
      <c r="A493" s="3">
        <v>14</v>
      </c>
      <c r="B493" s="3">
        <v>9</v>
      </c>
      <c r="C493" s="3">
        <v>45</v>
      </c>
      <c r="D493" s="3">
        <v>7</v>
      </c>
      <c r="E493" s="3">
        <v>-510.953</v>
      </c>
      <c r="F493" s="4" t="str">
        <f>HYPERLINK("http://141.218.60.56/~jnz1568/getInfo.php?workbook=14_09.xlsx&amp;sheet=A0&amp;row=493&amp;col=6&amp;number=126000000&amp;sourceID=14","126000000")</f>
        <v>126000000</v>
      </c>
      <c r="G493" s="4" t="str">
        <f>HYPERLINK("http://141.218.60.56/~jnz1568/getInfo.php?workbook=14_09.xlsx&amp;sheet=A0&amp;row=493&amp;col=7&amp;number=0&amp;sourceID=14","0")</f>
        <v>0</v>
      </c>
    </row>
    <row r="494" spans="1:7">
      <c r="A494" s="3">
        <v>14</v>
      </c>
      <c r="B494" s="3">
        <v>9</v>
      </c>
      <c r="C494" s="3">
        <v>66</v>
      </c>
      <c r="D494" s="3">
        <v>7</v>
      </c>
      <c r="E494" s="3">
        <v>-292.221</v>
      </c>
      <c r="F494" s="4" t="str">
        <f>HYPERLINK("http://141.218.60.56/~jnz1568/getInfo.php?workbook=14_09.xlsx&amp;sheet=A0&amp;row=494&amp;col=6&amp;number=10600000&amp;sourceID=14","10600000")</f>
        <v>10600000</v>
      </c>
      <c r="G494" s="4" t="str">
        <f>HYPERLINK("http://141.218.60.56/~jnz1568/getInfo.php?workbook=14_09.xlsx&amp;sheet=A0&amp;row=494&amp;col=7&amp;number=0&amp;sourceID=14","0")</f>
        <v>0</v>
      </c>
    </row>
    <row r="495" spans="1:7">
      <c r="A495" s="3">
        <v>14</v>
      </c>
      <c r="B495" s="3">
        <v>9</v>
      </c>
      <c r="C495" s="3">
        <v>68</v>
      </c>
      <c r="D495" s="3">
        <v>7</v>
      </c>
      <c r="E495" s="3">
        <v>-289.704</v>
      </c>
      <c r="F495" s="4" t="str">
        <f>HYPERLINK("http://141.218.60.56/~jnz1568/getInfo.php?workbook=14_09.xlsx&amp;sheet=A0&amp;row=495&amp;col=6&amp;number=11500000&amp;sourceID=14","11500000")</f>
        <v>11500000</v>
      </c>
      <c r="G495" s="4" t="str">
        <f>HYPERLINK("http://141.218.60.56/~jnz1568/getInfo.php?workbook=14_09.xlsx&amp;sheet=A0&amp;row=495&amp;col=7&amp;number=0&amp;sourceID=14","0")</f>
        <v>0</v>
      </c>
    </row>
    <row r="496" spans="1:7">
      <c r="A496" s="3">
        <v>14</v>
      </c>
      <c r="B496" s="3">
        <v>9</v>
      </c>
      <c r="C496" s="3">
        <v>70</v>
      </c>
      <c r="D496" s="3">
        <v>7</v>
      </c>
      <c r="E496" s="3">
        <v>-285.201</v>
      </c>
      <c r="F496" s="4" t="str">
        <f>HYPERLINK("http://141.218.60.56/~jnz1568/getInfo.php?workbook=14_09.xlsx&amp;sheet=A0&amp;row=496&amp;col=6&amp;number=883000000&amp;sourceID=14","883000000")</f>
        <v>883000000</v>
      </c>
      <c r="G496" s="4" t="str">
        <f>HYPERLINK("http://141.218.60.56/~jnz1568/getInfo.php?workbook=14_09.xlsx&amp;sheet=A0&amp;row=496&amp;col=7&amp;number=0&amp;sourceID=14","0")</f>
        <v>0</v>
      </c>
    </row>
    <row r="497" spans="1:7">
      <c r="A497" s="3">
        <v>14</v>
      </c>
      <c r="B497" s="3">
        <v>9</v>
      </c>
      <c r="C497" s="3">
        <v>71</v>
      </c>
      <c r="D497" s="3">
        <v>7</v>
      </c>
      <c r="E497" s="3">
        <v>-283.52</v>
      </c>
      <c r="F497" s="4" t="str">
        <f>HYPERLINK("http://141.218.60.56/~jnz1568/getInfo.php?workbook=14_09.xlsx&amp;sheet=A0&amp;row=497&amp;col=6&amp;number=30700000&amp;sourceID=14","30700000")</f>
        <v>30700000</v>
      </c>
      <c r="G497" s="4" t="str">
        <f>HYPERLINK("http://141.218.60.56/~jnz1568/getInfo.php?workbook=14_09.xlsx&amp;sheet=A0&amp;row=497&amp;col=7&amp;number=0&amp;sourceID=14","0")</f>
        <v>0</v>
      </c>
    </row>
    <row r="498" spans="1:7">
      <c r="A498" s="3">
        <v>14</v>
      </c>
      <c r="B498" s="3">
        <v>9</v>
      </c>
      <c r="C498" s="3">
        <v>72</v>
      </c>
      <c r="D498" s="3">
        <v>7</v>
      </c>
      <c r="E498" s="3">
        <v>-282.902</v>
      </c>
      <c r="F498" s="4" t="str">
        <f>HYPERLINK("http://141.218.60.56/~jnz1568/getInfo.php?workbook=14_09.xlsx&amp;sheet=A0&amp;row=498&amp;col=6&amp;number=2220000000&amp;sourceID=14","2220000000")</f>
        <v>2220000000</v>
      </c>
      <c r="G498" s="4" t="str">
        <f>HYPERLINK("http://141.218.60.56/~jnz1568/getInfo.php?workbook=14_09.xlsx&amp;sheet=A0&amp;row=498&amp;col=7&amp;number=0&amp;sourceID=14","0")</f>
        <v>0</v>
      </c>
    </row>
    <row r="499" spans="1:7">
      <c r="A499" s="3">
        <v>14</v>
      </c>
      <c r="B499" s="3">
        <v>9</v>
      </c>
      <c r="C499" s="3">
        <v>73</v>
      </c>
      <c r="D499" s="3">
        <v>7</v>
      </c>
      <c r="E499" s="3">
        <v>-282.62</v>
      </c>
      <c r="F499" s="4" t="str">
        <f>HYPERLINK("http://141.218.60.56/~jnz1568/getInfo.php?workbook=14_09.xlsx&amp;sheet=A0&amp;row=499&amp;col=6&amp;number=30600000&amp;sourceID=14","30600000")</f>
        <v>30600000</v>
      </c>
      <c r="G499" s="4" t="str">
        <f>HYPERLINK("http://141.218.60.56/~jnz1568/getInfo.php?workbook=14_09.xlsx&amp;sheet=A0&amp;row=499&amp;col=7&amp;number=0&amp;sourceID=14","0")</f>
        <v>0</v>
      </c>
    </row>
    <row r="500" spans="1:7">
      <c r="A500" s="3">
        <v>14</v>
      </c>
      <c r="B500" s="3">
        <v>9</v>
      </c>
      <c r="C500" s="3">
        <v>74</v>
      </c>
      <c r="D500" s="3">
        <v>7</v>
      </c>
      <c r="E500" s="3">
        <v>-281.657</v>
      </c>
      <c r="F500" s="4" t="str">
        <f>HYPERLINK("http://141.218.60.56/~jnz1568/getInfo.php?workbook=14_09.xlsx&amp;sheet=A0&amp;row=500&amp;col=6&amp;number=2490000000&amp;sourceID=14","2490000000")</f>
        <v>2490000000</v>
      </c>
      <c r="G500" s="4" t="str">
        <f>HYPERLINK("http://141.218.60.56/~jnz1568/getInfo.php?workbook=14_09.xlsx&amp;sheet=A0&amp;row=500&amp;col=7&amp;number=0&amp;sourceID=14","0")</f>
        <v>0</v>
      </c>
    </row>
    <row r="501" spans="1:7">
      <c r="A501" s="3">
        <v>14</v>
      </c>
      <c r="B501" s="3">
        <v>9</v>
      </c>
      <c r="C501" s="3">
        <v>75</v>
      </c>
      <c r="D501" s="3">
        <v>7</v>
      </c>
      <c r="E501" s="3">
        <v>-281.215</v>
      </c>
      <c r="F501" s="4" t="str">
        <f>HYPERLINK("http://141.218.60.56/~jnz1568/getInfo.php?workbook=14_09.xlsx&amp;sheet=A0&amp;row=501&amp;col=6&amp;number=3330000&amp;sourceID=14","3330000")</f>
        <v>3330000</v>
      </c>
      <c r="G501" s="4" t="str">
        <f>HYPERLINK("http://141.218.60.56/~jnz1568/getInfo.php?workbook=14_09.xlsx&amp;sheet=A0&amp;row=501&amp;col=7&amp;number=0&amp;sourceID=14","0")</f>
        <v>0</v>
      </c>
    </row>
    <row r="502" spans="1:7">
      <c r="A502" s="3">
        <v>14</v>
      </c>
      <c r="B502" s="3">
        <v>9</v>
      </c>
      <c r="C502" s="3">
        <v>76</v>
      </c>
      <c r="D502" s="3">
        <v>7</v>
      </c>
      <c r="E502" s="3">
        <v>-280.989</v>
      </c>
      <c r="F502" s="4" t="str">
        <f>HYPERLINK("http://141.218.60.56/~jnz1568/getInfo.php?workbook=14_09.xlsx&amp;sheet=A0&amp;row=502&amp;col=6&amp;number=661000000&amp;sourceID=14","661000000")</f>
        <v>661000000</v>
      </c>
      <c r="G502" s="4" t="str">
        <f>HYPERLINK("http://141.218.60.56/~jnz1568/getInfo.php?workbook=14_09.xlsx&amp;sheet=A0&amp;row=502&amp;col=7&amp;number=0&amp;sourceID=14","0")</f>
        <v>0</v>
      </c>
    </row>
    <row r="503" spans="1:7">
      <c r="A503" s="3">
        <v>14</v>
      </c>
      <c r="B503" s="3">
        <v>9</v>
      </c>
      <c r="C503" s="3">
        <v>77</v>
      </c>
      <c r="D503" s="3">
        <v>7</v>
      </c>
      <c r="E503" s="3">
        <v>-275.485</v>
      </c>
      <c r="F503" s="4" t="str">
        <f>HYPERLINK("http://141.218.60.56/~jnz1568/getInfo.php?workbook=14_09.xlsx&amp;sheet=A0&amp;row=503&amp;col=6&amp;number=287000000&amp;sourceID=14","287000000")</f>
        <v>287000000</v>
      </c>
      <c r="G503" s="4" t="str">
        <f>HYPERLINK("http://141.218.60.56/~jnz1568/getInfo.php?workbook=14_09.xlsx&amp;sheet=A0&amp;row=503&amp;col=7&amp;number=0&amp;sourceID=14","0")</f>
        <v>0</v>
      </c>
    </row>
    <row r="504" spans="1:7">
      <c r="A504" s="3">
        <v>14</v>
      </c>
      <c r="B504" s="3">
        <v>9</v>
      </c>
      <c r="C504" s="3">
        <v>78</v>
      </c>
      <c r="D504" s="3">
        <v>7</v>
      </c>
      <c r="E504" s="3">
        <v>-274.823</v>
      </c>
      <c r="F504" s="4" t="str">
        <f>HYPERLINK("http://141.218.60.56/~jnz1568/getInfo.php?workbook=14_09.xlsx&amp;sheet=A0&amp;row=504&amp;col=6&amp;number=84300000&amp;sourceID=14","84300000")</f>
        <v>84300000</v>
      </c>
      <c r="G504" s="4" t="str">
        <f>HYPERLINK("http://141.218.60.56/~jnz1568/getInfo.php?workbook=14_09.xlsx&amp;sheet=A0&amp;row=504&amp;col=7&amp;number=0&amp;sourceID=14","0")</f>
        <v>0</v>
      </c>
    </row>
    <row r="505" spans="1:7">
      <c r="A505" s="3">
        <v>14</v>
      </c>
      <c r="B505" s="3">
        <v>9</v>
      </c>
      <c r="C505" s="3">
        <v>81</v>
      </c>
      <c r="D505" s="3">
        <v>7</v>
      </c>
      <c r="E505" s="3">
        <v>-272.054</v>
      </c>
      <c r="F505" s="4" t="str">
        <f>HYPERLINK("http://141.218.60.56/~jnz1568/getInfo.php?workbook=14_09.xlsx&amp;sheet=A0&amp;row=505&amp;col=6&amp;number=19400000&amp;sourceID=14","19400000")</f>
        <v>19400000</v>
      </c>
      <c r="G505" s="4" t="str">
        <f>HYPERLINK("http://141.218.60.56/~jnz1568/getInfo.php?workbook=14_09.xlsx&amp;sheet=A0&amp;row=505&amp;col=7&amp;number=0&amp;sourceID=14","0")</f>
        <v>0</v>
      </c>
    </row>
    <row r="506" spans="1:7">
      <c r="A506" s="3">
        <v>14</v>
      </c>
      <c r="B506" s="3">
        <v>9</v>
      </c>
      <c r="C506" s="3">
        <v>82</v>
      </c>
      <c r="D506" s="3">
        <v>7</v>
      </c>
      <c r="E506" s="3">
        <v>-270.034</v>
      </c>
      <c r="F506" s="4" t="str">
        <f>HYPERLINK("http://141.218.60.56/~jnz1568/getInfo.php?workbook=14_09.xlsx&amp;sheet=A0&amp;row=506&amp;col=6&amp;number=41000000&amp;sourceID=14","41000000")</f>
        <v>41000000</v>
      </c>
      <c r="G506" s="4" t="str">
        <f>HYPERLINK("http://141.218.60.56/~jnz1568/getInfo.php?workbook=14_09.xlsx&amp;sheet=A0&amp;row=506&amp;col=7&amp;number=0&amp;sourceID=14","0")</f>
        <v>0</v>
      </c>
    </row>
    <row r="507" spans="1:7">
      <c r="A507" s="3">
        <v>14</v>
      </c>
      <c r="B507" s="3">
        <v>9</v>
      </c>
      <c r="C507" s="3">
        <v>83</v>
      </c>
      <c r="D507" s="3">
        <v>7</v>
      </c>
      <c r="E507" s="3">
        <v>-268.825</v>
      </c>
      <c r="F507" s="4" t="str">
        <f>HYPERLINK("http://141.218.60.56/~jnz1568/getInfo.php?workbook=14_09.xlsx&amp;sheet=A0&amp;row=507&amp;col=6&amp;number=28400000&amp;sourceID=14","28400000")</f>
        <v>28400000</v>
      </c>
      <c r="G507" s="4" t="str">
        <f>HYPERLINK("http://141.218.60.56/~jnz1568/getInfo.php?workbook=14_09.xlsx&amp;sheet=A0&amp;row=507&amp;col=7&amp;number=0&amp;sourceID=14","0")</f>
        <v>0</v>
      </c>
    </row>
    <row r="508" spans="1:7">
      <c r="A508" s="3">
        <v>14</v>
      </c>
      <c r="B508" s="3">
        <v>9</v>
      </c>
      <c r="C508" s="3">
        <v>84</v>
      </c>
      <c r="D508" s="3">
        <v>7</v>
      </c>
      <c r="E508" s="3">
        <v>-262.793</v>
      </c>
      <c r="F508" s="4" t="str">
        <f>HYPERLINK("http://141.218.60.56/~jnz1568/getInfo.php?workbook=14_09.xlsx&amp;sheet=A0&amp;row=508&amp;col=6&amp;number=11200000000&amp;sourceID=14","11200000000")</f>
        <v>11200000000</v>
      </c>
      <c r="G508" s="4" t="str">
        <f>HYPERLINK("http://141.218.60.56/~jnz1568/getInfo.php?workbook=14_09.xlsx&amp;sheet=A0&amp;row=508&amp;col=7&amp;number=0&amp;sourceID=14","0")</f>
        <v>0</v>
      </c>
    </row>
    <row r="509" spans="1:7">
      <c r="A509" s="3">
        <v>14</v>
      </c>
      <c r="B509" s="3">
        <v>9</v>
      </c>
      <c r="C509" s="3">
        <v>85</v>
      </c>
      <c r="D509" s="3">
        <v>7</v>
      </c>
      <c r="E509" s="3">
        <v>-260.962</v>
      </c>
      <c r="F509" s="4" t="str">
        <f>HYPERLINK("http://141.218.60.56/~jnz1568/getInfo.php?workbook=14_09.xlsx&amp;sheet=A0&amp;row=509&amp;col=6&amp;number=4610000000&amp;sourceID=14","4610000000")</f>
        <v>4610000000</v>
      </c>
      <c r="G509" s="4" t="str">
        <f>HYPERLINK("http://141.218.60.56/~jnz1568/getInfo.php?workbook=14_09.xlsx&amp;sheet=A0&amp;row=509&amp;col=7&amp;number=0&amp;sourceID=14","0")</f>
        <v>0</v>
      </c>
    </row>
    <row r="510" spans="1:7">
      <c r="A510" s="3">
        <v>14</v>
      </c>
      <c r="B510" s="3">
        <v>9</v>
      </c>
      <c r="C510" s="3">
        <v>91</v>
      </c>
      <c r="D510" s="3">
        <v>7</v>
      </c>
      <c r="E510" s="3">
        <v>-256.294</v>
      </c>
      <c r="F510" s="4" t="str">
        <f>HYPERLINK("http://141.218.60.56/~jnz1568/getInfo.php?workbook=14_09.xlsx&amp;sheet=A0&amp;row=510&amp;col=6&amp;number=135000&amp;sourceID=14","135000")</f>
        <v>135000</v>
      </c>
      <c r="G510" s="4" t="str">
        <f>HYPERLINK("http://141.218.60.56/~jnz1568/getInfo.php?workbook=14_09.xlsx&amp;sheet=A0&amp;row=510&amp;col=7&amp;number=0&amp;sourceID=14","0")</f>
        <v>0</v>
      </c>
    </row>
    <row r="511" spans="1:7">
      <c r="A511" s="3">
        <v>14</v>
      </c>
      <c r="B511" s="3">
        <v>9</v>
      </c>
      <c r="C511" s="3">
        <v>95</v>
      </c>
      <c r="D511" s="3">
        <v>7</v>
      </c>
      <c r="E511" s="3">
        <v>-254.482</v>
      </c>
      <c r="F511" s="4" t="str">
        <f>HYPERLINK("http://141.218.60.56/~jnz1568/getInfo.php?workbook=14_09.xlsx&amp;sheet=A0&amp;row=511&amp;col=6&amp;number=251000&amp;sourceID=14","251000")</f>
        <v>251000</v>
      </c>
      <c r="G511" s="4" t="str">
        <f>HYPERLINK("http://141.218.60.56/~jnz1568/getInfo.php?workbook=14_09.xlsx&amp;sheet=A0&amp;row=511&amp;col=7&amp;number=0&amp;sourceID=14","0")</f>
        <v>0</v>
      </c>
    </row>
    <row r="512" spans="1:7">
      <c r="A512" s="3">
        <v>14</v>
      </c>
      <c r="B512" s="3">
        <v>9</v>
      </c>
      <c r="C512" s="3">
        <v>101</v>
      </c>
      <c r="D512" s="3">
        <v>7</v>
      </c>
      <c r="E512" s="3">
        <v>-251.822</v>
      </c>
      <c r="F512" s="4" t="str">
        <f>HYPERLINK("http://141.218.60.56/~jnz1568/getInfo.php?workbook=14_09.xlsx&amp;sheet=A0&amp;row=512&amp;col=6&amp;number=173000&amp;sourceID=14","173000")</f>
        <v>173000</v>
      </c>
      <c r="G512" s="4" t="str">
        <f>HYPERLINK("http://141.218.60.56/~jnz1568/getInfo.php?workbook=14_09.xlsx&amp;sheet=A0&amp;row=512&amp;col=7&amp;number=0&amp;sourceID=14","0")</f>
        <v>0</v>
      </c>
    </row>
    <row r="513" spans="1:7">
      <c r="A513" s="3">
        <v>14</v>
      </c>
      <c r="B513" s="3">
        <v>9</v>
      </c>
      <c r="C513" s="3">
        <v>106</v>
      </c>
      <c r="D513" s="3">
        <v>7</v>
      </c>
      <c r="E513" s="3">
        <v>-250.582</v>
      </c>
      <c r="F513" s="4" t="str">
        <f>HYPERLINK("http://141.218.60.56/~jnz1568/getInfo.php?workbook=14_09.xlsx&amp;sheet=A0&amp;row=513&amp;col=6&amp;number=1080000&amp;sourceID=14","1080000")</f>
        <v>1080000</v>
      </c>
      <c r="G513" s="4" t="str">
        <f>HYPERLINK("http://141.218.60.56/~jnz1568/getInfo.php?workbook=14_09.xlsx&amp;sheet=A0&amp;row=513&amp;col=7&amp;number=0&amp;sourceID=14","0")</f>
        <v>0</v>
      </c>
    </row>
    <row r="514" spans="1:7">
      <c r="A514" s="3">
        <v>14</v>
      </c>
      <c r="B514" s="3">
        <v>9</v>
      </c>
      <c r="C514" s="3">
        <v>108</v>
      </c>
      <c r="D514" s="3">
        <v>7</v>
      </c>
      <c r="E514" s="3">
        <v>-250.324</v>
      </c>
      <c r="F514" s="4" t="str">
        <f>HYPERLINK("http://141.218.60.56/~jnz1568/getInfo.php?workbook=14_09.xlsx&amp;sheet=A0&amp;row=514&amp;col=6&amp;number=522000&amp;sourceID=14","522000")</f>
        <v>522000</v>
      </c>
      <c r="G514" s="4" t="str">
        <f>HYPERLINK("http://141.218.60.56/~jnz1568/getInfo.php?workbook=14_09.xlsx&amp;sheet=A0&amp;row=514&amp;col=7&amp;number=0&amp;sourceID=14","0")</f>
        <v>0</v>
      </c>
    </row>
    <row r="515" spans="1:7">
      <c r="A515" s="3">
        <v>14</v>
      </c>
      <c r="B515" s="3">
        <v>9</v>
      </c>
      <c r="C515" s="3">
        <v>109</v>
      </c>
      <c r="D515" s="3">
        <v>7</v>
      </c>
      <c r="E515" s="3">
        <v>-250.155</v>
      </c>
      <c r="F515" s="4" t="str">
        <f>HYPERLINK("http://141.218.60.56/~jnz1568/getInfo.php?workbook=14_09.xlsx&amp;sheet=A0&amp;row=515&amp;col=6&amp;number=5980000&amp;sourceID=14","5980000")</f>
        <v>5980000</v>
      </c>
      <c r="G515" s="4" t="str">
        <f>HYPERLINK("http://141.218.60.56/~jnz1568/getInfo.php?workbook=14_09.xlsx&amp;sheet=A0&amp;row=515&amp;col=7&amp;number=0&amp;sourceID=14","0")</f>
        <v>0</v>
      </c>
    </row>
    <row r="516" spans="1:7">
      <c r="A516" s="3">
        <v>14</v>
      </c>
      <c r="B516" s="3">
        <v>9</v>
      </c>
      <c r="C516" s="3">
        <v>113</v>
      </c>
      <c r="D516" s="3">
        <v>7</v>
      </c>
      <c r="E516" s="3">
        <v>-249.728</v>
      </c>
      <c r="F516" s="4" t="str">
        <f>HYPERLINK("http://141.218.60.56/~jnz1568/getInfo.php?workbook=14_09.xlsx&amp;sheet=A0&amp;row=516&amp;col=6&amp;number=10100000&amp;sourceID=14","10100000")</f>
        <v>10100000</v>
      </c>
      <c r="G516" s="4" t="str">
        <f>HYPERLINK("http://141.218.60.56/~jnz1568/getInfo.php?workbook=14_09.xlsx&amp;sheet=A0&amp;row=516&amp;col=7&amp;number=0&amp;sourceID=14","0")</f>
        <v>0</v>
      </c>
    </row>
    <row r="517" spans="1:7">
      <c r="A517" s="3">
        <v>14</v>
      </c>
      <c r="B517" s="3">
        <v>9</v>
      </c>
      <c r="C517" s="3">
        <v>115</v>
      </c>
      <c r="D517" s="3">
        <v>7</v>
      </c>
      <c r="E517" s="3">
        <v>-249.634</v>
      </c>
      <c r="F517" s="4" t="str">
        <f>HYPERLINK("http://141.218.60.56/~jnz1568/getInfo.php?workbook=14_09.xlsx&amp;sheet=A0&amp;row=517&amp;col=6&amp;number=981000&amp;sourceID=14","981000")</f>
        <v>981000</v>
      </c>
      <c r="G517" s="4" t="str">
        <f>HYPERLINK("http://141.218.60.56/~jnz1568/getInfo.php?workbook=14_09.xlsx&amp;sheet=A0&amp;row=517&amp;col=7&amp;number=0&amp;sourceID=14","0")</f>
        <v>0</v>
      </c>
    </row>
    <row r="518" spans="1:7">
      <c r="A518" s="3">
        <v>14</v>
      </c>
      <c r="B518" s="3">
        <v>9</v>
      </c>
      <c r="C518" s="3">
        <v>116</v>
      </c>
      <c r="D518" s="3">
        <v>7</v>
      </c>
      <c r="E518" s="3">
        <v>-249.617</v>
      </c>
      <c r="F518" s="4" t="str">
        <f>HYPERLINK("http://141.218.60.56/~jnz1568/getInfo.php?workbook=14_09.xlsx&amp;sheet=A0&amp;row=518&amp;col=6&amp;number=1290000&amp;sourceID=14","1290000")</f>
        <v>1290000</v>
      </c>
      <c r="G518" s="4" t="str">
        <f>HYPERLINK("http://141.218.60.56/~jnz1568/getInfo.php?workbook=14_09.xlsx&amp;sheet=A0&amp;row=518&amp;col=7&amp;number=0&amp;sourceID=14","0")</f>
        <v>0</v>
      </c>
    </row>
    <row r="519" spans="1:7">
      <c r="A519" s="3">
        <v>14</v>
      </c>
      <c r="B519" s="3">
        <v>9</v>
      </c>
      <c r="C519" s="3">
        <v>117</v>
      </c>
      <c r="D519" s="3">
        <v>7</v>
      </c>
      <c r="E519" s="3">
        <v>-247.944</v>
      </c>
      <c r="F519" s="4" t="str">
        <f>HYPERLINK("http://141.218.60.56/~jnz1568/getInfo.php?workbook=14_09.xlsx&amp;sheet=A0&amp;row=519&amp;col=6&amp;number=949000&amp;sourceID=14","949000")</f>
        <v>949000</v>
      </c>
      <c r="G519" s="4" t="str">
        <f>HYPERLINK("http://141.218.60.56/~jnz1568/getInfo.php?workbook=14_09.xlsx&amp;sheet=A0&amp;row=519&amp;col=7&amp;number=0&amp;sourceID=14","0")</f>
        <v>0</v>
      </c>
    </row>
    <row r="520" spans="1:7">
      <c r="A520" s="3">
        <v>14</v>
      </c>
      <c r="B520" s="3">
        <v>9</v>
      </c>
      <c r="C520" s="3">
        <v>118</v>
      </c>
      <c r="D520" s="3">
        <v>7</v>
      </c>
      <c r="E520" s="3">
        <v>-247.899</v>
      </c>
      <c r="F520" s="4" t="str">
        <f>HYPERLINK("http://141.218.60.56/~jnz1568/getInfo.php?workbook=14_09.xlsx&amp;sheet=A0&amp;row=520&amp;col=6&amp;number=2910000&amp;sourceID=14","2910000")</f>
        <v>2910000</v>
      </c>
      <c r="G520" s="4" t="str">
        <f>HYPERLINK("http://141.218.60.56/~jnz1568/getInfo.php?workbook=14_09.xlsx&amp;sheet=A0&amp;row=520&amp;col=7&amp;number=0&amp;sourceID=14","0")</f>
        <v>0</v>
      </c>
    </row>
    <row r="521" spans="1:7">
      <c r="A521" s="3">
        <v>14</v>
      </c>
      <c r="B521" s="3">
        <v>9</v>
      </c>
      <c r="C521" s="3">
        <v>122</v>
      </c>
      <c r="D521" s="3">
        <v>7</v>
      </c>
      <c r="E521" s="3">
        <v>-247.282</v>
      </c>
      <c r="F521" s="4" t="str">
        <f>HYPERLINK("http://141.218.60.56/~jnz1568/getInfo.php?workbook=14_09.xlsx&amp;sheet=A0&amp;row=521&amp;col=6&amp;number=12400000&amp;sourceID=14","12400000")</f>
        <v>12400000</v>
      </c>
      <c r="G521" s="4" t="str">
        <f>HYPERLINK("http://141.218.60.56/~jnz1568/getInfo.php?workbook=14_09.xlsx&amp;sheet=A0&amp;row=521&amp;col=7&amp;number=0&amp;sourceID=14","0")</f>
        <v>0</v>
      </c>
    </row>
    <row r="522" spans="1:7">
      <c r="A522" s="3">
        <v>14</v>
      </c>
      <c r="B522" s="3">
        <v>9</v>
      </c>
      <c r="C522" s="3">
        <v>124</v>
      </c>
      <c r="D522" s="3">
        <v>7</v>
      </c>
      <c r="E522" s="3">
        <v>-246.594</v>
      </c>
      <c r="F522" s="4" t="str">
        <f>HYPERLINK("http://141.218.60.56/~jnz1568/getInfo.php?workbook=14_09.xlsx&amp;sheet=A0&amp;row=522&amp;col=6&amp;number=5830000&amp;sourceID=14","5830000")</f>
        <v>5830000</v>
      </c>
      <c r="G522" s="4" t="str">
        <f>HYPERLINK("http://141.218.60.56/~jnz1568/getInfo.php?workbook=14_09.xlsx&amp;sheet=A0&amp;row=522&amp;col=7&amp;number=0&amp;sourceID=14","0")</f>
        <v>0</v>
      </c>
    </row>
    <row r="523" spans="1:7">
      <c r="A523" s="3">
        <v>14</v>
      </c>
      <c r="B523" s="3">
        <v>9</v>
      </c>
      <c r="C523" s="3">
        <v>125</v>
      </c>
      <c r="D523" s="3">
        <v>7</v>
      </c>
      <c r="E523" s="3">
        <v>-242.71</v>
      </c>
      <c r="F523" s="4" t="str">
        <f>HYPERLINK("http://141.218.60.56/~jnz1568/getInfo.php?workbook=14_09.xlsx&amp;sheet=A0&amp;row=523&amp;col=6&amp;number=2590000000&amp;sourceID=14","2590000000")</f>
        <v>2590000000</v>
      </c>
      <c r="G523" s="4" t="str">
        <f>HYPERLINK("http://141.218.60.56/~jnz1568/getInfo.php?workbook=14_09.xlsx&amp;sheet=A0&amp;row=523&amp;col=7&amp;number=0&amp;sourceID=14","0")</f>
        <v>0</v>
      </c>
    </row>
    <row r="524" spans="1:7">
      <c r="A524" s="3">
        <v>14</v>
      </c>
      <c r="B524" s="3">
        <v>9</v>
      </c>
      <c r="C524" s="3">
        <v>126</v>
      </c>
      <c r="D524" s="3">
        <v>7</v>
      </c>
      <c r="E524" s="3">
        <v>-241.504</v>
      </c>
      <c r="F524" s="4" t="str">
        <f>HYPERLINK("http://141.218.60.56/~jnz1568/getInfo.php?workbook=14_09.xlsx&amp;sheet=A0&amp;row=524&amp;col=6&amp;number=1190000000&amp;sourceID=14","1190000000")</f>
        <v>1190000000</v>
      </c>
      <c r="G524" s="4" t="str">
        <f>HYPERLINK("http://141.218.60.56/~jnz1568/getInfo.php?workbook=14_09.xlsx&amp;sheet=A0&amp;row=524&amp;col=7&amp;number=0&amp;sourceID=14","0")</f>
        <v>0</v>
      </c>
    </row>
    <row r="525" spans="1:7">
      <c r="A525" s="3">
        <v>14</v>
      </c>
      <c r="B525" s="3">
        <v>9</v>
      </c>
      <c r="C525" s="3">
        <v>159</v>
      </c>
      <c r="D525" s="3">
        <v>7</v>
      </c>
      <c r="E525" s="3">
        <v>-213.4</v>
      </c>
      <c r="F525" s="4" t="str">
        <f>HYPERLINK("http://141.218.60.56/~jnz1568/getInfo.php?workbook=14_09.xlsx&amp;sheet=A0&amp;row=525&amp;col=6&amp;number=33800000&amp;sourceID=14","33800000")</f>
        <v>33800000</v>
      </c>
      <c r="G525" s="4" t="str">
        <f>HYPERLINK("http://141.218.60.56/~jnz1568/getInfo.php?workbook=14_09.xlsx&amp;sheet=A0&amp;row=525&amp;col=7&amp;number=0&amp;sourceID=14","0")</f>
        <v>0</v>
      </c>
    </row>
    <row r="526" spans="1:7">
      <c r="A526" s="3">
        <v>14</v>
      </c>
      <c r="B526" s="3">
        <v>9</v>
      </c>
      <c r="C526" s="3">
        <v>160</v>
      </c>
      <c r="D526" s="3">
        <v>7</v>
      </c>
      <c r="E526" s="3">
        <v>-213.343</v>
      </c>
      <c r="F526" s="4" t="str">
        <f>HYPERLINK("http://141.218.60.56/~jnz1568/getInfo.php?workbook=14_09.xlsx&amp;sheet=A0&amp;row=526&amp;col=6&amp;number=12100000&amp;sourceID=14","12100000")</f>
        <v>12100000</v>
      </c>
      <c r="G526" s="4" t="str">
        <f>HYPERLINK("http://141.218.60.56/~jnz1568/getInfo.php?workbook=14_09.xlsx&amp;sheet=A0&amp;row=526&amp;col=7&amp;number=0&amp;sourceID=14","0")</f>
        <v>0</v>
      </c>
    </row>
    <row r="527" spans="1:7">
      <c r="A527" s="3">
        <v>14</v>
      </c>
      <c r="B527" s="3">
        <v>9</v>
      </c>
      <c r="C527" s="3">
        <v>166</v>
      </c>
      <c r="D527" s="3">
        <v>7</v>
      </c>
      <c r="E527" s="3">
        <v>-190.154</v>
      </c>
      <c r="F527" s="4" t="str">
        <f>HYPERLINK("http://141.218.60.56/~jnz1568/getInfo.php?workbook=14_09.xlsx&amp;sheet=A0&amp;row=527&amp;col=6&amp;number=11200000&amp;sourceID=14","11200000")</f>
        <v>11200000</v>
      </c>
      <c r="G527" s="4" t="str">
        <f>HYPERLINK("http://141.218.60.56/~jnz1568/getInfo.php?workbook=14_09.xlsx&amp;sheet=A0&amp;row=527&amp;col=7&amp;number=0&amp;sourceID=14","0")</f>
        <v>0</v>
      </c>
    </row>
    <row r="528" spans="1:7">
      <c r="A528" s="3">
        <v>14</v>
      </c>
      <c r="B528" s="3">
        <v>9</v>
      </c>
      <c r="C528" s="3">
        <v>167</v>
      </c>
      <c r="D528" s="3">
        <v>7</v>
      </c>
      <c r="E528" s="3">
        <v>-190.102</v>
      </c>
      <c r="F528" s="4" t="str">
        <f>HYPERLINK("http://141.218.60.56/~jnz1568/getInfo.php?workbook=14_09.xlsx&amp;sheet=A0&amp;row=528&amp;col=6&amp;number=246000000&amp;sourceID=14","246000000")</f>
        <v>246000000</v>
      </c>
      <c r="G528" s="4" t="str">
        <f>HYPERLINK("http://141.218.60.56/~jnz1568/getInfo.php?workbook=14_09.xlsx&amp;sheet=A0&amp;row=528&amp;col=7&amp;number=0&amp;sourceID=14","0")</f>
        <v>0</v>
      </c>
    </row>
    <row r="529" spans="1:7">
      <c r="A529" s="3">
        <v>14</v>
      </c>
      <c r="B529" s="3">
        <v>9</v>
      </c>
      <c r="C529" s="3">
        <v>168</v>
      </c>
      <c r="D529" s="3">
        <v>7</v>
      </c>
      <c r="E529" s="3">
        <v>-182.461</v>
      </c>
      <c r="F529" s="4" t="str">
        <f>HYPERLINK("http://141.218.60.56/~jnz1568/getInfo.php?workbook=14_09.xlsx&amp;sheet=A0&amp;row=529&amp;col=6&amp;number=542000&amp;sourceID=14","542000")</f>
        <v>542000</v>
      </c>
      <c r="G529" s="4" t="str">
        <f>HYPERLINK("http://141.218.60.56/~jnz1568/getInfo.php?workbook=14_09.xlsx&amp;sheet=A0&amp;row=529&amp;col=7&amp;number=0&amp;sourceID=14","0")</f>
        <v>0</v>
      </c>
    </row>
    <row r="530" spans="1:7">
      <c r="A530" s="3">
        <v>14</v>
      </c>
      <c r="B530" s="3">
        <v>9</v>
      </c>
      <c r="C530" s="3">
        <v>176</v>
      </c>
      <c r="D530" s="3">
        <v>7</v>
      </c>
      <c r="E530" s="3">
        <v>-177.262</v>
      </c>
      <c r="F530" s="4" t="str">
        <f>HYPERLINK("http://141.218.60.56/~jnz1568/getInfo.php?workbook=14_09.xlsx&amp;sheet=A0&amp;row=530&amp;col=6&amp;number=657000&amp;sourceID=14","657000")</f>
        <v>657000</v>
      </c>
      <c r="G530" s="4" t="str">
        <f>HYPERLINK("http://141.218.60.56/~jnz1568/getInfo.php?workbook=14_09.xlsx&amp;sheet=A0&amp;row=530&amp;col=7&amp;number=0&amp;sourceID=14","0")</f>
        <v>0</v>
      </c>
    </row>
    <row r="531" spans="1:7">
      <c r="A531" s="3">
        <v>14</v>
      </c>
      <c r="B531" s="3">
        <v>9</v>
      </c>
      <c r="C531" s="3">
        <v>178</v>
      </c>
      <c r="D531" s="3">
        <v>7</v>
      </c>
      <c r="E531" s="3">
        <v>-177.155</v>
      </c>
      <c r="F531" s="4" t="str">
        <f>HYPERLINK("http://141.218.60.56/~jnz1568/getInfo.php?workbook=14_09.xlsx&amp;sheet=A0&amp;row=531&amp;col=6&amp;number=375000&amp;sourceID=14","375000")</f>
        <v>375000</v>
      </c>
      <c r="G531" s="4" t="str">
        <f>HYPERLINK("http://141.218.60.56/~jnz1568/getInfo.php?workbook=14_09.xlsx&amp;sheet=A0&amp;row=531&amp;col=7&amp;number=0&amp;sourceID=14","0")</f>
        <v>0</v>
      </c>
    </row>
    <row r="532" spans="1:7">
      <c r="A532" s="3">
        <v>14</v>
      </c>
      <c r="B532" s="3">
        <v>9</v>
      </c>
      <c r="C532" s="3">
        <v>179</v>
      </c>
      <c r="D532" s="3">
        <v>7</v>
      </c>
      <c r="E532" s="3">
        <v>-177.145</v>
      </c>
      <c r="F532" s="4" t="str">
        <f>HYPERLINK("http://141.218.60.56/~jnz1568/getInfo.php?workbook=14_09.xlsx&amp;sheet=A0&amp;row=532&amp;col=6&amp;number=888000&amp;sourceID=14","888000")</f>
        <v>888000</v>
      </c>
      <c r="G532" s="4" t="str">
        <f>HYPERLINK("http://141.218.60.56/~jnz1568/getInfo.php?workbook=14_09.xlsx&amp;sheet=A0&amp;row=532&amp;col=7&amp;number=0&amp;sourceID=14","0")</f>
        <v>0</v>
      </c>
    </row>
    <row r="533" spans="1:7">
      <c r="A533" s="3">
        <v>14</v>
      </c>
      <c r="B533" s="3">
        <v>9</v>
      </c>
      <c r="C533" s="3">
        <v>180</v>
      </c>
      <c r="D533" s="3">
        <v>7</v>
      </c>
      <c r="E533" s="3">
        <v>-176.797</v>
      </c>
      <c r="F533" s="4" t="str">
        <f>HYPERLINK("http://141.218.60.56/~jnz1568/getInfo.php?workbook=14_09.xlsx&amp;sheet=A0&amp;row=533&amp;col=6&amp;number=551000&amp;sourceID=14","551000")</f>
        <v>551000</v>
      </c>
      <c r="G533" s="4" t="str">
        <f>HYPERLINK("http://141.218.60.56/~jnz1568/getInfo.php?workbook=14_09.xlsx&amp;sheet=A0&amp;row=533&amp;col=7&amp;number=0&amp;sourceID=14","0")</f>
        <v>0</v>
      </c>
    </row>
    <row r="534" spans="1:7">
      <c r="A534" s="3">
        <v>14</v>
      </c>
      <c r="B534" s="3">
        <v>9</v>
      </c>
      <c r="C534" s="3">
        <v>182</v>
      </c>
      <c r="D534" s="3">
        <v>7</v>
      </c>
      <c r="E534" s="3">
        <v>-175.429</v>
      </c>
      <c r="F534" s="4" t="str">
        <f>HYPERLINK("http://141.218.60.56/~jnz1568/getInfo.php?workbook=14_09.xlsx&amp;sheet=A0&amp;row=534&amp;col=6&amp;number=365000&amp;sourceID=14","365000")</f>
        <v>365000</v>
      </c>
      <c r="G534" s="4" t="str">
        <f>HYPERLINK("http://141.218.60.56/~jnz1568/getInfo.php?workbook=14_09.xlsx&amp;sheet=A0&amp;row=534&amp;col=7&amp;number=0&amp;sourceID=14","0")</f>
        <v>0</v>
      </c>
    </row>
    <row r="535" spans="1:7">
      <c r="A535" s="3">
        <v>14</v>
      </c>
      <c r="B535" s="3">
        <v>9</v>
      </c>
      <c r="C535" s="3">
        <v>192</v>
      </c>
      <c r="D535" s="3">
        <v>7</v>
      </c>
      <c r="E535" s="3">
        <v>-139.814</v>
      </c>
      <c r="F535" s="4" t="str">
        <f>HYPERLINK("http://141.218.60.56/~jnz1568/getInfo.php?workbook=14_09.xlsx&amp;sheet=A0&amp;row=535&amp;col=6&amp;number=11100000&amp;sourceID=14","11100000")</f>
        <v>11100000</v>
      </c>
      <c r="G535" s="4" t="str">
        <f>HYPERLINK("http://141.218.60.56/~jnz1568/getInfo.php?workbook=14_09.xlsx&amp;sheet=A0&amp;row=535&amp;col=7&amp;number=0&amp;sourceID=14","0")</f>
        <v>0</v>
      </c>
    </row>
    <row r="536" spans="1:7">
      <c r="A536" s="3">
        <v>14</v>
      </c>
      <c r="B536" s="3">
        <v>9</v>
      </c>
      <c r="C536" s="3">
        <v>193</v>
      </c>
      <c r="D536" s="3">
        <v>7</v>
      </c>
      <c r="E536" s="3">
        <v>-139.787</v>
      </c>
      <c r="F536" s="4" t="str">
        <f>HYPERLINK("http://141.218.60.56/~jnz1568/getInfo.php?workbook=14_09.xlsx&amp;sheet=A0&amp;row=536&amp;col=6&amp;number=4940000&amp;sourceID=14","4940000")</f>
        <v>4940000</v>
      </c>
      <c r="G536" s="4" t="str">
        <f>HYPERLINK("http://141.218.60.56/~jnz1568/getInfo.php?workbook=14_09.xlsx&amp;sheet=A0&amp;row=536&amp;col=7&amp;number=0&amp;sourceID=14","0")</f>
        <v>0</v>
      </c>
    </row>
    <row r="537" spans="1:7">
      <c r="A537" s="3">
        <v>14</v>
      </c>
      <c r="B537" s="3">
        <v>9</v>
      </c>
      <c r="C537" s="3">
        <v>194</v>
      </c>
      <c r="D537" s="3">
        <v>7</v>
      </c>
      <c r="E537" s="3">
        <v>-139.235</v>
      </c>
      <c r="F537" s="4" t="str">
        <f>HYPERLINK("http://141.218.60.56/~jnz1568/getInfo.php?workbook=14_09.xlsx&amp;sheet=A0&amp;row=537&amp;col=6&amp;number=7800000&amp;sourceID=14","7800000")</f>
        <v>7800000</v>
      </c>
      <c r="G537" s="4" t="str">
        <f>HYPERLINK("http://141.218.60.56/~jnz1568/getInfo.php?workbook=14_09.xlsx&amp;sheet=A0&amp;row=537&amp;col=7&amp;number=0&amp;sourceID=14","0")</f>
        <v>0</v>
      </c>
    </row>
    <row r="538" spans="1:7">
      <c r="A538" s="3">
        <v>14</v>
      </c>
      <c r="B538" s="3">
        <v>9</v>
      </c>
      <c r="C538" s="3">
        <v>195</v>
      </c>
      <c r="D538" s="3">
        <v>7</v>
      </c>
      <c r="E538" s="3">
        <v>-139.221</v>
      </c>
      <c r="F538" s="4" t="str">
        <f>HYPERLINK("http://141.218.60.56/~jnz1568/getInfo.php?workbook=14_09.xlsx&amp;sheet=A0&amp;row=538&amp;col=6&amp;number=54000000&amp;sourceID=14","54000000")</f>
        <v>54000000</v>
      </c>
      <c r="G538" s="4" t="str">
        <f>HYPERLINK("http://141.218.60.56/~jnz1568/getInfo.php?workbook=14_09.xlsx&amp;sheet=A0&amp;row=538&amp;col=7&amp;number=0&amp;sourceID=14","0")</f>
        <v>0</v>
      </c>
    </row>
    <row r="539" spans="1:7">
      <c r="A539" s="3">
        <v>14</v>
      </c>
      <c r="B539" s="3">
        <v>9</v>
      </c>
      <c r="C539" s="3">
        <v>13</v>
      </c>
      <c r="D539" s="3">
        <v>8</v>
      </c>
      <c r="E539" s="3">
        <v>1612.7</v>
      </c>
      <c r="F539" s="4" t="str">
        <f>HYPERLINK("http://141.218.60.56/~jnz1568/getInfo.php?workbook=14_09.xlsx&amp;sheet=A0&amp;row=539&amp;col=6&amp;number=320000&amp;sourceID=14","320000")</f>
        <v>320000</v>
      </c>
      <c r="G539" s="4" t="str">
        <f>HYPERLINK("http://141.218.60.56/~jnz1568/getInfo.php?workbook=14_09.xlsx&amp;sheet=A0&amp;row=539&amp;col=7&amp;number=0&amp;sourceID=14","0")</f>
        <v>0</v>
      </c>
    </row>
    <row r="540" spans="1:7">
      <c r="A540" s="3">
        <v>14</v>
      </c>
      <c r="B540" s="3">
        <v>9</v>
      </c>
      <c r="C540" s="3">
        <v>16</v>
      </c>
      <c r="D540" s="3">
        <v>8</v>
      </c>
      <c r="E540" s="3">
        <v>1367.978</v>
      </c>
      <c r="F540" s="4" t="str">
        <f>HYPERLINK("http://141.218.60.56/~jnz1568/getInfo.php?workbook=14_09.xlsx&amp;sheet=A0&amp;row=540&amp;col=6&amp;number=4380000&amp;sourceID=14","4380000")</f>
        <v>4380000</v>
      </c>
      <c r="G540" s="4" t="str">
        <f>HYPERLINK("http://141.218.60.56/~jnz1568/getInfo.php?workbook=14_09.xlsx&amp;sheet=A0&amp;row=540&amp;col=7&amp;number=0&amp;sourceID=14","0")</f>
        <v>0</v>
      </c>
    </row>
    <row r="541" spans="1:7">
      <c r="A541" s="3">
        <v>14</v>
      </c>
      <c r="B541" s="3">
        <v>9</v>
      </c>
      <c r="C541" s="3">
        <v>17</v>
      </c>
      <c r="D541" s="3">
        <v>8</v>
      </c>
      <c r="E541" s="3">
        <v>1353.169</v>
      </c>
      <c r="F541" s="4" t="str">
        <f>HYPERLINK("http://141.218.60.56/~jnz1568/getInfo.php?workbook=14_09.xlsx&amp;sheet=A0&amp;row=541&amp;col=6&amp;number=725000&amp;sourceID=14","725000")</f>
        <v>725000</v>
      </c>
      <c r="G541" s="4" t="str">
        <f>HYPERLINK("http://141.218.60.56/~jnz1568/getInfo.php?workbook=14_09.xlsx&amp;sheet=A0&amp;row=541&amp;col=7&amp;number=0&amp;sourceID=14","0")</f>
        <v>0</v>
      </c>
    </row>
    <row r="542" spans="1:7">
      <c r="A542" s="3">
        <v>14</v>
      </c>
      <c r="B542" s="3">
        <v>9</v>
      </c>
      <c r="C542" s="3">
        <v>19</v>
      </c>
      <c r="D542" s="3">
        <v>8</v>
      </c>
      <c r="E542" s="3">
        <v>1243.298</v>
      </c>
      <c r="F542" s="4" t="str">
        <f>HYPERLINK("http://141.218.60.56/~jnz1568/getInfo.php?workbook=14_09.xlsx&amp;sheet=A0&amp;row=542&amp;col=6&amp;number=534000000&amp;sourceID=14","534000000")</f>
        <v>534000000</v>
      </c>
      <c r="G542" s="4" t="str">
        <f>HYPERLINK("http://141.218.60.56/~jnz1568/getInfo.php?workbook=14_09.xlsx&amp;sheet=A0&amp;row=542&amp;col=7&amp;number=0&amp;sourceID=14","0")</f>
        <v>0</v>
      </c>
    </row>
    <row r="543" spans="1:7">
      <c r="A543" s="3">
        <v>14</v>
      </c>
      <c r="B543" s="3">
        <v>9</v>
      </c>
      <c r="C543" s="3">
        <v>20</v>
      </c>
      <c r="D543" s="3">
        <v>8</v>
      </c>
      <c r="E543" s="3">
        <v>-1232.592</v>
      </c>
      <c r="F543" s="4" t="str">
        <f>HYPERLINK("http://141.218.60.56/~jnz1568/getInfo.php?workbook=14_09.xlsx&amp;sheet=A0&amp;row=543&amp;col=6&amp;number=9910000&amp;sourceID=14","9910000")</f>
        <v>9910000</v>
      </c>
      <c r="G543" s="4" t="str">
        <f>HYPERLINK("http://141.218.60.56/~jnz1568/getInfo.php?workbook=14_09.xlsx&amp;sheet=A0&amp;row=543&amp;col=7&amp;number=0&amp;sourceID=14","0")</f>
        <v>0</v>
      </c>
    </row>
    <row r="544" spans="1:7">
      <c r="A544" s="3">
        <v>14</v>
      </c>
      <c r="B544" s="3">
        <v>9</v>
      </c>
      <c r="C544" s="3">
        <v>21</v>
      </c>
      <c r="D544" s="3">
        <v>8</v>
      </c>
      <c r="E544" s="3">
        <v>1181.308</v>
      </c>
      <c r="F544" s="4" t="str">
        <f>HYPERLINK("http://141.218.60.56/~jnz1568/getInfo.php?workbook=14_09.xlsx&amp;sheet=A0&amp;row=544&amp;col=6&amp;number=41900000&amp;sourceID=14","41900000")</f>
        <v>41900000</v>
      </c>
      <c r="G544" s="4" t="str">
        <f>HYPERLINK("http://141.218.60.56/~jnz1568/getInfo.php?workbook=14_09.xlsx&amp;sheet=A0&amp;row=544&amp;col=7&amp;number=0&amp;sourceID=14","0")</f>
        <v>0</v>
      </c>
    </row>
    <row r="545" spans="1:7">
      <c r="A545" s="3">
        <v>14</v>
      </c>
      <c r="B545" s="3">
        <v>9</v>
      </c>
      <c r="C545" s="3">
        <v>22</v>
      </c>
      <c r="D545" s="3">
        <v>8</v>
      </c>
      <c r="E545" s="3">
        <v>1170.743</v>
      </c>
      <c r="F545" s="4" t="str">
        <f>HYPERLINK("http://141.218.60.56/~jnz1568/getInfo.php?workbook=14_09.xlsx&amp;sheet=A0&amp;row=545&amp;col=6&amp;number=234000000&amp;sourceID=14","234000000")</f>
        <v>234000000</v>
      </c>
      <c r="G545" s="4" t="str">
        <f>HYPERLINK("http://141.218.60.56/~jnz1568/getInfo.php?workbook=14_09.xlsx&amp;sheet=A0&amp;row=545&amp;col=7&amp;number=0&amp;sourceID=14","0")</f>
        <v>0</v>
      </c>
    </row>
    <row r="546" spans="1:7">
      <c r="A546" s="3">
        <v>14</v>
      </c>
      <c r="B546" s="3">
        <v>9</v>
      </c>
      <c r="C546" s="3">
        <v>23</v>
      </c>
      <c r="D546" s="3">
        <v>8</v>
      </c>
      <c r="E546" s="3">
        <v>-1168.377</v>
      </c>
      <c r="F546" s="4" t="str">
        <f>HYPERLINK("http://141.218.60.56/~jnz1568/getInfo.php?workbook=14_09.xlsx&amp;sheet=A0&amp;row=546&amp;col=6&amp;number=738000000&amp;sourceID=14","738000000")</f>
        <v>738000000</v>
      </c>
      <c r="G546" s="4" t="str">
        <f>HYPERLINK("http://141.218.60.56/~jnz1568/getInfo.php?workbook=14_09.xlsx&amp;sheet=A0&amp;row=546&amp;col=7&amp;number=0&amp;sourceID=14","0")</f>
        <v>0</v>
      </c>
    </row>
    <row r="547" spans="1:7">
      <c r="A547" s="3">
        <v>14</v>
      </c>
      <c r="B547" s="3">
        <v>9</v>
      </c>
      <c r="C547" s="3">
        <v>27</v>
      </c>
      <c r="D547" s="3">
        <v>8</v>
      </c>
      <c r="E547" s="3">
        <v>800.322</v>
      </c>
      <c r="F547" s="4" t="str">
        <f>HYPERLINK("http://141.218.60.56/~jnz1568/getInfo.php?workbook=14_09.xlsx&amp;sheet=A0&amp;row=547&amp;col=6&amp;number=5750000&amp;sourceID=14","5750000")</f>
        <v>5750000</v>
      </c>
      <c r="G547" s="4" t="str">
        <f>HYPERLINK("http://141.218.60.56/~jnz1568/getInfo.php?workbook=14_09.xlsx&amp;sheet=A0&amp;row=547&amp;col=7&amp;number=0&amp;sourceID=14","0")</f>
        <v>0</v>
      </c>
    </row>
    <row r="548" spans="1:7">
      <c r="A548" s="3">
        <v>14</v>
      </c>
      <c r="B548" s="3">
        <v>9</v>
      </c>
      <c r="C548" s="3">
        <v>29</v>
      </c>
      <c r="D548" s="3">
        <v>8</v>
      </c>
      <c r="E548" s="3">
        <v>720.535</v>
      </c>
      <c r="F548" s="4" t="str">
        <f>HYPERLINK("http://141.218.60.56/~jnz1568/getInfo.php?workbook=14_09.xlsx&amp;sheet=A0&amp;row=548&amp;col=6&amp;number=409000000&amp;sourceID=14","409000000")</f>
        <v>409000000</v>
      </c>
      <c r="G548" s="4" t="str">
        <f>HYPERLINK("http://141.218.60.56/~jnz1568/getInfo.php?workbook=14_09.xlsx&amp;sheet=A0&amp;row=548&amp;col=7&amp;number=0&amp;sourceID=14","0")</f>
        <v>0</v>
      </c>
    </row>
    <row r="549" spans="1:7">
      <c r="A549" s="3">
        <v>14</v>
      </c>
      <c r="B549" s="3">
        <v>9</v>
      </c>
      <c r="C549" s="3">
        <v>30</v>
      </c>
      <c r="D549" s="3">
        <v>8</v>
      </c>
      <c r="E549" s="3">
        <v>708.396</v>
      </c>
      <c r="F549" s="4" t="str">
        <f>HYPERLINK("http://141.218.60.56/~jnz1568/getInfo.php?workbook=14_09.xlsx&amp;sheet=A0&amp;row=549&amp;col=6&amp;number=1510000000&amp;sourceID=14","1510000000")</f>
        <v>1510000000</v>
      </c>
      <c r="G549" s="4" t="str">
        <f>HYPERLINK("http://141.218.60.56/~jnz1568/getInfo.php?workbook=14_09.xlsx&amp;sheet=A0&amp;row=549&amp;col=7&amp;number=0&amp;sourceID=14","0")</f>
        <v>0</v>
      </c>
    </row>
    <row r="550" spans="1:7">
      <c r="A550" s="3">
        <v>14</v>
      </c>
      <c r="B550" s="3">
        <v>9</v>
      </c>
      <c r="C550" s="3">
        <v>44</v>
      </c>
      <c r="D550" s="3">
        <v>8</v>
      </c>
      <c r="E550" s="3">
        <v>-521.685</v>
      </c>
      <c r="F550" s="4" t="str">
        <f>HYPERLINK("http://141.218.60.56/~jnz1568/getInfo.php?workbook=14_09.xlsx&amp;sheet=A0&amp;row=550&amp;col=6&amp;number=49900000&amp;sourceID=14","49900000")</f>
        <v>49900000</v>
      </c>
      <c r="G550" s="4" t="str">
        <f>HYPERLINK("http://141.218.60.56/~jnz1568/getInfo.php?workbook=14_09.xlsx&amp;sheet=A0&amp;row=550&amp;col=7&amp;number=0&amp;sourceID=14","0")</f>
        <v>0</v>
      </c>
    </row>
    <row r="551" spans="1:7">
      <c r="A551" s="3">
        <v>14</v>
      </c>
      <c r="B551" s="3">
        <v>9</v>
      </c>
      <c r="C551" s="3">
        <v>45</v>
      </c>
      <c r="D551" s="3">
        <v>8</v>
      </c>
      <c r="E551" s="3">
        <v>-520.775</v>
      </c>
      <c r="F551" s="4" t="str">
        <f>HYPERLINK("http://141.218.60.56/~jnz1568/getInfo.php?workbook=14_09.xlsx&amp;sheet=A0&amp;row=551&amp;col=6&amp;number=252000000&amp;sourceID=14","252000000")</f>
        <v>252000000</v>
      </c>
      <c r="G551" s="4" t="str">
        <f>HYPERLINK("http://141.218.60.56/~jnz1568/getInfo.php?workbook=14_09.xlsx&amp;sheet=A0&amp;row=551&amp;col=7&amp;number=0&amp;sourceID=14","0")</f>
        <v>0</v>
      </c>
    </row>
    <row r="552" spans="1:7">
      <c r="A552" s="3">
        <v>14</v>
      </c>
      <c r="B552" s="3">
        <v>9</v>
      </c>
      <c r="C552" s="3">
        <v>67</v>
      </c>
      <c r="D552" s="3">
        <v>8</v>
      </c>
      <c r="E552" s="3">
        <v>-294.099</v>
      </c>
      <c r="F552" s="4" t="str">
        <f>HYPERLINK("http://141.218.60.56/~jnz1568/getInfo.php?workbook=14_09.xlsx&amp;sheet=A0&amp;row=552&amp;col=6&amp;number=793000&amp;sourceID=14","793000")</f>
        <v>793000</v>
      </c>
      <c r="G552" s="4" t="str">
        <f>HYPERLINK("http://141.218.60.56/~jnz1568/getInfo.php?workbook=14_09.xlsx&amp;sheet=A0&amp;row=552&amp;col=7&amp;number=0&amp;sourceID=14","0")</f>
        <v>0</v>
      </c>
    </row>
    <row r="553" spans="1:7">
      <c r="A553" s="3">
        <v>14</v>
      </c>
      <c r="B553" s="3">
        <v>9</v>
      </c>
      <c r="C553" s="3">
        <v>68</v>
      </c>
      <c r="D553" s="3">
        <v>8</v>
      </c>
      <c r="E553" s="3">
        <v>-292.835</v>
      </c>
      <c r="F553" s="4" t="str">
        <f>HYPERLINK("http://141.218.60.56/~jnz1568/getInfo.php?workbook=14_09.xlsx&amp;sheet=A0&amp;row=553&amp;col=6&amp;number=2800000&amp;sourceID=14","2800000")</f>
        <v>2800000</v>
      </c>
      <c r="G553" s="4" t="str">
        <f>HYPERLINK("http://141.218.60.56/~jnz1568/getInfo.php?workbook=14_09.xlsx&amp;sheet=A0&amp;row=553&amp;col=7&amp;number=0&amp;sourceID=14","0")</f>
        <v>0</v>
      </c>
    </row>
    <row r="554" spans="1:7">
      <c r="A554" s="3">
        <v>14</v>
      </c>
      <c r="B554" s="3">
        <v>9</v>
      </c>
      <c r="C554" s="3">
        <v>71</v>
      </c>
      <c r="D554" s="3">
        <v>8</v>
      </c>
      <c r="E554" s="3">
        <v>-286.519</v>
      </c>
      <c r="F554" s="4" t="str">
        <f>HYPERLINK("http://141.218.60.56/~jnz1568/getInfo.php?workbook=14_09.xlsx&amp;sheet=A0&amp;row=554&amp;col=6&amp;number=228000000&amp;sourceID=14","228000000")</f>
        <v>228000000</v>
      </c>
      <c r="G554" s="4" t="str">
        <f>HYPERLINK("http://141.218.60.56/~jnz1568/getInfo.php?workbook=14_09.xlsx&amp;sheet=A0&amp;row=554&amp;col=7&amp;number=0&amp;sourceID=14","0")</f>
        <v>0</v>
      </c>
    </row>
    <row r="555" spans="1:7">
      <c r="A555" s="3">
        <v>14</v>
      </c>
      <c r="B555" s="3">
        <v>9</v>
      </c>
      <c r="C555" s="3">
        <v>73</v>
      </c>
      <c r="D555" s="3">
        <v>8</v>
      </c>
      <c r="E555" s="3">
        <v>-285.599</v>
      </c>
      <c r="F555" s="4" t="str">
        <f>HYPERLINK("http://141.218.60.56/~jnz1568/getInfo.php?workbook=14_09.xlsx&amp;sheet=A0&amp;row=555&amp;col=6&amp;number=19500000&amp;sourceID=14","19500000")</f>
        <v>19500000</v>
      </c>
      <c r="G555" s="4" t="str">
        <f>HYPERLINK("http://141.218.60.56/~jnz1568/getInfo.php?workbook=14_09.xlsx&amp;sheet=A0&amp;row=555&amp;col=7&amp;number=0&amp;sourceID=14","0")</f>
        <v>0</v>
      </c>
    </row>
    <row r="556" spans="1:7">
      <c r="A556" s="3">
        <v>14</v>
      </c>
      <c r="B556" s="3">
        <v>9</v>
      </c>
      <c r="C556" s="3">
        <v>74</v>
      </c>
      <c r="D556" s="3">
        <v>8</v>
      </c>
      <c r="E556" s="3">
        <v>-284.615</v>
      </c>
      <c r="F556" s="4" t="str">
        <f>HYPERLINK("http://141.218.60.56/~jnz1568/getInfo.php?workbook=14_09.xlsx&amp;sheet=A0&amp;row=556&amp;col=6&amp;number=562000000&amp;sourceID=14","562000000")</f>
        <v>562000000</v>
      </c>
      <c r="G556" s="4" t="str">
        <f>HYPERLINK("http://141.218.60.56/~jnz1568/getInfo.php?workbook=14_09.xlsx&amp;sheet=A0&amp;row=556&amp;col=7&amp;number=0&amp;sourceID=14","0")</f>
        <v>0</v>
      </c>
    </row>
    <row r="557" spans="1:7">
      <c r="A557" s="3">
        <v>14</v>
      </c>
      <c r="B557" s="3">
        <v>9</v>
      </c>
      <c r="C557" s="3">
        <v>75</v>
      </c>
      <c r="D557" s="3">
        <v>8</v>
      </c>
      <c r="E557" s="3">
        <v>-284.165</v>
      </c>
      <c r="F557" s="4" t="str">
        <f>HYPERLINK("http://141.218.60.56/~jnz1568/getInfo.php?workbook=14_09.xlsx&amp;sheet=A0&amp;row=557&amp;col=6&amp;number=119000000&amp;sourceID=14","119000000")</f>
        <v>119000000</v>
      </c>
      <c r="G557" s="4" t="str">
        <f>HYPERLINK("http://141.218.60.56/~jnz1568/getInfo.php?workbook=14_09.xlsx&amp;sheet=A0&amp;row=557&amp;col=7&amp;number=0&amp;sourceID=14","0")</f>
        <v>0</v>
      </c>
    </row>
    <row r="558" spans="1:7">
      <c r="A558" s="3">
        <v>14</v>
      </c>
      <c r="B558" s="3">
        <v>9</v>
      </c>
      <c r="C558" s="3">
        <v>76</v>
      </c>
      <c r="D558" s="3">
        <v>8</v>
      </c>
      <c r="E558" s="3">
        <v>-283.934</v>
      </c>
      <c r="F558" s="4" t="str">
        <f>HYPERLINK("http://141.218.60.56/~jnz1568/getInfo.php?workbook=14_09.xlsx&amp;sheet=A0&amp;row=558&amp;col=6&amp;number=1950000000&amp;sourceID=14","1950000000")</f>
        <v>1950000000</v>
      </c>
      <c r="G558" s="4" t="str">
        <f>HYPERLINK("http://141.218.60.56/~jnz1568/getInfo.php?workbook=14_09.xlsx&amp;sheet=A0&amp;row=558&amp;col=7&amp;number=0&amp;sourceID=14","0")</f>
        <v>0</v>
      </c>
    </row>
    <row r="559" spans="1:7">
      <c r="A559" s="3">
        <v>14</v>
      </c>
      <c r="B559" s="3">
        <v>9</v>
      </c>
      <c r="C559" s="3">
        <v>77</v>
      </c>
      <c r="D559" s="3">
        <v>8</v>
      </c>
      <c r="E559" s="3">
        <v>-278.315</v>
      </c>
      <c r="F559" s="4" t="str">
        <f>HYPERLINK("http://141.218.60.56/~jnz1568/getInfo.php?workbook=14_09.xlsx&amp;sheet=A0&amp;row=559&amp;col=6&amp;number=321000000&amp;sourceID=14","321000000")</f>
        <v>321000000</v>
      </c>
      <c r="G559" s="4" t="str">
        <f>HYPERLINK("http://141.218.60.56/~jnz1568/getInfo.php?workbook=14_09.xlsx&amp;sheet=A0&amp;row=559&amp;col=7&amp;number=0&amp;sourceID=14","0")</f>
        <v>0</v>
      </c>
    </row>
    <row r="560" spans="1:7">
      <c r="A560" s="3">
        <v>14</v>
      </c>
      <c r="B560" s="3">
        <v>9</v>
      </c>
      <c r="C560" s="3">
        <v>78</v>
      </c>
      <c r="D560" s="3">
        <v>8</v>
      </c>
      <c r="E560" s="3">
        <v>-277.639</v>
      </c>
      <c r="F560" s="4" t="str">
        <f>HYPERLINK("http://141.218.60.56/~jnz1568/getInfo.php?workbook=14_09.xlsx&amp;sheet=A0&amp;row=560&amp;col=6&amp;number=1050000000&amp;sourceID=14","1050000000")</f>
        <v>1050000000</v>
      </c>
      <c r="G560" s="4" t="str">
        <f>HYPERLINK("http://141.218.60.56/~jnz1568/getInfo.php?workbook=14_09.xlsx&amp;sheet=A0&amp;row=560&amp;col=7&amp;number=0&amp;sourceID=14","0")</f>
        <v>0</v>
      </c>
    </row>
    <row r="561" spans="1:7">
      <c r="A561" s="3">
        <v>14</v>
      </c>
      <c r="B561" s="3">
        <v>9</v>
      </c>
      <c r="C561" s="3">
        <v>82</v>
      </c>
      <c r="D561" s="3">
        <v>8</v>
      </c>
      <c r="E561" s="3">
        <v>-272.752</v>
      </c>
      <c r="F561" s="4" t="str">
        <f>HYPERLINK("http://141.218.60.56/~jnz1568/getInfo.php?workbook=14_09.xlsx&amp;sheet=A0&amp;row=561&amp;col=6&amp;number=6340000&amp;sourceID=14","6340000")</f>
        <v>6340000</v>
      </c>
      <c r="G561" s="4" t="str">
        <f>HYPERLINK("http://141.218.60.56/~jnz1568/getInfo.php?workbook=14_09.xlsx&amp;sheet=A0&amp;row=561&amp;col=7&amp;number=0&amp;sourceID=14","0")</f>
        <v>0</v>
      </c>
    </row>
    <row r="562" spans="1:7">
      <c r="A562" s="3">
        <v>14</v>
      </c>
      <c r="B562" s="3">
        <v>9</v>
      </c>
      <c r="C562" s="3">
        <v>83</v>
      </c>
      <c r="D562" s="3">
        <v>8</v>
      </c>
      <c r="E562" s="3">
        <v>-271.519</v>
      </c>
      <c r="F562" s="4" t="str">
        <f>HYPERLINK("http://141.218.60.56/~jnz1568/getInfo.php?workbook=14_09.xlsx&amp;sheet=A0&amp;row=562&amp;col=6&amp;number=53700000&amp;sourceID=14","53700000")</f>
        <v>53700000</v>
      </c>
      <c r="G562" s="4" t="str">
        <f>HYPERLINK("http://141.218.60.56/~jnz1568/getInfo.php?workbook=14_09.xlsx&amp;sheet=A0&amp;row=562&amp;col=7&amp;number=0&amp;sourceID=14","0")</f>
        <v>0</v>
      </c>
    </row>
    <row r="563" spans="1:7">
      <c r="A563" s="3">
        <v>14</v>
      </c>
      <c r="B563" s="3">
        <v>9</v>
      </c>
      <c r="C563" s="3">
        <v>84</v>
      </c>
      <c r="D563" s="3">
        <v>8</v>
      </c>
      <c r="E563" s="3">
        <v>-265.366</v>
      </c>
      <c r="F563" s="4" t="str">
        <f>HYPERLINK("http://141.218.60.56/~jnz1568/getInfo.php?workbook=14_09.xlsx&amp;sheet=A0&amp;row=563&amp;col=6&amp;number=2210000000&amp;sourceID=14","2210000000")</f>
        <v>2210000000</v>
      </c>
      <c r="G563" s="4" t="str">
        <f>HYPERLINK("http://141.218.60.56/~jnz1568/getInfo.php?workbook=14_09.xlsx&amp;sheet=A0&amp;row=563&amp;col=7&amp;number=0&amp;sourceID=14","0")</f>
        <v>0</v>
      </c>
    </row>
    <row r="564" spans="1:7">
      <c r="A564" s="3">
        <v>14</v>
      </c>
      <c r="B564" s="3">
        <v>9</v>
      </c>
      <c r="C564" s="3">
        <v>85</v>
      </c>
      <c r="D564" s="3">
        <v>8</v>
      </c>
      <c r="E564" s="3">
        <v>-263.5</v>
      </c>
      <c r="F564" s="4" t="str">
        <f>HYPERLINK("http://141.218.60.56/~jnz1568/getInfo.php?workbook=14_09.xlsx&amp;sheet=A0&amp;row=564&amp;col=6&amp;number=8660000000&amp;sourceID=14","8660000000")</f>
        <v>8660000000</v>
      </c>
      <c r="G564" s="4" t="str">
        <f>HYPERLINK("http://141.218.60.56/~jnz1568/getInfo.php?workbook=14_09.xlsx&amp;sheet=A0&amp;row=564&amp;col=7&amp;number=0&amp;sourceID=14","0")</f>
        <v>0</v>
      </c>
    </row>
    <row r="565" spans="1:7">
      <c r="A565" s="3">
        <v>14</v>
      </c>
      <c r="B565" s="3">
        <v>9</v>
      </c>
      <c r="C565" s="3">
        <v>108</v>
      </c>
      <c r="D565" s="3">
        <v>8</v>
      </c>
      <c r="E565" s="3">
        <v>-252.658</v>
      </c>
      <c r="F565" s="4" t="str">
        <f>HYPERLINK("http://141.218.60.56/~jnz1568/getInfo.php?workbook=14_09.xlsx&amp;sheet=A0&amp;row=565&amp;col=6&amp;number=2940000&amp;sourceID=14","2940000")</f>
        <v>2940000</v>
      </c>
      <c r="G565" s="4" t="str">
        <f>HYPERLINK("http://141.218.60.56/~jnz1568/getInfo.php?workbook=14_09.xlsx&amp;sheet=A0&amp;row=565&amp;col=7&amp;number=0&amp;sourceID=14","0")</f>
        <v>0</v>
      </c>
    </row>
    <row r="566" spans="1:7">
      <c r="A566" s="3">
        <v>14</v>
      </c>
      <c r="B566" s="3">
        <v>9</v>
      </c>
      <c r="C566" s="3">
        <v>113</v>
      </c>
      <c r="D566" s="3">
        <v>8</v>
      </c>
      <c r="E566" s="3">
        <v>-252.051</v>
      </c>
      <c r="F566" s="4" t="str">
        <f>HYPERLINK("http://141.218.60.56/~jnz1568/getInfo.php?workbook=14_09.xlsx&amp;sheet=A0&amp;row=566&amp;col=6&amp;number=1210000&amp;sourceID=14","1210000")</f>
        <v>1210000</v>
      </c>
      <c r="G566" s="4" t="str">
        <f>HYPERLINK("http://141.218.60.56/~jnz1568/getInfo.php?workbook=14_09.xlsx&amp;sheet=A0&amp;row=566&amp;col=7&amp;number=0&amp;sourceID=14","0")</f>
        <v>0</v>
      </c>
    </row>
    <row r="567" spans="1:7">
      <c r="A567" s="3">
        <v>14</v>
      </c>
      <c r="B567" s="3">
        <v>9</v>
      </c>
      <c r="C567" s="3">
        <v>116</v>
      </c>
      <c r="D567" s="3">
        <v>8</v>
      </c>
      <c r="E567" s="3">
        <v>-251.938</v>
      </c>
      <c r="F567" s="4" t="str">
        <f>HYPERLINK("http://141.218.60.56/~jnz1568/getInfo.php?workbook=14_09.xlsx&amp;sheet=A0&amp;row=567&amp;col=6&amp;number=17300000&amp;sourceID=14","17300000")</f>
        <v>17300000</v>
      </c>
      <c r="G567" s="4" t="str">
        <f>HYPERLINK("http://141.218.60.56/~jnz1568/getInfo.php?workbook=14_09.xlsx&amp;sheet=A0&amp;row=567&amp;col=7&amp;number=0&amp;sourceID=14","0")</f>
        <v>0</v>
      </c>
    </row>
    <row r="568" spans="1:7">
      <c r="A568" s="3">
        <v>14</v>
      </c>
      <c r="B568" s="3">
        <v>9</v>
      </c>
      <c r="C568" s="3">
        <v>117</v>
      </c>
      <c r="D568" s="3">
        <v>8</v>
      </c>
      <c r="E568" s="3">
        <v>-250.234</v>
      </c>
      <c r="F568" s="4" t="str">
        <f>HYPERLINK("http://141.218.60.56/~jnz1568/getInfo.php?workbook=14_09.xlsx&amp;sheet=A0&amp;row=568&amp;col=6&amp;number=8150000&amp;sourceID=14","8150000")</f>
        <v>8150000</v>
      </c>
      <c r="G568" s="4" t="str">
        <f>HYPERLINK("http://141.218.60.56/~jnz1568/getInfo.php?workbook=14_09.xlsx&amp;sheet=A0&amp;row=568&amp;col=7&amp;number=0&amp;sourceID=14","0")</f>
        <v>0</v>
      </c>
    </row>
    <row r="569" spans="1:7">
      <c r="A569" s="3">
        <v>14</v>
      </c>
      <c r="B569" s="3">
        <v>9</v>
      </c>
      <c r="C569" s="3">
        <v>125</v>
      </c>
      <c r="D569" s="3">
        <v>8</v>
      </c>
      <c r="E569" s="3">
        <v>-244.904</v>
      </c>
      <c r="F569" s="4" t="str">
        <f>HYPERLINK("http://141.218.60.56/~jnz1568/getInfo.php?workbook=14_09.xlsx&amp;sheet=A0&amp;row=569&amp;col=6&amp;number=528000000&amp;sourceID=14","528000000")</f>
        <v>528000000</v>
      </c>
      <c r="G569" s="4" t="str">
        <f>HYPERLINK("http://141.218.60.56/~jnz1568/getInfo.php?workbook=14_09.xlsx&amp;sheet=A0&amp;row=569&amp;col=7&amp;number=0&amp;sourceID=14","0")</f>
        <v>0</v>
      </c>
    </row>
    <row r="570" spans="1:7">
      <c r="A570" s="3">
        <v>14</v>
      </c>
      <c r="B570" s="3">
        <v>9</v>
      </c>
      <c r="C570" s="3">
        <v>126</v>
      </c>
      <c r="D570" s="3">
        <v>8</v>
      </c>
      <c r="E570" s="3">
        <v>-243.676</v>
      </c>
      <c r="F570" s="4" t="str">
        <f>HYPERLINK("http://141.218.60.56/~jnz1568/getInfo.php?workbook=14_09.xlsx&amp;sheet=A0&amp;row=570&amp;col=6&amp;number=2360000000&amp;sourceID=14","2360000000")</f>
        <v>2360000000</v>
      </c>
      <c r="G570" s="4" t="str">
        <f>HYPERLINK("http://141.218.60.56/~jnz1568/getInfo.php?workbook=14_09.xlsx&amp;sheet=A0&amp;row=570&amp;col=7&amp;number=0&amp;sourceID=14","0")</f>
        <v>0</v>
      </c>
    </row>
    <row r="571" spans="1:7">
      <c r="A571" s="3">
        <v>14</v>
      </c>
      <c r="B571" s="3">
        <v>9</v>
      </c>
      <c r="C571" s="3">
        <v>138</v>
      </c>
      <c r="D571" s="3">
        <v>8</v>
      </c>
      <c r="E571" s="3">
        <v>-226.065</v>
      </c>
      <c r="F571" s="4" t="str">
        <f>HYPERLINK("http://141.218.60.56/~jnz1568/getInfo.php?workbook=14_09.xlsx&amp;sheet=A0&amp;row=571&amp;col=6&amp;number=443000&amp;sourceID=14","443000")</f>
        <v>443000</v>
      </c>
      <c r="G571" s="4" t="str">
        <f>HYPERLINK("http://141.218.60.56/~jnz1568/getInfo.php?workbook=14_09.xlsx&amp;sheet=A0&amp;row=571&amp;col=7&amp;number=0&amp;sourceID=14","0")</f>
        <v>0</v>
      </c>
    </row>
    <row r="572" spans="1:7">
      <c r="A572" s="3">
        <v>14</v>
      </c>
      <c r="B572" s="3">
        <v>9</v>
      </c>
      <c r="C572" s="3">
        <v>159</v>
      </c>
      <c r="D572" s="3">
        <v>8</v>
      </c>
      <c r="E572" s="3">
        <v>-215.094</v>
      </c>
      <c r="F572" s="4" t="str">
        <f>HYPERLINK("http://141.218.60.56/~jnz1568/getInfo.php?workbook=14_09.xlsx&amp;sheet=A0&amp;row=572&amp;col=6&amp;number=6880000&amp;sourceID=14","6880000")</f>
        <v>6880000</v>
      </c>
      <c r="G572" s="4" t="str">
        <f>HYPERLINK("http://141.218.60.56/~jnz1568/getInfo.php?workbook=14_09.xlsx&amp;sheet=A0&amp;row=572&amp;col=7&amp;number=0&amp;sourceID=14","0")</f>
        <v>0</v>
      </c>
    </row>
    <row r="573" spans="1:7">
      <c r="A573" s="3">
        <v>14</v>
      </c>
      <c r="B573" s="3">
        <v>9</v>
      </c>
      <c r="C573" s="3">
        <v>160</v>
      </c>
      <c r="D573" s="3">
        <v>8</v>
      </c>
      <c r="E573" s="3">
        <v>-215.036</v>
      </c>
      <c r="F573" s="4" t="str">
        <f>HYPERLINK("http://141.218.60.56/~jnz1568/getInfo.php?workbook=14_09.xlsx&amp;sheet=A0&amp;row=573&amp;col=6&amp;number=30900000&amp;sourceID=14","30900000")</f>
        <v>30900000</v>
      </c>
      <c r="G573" s="4" t="str">
        <f>HYPERLINK("http://141.218.60.56/~jnz1568/getInfo.php?workbook=14_09.xlsx&amp;sheet=A0&amp;row=573&amp;col=7&amp;number=0&amp;sourceID=14","0")</f>
        <v>0</v>
      </c>
    </row>
    <row r="574" spans="1:7">
      <c r="A574" s="3">
        <v>14</v>
      </c>
      <c r="B574" s="3">
        <v>9</v>
      </c>
      <c r="C574" s="3">
        <v>166</v>
      </c>
      <c r="D574" s="3">
        <v>8</v>
      </c>
      <c r="E574" s="3">
        <v>-191.498</v>
      </c>
      <c r="F574" s="4" t="str">
        <f>HYPERLINK("http://141.218.60.56/~jnz1568/getInfo.php?workbook=14_09.xlsx&amp;sheet=A0&amp;row=574&amp;col=6&amp;number=8770000&amp;sourceID=14","8770000")</f>
        <v>8770000</v>
      </c>
      <c r="G574" s="4" t="str">
        <f>HYPERLINK("http://141.218.60.56/~jnz1568/getInfo.php?workbook=14_09.xlsx&amp;sheet=A0&amp;row=574&amp;col=7&amp;number=0&amp;sourceID=14","0")</f>
        <v>0</v>
      </c>
    </row>
    <row r="575" spans="1:7">
      <c r="A575" s="3">
        <v>14</v>
      </c>
      <c r="B575" s="3">
        <v>9</v>
      </c>
      <c r="C575" s="3">
        <v>167</v>
      </c>
      <c r="D575" s="3">
        <v>8</v>
      </c>
      <c r="E575" s="3">
        <v>-191.445</v>
      </c>
      <c r="F575" s="4" t="str">
        <f>HYPERLINK("http://141.218.60.56/~jnz1568/getInfo.php?workbook=14_09.xlsx&amp;sheet=A0&amp;row=575&amp;col=6&amp;number=2230000&amp;sourceID=14","2230000")</f>
        <v>2230000</v>
      </c>
      <c r="G575" s="4" t="str">
        <f>HYPERLINK("http://141.218.60.56/~jnz1568/getInfo.php?workbook=14_09.xlsx&amp;sheet=A0&amp;row=575&amp;col=7&amp;number=0&amp;sourceID=14","0")</f>
        <v>0</v>
      </c>
    </row>
    <row r="576" spans="1:7">
      <c r="A576" s="3">
        <v>14</v>
      </c>
      <c r="B576" s="3">
        <v>9</v>
      </c>
      <c r="C576" s="3">
        <v>178</v>
      </c>
      <c r="D576" s="3">
        <v>8</v>
      </c>
      <c r="E576" s="3">
        <v>-178.321</v>
      </c>
      <c r="F576" s="4" t="str">
        <f>HYPERLINK("http://141.218.60.56/~jnz1568/getInfo.php?workbook=14_09.xlsx&amp;sheet=A0&amp;row=576&amp;col=6&amp;number=448000&amp;sourceID=14","448000")</f>
        <v>448000</v>
      </c>
      <c r="G576" s="4" t="str">
        <f>HYPERLINK("http://141.218.60.56/~jnz1568/getInfo.php?workbook=14_09.xlsx&amp;sheet=A0&amp;row=576&amp;col=7&amp;number=0&amp;sourceID=14","0")</f>
        <v>0</v>
      </c>
    </row>
    <row r="577" spans="1:7">
      <c r="A577" s="3">
        <v>14</v>
      </c>
      <c r="B577" s="3">
        <v>9</v>
      </c>
      <c r="C577" s="3">
        <v>192</v>
      </c>
      <c r="D577" s="3">
        <v>8</v>
      </c>
      <c r="E577" s="3">
        <v>-140.539</v>
      </c>
      <c r="F577" s="4" t="str">
        <f>HYPERLINK("http://141.218.60.56/~jnz1568/getInfo.php?workbook=14_09.xlsx&amp;sheet=A0&amp;row=577&amp;col=6&amp;number=3530000&amp;sourceID=14","3530000")</f>
        <v>3530000</v>
      </c>
      <c r="G577" s="4" t="str">
        <f>HYPERLINK("http://141.218.60.56/~jnz1568/getInfo.php?workbook=14_09.xlsx&amp;sheet=A0&amp;row=577&amp;col=7&amp;number=0&amp;sourceID=14","0")</f>
        <v>0</v>
      </c>
    </row>
    <row r="578" spans="1:7">
      <c r="A578" s="3">
        <v>14</v>
      </c>
      <c r="B578" s="3">
        <v>9</v>
      </c>
      <c r="C578" s="3">
        <v>193</v>
      </c>
      <c r="D578" s="3">
        <v>8</v>
      </c>
      <c r="E578" s="3">
        <v>-140.512</v>
      </c>
      <c r="F578" s="4" t="str">
        <f>HYPERLINK("http://141.218.60.56/~jnz1568/getInfo.php?workbook=14_09.xlsx&amp;sheet=A0&amp;row=578&amp;col=6&amp;number=7820000&amp;sourceID=14","7820000")</f>
        <v>7820000</v>
      </c>
      <c r="G578" s="4" t="str">
        <f>HYPERLINK("http://141.218.60.56/~jnz1568/getInfo.php?workbook=14_09.xlsx&amp;sheet=A0&amp;row=578&amp;col=7&amp;number=0&amp;sourceID=14","0")</f>
        <v>0</v>
      </c>
    </row>
    <row r="579" spans="1:7">
      <c r="A579" s="3">
        <v>14</v>
      </c>
      <c r="B579" s="3">
        <v>9</v>
      </c>
      <c r="C579" s="3">
        <v>194</v>
      </c>
      <c r="D579" s="3">
        <v>8</v>
      </c>
      <c r="E579" s="3">
        <v>-139.954</v>
      </c>
      <c r="F579" s="4" t="str">
        <f>HYPERLINK("http://141.218.60.56/~jnz1568/getInfo.php?workbook=14_09.xlsx&amp;sheet=A0&amp;row=579&amp;col=6&amp;number=43500000&amp;sourceID=14","43500000")</f>
        <v>43500000</v>
      </c>
      <c r="G579" s="4" t="str">
        <f>HYPERLINK("http://141.218.60.56/~jnz1568/getInfo.php?workbook=14_09.xlsx&amp;sheet=A0&amp;row=579&amp;col=7&amp;number=0&amp;sourceID=14","0")</f>
        <v>0</v>
      </c>
    </row>
    <row r="580" spans="1:7">
      <c r="A580" s="3">
        <v>14</v>
      </c>
      <c r="B580" s="3">
        <v>9</v>
      </c>
      <c r="C580" s="3">
        <v>12</v>
      </c>
      <c r="D580" s="3">
        <v>9</v>
      </c>
      <c r="E580" s="3">
        <v>4284.859</v>
      </c>
      <c r="F580" s="4" t="str">
        <f>HYPERLINK("http://141.218.60.56/~jnz1568/getInfo.php?workbook=14_09.xlsx&amp;sheet=A0&amp;row=580&amp;col=6&amp;number=11700&amp;sourceID=14","11700")</f>
        <v>11700</v>
      </c>
      <c r="G580" s="4" t="str">
        <f>HYPERLINK("http://141.218.60.56/~jnz1568/getInfo.php?workbook=14_09.xlsx&amp;sheet=A0&amp;row=580&amp;col=7&amp;number=0&amp;sourceID=14","0")</f>
        <v>0</v>
      </c>
    </row>
    <row r="581" spans="1:7">
      <c r="A581" s="3">
        <v>14</v>
      </c>
      <c r="B581" s="3">
        <v>9</v>
      </c>
      <c r="C581" s="3">
        <v>18</v>
      </c>
      <c r="D581" s="3">
        <v>9</v>
      </c>
      <c r="E581" s="3">
        <v>2482.662</v>
      </c>
      <c r="F581" s="4" t="str">
        <f>HYPERLINK("http://141.218.60.56/~jnz1568/getInfo.php?workbook=14_09.xlsx&amp;sheet=A0&amp;row=581&amp;col=6&amp;number=174000&amp;sourceID=14","174000")</f>
        <v>174000</v>
      </c>
      <c r="G581" s="4" t="str">
        <f>HYPERLINK("http://141.218.60.56/~jnz1568/getInfo.php?workbook=14_09.xlsx&amp;sheet=A0&amp;row=581&amp;col=7&amp;number=0&amp;sourceID=14","0")</f>
        <v>0</v>
      </c>
    </row>
    <row r="582" spans="1:7">
      <c r="A582" s="3">
        <v>14</v>
      </c>
      <c r="B582" s="3">
        <v>9</v>
      </c>
      <c r="C582" s="3">
        <v>19</v>
      </c>
      <c r="D582" s="3">
        <v>9</v>
      </c>
      <c r="E582" s="3">
        <v>2324.042</v>
      </c>
      <c r="F582" s="4" t="str">
        <f>HYPERLINK("http://141.218.60.56/~jnz1568/getInfo.php?workbook=14_09.xlsx&amp;sheet=A0&amp;row=582&amp;col=6&amp;number=2020000&amp;sourceID=14","2020000")</f>
        <v>2020000</v>
      </c>
      <c r="G582" s="4" t="str">
        <f>HYPERLINK("http://141.218.60.56/~jnz1568/getInfo.php?workbook=14_09.xlsx&amp;sheet=A0&amp;row=582&amp;col=7&amp;number=0&amp;sourceID=14","0")</f>
        <v>0</v>
      </c>
    </row>
    <row r="583" spans="1:7">
      <c r="A583" s="3">
        <v>14</v>
      </c>
      <c r="B583" s="3">
        <v>9</v>
      </c>
      <c r="C583" s="3">
        <v>21</v>
      </c>
      <c r="D583" s="3">
        <v>9</v>
      </c>
      <c r="E583" s="3">
        <v>2116.44</v>
      </c>
      <c r="F583" s="4" t="str">
        <f>HYPERLINK("http://141.218.60.56/~jnz1568/getInfo.php?workbook=14_09.xlsx&amp;sheet=A0&amp;row=583&amp;col=6&amp;number=6540000&amp;sourceID=14","6540000")</f>
        <v>6540000</v>
      </c>
      <c r="G583" s="4" t="str">
        <f>HYPERLINK("http://141.218.60.56/~jnz1568/getInfo.php?workbook=14_09.xlsx&amp;sheet=A0&amp;row=583&amp;col=7&amp;number=0&amp;sourceID=14","0")</f>
        <v>0</v>
      </c>
    </row>
    <row r="584" spans="1:7">
      <c r="A584" s="3">
        <v>14</v>
      </c>
      <c r="B584" s="3">
        <v>9</v>
      </c>
      <c r="C584" s="3">
        <v>22</v>
      </c>
      <c r="D584" s="3">
        <v>9</v>
      </c>
      <c r="E584" s="3">
        <v>2082.768</v>
      </c>
      <c r="F584" s="4" t="str">
        <f>HYPERLINK("http://141.218.60.56/~jnz1568/getInfo.php?workbook=14_09.xlsx&amp;sheet=A0&amp;row=584&amp;col=6&amp;number=54400000&amp;sourceID=14","54400000")</f>
        <v>54400000</v>
      </c>
      <c r="G584" s="4" t="str">
        <f>HYPERLINK("http://141.218.60.56/~jnz1568/getInfo.php?workbook=14_09.xlsx&amp;sheet=A0&amp;row=584&amp;col=7&amp;number=0&amp;sourceID=14","0")</f>
        <v>0</v>
      </c>
    </row>
    <row r="585" spans="1:7">
      <c r="A585" s="3">
        <v>14</v>
      </c>
      <c r="B585" s="3">
        <v>9</v>
      </c>
      <c r="C585" s="3">
        <v>25</v>
      </c>
      <c r="D585" s="3">
        <v>9</v>
      </c>
      <c r="E585" s="3">
        <v>1256.824</v>
      </c>
      <c r="F585" s="4" t="str">
        <f>HYPERLINK("http://141.218.60.56/~jnz1568/getInfo.php?workbook=14_09.xlsx&amp;sheet=A0&amp;row=585&amp;col=6&amp;number=79200000&amp;sourceID=14","79200000")</f>
        <v>79200000</v>
      </c>
      <c r="G585" s="4" t="str">
        <f>HYPERLINK("http://141.218.60.56/~jnz1568/getInfo.php?workbook=14_09.xlsx&amp;sheet=A0&amp;row=585&amp;col=7&amp;number=0&amp;sourceID=14","0")</f>
        <v>0</v>
      </c>
    </row>
    <row r="586" spans="1:7">
      <c r="A586" s="3">
        <v>14</v>
      </c>
      <c r="B586" s="3">
        <v>9</v>
      </c>
      <c r="C586" s="3">
        <v>26</v>
      </c>
      <c r="D586" s="3">
        <v>9</v>
      </c>
      <c r="E586" s="3">
        <v>1207.682</v>
      </c>
      <c r="F586" s="4" t="str">
        <f>HYPERLINK("http://141.218.60.56/~jnz1568/getInfo.php?workbook=14_09.xlsx&amp;sheet=A0&amp;row=586&amp;col=6&amp;number=903000000&amp;sourceID=14","903000000")</f>
        <v>903000000</v>
      </c>
      <c r="G586" s="4" t="str">
        <f>HYPERLINK("http://141.218.60.56/~jnz1568/getInfo.php?workbook=14_09.xlsx&amp;sheet=A0&amp;row=586&amp;col=7&amp;number=0&amp;sourceID=14","0")</f>
        <v>0</v>
      </c>
    </row>
    <row r="587" spans="1:7">
      <c r="A587" s="3">
        <v>14</v>
      </c>
      <c r="B587" s="3">
        <v>9</v>
      </c>
      <c r="C587" s="3">
        <v>27</v>
      </c>
      <c r="D587" s="3">
        <v>9</v>
      </c>
      <c r="E587" s="3">
        <v>1142.246</v>
      </c>
      <c r="F587" s="4" t="str">
        <f>HYPERLINK("http://141.218.60.56/~jnz1568/getInfo.php?workbook=14_09.xlsx&amp;sheet=A0&amp;row=587&amp;col=6&amp;number=84800000&amp;sourceID=14","84800000")</f>
        <v>84800000</v>
      </c>
      <c r="G587" s="4" t="str">
        <f>HYPERLINK("http://141.218.60.56/~jnz1568/getInfo.php?workbook=14_09.xlsx&amp;sheet=A0&amp;row=587&amp;col=7&amp;number=0&amp;sourceID=14","0")</f>
        <v>0</v>
      </c>
    </row>
    <row r="588" spans="1:7">
      <c r="A588" s="3">
        <v>14</v>
      </c>
      <c r="B588" s="3">
        <v>9</v>
      </c>
      <c r="C588" s="3">
        <v>28</v>
      </c>
      <c r="D588" s="3">
        <v>9</v>
      </c>
      <c r="E588" s="3">
        <v>1104.72</v>
      </c>
      <c r="F588" s="4" t="str">
        <f>HYPERLINK("http://141.218.60.56/~jnz1568/getInfo.php?workbook=14_09.xlsx&amp;sheet=A0&amp;row=588&amp;col=6&amp;number=1160000000&amp;sourceID=14","1160000000")</f>
        <v>1160000000</v>
      </c>
      <c r="G588" s="4" t="str">
        <f>HYPERLINK("http://141.218.60.56/~jnz1568/getInfo.php?workbook=14_09.xlsx&amp;sheet=A0&amp;row=588&amp;col=7&amp;number=0&amp;sourceID=14","0")</f>
        <v>0</v>
      </c>
    </row>
    <row r="589" spans="1:7">
      <c r="A589" s="3">
        <v>14</v>
      </c>
      <c r="B589" s="3">
        <v>9</v>
      </c>
      <c r="C589" s="3">
        <v>29</v>
      </c>
      <c r="D589" s="3">
        <v>9</v>
      </c>
      <c r="E589" s="3">
        <v>986.36</v>
      </c>
      <c r="F589" s="4" t="str">
        <f>HYPERLINK("http://141.218.60.56/~jnz1568/getInfo.php?workbook=14_09.xlsx&amp;sheet=A0&amp;row=589&amp;col=6&amp;number=1480000000&amp;sourceID=14","1480000000")</f>
        <v>1480000000</v>
      </c>
      <c r="G589" s="4" t="str">
        <f>HYPERLINK("http://141.218.60.56/~jnz1568/getInfo.php?workbook=14_09.xlsx&amp;sheet=A0&amp;row=589&amp;col=7&amp;number=0&amp;sourceID=14","0")</f>
        <v>0</v>
      </c>
    </row>
    <row r="590" spans="1:7">
      <c r="A590" s="3">
        <v>14</v>
      </c>
      <c r="B590" s="3">
        <v>9</v>
      </c>
      <c r="C590" s="3">
        <v>44</v>
      </c>
      <c r="D590" s="3">
        <v>9</v>
      </c>
      <c r="E590" s="3">
        <v>-633.145</v>
      </c>
      <c r="F590" s="4" t="str">
        <f>HYPERLINK("http://141.218.60.56/~jnz1568/getInfo.php?workbook=14_09.xlsx&amp;sheet=A0&amp;row=590&amp;col=6&amp;number=702000&amp;sourceID=14","702000")</f>
        <v>702000</v>
      </c>
      <c r="G590" s="4" t="str">
        <f>HYPERLINK("http://141.218.60.56/~jnz1568/getInfo.php?workbook=14_09.xlsx&amp;sheet=A0&amp;row=590&amp;col=7&amp;number=0&amp;sourceID=14","0")</f>
        <v>0</v>
      </c>
    </row>
    <row r="591" spans="1:7">
      <c r="A591" s="3">
        <v>14</v>
      </c>
      <c r="B591" s="3">
        <v>9</v>
      </c>
      <c r="C591" s="3">
        <v>51</v>
      </c>
      <c r="D591" s="3">
        <v>9</v>
      </c>
      <c r="E591" s="3">
        <v>523.576</v>
      </c>
      <c r="F591" s="4" t="str">
        <f>HYPERLINK("http://141.218.60.56/~jnz1568/getInfo.php?workbook=14_09.xlsx&amp;sheet=A0&amp;row=591&amp;col=6&amp;number=43900&amp;sourceID=14","43900")</f>
        <v>43900</v>
      </c>
      <c r="G591" s="4" t="str">
        <f>HYPERLINK("http://141.218.60.56/~jnz1568/getInfo.php?workbook=14_09.xlsx&amp;sheet=A0&amp;row=591&amp;col=7&amp;number=0&amp;sourceID=14","0")</f>
        <v>0</v>
      </c>
    </row>
    <row r="592" spans="1:7">
      <c r="A592" s="3">
        <v>14</v>
      </c>
      <c r="B592" s="3">
        <v>9</v>
      </c>
      <c r="C592" s="3">
        <v>56</v>
      </c>
      <c r="D592" s="3">
        <v>9</v>
      </c>
      <c r="E592" s="3">
        <v>503.461</v>
      </c>
      <c r="F592" s="4" t="str">
        <f>HYPERLINK("http://141.218.60.56/~jnz1568/getInfo.php?workbook=14_09.xlsx&amp;sheet=A0&amp;row=592&amp;col=6&amp;number=48100&amp;sourceID=14","48100")</f>
        <v>48100</v>
      </c>
      <c r="G592" s="4" t="str">
        <f>HYPERLINK("http://141.218.60.56/~jnz1568/getInfo.php?workbook=14_09.xlsx&amp;sheet=A0&amp;row=592&amp;col=7&amp;number=0&amp;sourceID=14","0")</f>
        <v>0</v>
      </c>
    </row>
    <row r="593" spans="1:7">
      <c r="A593" s="3">
        <v>14</v>
      </c>
      <c r="B593" s="3">
        <v>9</v>
      </c>
      <c r="C593" s="3">
        <v>66</v>
      </c>
      <c r="D593" s="3">
        <v>9</v>
      </c>
      <c r="E593" s="3">
        <v>-328.116</v>
      </c>
      <c r="F593" s="4" t="str">
        <f>HYPERLINK("http://141.218.60.56/~jnz1568/getInfo.php?workbook=14_09.xlsx&amp;sheet=A0&amp;row=593&amp;col=6&amp;number=5210000&amp;sourceID=14","5210000")</f>
        <v>5210000</v>
      </c>
      <c r="G593" s="4" t="str">
        <f>HYPERLINK("http://141.218.60.56/~jnz1568/getInfo.php?workbook=14_09.xlsx&amp;sheet=A0&amp;row=593&amp;col=7&amp;number=0&amp;sourceID=14","0")</f>
        <v>0</v>
      </c>
    </row>
    <row r="594" spans="1:7">
      <c r="A594" s="3">
        <v>14</v>
      </c>
      <c r="B594" s="3">
        <v>9</v>
      </c>
      <c r="C594" s="3">
        <v>67</v>
      </c>
      <c r="D594" s="3">
        <v>9</v>
      </c>
      <c r="E594" s="3">
        <v>-326.502</v>
      </c>
      <c r="F594" s="4" t="str">
        <f>HYPERLINK("http://141.218.60.56/~jnz1568/getInfo.php?workbook=14_09.xlsx&amp;sheet=A0&amp;row=594&amp;col=6&amp;number=1520000&amp;sourceID=14","1520000")</f>
        <v>1520000</v>
      </c>
      <c r="G594" s="4" t="str">
        <f>HYPERLINK("http://141.218.60.56/~jnz1568/getInfo.php?workbook=14_09.xlsx&amp;sheet=A0&amp;row=594&amp;col=7&amp;number=0&amp;sourceID=14","0")</f>
        <v>0</v>
      </c>
    </row>
    <row r="595" spans="1:7">
      <c r="A595" s="3">
        <v>14</v>
      </c>
      <c r="B595" s="3">
        <v>9</v>
      </c>
      <c r="C595" s="3">
        <v>69</v>
      </c>
      <c r="D595" s="3">
        <v>9</v>
      </c>
      <c r="E595" s="3">
        <v>-320.584</v>
      </c>
      <c r="F595" s="4" t="str">
        <f>HYPERLINK("http://141.218.60.56/~jnz1568/getInfo.php?workbook=14_09.xlsx&amp;sheet=A0&amp;row=595&amp;col=6&amp;number=233000&amp;sourceID=14","233000")</f>
        <v>233000</v>
      </c>
      <c r="G595" s="4" t="str">
        <f>HYPERLINK("http://141.218.60.56/~jnz1568/getInfo.php?workbook=14_09.xlsx&amp;sheet=A0&amp;row=595&amp;col=7&amp;number=0&amp;sourceID=14","0")</f>
        <v>0</v>
      </c>
    </row>
    <row r="596" spans="1:7">
      <c r="A596" s="3">
        <v>14</v>
      </c>
      <c r="B596" s="3">
        <v>9</v>
      </c>
      <c r="C596" s="3">
        <v>70</v>
      </c>
      <c r="D596" s="3">
        <v>9</v>
      </c>
      <c r="E596" s="3">
        <v>-319.291</v>
      </c>
      <c r="F596" s="4" t="str">
        <f>HYPERLINK("http://141.218.60.56/~jnz1568/getInfo.php?workbook=14_09.xlsx&amp;sheet=A0&amp;row=596&amp;col=6&amp;number=1310000&amp;sourceID=14","1310000")</f>
        <v>1310000</v>
      </c>
      <c r="G596" s="4" t="str">
        <f>HYPERLINK("http://141.218.60.56/~jnz1568/getInfo.php?workbook=14_09.xlsx&amp;sheet=A0&amp;row=596&amp;col=7&amp;number=0&amp;sourceID=14","0")</f>
        <v>0</v>
      </c>
    </row>
    <row r="597" spans="1:7">
      <c r="A597" s="3">
        <v>14</v>
      </c>
      <c r="B597" s="3">
        <v>9</v>
      </c>
      <c r="C597" s="3">
        <v>71</v>
      </c>
      <c r="D597" s="3">
        <v>9</v>
      </c>
      <c r="E597" s="3">
        <v>-317.186</v>
      </c>
      <c r="F597" s="4" t="str">
        <f>HYPERLINK("http://141.218.60.56/~jnz1568/getInfo.php?workbook=14_09.xlsx&amp;sheet=A0&amp;row=597&amp;col=6&amp;number=7410000&amp;sourceID=14","7410000")</f>
        <v>7410000</v>
      </c>
      <c r="G597" s="4" t="str">
        <f>HYPERLINK("http://141.218.60.56/~jnz1568/getInfo.php?workbook=14_09.xlsx&amp;sheet=A0&amp;row=597&amp;col=7&amp;number=0&amp;sourceID=14","0")</f>
        <v>0</v>
      </c>
    </row>
    <row r="598" spans="1:7">
      <c r="A598" s="3">
        <v>14</v>
      </c>
      <c r="B598" s="3">
        <v>9</v>
      </c>
      <c r="C598" s="3">
        <v>72</v>
      </c>
      <c r="D598" s="3">
        <v>9</v>
      </c>
      <c r="E598" s="3">
        <v>-316.412</v>
      </c>
      <c r="F598" s="4" t="str">
        <f>HYPERLINK("http://141.218.60.56/~jnz1568/getInfo.php?workbook=14_09.xlsx&amp;sheet=A0&amp;row=598&amp;col=6&amp;number=6660000&amp;sourceID=14","6660000")</f>
        <v>6660000</v>
      </c>
      <c r="G598" s="4" t="str">
        <f>HYPERLINK("http://141.218.60.56/~jnz1568/getInfo.php?workbook=14_09.xlsx&amp;sheet=A0&amp;row=598&amp;col=7&amp;number=0&amp;sourceID=14","0")</f>
        <v>0</v>
      </c>
    </row>
    <row r="599" spans="1:7">
      <c r="A599" s="3">
        <v>14</v>
      </c>
      <c r="B599" s="3">
        <v>9</v>
      </c>
      <c r="C599" s="3">
        <v>75</v>
      </c>
      <c r="D599" s="3">
        <v>9</v>
      </c>
      <c r="E599" s="3">
        <v>-314.304</v>
      </c>
      <c r="F599" s="4" t="str">
        <f>HYPERLINK("http://141.218.60.56/~jnz1568/getInfo.php?workbook=14_09.xlsx&amp;sheet=A0&amp;row=599&amp;col=6&amp;number=3920000&amp;sourceID=14","3920000")</f>
        <v>3920000</v>
      </c>
      <c r="G599" s="4" t="str">
        <f>HYPERLINK("http://141.218.60.56/~jnz1568/getInfo.php?workbook=14_09.xlsx&amp;sheet=A0&amp;row=599&amp;col=7&amp;number=0&amp;sourceID=14","0")</f>
        <v>0</v>
      </c>
    </row>
    <row r="600" spans="1:7">
      <c r="A600" s="3">
        <v>14</v>
      </c>
      <c r="B600" s="3">
        <v>9</v>
      </c>
      <c r="C600" s="3">
        <v>76</v>
      </c>
      <c r="D600" s="3">
        <v>9</v>
      </c>
      <c r="E600" s="3">
        <v>-314.022</v>
      </c>
      <c r="F600" s="4" t="str">
        <f>HYPERLINK("http://141.218.60.56/~jnz1568/getInfo.php?workbook=14_09.xlsx&amp;sheet=A0&amp;row=600&amp;col=6&amp;number=13700000&amp;sourceID=14","13700000")</f>
        <v>13700000</v>
      </c>
      <c r="G600" s="4" t="str">
        <f>HYPERLINK("http://141.218.60.56/~jnz1568/getInfo.php?workbook=14_09.xlsx&amp;sheet=A0&amp;row=600&amp;col=7&amp;number=0&amp;sourceID=14","0")</f>
        <v>0</v>
      </c>
    </row>
    <row r="601" spans="1:7">
      <c r="A601" s="3">
        <v>14</v>
      </c>
      <c r="B601" s="3">
        <v>9</v>
      </c>
      <c r="C601" s="3">
        <v>77</v>
      </c>
      <c r="D601" s="3">
        <v>9</v>
      </c>
      <c r="E601" s="3">
        <v>-307.163</v>
      </c>
      <c r="F601" s="4" t="str">
        <f>HYPERLINK("http://141.218.60.56/~jnz1568/getInfo.php?workbook=14_09.xlsx&amp;sheet=A0&amp;row=601&amp;col=6&amp;number=1140000000&amp;sourceID=14","1140000000")</f>
        <v>1140000000</v>
      </c>
      <c r="G601" s="4" t="str">
        <f>HYPERLINK("http://141.218.60.56/~jnz1568/getInfo.php?workbook=14_09.xlsx&amp;sheet=A0&amp;row=601&amp;col=7&amp;number=0&amp;sourceID=14","0")</f>
        <v>0</v>
      </c>
    </row>
    <row r="602" spans="1:7">
      <c r="A602" s="3">
        <v>14</v>
      </c>
      <c r="B602" s="3">
        <v>9</v>
      </c>
      <c r="C602" s="3">
        <v>81</v>
      </c>
      <c r="D602" s="3">
        <v>9</v>
      </c>
      <c r="E602" s="3">
        <v>-302.903</v>
      </c>
      <c r="F602" s="4" t="str">
        <f>HYPERLINK("http://141.218.60.56/~jnz1568/getInfo.php?workbook=14_09.xlsx&amp;sheet=A0&amp;row=602&amp;col=6&amp;number=22600000&amp;sourceID=14","22600000")</f>
        <v>22600000</v>
      </c>
      <c r="G602" s="4" t="str">
        <f>HYPERLINK("http://141.218.60.56/~jnz1568/getInfo.php?workbook=14_09.xlsx&amp;sheet=A0&amp;row=602&amp;col=7&amp;number=0&amp;sourceID=14","0")</f>
        <v>0</v>
      </c>
    </row>
    <row r="603" spans="1:7">
      <c r="A603" s="3">
        <v>14</v>
      </c>
      <c r="B603" s="3">
        <v>9</v>
      </c>
      <c r="C603" s="3">
        <v>82</v>
      </c>
      <c r="D603" s="3">
        <v>9</v>
      </c>
      <c r="E603" s="3">
        <v>-300.401</v>
      </c>
      <c r="F603" s="4" t="str">
        <f>HYPERLINK("http://141.218.60.56/~jnz1568/getInfo.php?workbook=14_09.xlsx&amp;sheet=A0&amp;row=603&amp;col=6&amp;number=17600000&amp;sourceID=14","17600000")</f>
        <v>17600000</v>
      </c>
      <c r="G603" s="4" t="str">
        <f>HYPERLINK("http://141.218.60.56/~jnz1568/getInfo.php?workbook=14_09.xlsx&amp;sheet=A0&amp;row=603&amp;col=7&amp;number=0&amp;sourceID=14","0")</f>
        <v>0</v>
      </c>
    </row>
    <row r="604" spans="1:7">
      <c r="A604" s="3">
        <v>14</v>
      </c>
      <c r="B604" s="3">
        <v>9</v>
      </c>
      <c r="C604" s="3">
        <v>84</v>
      </c>
      <c r="D604" s="3">
        <v>9</v>
      </c>
      <c r="E604" s="3">
        <v>-291.467</v>
      </c>
      <c r="F604" s="4" t="str">
        <f>HYPERLINK("http://141.218.60.56/~jnz1568/getInfo.php?workbook=14_09.xlsx&amp;sheet=A0&amp;row=604&amp;col=6&amp;number=1350000000&amp;sourceID=14","1350000000")</f>
        <v>1350000000</v>
      </c>
      <c r="G604" s="4" t="str">
        <f>HYPERLINK("http://141.218.60.56/~jnz1568/getInfo.php?workbook=14_09.xlsx&amp;sheet=A0&amp;row=604&amp;col=7&amp;number=0&amp;sourceID=14","0")</f>
        <v>0</v>
      </c>
    </row>
    <row r="605" spans="1:7">
      <c r="A605" s="3">
        <v>14</v>
      </c>
      <c r="B605" s="3">
        <v>9</v>
      </c>
      <c r="C605" s="3">
        <v>101</v>
      </c>
      <c r="D605" s="3">
        <v>9</v>
      </c>
      <c r="E605" s="3">
        <v>-278.033</v>
      </c>
      <c r="F605" s="4" t="str">
        <f>HYPERLINK("http://141.218.60.56/~jnz1568/getInfo.php?workbook=14_09.xlsx&amp;sheet=A0&amp;row=605&amp;col=6&amp;number=250000000&amp;sourceID=14","250000000")</f>
        <v>250000000</v>
      </c>
      <c r="G605" s="4" t="str">
        <f>HYPERLINK("http://141.218.60.56/~jnz1568/getInfo.php?workbook=14_09.xlsx&amp;sheet=A0&amp;row=605&amp;col=7&amp;number=0&amp;sourceID=14","0")</f>
        <v>0</v>
      </c>
    </row>
    <row r="606" spans="1:7">
      <c r="A606" s="3">
        <v>14</v>
      </c>
      <c r="B606" s="3">
        <v>9</v>
      </c>
      <c r="C606" s="3">
        <v>102</v>
      </c>
      <c r="D606" s="3">
        <v>9</v>
      </c>
      <c r="E606" s="3">
        <v>-277.869</v>
      </c>
      <c r="F606" s="4" t="str">
        <f>HYPERLINK("http://141.218.60.56/~jnz1568/getInfo.php?workbook=14_09.xlsx&amp;sheet=A0&amp;row=606&amp;col=6&amp;number=2670000000&amp;sourceID=14","2670000000")</f>
        <v>2670000000</v>
      </c>
      <c r="G606" s="4" t="str">
        <f>HYPERLINK("http://141.218.60.56/~jnz1568/getInfo.php?workbook=14_09.xlsx&amp;sheet=A0&amp;row=606&amp;col=7&amp;number=0&amp;sourceID=14","0")</f>
        <v>0</v>
      </c>
    </row>
    <row r="607" spans="1:7">
      <c r="A607" s="3">
        <v>14</v>
      </c>
      <c r="B607" s="3">
        <v>9</v>
      </c>
      <c r="C607" s="3">
        <v>105</v>
      </c>
      <c r="D607" s="3">
        <v>9</v>
      </c>
      <c r="E607" s="3">
        <v>-276.635</v>
      </c>
      <c r="F607" s="4" t="str">
        <f>HYPERLINK("http://141.218.60.56/~jnz1568/getInfo.php?workbook=14_09.xlsx&amp;sheet=A0&amp;row=607&amp;col=6&amp;number=3240000&amp;sourceID=14","3240000")</f>
        <v>3240000</v>
      </c>
      <c r="G607" s="4" t="str">
        <f>HYPERLINK("http://141.218.60.56/~jnz1568/getInfo.php?workbook=14_09.xlsx&amp;sheet=A0&amp;row=607&amp;col=7&amp;number=0&amp;sourceID=14","0")</f>
        <v>0</v>
      </c>
    </row>
    <row r="608" spans="1:7">
      <c r="A608" s="3">
        <v>14</v>
      </c>
      <c r="B608" s="3">
        <v>9</v>
      </c>
      <c r="C608" s="3">
        <v>107</v>
      </c>
      <c r="D608" s="3">
        <v>9</v>
      </c>
      <c r="E608" s="3">
        <v>-276.306</v>
      </c>
      <c r="F608" s="4" t="str">
        <f>HYPERLINK("http://141.218.60.56/~jnz1568/getInfo.php?workbook=14_09.xlsx&amp;sheet=A0&amp;row=608&amp;col=6&amp;number=12100000&amp;sourceID=14","12100000")</f>
        <v>12100000</v>
      </c>
      <c r="G608" s="4" t="str">
        <f>HYPERLINK("http://141.218.60.56/~jnz1568/getInfo.php?workbook=14_09.xlsx&amp;sheet=A0&amp;row=608&amp;col=7&amp;number=0&amp;sourceID=14","0")</f>
        <v>0</v>
      </c>
    </row>
    <row r="609" spans="1:7">
      <c r="A609" s="3">
        <v>14</v>
      </c>
      <c r="B609" s="3">
        <v>9</v>
      </c>
      <c r="C609" s="3">
        <v>108</v>
      </c>
      <c r="D609" s="3">
        <v>9</v>
      </c>
      <c r="E609" s="3">
        <v>-276.208</v>
      </c>
      <c r="F609" s="4" t="str">
        <f>HYPERLINK("http://141.218.60.56/~jnz1568/getInfo.php?workbook=14_09.xlsx&amp;sheet=A0&amp;row=609&amp;col=6&amp;number=268000&amp;sourceID=14","268000")</f>
        <v>268000</v>
      </c>
      <c r="G609" s="4" t="str">
        <f>HYPERLINK("http://141.218.60.56/~jnz1568/getInfo.php?workbook=14_09.xlsx&amp;sheet=A0&amp;row=609&amp;col=7&amp;number=0&amp;sourceID=14","0")</f>
        <v>0</v>
      </c>
    </row>
    <row r="610" spans="1:7">
      <c r="A610" s="3">
        <v>14</v>
      </c>
      <c r="B610" s="3">
        <v>9</v>
      </c>
      <c r="C610" s="3">
        <v>109</v>
      </c>
      <c r="D610" s="3">
        <v>9</v>
      </c>
      <c r="E610" s="3">
        <v>-276.002</v>
      </c>
      <c r="F610" s="4" t="str">
        <f>HYPERLINK("http://141.218.60.56/~jnz1568/getInfo.php?workbook=14_09.xlsx&amp;sheet=A0&amp;row=610&amp;col=6&amp;number=343000&amp;sourceID=14","343000")</f>
        <v>343000</v>
      </c>
      <c r="G610" s="4" t="str">
        <f>HYPERLINK("http://141.218.60.56/~jnz1568/getInfo.php?workbook=14_09.xlsx&amp;sheet=A0&amp;row=610&amp;col=7&amp;number=0&amp;sourceID=14","0")</f>
        <v>0</v>
      </c>
    </row>
    <row r="611" spans="1:7">
      <c r="A611" s="3">
        <v>14</v>
      </c>
      <c r="B611" s="3">
        <v>9</v>
      </c>
      <c r="C611" s="3">
        <v>113</v>
      </c>
      <c r="D611" s="3">
        <v>9</v>
      </c>
      <c r="E611" s="3">
        <v>-275.482</v>
      </c>
      <c r="F611" s="4" t="str">
        <f>HYPERLINK("http://141.218.60.56/~jnz1568/getInfo.php?workbook=14_09.xlsx&amp;sheet=A0&amp;row=611&amp;col=6&amp;number=143000000&amp;sourceID=14","143000000")</f>
        <v>143000000</v>
      </c>
      <c r="G611" s="4" t="str">
        <f>HYPERLINK("http://141.218.60.56/~jnz1568/getInfo.php?workbook=14_09.xlsx&amp;sheet=A0&amp;row=611&amp;col=7&amp;number=0&amp;sourceID=14","0")</f>
        <v>0</v>
      </c>
    </row>
    <row r="612" spans="1:7">
      <c r="A612" s="3">
        <v>14</v>
      </c>
      <c r="B612" s="3">
        <v>9</v>
      </c>
      <c r="C612" s="3">
        <v>115</v>
      </c>
      <c r="D612" s="3">
        <v>9</v>
      </c>
      <c r="E612" s="3">
        <v>-275.368</v>
      </c>
      <c r="F612" s="4" t="str">
        <f>HYPERLINK("http://141.218.60.56/~jnz1568/getInfo.php?workbook=14_09.xlsx&amp;sheet=A0&amp;row=612&amp;col=6&amp;number=2080000000&amp;sourceID=14","2080000000")</f>
        <v>2080000000</v>
      </c>
      <c r="G612" s="4" t="str">
        <f>HYPERLINK("http://141.218.60.56/~jnz1568/getInfo.php?workbook=14_09.xlsx&amp;sheet=A0&amp;row=612&amp;col=7&amp;number=0&amp;sourceID=14","0")</f>
        <v>0</v>
      </c>
    </row>
    <row r="613" spans="1:7">
      <c r="A613" s="3">
        <v>14</v>
      </c>
      <c r="B613" s="3">
        <v>9</v>
      </c>
      <c r="C613" s="3">
        <v>116</v>
      </c>
      <c r="D613" s="3">
        <v>9</v>
      </c>
      <c r="E613" s="3">
        <v>-275.347</v>
      </c>
      <c r="F613" s="4" t="str">
        <f>HYPERLINK("http://141.218.60.56/~jnz1568/getInfo.php?workbook=14_09.xlsx&amp;sheet=A0&amp;row=613&amp;col=6&amp;number=11300000&amp;sourceID=14","11300000")</f>
        <v>11300000</v>
      </c>
      <c r="G613" s="4" t="str">
        <f>HYPERLINK("http://141.218.60.56/~jnz1568/getInfo.php?workbook=14_09.xlsx&amp;sheet=A0&amp;row=613&amp;col=7&amp;number=0&amp;sourceID=14","0")</f>
        <v>0</v>
      </c>
    </row>
    <row r="614" spans="1:7">
      <c r="A614" s="3">
        <v>14</v>
      </c>
      <c r="B614" s="3">
        <v>9</v>
      </c>
      <c r="C614" s="3">
        <v>120</v>
      </c>
      <c r="D614" s="3">
        <v>9</v>
      </c>
      <c r="E614" s="3">
        <v>-272.918</v>
      </c>
      <c r="F614" s="4" t="str">
        <f>HYPERLINK("http://141.218.60.56/~jnz1568/getInfo.php?workbook=14_09.xlsx&amp;sheet=A0&amp;row=614&amp;col=6&amp;number=272000&amp;sourceID=14","272000")</f>
        <v>272000</v>
      </c>
      <c r="G614" s="4" t="str">
        <f>HYPERLINK("http://141.218.60.56/~jnz1568/getInfo.php?workbook=14_09.xlsx&amp;sheet=A0&amp;row=614&amp;col=7&amp;number=0&amp;sourceID=14","0")</f>
        <v>0</v>
      </c>
    </row>
    <row r="615" spans="1:7">
      <c r="A615" s="3">
        <v>14</v>
      </c>
      <c r="B615" s="3">
        <v>9</v>
      </c>
      <c r="C615" s="3">
        <v>121</v>
      </c>
      <c r="D615" s="3">
        <v>9</v>
      </c>
      <c r="E615" s="3">
        <v>-272.593</v>
      </c>
      <c r="F615" s="4" t="str">
        <f>HYPERLINK("http://141.218.60.56/~jnz1568/getInfo.php?workbook=14_09.xlsx&amp;sheet=A0&amp;row=615&amp;col=6&amp;number=243000&amp;sourceID=14","243000")</f>
        <v>243000</v>
      </c>
      <c r="G615" s="4" t="str">
        <f>HYPERLINK("http://141.218.60.56/~jnz1568/getInfo.php?workbook=14_09.xlsx&amp;sheet=A0&amp;row=615&amp;col=7&amp;number=0&amp;sourceID=14","0")</f>
        <v>0</v>
      </c>
    </row>
    <row r="616" spans="1:7">
      <c r="A616" s="3">
        <v>14</v>
      </c>
      <c r="B616" s="3">
        <v>9</v>
      </c>
      <c r="C616" s="3">
        <v>122</v>
      </c>
      <c r="D616" s="3">
        <v>9</v>
      </c>
      <c r="E616" s="3">
        <v>-272.508</v>
      </c>
      <c r="F616" s="4" t="str">
        <f>HYPERLINK("http://141.218.60.56/~jnz1568/getInfo.php?workbook=14_09.xlsx&amp;sheet=A0&amp;row=616&amp;col=6&amp;number=321000&amp;sourceID=14","321000")</f>
        <v>321000</v>
      </c>
      <c r="G616" s="4" t="str">
        <f>HYPERLINK("http://141.218.60.56/~jnz1568/getInfo.php?workbook=14_09.xlsx&amp;sheet=A0&amp;row=616&amp;col=7&amp;number=0&amp;sourceID=14","0")</f>
        <v>0</v>
      </c>
    </row>
    <row r="617" spans="1:7">
      <c r="A617" s="3">
        <v>14</v>
      </c>
      <c r="B617" s="3">
        <v>9</v>
      </c>
      <c r="C617" s="3">
        <v>125</v>
      </c>
      <c r="D617" s="3">
        <v>9</v>
      </c>
      <c r="E617" s="3">
        <v>-266.967</v>
      </c>
      <c r="F617" s="4" t="str">
        <f>HYPERLINK("http://141.218.60.56/~jnz1568/getInfo.php?workbook=14_09.xlsx&amp;sheet=A0&amp;row=617&amp;col=6&amp;number=872000000&amp;sourceID=14","872000000")</f>
        <v>872000000</v>
      </c>
      <c r="G617" s="4" t="str">
        <f>HYPERLINK("http://141.218.60.56/~jnz1568/getInfo.php?workbook=14_09.xlsx&amp;sheet=A0&amp;row=617&amp;col=7&amp;number=0&amp;sourceID=14","0")</f>
        <v>0</v>
      </c>
    </row>
    <row r="618" spans="1:7">
      <c r="A618" s="3">
        <v>14</v>
      </c>
      <c r="B618" s="3">
        <v>9</v>
      </c>
      <c r="C618" s="3">
        <v>130</v>
      </c>
      <c r="D618" s="3">
        <v>9</v>
      </c>
      <c r="E618" s="3">
        <v>-250.848</v>
      </c>
      <c r="F618" s="4" t="str">
        <f>HYPERLINK("http://141.218.60.56/~jnz1568/getInfo.php?workbook=14_09.xlsx&amp;sheet=A0&amp;row=618&amp;col=6&amp;number=345000&amp;sourceID=14","345000")</f>
        <v>345000</v>
      </c>
      <c r="G618" s="4" t="str">
        <f>HYPERLINK("http://141.218.60.56/~jnz1568/getInfo.php?workbook=14_09.xlsx&amp;sheet=A0&amp;row=618&amp;col=7&amp;number=0&amp;sourceID=14","0")</f>
        <v>0</v>
      </c>
    </row>
    <row r="619" spans="1:7">
      <c r="A619" s="3">
        <v>14</v>
      </c>
      <c r="B619" s="3">
        <v>9</v>
      </c>
      <c r="C619" s="3">
        <v>133</v>
      </c>
      <c r="D619" s="3">
        <v>9</v>
      </c>
      <c r="E619" s="3">
        <v>-248.664</v>
      </c>
      <c r="F619" s="4" t="str">
        <f>HYPERLINK("http://141.218.60.56/~jnz1568/getInfo.php?workbook=14_09.xlsx&amp;sheet=A0&amp;row=619&amp;col=6&amp;number=286000&amp;sourceID=14","286000")</f>
        <v>286000</v>
      </c>
      <c r="G619" s="4" t="str">
        <f>HYPERLINK("http://141.218.60.56/~jnz1568/getInfo.php?workbook=14_09.xlsx&amp;sheet=A0&amp;row=619&amp;col=7&amp;number=0&amp;sourceID=14","0")</f>
        <v>0</v>
      </c>
    </row>
    <row r="620" spans="1:7">
      <c r="A620" s="3">
        <v>14</v>
      </c>
      <c r="B620" s="3">
        <v>9</v>
      </c>
      <c r="C620" s="3">
        <v>139</v>
      </c>
      <c r="D620" s="3">
        <v>9</v>
      </c>
      <c r="E620" s="3">
        <v>-244.724</v>
      </c>
      <c r="F620" s="4" t="str">
        <f>HYPERLINK("http://141.218.60.56/~jnz1568/getInfo.php?workbook=14_09.xlsx&amp;sheet=A0&amp;row=620&amp;col=6&amp;number=873000&amp;sourceID=14","873000")</f>
        <v>873000</v>
      </c>
      <c r="G620" s="4" t="str">
        <f>HYPERLINK("http://141.218.60.56/~jnz1568/getInfo.php?workbook=14_09.xlsx&amp;sheet=A0&amp;row=620&amp;col=7&amp;number=0&amp;sourceID=14","0")</f>
        <v>0</v>
      </c>
    </row>
    <row r="621" spans="1:7">
      <c r="A621" s="3">
        <v>14</v>
      </c>
      <c r="B621" s="3">
        <v>9</v>
      </c>
      <c r="C621" s="3">
        <v>141</v>
      </c>
      <c r="D621" s="3">
        <v>9</v>
      </c>
      <c r="E621" s="3">
        <v>-243.906</v>
      </c>
      <c r="F621" s="4" t="str">
        <f>HYPERLINK("http://141.218.60.56/~jnz1568/getInfo.php?workbook=14_09.xlsx&amp;sheet=A0&amp;row=621&amp;col=6&amp;number=14600000&amp;sourceID=14","14600000")</f>
        <v>14600000</v>
      </c>
      <c r="G621" s="4" t="str">
        <f>HYPERLINK("http://141.218.60.56/~jnz1568/getInfo.php?workbook=14_09.xlsx&amp;sheet=A0&amp;row=621&amp;col=7&amp;number=0&amp;sourceID=14","0")</f>
        <v>0</v>
      </c>
    </row>
    <row r="622" spans="1:7">
      <c r="A622" s="3">
        <v>14</v>
      </c>
      <c r="B622" s="3">
        <v>9</v>
      </c>
      <c r="C622" s="3">
        <v>142</v>
      </c>
      <c r="D622" s="3">
        <v>9</v>
      </c>
      <c r="E622" s="3">
        <v>-243.9</v>
      </c>
      <c r="F622" s="4" t="str">
        <f>HYPERLINK("http://141.218.60.56/~jnz1568/getInfo.php?workbook=14_09.xlsx&amp;sheet=A0&amp;row=622&amp;col=6&amp;number=1520000&amp;sourceID=14","1520000")</f>
        <v>1520000</v>
      </c>
      <c r="G622" s="4" t="str">
        <f>HYPERLINK("http://141.218.60.56/~jnz1568/getInfo.php?workbook=14_09.xlsx&amp;sheet=A0&amp;row=622&amp;col=7&amp;number=0&amp;sourceID=14","0")</f>
        <v>0</v>
      </c>
    </row>
    <row r="623" spans="1:7">
      <c r="A623" s="3">
        <v>14</v>
      </c>
      <c r="B623" s="3">
        <v>9</v>
      </c>
      <c r="C623" s="3">
        <v>146</v>
      </c>
      <c r="D623" s="3">
        <v>9</v>
      </c>
      <c r="E623" s="3">
        <v>-243.098</v>
      </c>
      <c r="F623" s="4" t="str">
        <f>HYPERLINK("http://141.218.60.56/~jnz1568/getInfo.php?workbook=14_09.xlsx&amp;sheet=A0&amp;row=623&amp;col=6&amp;number=28600000&amp;sourceID=14","28600000")</f>
        <v>28600000</v>
      </c>
      <c r="G623" s="4" t="str">
        <f>HYPERLINK("http://141.218.60.56/~jnz1568/getInfo.php?workbook=14_09.xlsx&amp;sheet=A0&amp;row=623&amp;col=7&amp;number=0&amp;sourceID=14","0")</f>
        <v>0</v>
      </c>
    </row>
    <row r="624" spans="1:7">
      <c r="A624" s="3">
        <v>14</v>
      </c>
      <c r="B624" s="3">
        <v>9</v>
      </c>
      <c r="C624" s="3">
        <v>147</v>
      </c>
      <c r="D624" s="3">
        <v>9</v>
      </c>
      <c r="E624" s="3">
        <v>-243.096</v>
      </c>
      <c r="F624" s="4" t="str">
        <f>HYPERLINK("http://141.218.60.56/~jnz1568/getInfo.php?workbook=14_09.xlsx&amp;sheet=A0&amp;row=624&amp;col=6&amp;number=1850000&amp;sourceID=14","1850000")</f>
        <v>1850000</v>
      </c>
      <c r="G624" s="4" t="str">
        <f>HYPERLINK("http://141.218.60.56/~jnz1568/getInfo.php?workbook=14_09.xlsx&amp;sheet=A0&amp;row=624&amp;col=7&amp;number=0&amp;sourceID=14","0")</f>
        <v>0</v>
      </c>
    </row>
    <row r="625" spans="1:7">
      <c r="A625" s="3">
        <v>14</v>
      </c>
      <c r="B625" s="3">
        <v>9</v>
      </c>
      <c r="C625" s="3">
        <v>159</v>
      </c>
      <c r="D625" s="3">
        <v>9</v>
      </c>
      <c r="E625" s="3">
        <v>-231.928</v>
      </c>
      <c r="F625" s="4" t="str">
        <f>HYPERLINK("http://141.218.60.56/~jnz1568/getInfo.php?workbook=14_09.xlsx&amp;sheet=A0&amp;row=625&amp;col=6&amp;number=85700000&amp;sourceID=14","85700000")</f>
        <v>85700000</v>
      </c>
      <c r="G625" s="4" t="str">
        <f>HYPERLINK("http://141.218.60.56/~jnz1568/getInfo.php?workbook=14_09.xlsx&amp;sheet=A0&amp;row=625&amp;col=7&amp;number=0&amp;sourceID=14","0")</f>
        <v>0</v>
      </c>
    </row>
    <row r="626" spans="1:7">
      <c r="A626" s="3">
        <v>14</v>
      </c>
      <c r="B626" s="3">
        <v>9</v>
      </c>
      <c r="C626" s="3">
        <v>164</v>
      </c>
      <c r="D626" s="3">
        <v>9</v>
      </c>
      <c r="E626" s="3">
        <v>-208.448</v>
      </c>
      <c r="F626" s="4" t="str">
        <f>HYPERLINK("http://141.218.60.56/~jnz1568/getInfo.php?workbook=14_09.xlsx&amp;sheet=A0&amp;row=626&amp;col=6&amp;number=989000&amp;sourceID=14","989000")</f>
        <v>989000</v>
      </c>
      <c r="G626" s="4" t="str">
        <f>HYPERLINK("http://141.218.60.56/~jnz1568/getInfo.php?workbook=14_09.xlsx&amp;sheet=A0&amp;row=626&amp;col=7&amp;number=0&amp;sourceID=14","0")</f>
        <v>0</v>
      </c>
    </row>
    <row r="627" spans="1:7">
      <c r="A627" s="3">
        <v>14</v>
      </c>
      <c r="B627" s="3">
        <v>9</v>
      </c>
      <c r="C627" s="3">
        <v>165</v>
      </c>
      <c r="D627" s="3">
        <v>9</v>
      </c>
      <c r="E627" s="3">
        <v>-208.444</v>
      </c>
      <c r="F627" s="4" t="str">
        <f>HYPERLINK("http://141.218.60.56/~jnz1568/getInfo.php?workbook=14_09.xlsx&amp;sheet=A0&amp;row=627&amp;col=6&amp;number=14700000&amp;sourceID=14","14700000")</f>
        <v>14700000</v>
      </c>
      <c r="G627" s="4" t="str">
        <f>HYPERLINK("http://141.218.60.56/~jnz1568/getInfo.php?workbook=14_09.xlsx&amp;sheet=A0&amp;row=627&amp;col=7&amp;number=0&amp;sourceID=14","0")</f>
        <v>0</v>
      </c>
    </row>
    <row r="628" spans="1:7">
      <c r="A628" s="3">
        <v>14</v>
      </c>
      <c r="B628" s="3">
        <v>9</v>
      </c>
      <c r="C628" s="3">
        <v>166</v>
      </c>
      <c r="D628" s="3">
        <v>9</v>
      </c>
      <c r="E628" s="3">
        <v>-204.727</v>
      </c>
      <c r="F628" s="4" t="str">
        <f>HYPERLINK("http://141.218.60.56/~jnz1568/getInfo.php?workbook=14_09.xlsx&amp;sheet=A0&amp;row=628&amp;col=6&amp;number=56600000000&amp;sourceID=14","56600000000")</f>
        <v>56600000000</v>
      </c>
      <c r="G628" s="4" t="str">
        <f>HYPERLINK("http://141.218.60.56/~jnz1568/getInfo.php?workbook=14_09.xlsx&amp;sheet=A0&amp;row=628&amp;col=7&amp;number=0&amp;sourceID=14","0")</f>
        <v>0</v>
      </c>
    </row>
    <row r="629" spans="1:7">
      <c r="A629" s="3">
        <v>14</v>
      </c>
      <c r="B629" s="3">
        <v>9</v>
      </c>
      <c r="C629" s="3">
        <v>169</v>
      </c>
      <c r="D629" s="3">
        <v>9</v>
      </c>
      <c r="E629" s="3">
        <v>-195.522</v>
      </c>
      <c r="F629" s="4" t="str">
        <f>HYPERLINK("http://141.218.60.56/~jnz1568/getInfo.php?workbook=14_09.xlsx&amp;sheet=A0&amp;row=629&amp;col=6&amp;number=964000&amp;sourceID=14","964000")</f>
        <v>964000</v>
      </c>
      <c r="G629" s="4" t="str">
        <f>HYPERLINK("http://141.218.60.56/~jnz1568/getInfo.php?workbook=14_09.xlsx&amp;sheet=A0&amp;row=629&amp;col=7&amp;number=0&amp;sourceID=14","0")</f>
        <v>0</v>
      </c>
    </row>
    <row r="630" spans="1:7">
      <c r="A630" s="3">
        <v>14</v>
      </c>
      <c r="B630" s="3">
        <v>9</v>
      </c>
      <c r="C630" s="3">
        <v>172</v>
      </c>
      <c r="D630" s="3">
        <v>9</v>
      </c>
      <c r="E630" s="3">
        <v>-193.537</v>
      </c>
      <c r="F630" s="4" t="str">
        <f>HYPERLINK("http://141.218.60.56/~jnz1568/getInfo.php?workbook=14_09.xlsx&amp;sheet=A0&amp;row=630&amp;col=6&amp;number=830000&amp;sourceID=14","830000")</f>
        <v>830000</v>
      </c>
      <c r="G630" s="4" t="str">
        <f>HYPERLINK("http://141.218.60.56/~jnz1568/getInfo.php?workbook=14_09.xlsx&amp;sheet=A0&amp;row=630&amp;col=7&amp;number=0&amp;sourceID=14","0")</f>
        <v>0</v>
      </c>
    </row>
    <row r="631" spans="1:7">
      <c r="A631" s="3">
        <v>14</v>
      </c>
      <c r="B631" s="3">
        <v>9</v>
      </c>
      <c r="C631" s="3">
        <v>173</v>
      </c>
      <c r="D631" s="3">
        <v>9</v>
      </c>
      <c r="E631" s="3">
        <v>-193.02</v>
      </c>
      <c r="F631" s="4" t="str">
        <f>HYPERLINK("http://141.218.60.56/~jnz1568/getInfo.php?workbook=14_09.xlsx&amp;sheet=A0&amp;row=631&amp;col=6&amp;number=279000&amp;sourceID=14","279000")</f>
        <v>279000</v>
      </c>
      <c r="G631" s="4" t="str">
        <f>HYPERLINK("http://141.218.60.56/~jnz1568/getInfo.php?workbook=14_09.xlsx&amp;sheet=A0&amp;row=631&amp;col=7&amp;number=0&amp;sourceID=14","0")</f>
        <v>0</v>
      </c>
    </row>
    <row r="632" spans="1:7">
      <c r="A632" s="3">
        <v>14</v>
      </c>
      <c r="B632" s="3">
        <v>9</v>
      </c>
      <c r="C632" s="3">
        <v>175</v>
      </c>
      <c r="D632" s="3">
        <v>9</v>
      </c>
      <c r="E632" s="3">
        <v>-190.558</v>
      </c>
      <c r="F632" s="4" t="str">
        <f>HYPERLINK("http://141.218.60.56/~jnz1568/getInfo.php?workbook=14_09.xlsx&amp;sheet=A0&amp;row=632&amp;col=6&amp;number=26100000&amp;sourceID=14","26100000")</f>
        <v>26100000</v>
      </c>
      <c r="G632" s="4" t="str">
        <f>HYPERLINK("http://141.218.60.56/~jnz1568/getInfo.php?workbook=14_09.xlsx&amp;sheet=A0&amp;row=632&amp;col=7&amp;number=0&amp;sourceID=14","0")</f>
        <v>0</v>
      </c>
    </row>
    <row r="633" spans="1:7">
      <c r="A633" s="3">
        <v>14</v>
      </c>
      <c r="B633" s="3">
        <v>9</v>
      </c>
      <c r="C633" s="3">
        <v>177</v>
      </c>
      <c r="D633" s="3">
        <v>9</v>
      </c>
      <c r="E633" s="3">
        <v>-189.8</v>
      </c>
      <c r="F633" s="4" t="str">
        <f>HYPERLINK("http://141.218.60.56/~jnz1568/getInfo.php?workbook=14_09.xlsx&amp;sheet=A0&amp;row=633&amp;col=6&amp;number=27500000&amp;sourceID=14","27500000")</f>
        <v>27500000</v>
      </c>
      <c r="G633" s="4" t="str">
        <f>HYPERLINK("http://141.218.60.56/~jnz1568/getInfo.php?workbook=14_09.xlsx&amp;sheet=A0&amp;row=633&amp;col=7&amp;number=0&amp;sourceID=14","0")</f>
        <v>0</v>
      </c>
    </row>
    <row r="634" spans="1:7">
      <c r="A634" s="3">
        <v>14</v>
      </c>
      <c r="B634" s="3">
        <v>9</v>
      </c>
      <c r="C634" s="3">
        <v>179</v>
      </c>
      <c r="D634" s="3">
        <v>9</v>
      </c>
      <c r="E634" s="3">
        <v>-189.727</v>
      </c>
      <c r="F634" s="4" t="str">
        <f>HYPERLINK("http://141.218.60.56/~jnz1568/getInfo.php?workbook=14_09.xlsx&amp;sheet=A0&amp;row=634&amp;col=6&amp;number=931000&amp;sourceID=14","931000")</f>
        <v>931000</v>
      </c>
      <c r="G634" s="4" t="str">
        <f>HYPERLINK("http://141.218.60.56/~jnz1568/getInfo.php?workbook=14_09.xlsx&amp;sheet=A0&amp;row=634&amp;col=7&amp;number=0&amp;sourceID=14","0")</f>
        <v>0</v>
      </c>
    </row>
    <row r="635" spans="1:7">
      <c r="A635" s="3">
        <v>14</v>
      </c>
      <c r="B635" s="3">
        <v>9</v>
      </c>
      <c r="C635" s="3">
        <v>180</v>
      </c>
      <c r="D635" s="3">
        <v>9</v>
      </c>
      <c r="E635" s="3">
        <v>-189.328</v>
      </c>
      <c r="F635" s="4" t="str">
        <f>HYPERLINK("http://141.218.60.56/~jnz1568/getInfo.php?workbook=14_09.xlsx&amp;sheet=A0&amp;row=635&amp;col=6&amp;number=9960000&amp;sourceID=14","9960000")</f>
        <v>9960000</v>
      </c>
      <c r="G635" s="4" t="str">
        <f>HYPERLINK("http://141.218.60.56/~jnz1568/getInfo.php?workbook=14_09.xlsx&amp;sheet=A0&amp;row=635&amp;col=7&amp;number=0&amp;sourceID=14","0")</f>
        <v>0</v>
      </c>
    </row>
    <row r="636" spans="1:7">
      <c r="A636" s="3">
        <v>14</v>
      </c>
      <c r="B636" s="3">
        <v>9</v>
      </c>
      <c r="C636" s="3">
        <v>181</v>
      </c>
      <c r="D636" s="3">
        <v>9</v>
      </c>
      <c r="E636" s="3">
        <v>-187.794</v>
      </c>
      <c r="F636" s="4" t="str">
        <f>HYPERLINK("http://141.218.60.56/~jnz1568/getInfo.php?workbook=14_09.xlsx&amp;sheet=A0&amp;row=636&amp;col=6&amp;number=8320000&amp;sourceID=14","8320000")</f>
        <v>8320000</v>
      </c>
      <c r="G636" s="4" t="str">
        <f>HYPERLINK("http://141.218.60.56/~jnz1568/getInfo.php?workbook=14_09.xlsx&amp;sheet=A0&amp;row=636&amp;col=7&amp;number=0&amp;sourceID=14","0")</f>
        <v>0</v>
      </c>
    </row>
    <row r="637" spans="1:7">
      <c r="A637" s="3">
        <v>14</v>
      </c>
      <c r="B637" s="3">
        <v>9</v>
      </c>
      <c r="C637" s="3">
        <v>182</v>
      </c>
      <c r="D637" s="3">
        <v>9</v>
      </c>
      <c r="E637" s="3">
        <v>-187.76</v>
      </c>
      <c r="F637" s="4" t="str">
        <f>HYPERLINK("http://141.218.60.56/~jnz1568/getInfo.php?workbook=14_09.xlsx&amp;sheet=A0&amp;row=637&amp;col=6&amp;number=6040000&amp;sourceID=14","6040000")</f>
        <v>6040000</v>
      </c>
      <c r="G637" s="4" t="str">
        <f>HYPERLINK("http://141.218.60.56/~jnz1568/getInfo.php?workbook=14_09.xlsx&amp;sheet=A0&amp;row=637&amp;col=7&amp;number=0&amp;sourceID=14","0")</f>
        <v>0</v>
      </c>
    </row>
    <row r="638" spans="1:7">
      <c r="A638" s="3">
        <v>14</v>
      </c>
      <c r="B638" s="3">
        <v>9</v>
      </c>
      <c r="C638" s="3">
        <v>184</v>
      </c>
      <c r="D638" s="3">
        <v>9</v>
      </c>
      <c r="E638" s="3">
        <v>-184.006</v>
      </c>
      <c r="F638" s="4" t="str">
        <f>HYPERLINK("http://141.218.60.56/~jnz1568/getInfo.php?workbook=14_09.xlsx&amp;sheet=A0&amp;row=638&amp;col=6&amp;number=37500000&amp;sourceID=14","37500000")</f>
        <v>37500000</v>
      </c>
      <c r="G638" s="4" t="str">
        <f>HYPERLINK("http://141.218.60.56/~jnz1568/getInfo.php?workbook=14_09.xlsx&amp;sheet=A0&amp;row=638&amp;col=7&amp;number=0&amp;sourceID=14","0")</f>
        <v>0</v>
      </c>
    </row>
    <row r="639" spans="1:7">
      <c r="A639" s="3">
        <v>14</v>
      </c>
      <c r="B639" s="3">
        <v>9</v>
      </c>
      <c r="C639" s="3">
        <v>190</v>
      </c>
      <c r="D639" s="3">
        <v>9</v>
      </c>
      <c r="E639" s="3">
        <v>-148.344</v>
      </c>
      <c r="F639" s="4" t="str">
        <f>HYPERLINK("http://141.218.60.56/~jnz1568/getInfo.php?workbook=14_09.xlsx&amp;sheet=A0&amp;row=639&amp;col=6&amp;number=4750000&amp;sourceID=14","4750000")</f>
        <v>4750000</v>
      </c>
      <c r="G639" s="4" t="str">
        <f>HYPERLINK("http://141.218.60.56/~jnz1568/getInfo.php?workbook=14_09.xlsx&amp;sheet=A0&amp;row=639&amp;col=7&amp;number=0&amp;sourceID=14","0")</f>
        <v>0</v>
      </c>
    </row>
    <row r="640" spans="1:7">
      <c r="A640" s="3">
        <v>14</v>
      </c>
      <c r="B640" s="3">
        <v>9</v>
      </c>
      <c r="C640" s="3">
        <v>191</v>
      </c>
      <c r="D640" s="3">
        <v>9</v>
      </c>
      <c r="E640" s="3">
        <v>-148.325</v>
      </c>
      <c r="F640" s="4" t="str">
        <f>HYPERLINK("http://141.218.60.56/~jnz1568/getInfo.php?workbook=14_09.xlsx&amp;sheet=A0&amp;row=640&amp;col=6&amp;number=67300000&amp;sourceID=14","67300000")</f>
        <v>67300000</v>
      </c>
      <c r="G640" s="4" t="str">
        <f>HYPERLINK("http://141.218.60.56/~jnz1568/getInfo.php?workbook=14_09.xlsx&amp;sheet=A0&amp;row=640&amp;col=7&amp;number=0&amp;sourceID=14","0")</f>
        <v>0</v>
      </c>
    </row>
    <row r="641" spans="1:7">
      <c r="A641" s="3">
        <v>14</v>
      </c>
      <c r="B641" s="3">
        <v>9</v>
      </c>
      <c r="C641" s="3">
        <v>192</v>
      </c>
      <c r="D641" s="3">
        <v>9</v>
      </c>
      <c r="E641" s="3">
        <v>-147.536</v>
      </c>
      <c r="F641" s="4" t="str">
        <f>HYPERLINK("http://141.218.60.56/~jnz1568/getInfo.php?workbook=14_09.xlsx&amp;sheet=A0&amp;row=641&amp;col=6&amp;number=4510000&amp;sourceID=14","4510000")</f>
        <v>4510000</v>
      </c>
      <c r="G641" s="4" t="str">
        <f>HYPERLINK("http://141.218.60.56/~jnz1568/getInfo.php?workbook=14_09.xlsx&amp;sheet=A0&amp;row=641&amp;col=7&amp;number=0&amp;sourceID=14","0")</f>
        <v>0</v>
      </c>
    </row>
    <row r="642" spans="1:7">
      <c r="A642" s="3">
        <v>14</v>
      </c>
      <c r="B642" s="3">
        <v>9</v>
      </c>
      <c r="C642" s="3">
        <v>195</v>
      </c>
      <c r="D642" s="3">
        <v>9</v>
      </c>
      <c r="E642" s="3">
        <v>-146.877</v>
      </c>
      <c r="F642" s="4" t="str">
        <f>HYPERLINK("http://141.218.60.56/~jnz1568/getInfo.php?workbook=14_09.xlsx&amp;sheet=A0&amp;row=642&amp;col=6&amp;number=4510000&amp;sourceID=14","4510000")</f>
        <v>4510000</v>
      </c>
      <c r="G642" s="4" t="str">
        <f>HYPERLINK("http://141.218.60.56/~jnz1568/getInfo.php?workbook=14_09.xlsx&amp;sheet=A0&amp;row=642&amp;col=7&amp;number=0&amp;sourceID=14","0")</f>
        <v>0</v>
      </c>
    </row>
    <row r="643" spans="1:7">
      <c r="A643" s="3">
        <v>14</v>
      </c>
      <c r="B643" s="3">
        <v>9</v>
      </c>
      <c r="C643" s="3">
        <v>13</v>
      </c>
      <c r="D643" s="3">
        <v>10</v>
      </c>
      <c r="E643" s="3">
        <v>3370.749</v>
      </c>
      <c r="F643" s="4" t="str">
        <f>HYPERLINK("http://141.218.60.56/~jnz1568/getInfo.php?workbook=14_09.xlsx&amp;sheet=A0&amp;row=643&amp;col=6&amp;number=10400&amp;sourceID=14","10400")</f>
        <v>10400</v>
      </c>
      <c r="G643" s="4" t="str">
        <f>HYPERLINK("http://141.218.60.56/~jnz1568/getInfo.php?workbook=14_09.xlsx&amp;sheet=A0&amp;row=643&amp;col=7&amp;number=0&amp;sourceID=14","0")</f>
        <v>0</v>
      </c>
    </row>
    <row r="644" spans="1:7">
      <c r="A644" s="3">
        <v>14</v>
      </c>
      <c r="B644" s="3">
        <v>9</v>
      </c>
      <c r="C644" s="3">
        <v>17</v>
      </c>
      <c r="D644" s="3">
        <v>10</v>
      </c>
      <c r="E644" s="3">
        <v>2406.172</v>
      </c>
      <c r="F644" s="4" t="str">
        <f>HYPERLINK("http://141.218.60.56/~jnz1568/getInfo.php?workbook=14_09.xlsx&amp;sheet=A0&amp;row=644&amp;col=6&amp;number=11900&amp;sourceID=14","11900")</f>
        <v>11900</v>
      </c>
      <c r="G644" s="4" t="str">
        <f>HYPERLINK("http://141.218.60.56/~jnz1568/getInfo.php?workbook=14_09.xlsx&amp;sheet=A0&amp;row=644&amp;col=7&amp;number=0&amp;sourceID=14","0")</f>
        <v>0</v>
      </c>
    </row>
    <row r="645" spans="1:7">
      <c r="A645" s="3">
        <v>14</v>
      </c>
      <c r="B645" s="3">
        <v>9</v>
      </c>
      <c r="C645" s="3">
        <v>19</v>
      </c>
      <c r="D645" s="3">
        <v>10</v>
      </c>
      <c r="E645" s="3">
        <v>2079.415</v>
      </c>
      <c r="F645" s="4" t="str">
        <f>HYPERLINK("http://141.218.60.56/~jnz1568/getInfo.php?workbook=14_09.xlsx&amp;sheet=A0&amp;row=645&amp;col=6&amp;number=1290000&amp;sourceID=14","1290000")</f>
        <v>1290000</v>
      </c>
      <c r="G645" s="4" t="str">
        <f>HYPERLINK("http://141.218.60.56/~jnz1568/getInfo.php?workbook=14_09.xlsx&amp;sheet=A0&amp;row=645&amp;col=7&amp;number=0&amp;sourceID=14","0")</f>
        <v>0</v>
      </c>
    </row>
    <row r="646" spans="1:7">
      <c r="A646" s="3">
        <v>14</v>
      </c>
      <c r="B646" s="3">
        <v>9</v>
      </c>
      <c r="C646" s="3">
        <v>20</v>
      </c>
      <c r="D646" s="3">
        <v>10</v>
      </c>
      <c r="E646" s="3">
        <v>-2112.293</v>
      </c>
      <c r="F646" s="4" t="str">
        <f>HYPERLINK("http://141.218.60.56/~jnz1568/getInfo.php?workbook=14_09.xlsx&amp;sheet=A0&amp;row=646&amp;col=6&amp;number=25300000&amp;sourceID=14","25300000")</f>
        <v>25300000</v>
      </c>
      <c r="G646" s="4" t="str">
        <f>HYPERLINK("http://141.218.60.56/~jnz1568/getInfo.php?workbook=14_09.xlsx&amp;sheet=A0&amp;row=646&amp;col=7&amp;number=0&amp;sourceID=14","0")</f>
        <v>0</v>
      </c>
    </row>
    <row r="647" spans="1:7">
      <c r="A647" s="3">
        <v>14</v>
      </c>
      <c r="B647" s="3">
        <v>9</v>
      </c>
      <c r="C647" s="3">
        <v>21</v>
      </c>
      <c r="D647" s="3">
        <v>10</v>
      </c>
      <c r="E647" s="3">
        <v>1911.64</v>
      </c>
      <c r="F647" s="4" t="str">
        <f>HYPERLINK("http://141.218.60.56/~jnz1568/getInfo.php?workbook=14_09.xlsx&amp;sheet=A0&amp;row=647&amp;col=6&amp;number=619000&amp;sourceID=14","619000")</f>
        <v>619000</v>
      </c>
      <c r="G647" s="4" t="str">
        <f>HYPERLINK("http://141.218.60.56/~jnz1568/getInfo.php?workbook=14_09.xlsx&amp;sheet=A0&amp;row=647&amp;col=7&amp;number=0&amp;sourceID=14","0")</f>
        <v>0</v>
      </c>
    </row>
    <row r="648" spans="1:7">
      <c r="A648" s="3">
        <v>14</v>
      </c>
      <c r="B648" s="3">
        <v>9</v>
      </c>
      <c r="C648" s="3">
        <v>22</v>
      </c>
      <c r="D648" s="3">
        <v>10</v>
      </c>
      <c r="E648" s="3">
        <v>1884.127</v>
      </c>
      <c r="F648" s="4" t="str">
        <f>HYPERLINK("http://141.218.60.56/~jnz1568/getInfo.php?workbook=14_09.xlsx&amp;sheet=A0&amp;row=648&amp;col=6&amp;number=5140000&amp;sourceID=14","5140000")</f>
        <v>5140000</v>
      </c>
      <c r="G648" s="4" t="str">
        <f>HYPERLINK("http://141.218.60.56/~jnz1568/getInfo.php?workbook=14_09.xlsx&amp;sheet=A0&amp;row=648&amp;col=7&amp;number=0&amp;sourceID=14","0")</f>
        <v>0</v>
      </c>
    </row>
    <row r="649" spans="1:7">
      <c r="A649" s="3">
        <v>14</v>
      </c>
      <c r="B649" s="3">
        <v>9</v>
      </c>
      <c r="C649" s="3">
        <v>23</v>
      </c>
      <c r="D649" s="3">
        <v>10</v>
      </c>
      <c r="E649" s="3">
        <v>-1930.468</v>
      </c>
      <c r="F649" s="4" t="str">
        <f>HYPERLINK("http://141.218.60.56/~jnz1568/getInfo.php?workbook=14_09.xlsx&amp;sheet=A0&amp;row=649&amp;col=6&amp;number=33800000&amp;sourceID=14","33800000")</f>
        <v>33800000</v>
      </c>
      <c r="G649" s="4" t="str">
        <f>HYPERLINK("http://141.218.60.56/~jnz1568/getInfo.php?workbook=14_09.xlsx&amp;sheet=A0&amp;row=649&amp;col=7&amp;number=0&amp;sourceID=14","0")</f>
        <v>0</v>
      </c>
    </row>
    <row r="650" spans="1:7">
      <c r="A650" s="3">
        <v>14</v>
      </c>
      <c r="B650" s="3">
        <v>9</v>
      </c>
      <c r="C650" s="3">
        <v>25</v>
      </c>
      <c r="D650" s="3">
        <v>10</v>
      </c>
      <c r="E650" s="3">
        <v>1181.648</v>
      </c>
      <c r="F650" s="4" t="str">
        <f>HYPERLINK("http://141.218.60.56/~jnz1568/getInfo.php?workbook=14_09.xlsx&amp;sheet=A0&amp;row=650&amp;col=6&amp;number=803000000&amp;sourceID=14","803000000")</f>
        <v>803000000</v>
      </c>
      <c r="G650" s="4" t="str">
        <f>HYPERLINK("http://141.218.60.56/~jnz1568/getInfo.php?workbook=14_09.xlsx&amp;sheet=A0&amp;row=650&amp;col=7&amp;number=0&amp;sourceID=14","0")</f>
        <v>0</v>
      </c>
    </row>
    <row r="651" spans="1:7">
      <c r="A651" s="3">
        <v>14</v>
      </c>
      <c r="B651" s="3">
        <v>9</v>
      </c>
      <c r="C651" s="3">
        <v>27</v>
      </c>
      <c r="D651" s="3">
        <v>10</v>
      </c>
      <c r="E651" s="3">
        <v>1079.811</v>
      </c>
      <c r="F651" s="4" t="str">
        <f>HYPERLINK("http://141.218.60.56/~jnz1568/getInfo.php?workbook=14_09.xlsx&amp;sheet=A0&amp;row=651&amp;col=6&amp;number=1170000000&amp;sourceID=14","1170000000")</f>
        <v>1170000000</v>
      </c>
      <c r="G651" s="4" t="str">
        <f>HYPERLINK("http://141.218.60.56/~jnz1568/getInfo.php?workbook=14_09.xlsx&amp;sheet=A0&amp;row=651&amp;col=7&amp;number=0&amp;sourceID=14","0")</f>
        <v>0</v>
      </c>
    </row>
    <row r="652" spans="1:7">
      <c r="A652" s="3">
        <v>14</v>
      </c>
      <c r="B652" s="3">
        <v>9</v>
      </c>
      <c r="C652" s="3">
        <v>28</v>
      </c>
      <c r="D652" s="3">
        <v>10</v>
      </c>
      <c r="E652" s="3">
        <v>1046.215</v>
      </c>
      <c r="F652" s="4" t="str">
        <f>HYPERLINK("http://141.218.60.56/~jnz1568/getInfo.php?workbook=14_09.xlsx&amp;sheet=A0&amp;row=652&amp;col=6&amp;number=115000000&amp;sourceID=14","115000000")</f>
        <v>115000000</v>
      </c>
      <c r="G652" s="4" t="str">
        <f>HYPERLINK("http://141.218.60.56/~jnz1568/getInfo.php?workbook=14_09.xlsx&amp;sheet=A0&amp;row=652&amp;col=7&amp;number=0&amp;sourceID=14","0")</f>
        <v>0</v>
      </c>
    </row>
    <row r="653" spans="1:7">
      <c r="A653" s="3">
        <v>14</v>
      </c>
      <c r="B653" s="3">
        <v>9</v>
      </c>
      <c r="C653" s="3">
        <v>29</v>
      </c>
      <c r="D653" s="3">
        <v>10</v>
      </c>
      <c r="E653" s="3">
        <v>939.453</v>
      </c>
      <c r="F653" s="4" t="str">
        <f>HYPERLINK("http://141.218.60.56/~jnz1568/getInfo.php?workbook=14_09.xlsx&amp;sheet=A0&amp;row=653&amp;col=6&amp;number=78100000&amp;sourceID=14","78100000")</f>
        <v>78100000</v>
      </c>
      <c r="G653" s="4" t="str">
        <f>HYPERLINK("http://141.218.60.56/~jnz1568/getInfo.php?workbook=14_09.xlsx&amp;sheet=A0&amp;row=653&amp;col=7&amp;number=0&amp;sourceID=14","0")</f>
        <v>0</v>
      </c>
    </row>
    <row r="654" spans="1:7">
      <c r="A654" s="3">
        <v>14</v>
      </c>
      <c r="B654" s="3">
        <v>9</v>
      </c>
      <c r="C654" s="3">
        <v>30</v>
      </c>
      <c r="D654" s="3">
        <v>10</v>
      </c>
      <c r="E654" s="3">
        <v>918.922</v>
      </c>
      <c r="F654" s="4" t="str">
        <f>HYPERLINK("http://141.218.60.56/~jnz1568/getInfo.php?workbook=14_09.xlsx&amp;sheet=A0&amp;row=654&amp;col=6&amp;number=1760000000&amp;sourceID=14","1760000000")</f>
        <v>1760000000</v>
      </c>
      <c r="G654" s="4" t="str">
        <f>HYPERLINK("http://141.218.60.56/~jnz1568/getInfo.php?workbook=14_09.xlsx&amp;sheet=A0&amp;row=654&amp;col=7&amp;number=0&amp;sourceID=14","0")</f>
        <v>0</v>
      </c>
    </row>
    <row r="655" spans="1:7">
      <c r="A655" s="3">
        <v>14</v>
      </c>
      <c r="B655" s="3">
        <v>9</v>
      </c>
      <c r="C655" s="3">
        <v>44</v>
      </c>
      <c r="D655" s="3">
        <v>10</v>
      </c>
      <c r="E655" s="3">
        <v>-633.317</v>
      </c>
      <c r="F655" s="4" t="str">
        <f>HYPERLINK("http://141.218.60.56/~jnz1568/getInfo.php?workbook=14_09.xlsx&amp;sheet=A0&amp;row=655&amp;col=6&amp;number=1470000&amp;sourceID=14","1470000")</f>
        <v>1470000</v>
      </c>
      <c r="G655" s="4" t="str">
        <f>HYPERLINK("http://141.218.60.56/~jnz1568/getInfo.php?workbook=14_09.xlsx&amp;sheet=A0&amp;row=655&amp;col=7&amp;number=0&amp;sourceID=14","0")</f>
        <v>0</v>
      </c>
    </row>
    <row r="656" spans="1:7">
      <c r="A656" s="3">
        <v>14</v>
      </c>
      <c r="B656" s="3">
        <v>9</v>
      </c>
      <c r="C656" s="3">
        <v>45</v>
      </c>
      <c r="D656" s="3">
        <v>10</v>
      </c>
      <c r="E656" s="3">
        <v>-631.977</v>
      </c>
      <c r="F656" s="4" t="str">
        <f>HYPERLINK("http://141.218.60.56/~jnz1568/getInfo.php?workbook=14_09.xlsx&amp;sheet=A0&amp;row=656&amp;col=6&amp;number=5160000&amp;sourceID=14","5160000")</f>
        <v>5160000</v>
      </c>
      <c r="G656" s="4" t="str">
        <f>HYPERLINK("http://141.218.60.56/~jnz1568/getInfo.php?workbook=14_09.xlsx&amp;sheet=A0&amp;row=656&amp;col=7&amp;number=0&amp;sourceID=14","0")</f>
        <v>0</v>
      </c>
    </row>
    <row r="657" spans="1:7">
      <c r="A657" s="3">
        <v>14</v>
      </c>
      <c r="B657" s="3">
        <v>9</v>
      </c>
      <c r="C657" s="3">
        <v>50</v>
      </c>
      <c r="D657" s="3">
        <v>10</v>
      </c>
      <c r="E657" s="3">
        <v>516.963</v>
      </c>
      <c r="F657" s="4" t="str">
        <f>HYPERLINK("http://141.218.60.56/~jnz1568/getInfo.php?workbook=14_09.xlsx&amp;sheet=A0&amp;row=657&amp;col=6&amp;number=38900&amp;sourceID=14","38900")</f>
        <v>38900</v>
      </c>
      <c r="G657" s="4" t="str">
        <f>HYPERLINK("http://141.218.60.56/~jnz1568/getInfo.php?workbook=14_09.xlsx&amp;sheet=A0&amp;row=657&amp;col=7&amp;number=0&amp;sourceID=14","0")</f>
        <v>0</v>
      </c>
    </row>
    <row r="658" spans="1:7">
      <c r="A658" s="3">
        <v>14</v>
      </c>
      <c r="B658" s="3">
        <v>9</v>
      </c>
      <c r="C658" s="3">
        <v>66</v>
      </c>
      <c r="D658" s="3">
        <v>10</v>
      </c>
      <c r="E658" s="3">
        <v>-328.162</v>
      </c>
      <c r="F658" s="4" t="str">
        <f>HYPERLINK("http://141.218.60.56/~jnz1568/getInfo.php?workbook=14_09.xlsx&amp;sheet=A0&amp;row=658&amp;col=6&amp;number=432000&amp;sourceID=14","432000")</f>
        <v>432000</v>
      </c>
      <c r="G658" s="4" t="str">
        <f>HYPERLINK("http://141.218.60.56/~jnz1568/getInfo.php?workbook=14_09.xlsx&amp;sheet=A0&amp;row=658&amp;col=7&amp;number=0&amp;sourceID=14","0")</f>
        <v>0</v>
      </c>
    </row>
    <row r="659" spans="1:7">
      <c r="A659" s="3">
        <v>14</v>
      </c>
      <c r="B659" s="3">
        <v>9</v>
      </c>
      <c r="C659" s="3">
        <v>67</v>
      </c>
      <c r="D659" s="3">
        <v>10</v>
      </c>
      <c r="E659" s="3">
        <v>-326.548</v>
      </c>
      <c r="F659" s="4" t="str">
        <f>HYPERLINK("http://141.218.60.56/~jnz1568/getInfo.php?workbook=14_09.xlsx&amp;sheet=A0&amp;row=659&amp;col=6&amp;number=2410000&amp;sourceID=14","2410000")</f>
        <v>2410000</v>
      </c>
      <c r="G659" s="4" t="str">
        <f>HYPERLINK("http://141.218.60.56/~jnz1568/getInfo.php?workbook=14_09.xlsx&amp;sheet=A0&amp;row=659&amp;col=7&amp;number=0&amp;sourceID=14","0")</f>
        <v>0</v>
      </c>
    </row>
    <row r="660" spans="1:7">
      <c r="A660" s="3">
        <v>14</v>
      </c>
      <c r="B660" s="3">
        <v>9</v>
      </c>
      <c r="C660" s="3">
        <v>68</v>
      </c>
      <c r="D660" s="3">
        <v>10</v>
      </c>
      <c r="E660" s="3">
        <v>-324.99</v>
      </c>
      <c r="F660" s="4" t="str">
        <f>HYPERLINK("http://141.218.60.56/~jnz1568/getInfo.php?workbook=14_09.xlsx&amp;sheet=A0&amp;row=660&amp;col=6&amp;number=2670000&amp;sourceID=14","2670000")</f>
        <v>2670000</v>
      </c>
      <c r="G660" s="4" t="str">
        <f>HYPERLINK("http://141.218.60.56/~jnz1568/getInfo.php?workbook=14_09.xlsx&amp;sheet=A0&amp;row=660&amp;col=7&amp;number=0&amp;sourceID=14","0")</f>
        <v>0</v>
      </c>
    </row>
    <row r="661" spans="1:7">
      <c r="A661" s="3">
        <v>14</v>
      </c>
      <c r="B661" s="3">
        <v>9</v>
      </c>
      <c r="C661" s="3">
        <v>71</v>
      </c>
      <c r="D661" s="3">
        <v>10</v>
      </c>
      <c r="E661" s="3">
        <v>-317.229</v>
      </c>
      <c r="F661" s="4" t="str">
        <f>HYPERLINK("http://141.218.60.56/~jnz1568/getInfo.php?workbook=14_09.xlsx&amp;sheet=A0&amp;row=661&amp;col=6&amp;number=2860000&amp;sourceID=14","2860000")</f>
        <v>2860000</v>
      </c>
      <c r="G661" s="4" t="str">
        <f>HYPERLINK("http://141.218.60.56/~jnz1568/getInfo.php?workbook=14_09.xlsx&amp;sheet=A0&amp;row=661&amp;col=7&amp;number=0&amp;sourceID=14","0")</f>
        <v>0</v>
      </c>
    </row>
    <row r="662" spans="1:7">
      <c r="A662" s="3">
        <v>14</v>
      </c>
      <c r="B662" s="3">
        <v>9</v>
      </c>
      <c r="C662" s="3">
        <v>73</v>
      </c>
      <c r="D662" s="3">
        <v>10</v>
      </c>
      <c r="E662" s="3">
        <v>-316.102</v>
      </c>
      <c r="F662" s="4" t="str">
        <f>HYPERLINK("http://141.218.60.56/~jnz1568/getInfo.php?workbook=14_09.xlsx&amp;sheet=A0&amp;row=662&amp;col=6&amp;number=9410000&amp;sourceID=14","9410000")</f>
        <v>9410000</v>
      </c>
      <c r="G662" s="4" t="str">
        <f>HYPERLINK("http://141.218.60.56/~jnz1568/getInfo.php?workbook=14_09.xlsx&amp;sheet=A0&amp;row=662&amp;col=7&amp;number=0&amp;sourceID=14","0")</f>
        <v>0</v>
      </c>
    </row>
    <row r="663" spans="1:7">
      <c r="A663" s="3">
        <v>14</v>
      </c>
      <c r="B663" s="3">
        <v>9</v>
      </c>
      <c r="C663" s="3">
        <v>74</v>
      </c>
      <c r="D663" s="3">
        <v>10</v>
      </c>
      <c r="E663" s="3">
        <v>-314.898</v>
      </c>
      <c r="F663" s="4" t="str">
        <f>HYPERLINK("http://141.218.60.56/~jnz1568/getInfo.php?workbook=14_09.xlsx&amp;sheet=A0&amp;row=663&amp;col=6&amp;number=50600000&amp;sourceID=14","50600000")</f>
        <v>50600000</v>
      </c>
      <c r="G663" s="4" t="str">
        <f>HYPERLINK("http://141.218.60.56/~jnz1568/getInfo.php?workbook=14_09.xlsx&amp;sheet=A0&amp;row=663&amp;col=7&amp;number=0&amp;sourceID=14","0")</f>
        <v>0</v>
      </c>
    </row>
    <row r="664" spans="1:7">
      <c r="A664" s="3">
        <v>14</v>
      </c>
      <c r="B664" s="3">
        <v>9</v>
      </c>
      <c r="C664" s="3">
        <v>75</v>
      </c>
      <c r="D664" s="3">
        <v>10</v>
      </c>
      <c r="E664" s="3">
        <v>-314.346</v>
      </c>
      <c r="F664" s="4" t="str">
        <f>HYPERLINK("http://141.218.60.56/~jnz1568/getInfo.php?workbook=14_09.xlsx&amp;sheet=A0&amp;row=664&amp;col=6&amp;number=2050000&amp;sourceID=14","2050000")</f>
        <v>2050000</v>
      </c>
      <c r="G664" s="4" t="str">
        <f>HYPERLINK("http://141.218.60.56/~jnz1568/getInfo.php?workbook=14_09.xlsx&amp;sheet=A0&amp;row=664&amp;col=7&amp;number=0&amp;sourceID=14","0")</f>
        <v>0</v>
      </c>
    </row>
    <row r="665" spans="1:7">
      <c r="A665" s="3">
        <v>14</v>
      </c>
      <c r="B665" s="3">
        <v>9</v>
      </c>
      <c r="C665" s="3">
        <v>76</v>
      </c>
      <c r="D665" s="3">
        <v>10</v>
      </c>
      <c r="E665" s="3">
        <v>-314.064</v>
      </c>
      <c r="F665" s="4" t="str">
        <f>HYPERLINK("http://141.218.60.56/~jnz1568/getInfo.php?workbook=14_09.xlsx&amp;sheet=A0&amp;row=665&amp;col=6&amp;number=17800000&amp;sourceID=14","17800000")</f>
        <v>17800000</v>
      </c>
      <c r="G665" s="4" t="str">
        <f>HYPERLINK("http://141.218.60.56/~jnz1568/getInfo.php?workbook=14_09.xlsx&amp;sheet=A0&amp;row=665&amp;col=7&amp;number=0&amp;sourceID=14","0")</f>
        <v>0</v>
      </c>
    </row>
    <row r="666" spans="1:7">
      <c r="A666" s="3">
        <v>14</v>
      </c>
      <c r="B666" s="3">
        <v>9</v>
      </c>
      <c r="C666" s="3">
        <v>77</v>
      </c>
      <c r="D666" s="3">
        <v>10</v>
      </c>
      <c r="E666" s="3">
        <v>-307.203</v>
      </c>
      <c r="F666" s="4" t="str">
        <f>HYPERLINK("http://141.218.60.56/~jnz1568/getInfo.php?workbook=14_09.xlsx&amp;sheet=A0&amp;row=666&amp;col=6&amp;number=86800000&amp;sourceID=14","86800000")</f>
        <v>86800000</v>
      </c>
      <c r="G666" s="4" t="str">
        <f>HYPERLINK("http://141.218.60.56/~jnz1568/getInfo.php?workbook=14_09.xlsx&amp;sheet=A0&amp;row=666&amp;col=7&amp;number=0&amp;sourceID=14","0")</f>
        <v>0</v>
      </c>
    </row>
    <row r="667" spans="1:7">
      <c r="A667" s="3">
        <v>14</v>
      </c>
      <c r="B667" s="3">
        <v>9</v>
      </c>
      <c r="C667" s="3">
        <v>78</v>
      </c>
      <c r="D667" s="3">
        <v>10</v>
      </c>
      <c r="E667" s="3">
        <v>-306.381</v>
      </c>
      <c r="F667" s="4" t="str">
        <f>HYPERLINK("http://141.218.60.56/~jnz1568/getInfo.php?workbook=14_09.xlsx&amp;sheet=A0&amp;row=667&amp;col=6&amp;number=1390000000&amp;sourceID=14","1390000000")</f>
        <v>1390000000</v>
      </c>
      <c r="G667" s="4" t="str">
        <f>HYPERLINK("http://141.218.60.56/~jnz1568/getInfo.php?workbook=14_09.xlsx&amp;sheet=A0&amp;row=667&amp;col=7&amp;number=0&amp;sourceID=14","0")</f>
        <v>0</v>
      </c>
    </row>
    <row r="668" spans="1:7">
      <c r="A668" s="3">
        <v>14</v>
      </c>
      <c r="B668" s="3">
        <v>9</v>
      </c>
      <c r="C668" s="3">
        <v>81</v>
      </c>
      <c r="D668" s="3">
        <v>10</v>
      </c>
      <c r="E668" s="3">
        <v>-302.943</v>
      </c>
      <c r="F668" s="4" t="str">
        <f>HYPERLINK("http://141.218.60.56/~jnz1568/getInfo.php?workbook=14_09.xlsx&amp;sheet=A0&amp;row=668&amp;col=6&amp;number=1610000&amp;sourceID=14","1610000")</f>
        <v>1610000</v>
      </c>
      <c r="G668" s="4" t="str">
        <f>HYPERLINK("http://141.218.60.56/~jnz1568/getInfo.php?workbook=14_09.xlsx&amp;sheet=A0&amp;row=668&amp;col=7&amp;number=0&amp;sourceID=14","0")</f>
        <v>0</v>
      </c>
    </row>
    <row r="669" spans="1:7">
      <c r="A669" s="3">
        <v>14</v>
      </c>
      <c r="B669" s="3">
        <v>9</v>
      </c>
      <c r="C669" s="3">
        <v>82</v>
      </c>
      <c r="D669" s="3">
        <v>10</v>
      </c>
      <c r="E669" s="3">
        <v>-300.44</v>
      </c>
      <c r="F669" s="4" t="str">
        <f>HYPERLINK("http://141.218.60.56/~jnz1568/getInfo.php?workbook=14_09.xlsx&amp;sheet=A0&amp;row=669&amp;col=6&amp;number=15200000&amp;sourceID=14","15200000")</f>
        <v>15200000</v>
      </c>
      <c r="G669" s="4" t="str">
        <f>HYPERLINK("http://141.218.60.56/~jnz1568/getInfo.php?workbook=14_09.xlsx&amp;sheet=A0&amp;row=669&amp;col=7&amp;number=0&amp;sourceID=14","0")</f>
        <v>0</v>
      </c>
    </row>
    <row r="670" spans="1:7">
      <c r="A670" s="3">
        <v>14</v>
      </c>
      <c r="B670" s="3">
        <v>9</v>
      </c>
      <c r="C670" s="3">
        <v>83</v>
      </c>
      <c r="D670" s="3">
        <v>10</v>
      </c>
      <c r="E670" s="3">
        <v>-298.944</v>
      </c>
      <c r="F670" s="4" t="str">
        <f>HYPERLINK("http://141.218.60.56/~jnz1568/getInfo.php?workbook=14_09.xlsx&amp;sheet=A0&amp;row=670&amp;col=6&amp;number=6020000&amp;sourceID=14","6020000")</f>
        <v>6020000</v>
      </c>
      <c r="G670" s="4" t="str">
        <f>HYPERLINK("http://141.218.60.56/~jnz1568/getInfo.php?workbook=14_09.xlsx&amp;sheet=A0&amp;row=670&amp;col=7&amp;number=0&amp;sourceID=14","0")</f>
        <v>0</v>
      </c>
    </row>
    <row r="671" spans="1:7">
      <c r="A671" s="3">
        <v>14</v>
      </c>
      <c r="B671" s="3">
        <v>9</v>
      </c>
      <c r="C671" s="3">
        <v>84</v>
      </c>
      <c r="D671" s="3">
        <v>10</v>
      </c>
      <c r="E671" s="3">
        <v>-291.503</v>
      </c>
      <c r="F671" s="4" t="str">
        <f>HYPERLINK("http://141.218.60.56/~jnz1568/getInfo.php?workbook=14_09.xlsx&amp;sheet=A0&amp;row=671&amp;col=6&amp;number=318000000&amp;sourceID=14","318000000")</f>
        <v>318000000</v>
      </c>
      <c r="G671" s="4" t="str">
        <f>HYPERLINK("http://141.218.60.56/~jnz1568/getInfo.php?workbook=14_09.xlsx&amp;sheet=A0&amp;row=671&amp;col=7&amp;number=0&amp;sourceID=14","0")</f>
        <v>0</v>
      </c>
    </row>
    <row r="672" spans="1:7">
      <c r="A672" s="3">
        <v>14</v>
      </c>
      <c r="B672" s="3">
        <v>9</v>
      </c>
      <c r="C672" s="3">
        <v>85</v>
      </c>
      <c r="D672" s="3">
        <v>10</v>
      </c>
      <c r="E672" s="3">
        <v>-289.252</v>
      </c>
      <c r="F672" s="4" t="str">
        <f>HYPERLINK("http://141.218.60.56/~jnz1568/getInfo.php?workbook=14_09.xlsx&amp;sheet=A0&amp;row=672&amp;col=6&amp;number=1290000000&amp;sourceID=14","1290000000")</f>
        <v>1290000000</v>
      </c>
      <c r="G672" s="4" t="str">
        <f>HYPERLINK("http://141.218.60.56/~jnz1568/getInfo.php?workbook=14_09.xlsx&amp;sheet=A0&amp;row=672&amp;col=7&amp;number=0&amp;sourceID=14","0")</f>
        <v>0</v>
      </c>
    </row>
    <row r="673" spans="1:7">
      <c r="A673" s="3">
        <v>14</v>
      </c>
      <c r="B673" s="3">
        <v>9</v>
      </c>
      <c r="C673" s="3">
        <v>101</v>
      </c>
      <c r="D673" s="3">
        <v>10</v>
      </c>
      <c r="E673" s="3">
        <v>-278.066</v>
      </c>
      <c r="F673" s="4" t="str">
        <f>HYPERLINK("http://141.218.60.56/~jnz1568/getInfo.php?workbook=14_09.xlsx&amp;sheet=A0&amp;row=673&amp;col=6&amp;number=2450000000&amp;sourceID=14","2450000000")</f>
        <v>2450000000</v>
      </c>
      <c r="G673" s="4" t="str">
        <f>HYPERLINK("http://141.218.60.56/~jnz1568/getInfo.php?workbook=14_09.xlsx&amp;sheet=A0&amp;row=673&amp;col=7&amp;number=0&amp;sourceID=14","0")</f>
        <v>0</v>
      </c>
    </row>
    <row r="674" spans="1:7">
      <c r="A674" s="3">
        <v>14</v>
      </c>
      <c r="B674" s="3">
        <v>9</v>
      </c>
      <c r="C674" s="3">
        <v>106</v>
      </c>
      <c r="D674" s="3">
        <v>10</v>
      </c>
      <c r="E674" s="3">
        <v>-276.555</v>
      </c>
      <c r="F674" s="4" t="str">
        <f>HYPERLINK("http://141.218.60.56/~jnz1568/getInfo.php?workbook=14_09.xlsx&amp;sheet=A0&amp;row=674&amp;col=6&amp;number=9280000&amp;sourceID=14","9280000")</f>
        <v>9280000</v>
      </c>
      <c r="G674" s="4" t="str">
        <f>HYPERLINK("http://141.218.60.56/~jnz1568/getInfo.php?workbook=14_09.xlsx&amp;sheet=A0&amp;row=674&amp;col=7&amp;number=0&amp;sourceID=14","0")</f>
        <v>0</v>
      </c>
    </row>
    <row r="675" spans="1:7">
      <c r="A675" s="3">
        <v>14</v>
      </c>
      <c r="B675" s="3">
        <v>9</v>
      </c>
      <c r="C675" s="3">
        <v>108</v>
      </c>
      <c r="D675" s="3">
        <v>10</v>
      </c>
      <c r="E675" s="3">
        <v>-276.24</v>
      </c>
      <c r="F675" s="4" t="str">
        <f>HYPERLINK("http://141.218.60.56/~jnz1568/getInfo.php?workbook=14_09.xlsx&amp;sheet=A0&amp;row=675&amp;col=6&amp;number=4240000&amp;sourceID=14","4240000")</f>
        <v>4240000</v>
      </c>
      <c r="G675" s="4" t="str">
        <f>HYPERLINK("http://141.218.60.56/~jnz1568/getInfo.php?workbook=14_09.xlsx&amp;sheet=A0&amp;row=675&amp;col=7&amp;number=0&amp;sourceID=14","0")</f>
        <v>0</v>
      </c>
    </row>
    <row r="676" spans="1:7">
      <c r="A676" s="3">
        <v>14</v>
      </c>
      <c r="B676" s="3">
        <v>9</v>
      </c>
      <c r="C676" s="3">
        <v>109</v>
      </c>
      <c r="D676" s="3">
        <v>10</v>
      </c>
      <c r="E676" s="3">
        <v>-276.035</v>
      </c>
      <c r="F676" s="4" t="str">
        <f>HYPERLINK("http://141.218.60.56/~jnz1568/getInfo.php?workbook=14_09.xlsx&amp;sheet=A0&amp;row=676&amp;col=6&amp;number=8650000&amp;sourceID=14","8650000")</f>
        <v>8650000</v>
      </c>
      <c r="G676" s="4" t="str">
        <f>HYPERLINK("http://141.218.60.56/~jnz1568/getInfo.php?workbook=14_09.xlsx&amp;sheet=A0&amp;row=676&amp;col=7&amp;number=0&amp;sourceID=14","0")</f>
        <v>0</v>
      </c>
    </row>
    <row r="677" spans="1:7">
      <c r="A677" s="3">
        <v>14</v>
      </c>
      <c r="B677" s="3">
        <v>9</v>
      </c>
      <c r="C677" s="3">
        <v>113</v>
      </c>
      <c r="D677" s="3">
        <v>10</v>
      </c>
      <c r="E677" s="3">
        <v>-275.514</v>
      </c>
      <c r="F677" s="4" t="str">
        <f>HYPERLINK("http://141.218.60.56/~jnz1568/getInfo.php?workbook=14_09.xlsx&amp;sheet=A0&amp;row=677&amp;col=6&amp;number=1980000000&amp;sourceID=14","1980000000")</f>
        <v>1980000000</v>
      </c>
      <c r="G677" s="4" t="str">
        <f>HYPERLINK("http://141.218.60.56/~jnz1568/getInfo.php?workbook=14_09.xlsx&amp;sheet=A0&amp;row=677&amp;col=7&amp;number=0&amp;sourceID=14","0")</f>
        <v>0</v>
      </c>
    </row>
    <row r="678" spans="1:7">
      <c r="A678" s="3">
        <v>14</v>
      </c>
      <c r="B678" s="3">
        <v>9</v>
      </c>
      <c r="C678" s="3">
        <v>115</v>
      </c>
      <c r="D678" s="3">
        <v>10</v>
      </c>
      <c r="E678" s="3">
        <v>-275.401</v>
      </c>
      <c r="F678" s="4" t="str">
        <f>HYPERLINK("http://141.218.60.56/~jnz1568/getInfo.php?workbook=14_09.xlsx&amp;sheet=A0&amp;row=678&amp;col=6&amp;number=207000000&amp;sourceID=14","207000000")</f>
        <v>207000000</v>
      </c>
      <c r="G678" s="4" t="str">
        <f>HYPERLINK("http://141.218.60.56/~jnz1568/getInfo.php?workbook=14_09.xlsx&amp;sheet=A0&amp;row=678&amp;col=7&amp;number=0&amp;sourceID=14","0")</f>
        <v>0</v>
      </c>
    </row>
    <row r="679" spans="1:7">
      <c r="A679" s="3">
        <v>14</v>
      </c>
      <c r="B679" s="3">
        <v>9</v>
      </c>
      <c r="C679" s="3">
        <v>116</v>
      </c>
      <c r="D679" s="3">
        <v>10</v>
      </c>
      <c r="E679" s="3">
        <v>-275.379</v>
      </c>
      <c r="F679" s="4" t="str">
        <f>HYPERLINK("http://141.218.60.56/~jnz1568/getInfo.php?workbook=14_09.xlsx&amp;sheet=A0&amp;row=679&amp;col=6&amp;number=168000000&amp;sourceID=14","168000000")</f>
        <v>168000000</v>
      </c>
      <c r="G679" s="4" t="str">
        <f>HYPERLINK("http://141.218.60.56/~jnz1568/getInfo.php?workbook=14_09.xlsx&amp;sheet=A0&amp;row=679&amp;col=7&amp;number=0&amp;sourceID=14","0")</f>
        <v>0</v>
      </c>
    </row>
    <row r="680" spans="1:7">
      <c r="A680" s="3">
        <v>14</v>
      </c>
      <c r="B680" s="3">
        <v>9</v>
      </c>
      <c r="C680" s="3">
        <v>117</v>
      </c>
      <c r="D680" s="3">
        <v>10</v>
      </c>
      <c r="E680" s="3">
        <v>-273.346</v>
      </c>
      <c r="F680" s="4" t="str">
        <f>HYPERLINK("http://141.218.60.56/~jnz1568/getInfo.php?workbook=14_09.xlsx&amp;sheet=A0&amp;row=680&amp;col=6&amp;number=1070000&amp;sourceID=14","1070000")</f>
        <v>1070000</v>
      </c>
      <c r="G680" s="4" t="str">
        <f>HYPERLINK("http://141.218.60.56/~jnz1568/getInfo.php?workbook=14_09.xlsx&amp;sheet=A0&amp;row=680&amp;col=7&amp;number=0&amp;sourceID=14","0")</f>
        <v>0</v>
      </c>
    </row>
    <row r="681" spans="1:7">
      <c r="A681" s="3">
        <v>14</v>
      </c>
      <c r="B681" s="3">
        <v>9</v>
      </c>
      <c r="C681" s="3">
        <v>118</v>
      </c>
      <c r="D681" s="3">
        <v>10</v>
      </c>
      <c r="E681" s="3">
        <v>-273.29</v>
      </c>
      <c r="F681" s="4" t="str">
        <f>HYPERLINK("http://141.218.60.56/~jnz1568/getInfo.php?workbook=14_09.xlsx&amp;sheet=A0&amp;row=681&amp;col=6&amp;number=393000&amp;sourceID=14","393000")</f>
        <v>393000</v>
      </c>
      <c r="G681" s="4" t="str">
        <f>HYPERLINK("http://141.218.60.56/~jnz1568/getInfo.php?workbook=14_09.xlsx&amp;sheet=A0&amp;row=681&amp;col=7&amp;number=0&amp;sourceID=14","0")</f>
        <v>0</v>
      </c>
    </row>
    <row r="682" spans="1:7">
      <c r="A682" s="3">
        <v>14</v>
      </c>
      <c r="B682" s="3">
        <v>9</v>
      </c>
      <c r="C682" s="3">
        <v>125</v>
      </c>
      <c r="D682" s="3">
        <v>10</v>
      </c>
      <c r="E682" s="3">
        <v>-266.998</v>
      </c>
      <c r="F682" s="4" t="str">
        <f>HYPERLINK("http://141.218.60.56/~jnz1568/getInfo.php?workbook=14_09.xlsx&amp;sheet=A0&amp;row=682&amp;col=6&amp;number=26200000&amp;sourceID=14","26200000")</f>
        <v>26200000</v>
      </c>
      <c r="G682" s="4" t="str">
        <f>HYPERLINK("http://141.218.60.56/~jnz1568/getInfo.php?workbook=14_09.xlsx&amp;sheet=A0&amp;row=682&amp;col=7&amp;number=0&amp;sourceID=14","0")</f>
        <v>0</v>
      </c>
    </row>
    <row r="683" spans="1:7">
      <c r="A683" s="3">
        <v>14</v>
      </c>
      <c r="B683" s="3">
        <v>9</v>
      </c>
      <c r="C683" s="3">
        <v>126</v>
      </c>
      <c r="D683" s="3">
        <v>10</v>
      </c>
      <c r="E683" s="3">
        <v>-265.538</v>
      </c>
      <c r="F683" s="4" t="str">
        <f>HYPERLINK("http://141.218.60.56/~jnz1568/getInfo.php?workbook=14_09.xlsx&amp;sheet=A0&amp;row=683&amp;col=6&amp;number=743000000&amp;sourceID=14","743000000")</f>
        <v>743000000</v>
      </c>
      <c r="G683" s="4" t="str">
        <f>HYPERLINK("http://141.218.60.56/~jnz1568/getInfo.php?workbook=14_09.xlsx&amp;sheet=A0&amp;row=683&amp;col=7&amp;number=0&amp;sourceID=14","0")</f>
        <v>0</v>
      </c>
    </row>
    <row r="684" spans="1:7">
      <c r="A684" s="3">
        <v>14</v>
      </c>
      <c r="B684" s="3">
        <v>9</v>
      </c>
      <c r="C684" s="3">
        <v>129</v>
      </c>
      <c r="D684" s="3">
        <v>10</v>
      </c>
      <c r="E684" s="3">
        <v>-250.904</v>
      </c>
      <c r="F684" s="4" t="str">
        <f>HYPERLINK("http://141.218.60.56/~jnz1568/getInfo.php?workbook=14_09.xlsx&amp;sheet=A0&amp;row=684&amp;col=6&amp;number=307000&amp;sourceID=14","307000")</f>
        <v>307000</v>
      </c>
      <c r="G684" s="4" t="str">
        <f>HYPERLINK("http://141.218.60.56/~jnz1568/getInfo.php?workbook=14_09.xlsx&amp;sheet=A0&amp;row=684&amp;col=7&amp;number=0&amp;sourceID=14","0")</f>
        <v>0</v>
      </c>
    </row>
    <row r="685" spans="1:7">
      <c r="A685" s="3">
        <v>14</v>
      </c>
      <c r="B685" s="3">
        <v>9</v>
      </c>
      <c r="C685" s="3">
        <v>131</v>
      </c>
      <c r="D685" s="3">
        <v>10</v>
      </c>
      <c r="E685" s="3">
        <v>-248.77</v>
      </c>
      <c r="F685" s="4" t="str">
        <f>HYPERLINK("http://141.218.60.56/~jnz1568/getInfo.php?workbook=14_09.xlsx&amp;sheet=A0&amp;row=685&amp;col=6&amp;number=304000&amp;sourceID=14","304000")</f>
        <v>304000</v>
      </c>
      <c r="G685" s="4" t="str">
        <f>HYPERLINK("http://141.218.60.56/~jnz1568/getInfo.php?workbook=14_09.xlsx&amp;sheet=A0&amp;row=685&amp;col=7&amp;number=0&amp;sourceID=14","0")</f>
        <v>0</v>
      </c>
    </row>
    <row r="686" spans="1:7">
      <c r="A686" s="3">
        <v>14</v>
      </c>
      <c r="B686" s="3">
        <v>9</v>
      </c>
      <c r="C686" s="3">
        <v>138</v>
      </c>
      <c r="D686" s="3">
        <v>10</v>
      </c>
      <c r="E686" s="3">
        <v>-244.76</v>
      </c>
      <c r="F686" s="4" t="str">
        <f>HYPERLINK("http://141.218.60.56/~jnz1568/getInfo.php?workbook=14_09.xlsx&amp;sheet=A0&amp;row=686&amp;col=6&amp;number=974000&amp;sourceID=14","974000")</f>
        <v>974000</v>
      </c>
      <c r="G686" s="4" t="str">
        <f>HYPERLINK("http://141.218.60.56/~jnz1568/getInfo.php?workbook=14_09.xlsx&amp;sheet=A0&amp;row=686&amp;col=7&amp;number=0&amp;sourceID=14","0")</f>
        <v>0</v>
      </c>
    </row>
    <row r="687" spans="1:7">
      <c r="A687" s="3">
        <v>14</v>
      </c>
      <c r="B687" s="3">
        <v>9</v>
      </c>
      <c r="C687" s="3">
        <v>141</v>
      </c>
      <c r="D687" s="3">
        <v>10</v>
      </c>
      <c r="E687" s="3">
        <v>-243.932</v>
      </c>
      <c r="F687" s="4" t="str">
        <f>HYPERLINK("http://141.218.60.56/~jnz1568/getInfo.php?workbook=14_09.xlsx&amp;sheet=A0&amp;row=687&amp;col=6&amp;number=1010000&amp;sourceID=14","1010000")</f>
        <v>1010000</v>
      </c>
      <c r="G687" s="4" t="str">
        <f>HYPERLINK("http://141.218.60.56/~jnz1568/getInfo.php?workbook=14_09.xlsx&amp;sheet=A0&amp;row=687&amp;col=7&amp;number=0&amp;sourceID=14","0")</f>
        <v>0</v>
      </c>
    </row>
    <row r="688" spans="1:7">
      <c r="A688" s="3">
        <v>14</v>
      </c>
      <c r="B688" s="3">
        <v>9</v>
      </c>
      <c r="C688" s="3">
        <v>142</v>
      </c>
      <c r="D688" s="3">
        <v>10</v>
      </c>
      <c r="E688" s="3">
        <v>-243.925</v>
      </c>
      <c r="F688" s="4" t="str">
        <f>HYPERLINK("http://141.218.60.56/~jnz1568/getInfo.php?workbook=14_09.xlsx&amp;sheet=A0&amp;row=688&amp;col=6&amp;number=14000000&amp;sourceID=14","14000000")</f>
        <v>14000000</v>
      </c>
      <c r="G688" s="4" t="str">
        <f>HYPERLINK("http://141.218.60.56/~jnz1568/getInfo.php?workbook=14_09.xlsx&amp;sheet=A0&amp;row=688&amp;col=7&amp;number=0&amp;sourceID=14","0")</f>
        <v>0</v>
      </c>
    </row>
    <row r="689" spans="1:7">
      <c r="A689" s="3">
        <v>14</v>
      </c>
      <c r="B689" s="3">
        <v>9</v>
      </c>
      <c r="C689" s="3">
        <v>147</v>
      </c>
      <c r="D689" s="3">
        <v>10</v>
      </c>
      <c r="E689" s="3">
        <v>-243.122</v>
      </c>
      <c r="F689" s="4" t="str">
        <f>HYPERLINK("http://141.218.60.56/~jnz1568/getInfo.php?workbook=14_09.xlsx&amp;sheet=A0&amp;row=689&amp;col=6&amp;number=26700000&amp;sourceID=14","26700000")</f>
        <v>26700000</v>
      </c>
      <c r="G689" s="4" t="str">
        <f>HYPERLINK("http://141.218.60.56/~jnz1568/getInfo.php?workbook=14_09.xlsx&amp;sheet=A0&amp;row=689&amp;col=7&amp;number=0&amp;sourceID=14","0")</f>
        <v>0</v>
      </c>
    </row>
    <row r="690" spans="1:7">
      <c r="A690" s="3">
        <v>14</v>
      </c>
      <c r="B690" s="3">
        <v>9</v>
      </c>
      <c r="C690" s="3">
        <v>159</v>
      </c>
      <c r="D690" s="3">
        <v>10</v>
      </c>
      <c r="E690" s="3">
        <v>-231.951</v>
      </c>
      <c r="F690" s="4" t="str">
        <f>HYPERLINK("http://141.218.60.56/~jnz1568/getInfo.php?workbook=14_09.xlsx&amp;sheet=A0&amp;row=690&amp;col=6&amp;number=7220000&amp;sourceID=14","7220000")</f>
        <v>7220000</v>
      </c>
      <c r="G690" s="4" t="str">
        <f>HYPERLINK("http://141.218.60.56/~jnz1568/getInfo.php?workbook=14_09.xlsx&amp;sheet=A0&amp;row=690&amp;col=7&amp;number=0&amp;sourceID=14","0")</f>
        <v>0</v>
      </c>
    </row>
    <row r="691" spans="1:7">
      <c r="A691" s="3">
        <v>14</v>
      </c>
      <c r="B691" s="3">
        <v>9</v>
      </c>
      <c r="C691" s="3">
        <v>160</v>
      </c>
      <c r="D691" s="3">
        <v>10</v>
      </c>
      <c r="E691" s="3">
        <v>-231.884</v>
      </c>
      <c r="F691" s="4" t="str">
        <f>HYPERLINK("http://141.218.60.56/~jnz1568/getInfo.php?workbook=14_09.xlsx&amp;sheet=A0&amp;row=691&amp;col=6&amp;number=57900000&amp;sourceID=14","57900000")</f>
        <v>57900000</v>
      </c>
      <c r="G691" s="4" t="str">
        <f>HYPERLINK("http://141.218.60.56/~jnz1568/getInfo.php?workbook=14_09.xlsx&amp;sheet=A0&amp;row=691&amp;col=7&amp;number=0&amp;sourceID=14","0")</f>
        <v>0</v>
      </c>
    </row>
    <row r="692" spans="1:7">
      <c r="A692" s="3">
        <v>14</v>
      </c>
      <c r="B692" s="3">
        <v>9</v>
      </c>
      <c r="C692" s="3">
        <v>164</v>
      </c>
      <c r="D692" s="3">
        <v>10</v>
      </c>
      <c r="E692" s="3">
        <v>-208.467</v>
      </c>
      <c r="F692" s="4" t="str">
        <f>HYPERLINK("http://141.218.60.56/~jnz1568/getInfo.php?workbook=14_09.xlsx&amp;sheet=A0&amp;row=692&amp;col=6&amp;number=13600000&amp;sourceID=14","13600000")</f>
        <v>13600000</v>
      </c>
      <c r="G692" s="4" t="str">
        <f>HYPERLINK("http://141.218.60.56/~jnz1568/getInfo.php?workbook=14_09.xlsx&amp;sheet=A0&amp;row=692&amp;col=7&amp;number=0&amp;sourceID=14","0")</f>
        <v>0</v>
      </c>
    </row>
    <row r="693" spans="1:7">
      <c r="A693" s="3">
        <v>14</v>
      </c>
      <c r="B693" s="3">
        <v>9</v>
      </c>
      <c r="C693" s="3">
        <v>166</v>
      </c>
      <c r="D693" s="3">
        <v>10</v>
      </c>
      <c r="E693" s="3">
        <v>-204.745</v>
      </c>
      <c r="F693" s="4" t="str">
        <f>HYPERLINK("http://141.218.60.56/~jnz1568/getInfo.php?workbook=14_09.xlsx&amp;sheet=A0&amp;row=693&amp;col=6&amp;number=6290000000&amp;sourceID=14","6290000000")</f>
        <v>6290000000</v>
      </c>
      <c r="G693" s="4" t="str">
        <f>HYPERLINK("http://141.218.60.56/~jnz1568/getInfo.php?workbook=14_09.xlsx&amp;sheet=A0&amp;row=693&amp;col=7&amp;number=0&amp;sourceID=14","0")</f>
        <v>0</v>
      </c>
    </row>
    <row r="694" spans="1:7">
      <c r="A694" s="3">
        <v>14</v>
      </c>
      <c r="B694" s="3">
        <v>9</v>
      </c>
      <c r="C694" s="3">
        <v>167</v>
      </c>
      <c r="D694" s="3">
        <v>10</v>
      </c>
      <c r="E694" s="3">
        <v>-204.685</v>
      </c>
      <c r="F694" s="4" t="str">
        <f>HYPERLINK("http://141.218.60.56/~jnz1568/getInfo.php?workbook=14_09.xlsx&amp;sheet=A0&amp;row=694&amp;col=6&amp;number=62700000000&amp;sourceID=14","62700000000")</f>
        <v>62700000000</v>
      </c>
      <c r="G694" s="4" t="str">
        <f>HYPERLINK("http://141.218.60.56/~jnz1568/getInfo.php?workbook=14_09.xlsx&amp;sheet=A0&amp;row=694&amp;col=7&amp;number=0&amp;sourceID=14","0")</f>
        <v>0</v>
      </c>
    </row>
    <row r="695" spans="1:7">
      <c r="A695" s="3">
        <v>14</v>
      </c>
      <c r="B695" s="3">
        <v>9</v>
      </c>
      <c r="C695" s="3">
        <v>168</v>
      </c>
      <c r="D695" s="3">
        <v>10</v>
      </c>
      <c r="E695" s="3">
        <v>-195.854</v>
      </c>
      <c r="F695" s="4" t="str">
        <f>HYPERLINK("http://141.218.60.56/~jnz1568/getInfo.php?workbook=14_09.xlsx&amp;sheet=A0&amp;row=695&amp;col=6&amp;number=462000&amp;sourceID=14","462000")</f>
        <v>462000</v>
      </c>
      <c r="G695" s="4" t="str">
        <f>HYPERLINK("http://141.218.60.56/~jnz1568/getInfo.php?workbook=14_09.xlsx&amp;sheet=A0&amp;row=695&amp;col=7&amp;number=0&amp;sourceID=14","0")</f>
        <v>0</v>
      </c>
    </row>
    <row r="696" spans="1:7">
      <c r="A696" s="3">
        <v>14</v>
      </c>
      <c r="B696" s="3">
        <v>9</v>
      </c>
      <c r="C696" s="3">
        <v>173</v>
      </c>
      <c r="D696" s="3">
        <v>10</v>
      </c>
      <c r="E696" s="3">
        <v>-193.036</v>
      </c>
      <c r="F696" s="4" t="str">
        <f>HYPERLINK("http://141.218.60.56/~jnz1568/getInfo.php?workbook=14_09.xlsx&amp;sheet=A0&amp;row=696&amp;col=6&amp;number=435000&amp;sourceID=14","435000")</f>
        <v>435000</v>
      </c>
      <c r="G696" s="4" t="str">
        <f>HYPERLINK("http://141.218.60.56/~jnz1568/getInfo.php?workbook=14_09.xlsx&amp;sheet=A0&amp;row=696&amp;col=7&amp;number=0&amp;sourceID=14","0")</f>
        <v>0</v>
      </c>
    </row>
    <row r="697" spans="1:7">
      <c r="A697" s="3">
        <v>14</v>
      </c>
      <c r="B697" s="3">
        <v>9</v>
      </c>
      <c r="C697" s="3">
        <v>176</v>
      </c>
      <c r="D697" s="3">
        <v>10</v>
      </c>
      <c r="E697" s="3">
        <v>-189.877</v>
      </c>
      <c r="F697" s="4" t="str">
        <f>HYPERLINK("http://141.218.60.56/~jnz1568/getInfo.php?workbook=14_09.xlsx&amp;sheet=A0&amp;row=697&amp;col=6&amp;number=3820000&amp;sourceID=14","3820000")</f>
        <v>3820000</v>
      </c>
      <c r="G697" s="4" t="str">
        <f>HYPERLINK("http://141.218.60.56/~jnz1568/getInfo.php?workbook=14_09.xlsx&amp;sheet=A0&amp;row=697&amp;col=7&amp;number=0&amp;sourceID=14","0")</f>
        <v>0</v>
      </c>
    </row>
    <row r="698" spans="1:7">
      <c r="A698" s="3">
        <v>14</v>
      </c>
      <c r="B698" s="3">
        <v>9</v>
      </c>
      <c r="C698" s="3">
        <v>178</v>
      </c>
      <c r="D698" s="3">
        <v>10</v>
      </c>
      <c r="E698" s="3">
        <v>-189.754</v>
      </c>
      <c r="F698" s="4" t="str">
        <f>HYPERLINK("http://141.218.60.56/~jnz1568/getInfo.php?workbook=14_09.xlsx&amp;sheet=A0&amp;row=698&amp;col=6&amp;number=1240000&amp;sourceID=14","1240000")</f>
        <v>1240000</v>
      </c>
      <c r="G698" s="4" t="str">
        <f>HYPERLINK("http://141.218.60.56/~jnz1568/getInfo.php?workbook=14_09.xlsx&amp;sheet=A0&amp;row=698&amp;col=7&amp;number=0&amp;sourceID=14","0")</f>
        <v>0</v>
      </c>
    </row>
    <row r="699" spans="1:7">
      <c r="A699" s="3">
        <v>14</v>
      </c>
      <c r="B699" s="3">
        <v>9</v>
      </c>
      <c r="C699" s="3">
        <v>180</v>
      </c>
      <c r="D699" s="3">
        <v>10</v>
      </c>
      <c r="E699" s="3">
        <v>-189.343</v>
      </c>
      <c r="F699" s="4" t="str">
        <f>HYPERLINK("http://141.218.60.56/~jnz1568/getInfo.php?workbook=14_09.xlsx&amp;sheet=A0&amp;row=699&amp;col=6&amp;number=35300000&amp;sourceID=14","35300000")</f>
        <v>35300000</v>
      </c>
      <c r="G699" s="4" t="str">
        <f>HYPERLINK("http://141.218.60.56/~jnz1568/getInfo.php?workbook=14_09.xlsx&amp;sheet=A0&amp;row=699&amp;col=7&amp;number=0&amp;sourceID=14","0")</f>
        <v>0</v>
      </c>
    </row>
    <row r="700" spans="1:7">
      <c r="A700" s="3">
        <v>14</v>
      </c>
      <c r="B700" s="3">
        <v>9</v>
      </c>
      <c r="C700" s="3">
        <v>181</v>
      </c>
      <c r="D700" s="3">
        <v>10</v>
      </c>
      <c r="E700" s="3">
        <v>-187.81</v>
      </c>
      <c r="F700" s="4" t="str">
        <f>HYPERLINK("http://141.218.60.56/~jnz1568/getInfo.php?workbook=14_09.xlsx&amp;sheet=A0&amp;row=700&amp;col=6&amp;number=13500000&amp;sourceID=14","13500000")</f>
        <v>13500000</v>
      </c>
      <c r="G700" s="4" t="str">
        <f>HYPERLINK("http://141.218.60.56/~jnz1568/getInfo.php?workbook=14_09.xlsx&amp;sheet=A0&amp;row=700&amp;col=7&amp;number=0&amp;sourceID=14","0")</f>
        <v>0</v>
      </c>
    </row>
    <row r="701" spans="1:7">
      <c r="A701" s="3">
        <v>14</v>
      </c>
      <c r="B701" s="3">
        <v>9</v>
      </c>
      <c r="C701" s="3">
        <v>182</v>
      </c>
      <c r="D701" s="3">
        <v>10</v>
      </c>
      <c r="E701" s="3">
        <v>-187.775</v>
      </c>
      <c r="F701" s="4" t="str">
        <f>HYPERLINK("http://141.218.60.56/~jnz1568/getInfo.php?workbook=14_09.xlsx&amp;sheet=A0&amp;row=701&amp;col=6&amp;number=10600000&amp;sourceID=14","10600000")</f>
        <v>10600000</v>
      </c>
      <c r="G701" s="4" t="str">
        <f>HYPERLINK("http://141.218.60.56/~jnz1568/getInfo.php?workbook=14_09.xlsx&amp;sheet=A0&amp;row=701&amp;col=7&amp;number=0&amp;sourceID=14","0")</f>
        <v>0</v>
      </c>
    </row>
    <row r="702" spans="1:7">
      <c r="A702" s="3">
        <v>14</v>
      </c>
      <c r="B702" s="3">
        <v>9</v>
      </c>
      <c r="C702" s="3">
        <v>183</v>
      </c>
      <c r="D702" s="3">
        <v>10</v>
      </c>
      <c r="E702" s="3">
        <v>-184.832</v>
      </c>
      <c r="F702" s="4" t="str">
        <f>HYPERLINK("http://141.218.60.56/~jnz1568/getInfo.php?workbook=14_09.xlsx&amp;sheet=A0&amp;row=702&amp;col=6&amp;number=40900000&amp;sourceID=14","40900000")</f>
        <v>40900000</v>
      </c>
      <c r="G702" s="4" t="str">
        <f>HYPERLINK("http://141.218.60.56/~jnz1568/getInfo.php?workbook=14_09.xlsx&amp;sheet=A0&amp;row=702&amp;col=7&amp;number=0&amp;sourceID=14","0")</f>
        <v>0</v>
      </c>
    </row>
    <row r="703" spans="1:7">
      <c r="A703" s="3">
        <v>14</v>
      </c>
      <c r="B703" s="3">
        <v>9</v>
      </c>
      <c r="C703" s="3">
        <v>184</v>
      </c>
      <c r="D703" s="3">
        <v>10</v>
      </c>
      <c r="E703" s="3">
        <v>-184.02</v>
      </c>
      <c r="F703" s="4" t="str">
        <f>HYPERLINK("http://141.218.60.56/~jnz1568/getInfo.php?workbook=14_09.xlsx&amp;sheet=A0&amp;row=703&amp;col=6&amp;number=8590000&amp;sourceID=14","8590000")</f>
        <v>8590000</v>
      </c>
      <c r="G703" s="4" t="str">
        <f>HYPERLINK("http://141.218.60.56/~jnz1568/getInfo.php?workbook=14_09.xlsx&amp;sheet=A0&amp;row=703&amp;col=7&amp;number=0&amp;sourceID=14","0")</f>
        <v>0</v>
      </c>
    </row>
    <row r="704" spans="1:7">
      <c r="A704" s="3">
        <v>14</v>
      </c>
      <c r="B704" s="3">
        <v>9</v>
      </c>
      <c r="C704" s="3">
        <v>190</v>
      </c>
      <c r="D704" s="3">
        <v>10</v>
      </c>
      <c r="E704" s="3">
        <v>-148.353</v>
      </c>
      <c r="F704" s="4" t="str">
        <f>HYPERLINK("http://141.218.60.56/~jnz1568/getInfo.php?workbook=14_09.xlsx&amp;sheet=A0&amp;row=704&amp;col=6&amp;number=61300000&amp;sourceID=14","61300000")</f>
        <v>61300000</v>
      </c>
      <c r="G704" s="4" t="str">
        <f>HYPERLINK("http://141.218.60.56/~jnz1568/getInfo.php?workbook=14_09.xlsx&amp;sheet=A0&amp;row=704&amp;col=7&amp;number=0&amp;sourceID=14","0")</f>
        <v>0</v>
      </c>
    </row>
    <row r="705" spans="1:7">
      <c r="A705" s="3">
        <v>14</v>
      </c>
      <c r="B705" s="3">
        <v>9</v>
      </c>
      <c r="C705" s="3">
        <v>193</v>
      </c>
      <c r="D705" s="3">
        <v>10</v>
      </c>
      <c r="E705" s="3">
        <v>-147.516</v>
      </c>
      <c r="F705" s="4" t="str">
        <f>HYPERLINK("http://141.218.60.56/~jnz1568/getInfo.php?workbook=14_09.xlsx&amp;sheet=A0&amp;row=705&amp;col=6&amp;number=4210000&amp;sourceID=14","4210000")</f>
        <v>4210000</v>
      </c>
      <c r="G705" s="4" t="str">
        <f>HYPERLINK("http://141.218.60.56/~jnz1568/getInfo.php?workbook=14_09.xlsx&amp;sheet=A0&amp;row=705&amp;col=7&amp;number=0&amp;sourceID=14","0")</f>
        <v>0</v>
      </c>
    </row>
    <row r="706" spans="1:7">
      <c r="A706" s="3">
        <v>14</v>
      </c>
      <c r="B706" s="3">
        <v>9</v>
      </c>
      <c r="C706" s="3">
        <v>194</v>
      </c>
      <c r="D706" s="3">
        <v>10</v>
      </c>
      <c r="E706" s="3">
        <v>-146.9</v>
      </c>
      <c r="F706" s="4" t="str">
        <f>HYPERLINK("http://141.218.60.56/~jnz1568/getInfo.php?workbook=14_09.xlsx&amp;sheet=A0&amp;row=706&amp;col=6&amp;number=5190000&amp;sourceID=14","5190000")</f>
        <v>5190000</v>
      </c>
      <c r="G706" s="4" t="str">
        <f>HYPERLINK("http://141.218.60.56/~jnz1568/getInfo.php?workbook=14_09.xlsx&amp;sheet=A0&amp;row=706&amp;col=7&amp;number=0&amp;sourceID=14","0")</f>
        <v>0</v>
      </c>
    </row>
    <row r="707" spans="1:7">
      <c r="A707" s="3">
        <v>14</v>
      </c>
      <c r="B707" s="3">
        <v>9</v>
      </c>
      <c r="C707" s="3">
        <v>31</v>
      </c>
      <c r="D707" s="3">
        <v>11</v>
      </c>
      <c r="E707" s="3">
        <v>892.17</v>
      </c>
      <c r="F707" s="4" t="str">
        <f>HYPERLINK("http://141.218.60.56/~jnz1568/getInfo.php?workbook=14_09.xlsx&amp;sheet=A0&amp;row=707&amp;col=6&amp;number=1860000000&amp;sourceID=14","1860000000")</f>
        <v>1860000000</v>
      </c>
      <c r="G707" s="4" t="str">
        <f>HYPERLINK("http://141.218.60.56/~jnz1568/getInfo.php?workbook=14_09.xlsx&amp;sheet=A0&amp;row=707&amp;col=7&amp;number=0&amp;sourceID=14","0")</f>
        <v>0</v>
      </c>
    </row>
    <row r="708" spans="1:7">
      <c r="A708" s="3">
        <v>14</v>
      </c>
      <c r="B708" s="3">
        <v>9</v>
      </c>
      <c r="C708" s="3">
        <v>32</v>
      </c>
      <c r="D708" s="3">
        <v>11</v>
      </c>
      <c r="E708" s="3">
        <v>890.057</v>
      </c>
      <c r="F708" s="4" t="str">
        <f>HYPERLINK("http://141.218.60.56/~jnz1568/getInfo.php?workbook=14_09.xlsx&amp;sheet=A0&amp;row=708&amp;col=6&amp;number=891000000&amp;sourceID=14","891000000")</f>
        <v>891000000</v>
      </c>
      <c r="G708" s="4" t="str">
        <f>HYPERLINK("http://141.218.60.56/~jnz1568/getInfo.php?workbook=14_09.xlsx&amp;sheet=A0&amp;row=708&amp;col=7&amp;number=0&amp;sourceID=14","0")</f>
        <v>0</v>
      </c>
    </row>
    <row r="709" spans="1:7">
      <c r="A709" s="3">
        <v>14</v>
      </c>
      <c r="B709" s="3">
        <v>9</v>
      </c>
      <c r="C709" s="3">
        <v>33</v>
      </c>
      <c r="D709" s="3">
        <v>11</v>
      </c>
      <c r="E709" s="3">
        <v>886.418</v>
      </c>
      <c r="F709" s="4" t="str">
        <f>HYPERLINK("http://141.218.60.56/~jnz1568/getInfo.php?workbook=14_09.xlsx&amp;sheet=A0&amp;row=709&amp;col=6&amp;number=217000000&amp;sourceID=14","217000000")</f>
        <v>217000000</v>
      </c>
      <c r="G709" s="4" t="str">
        <f>HYPERLINK("http://141.218.60.56/~jnz1568/getInfo.php?workbook=14_09.xlsx&amp;sheet=A0&amp;row=709&amp;col=7&amp;number=0&amp;sourceID=14","0")</f>
        <v>0</v>
      </c>
    </row>
    <row r="710" spans="1:7">
      <c r="A710" s="3">
        <v>14</v>
      </c>
      <c r="B710" s="3">
        <v>9</v>
      </c>
      <c r="C710" s="3">
        <v>36</v>
      </c>
      <c r="D710" s="3">
        <v>11</v>
      </c>
      <c r="E710" s="3">
        <v>815.02</v>
      </c>
      <c r="F710" s="4" t="str">
        <f>HYPERLINK("http://141.218.60.56/~jnz1568/getInfo.php?workbook=14_09.xlsx&amp;sheet=A0&amp;row=710&amp;col=6&amp;number=706000&amp;sourceID=14","706000")</f>
        <v>706000</v>
      </c>
      <c r="G710" s="4" t="str">
        <f>HYPERLINK("http://141.218.60.56/~jnz1568/getInfo.php?workbook=14_09.xlsx&amp;sheet=A0&amp;row=710&amp;col=7&amp;number=0&amp;sourceID=14","0")</f>
        <v>0</v>
      </c>
    </row>
    <row r="711" spans="1:7">
      <c r="A711" s="3">
        <v>14</v>
      </c>
      <c r="B711" s="3">
        <v>9</v>
      </c>
      <c r="C711" s="3">
        <v>37</v>
      </c>
      <c r="D711" s="3">
        <v>11</v>
      </c>
      <c r="E711" s="3">
        <v>803.891</v>
      </c>
      <c r="F711" s="4" t="str">
        <f>HYPERLINK("http://141.218.60.56/~jnz1568/getInfo.php?workbook=14_09.xlsx&amp;sheet=A0&amp;row=711&amp;col=6&amp;number=3210000&amp;sourceID=14","3210000")</f>
        <v>3210000</v>
      </c>
      <c r="G711" s="4" t="str">
        <f>HYPERLINK("http://141.218.60.56/~jnz1568/getInfo.php?workbook=14_09.xlsx&amp;sheet=A0&amp;row=711&amp;col=7&amp;number=0&amp;sourceID=14","0")</f>
        <v>0</v>
      </c>
    </row>
    <row r="712" spans="1:7">
      <c r="A712" s="3">
        <v>14</v>
      </c>
      <c r="B712" s="3">
        <v>9</v>
      </c>
      <c r="C712" s="3">
        <v>38</v>
      </c>
      <c r="D712" s="3">
        <v>11</v>
      </c>
      <c r="E712" s="3">
        <v>-793.98</v>
      </c>
      <c r="F712" s="4" t="str">
        <f>HYPERLINK("http://141.218.60.56/~jnz1568/getInfo.php?workbook=14_09.xlsx&amp;sheet=A0&amp;row=712&amp;col=6&amp;number=8900000&amp;sourceID=14","8900000")</f>
        <v>8900000</v>
      </c>
      <c r="G712" s="4" t="str">
        <f>HYPERLINK("http://141.218.60.56/~jnz1568/getInfo.php?workbook=14_09.xlsx&amp;sheet=A0&amp;row=712&amp;col=7&amp;number=0&amp;sourceID=14","0")</f>
        <v>0</v>
      </c>
    </row>
    <row r="713" spans="1:7">
      <c r="A713" s="3">
        <v>14</v>
      </c>
      <c r="B713" s="3">
        <v>9</v>
      </c>
      <c r="C713" s="3">
        <v>40</v>
      </c>
      <c r="D713" s="3">
        <v>11</v>
      </c>
      <c r="E713" s="3">
        <v>786.41</v>
      </c>
      <c r="F713" s="4" t="str">
        <f>HYPERLINK("http://141.218.60.56/~jnz1568/getInfo.php?workbook=14_09.xlsx&amp;sheet=A0&amp;row=713&amp;col=6&amp;number=634000000&amp;sourceID=14","634000000")</f>
        <v>634000000</v>
      </c>
      <c r="G713" s="4" t="str">
        <f>HYPERLINK("http://141.218.60.56/~jnz1568/getInfo.php?workbook=14_09.xlsx&amp;sheet=A0&amp;row=713&amp;col=7&amp;number=0&amp;sourceID=14","0")</f>
        <v>0</v>
      </c>
    </row>
    <row r="714" spans="1:7">
      <c r="A714" s="3">
        <v>14</v>
      </c>
      <c r="B714" s="3">
        <v>9</v>
      </c>
      <c r="C714" s="3">
        <v>41</v>
      </c>
      <c r="D714" s="3">
        <v>11</v>
      </c>
      <c r="E714" s="3">
        <v>791.01</v>
      </c>
      <c r="F714" s="4" t="str">
        <f>HYPERLINK("http://141.218.60.56/~jnz1568/getInfo.php?workbook=14_09.xlsx&amp;sheet=A0&amp;row=714&amp;col=6&amp;number=843000&amp;sourceID=14","843000")</f>
        <v>843000</v>
      </c>
      <c r="G714" s="4" t="str">
        <f>HYPERLINK("http://141.218.60.56/~jnz1568/getInfo.php?workbook=14_09.xlsx&amp;sheet=A0&amp;row=714&amp;col=7&amp;number=0&amp;sourceID=14","0")</f>
        <v>0</v>
      </c>
    </row>
    <row r="715" spans="1:7">
      <c r="A715" s="3">
        <v>14</v>
      </c>
      <c r="B715" s="3">
        <v>9</v>
      </c>
      <c r="C715" s="3">
        <v>42</v>
      </c>
      <c r="D715" s="3">
        <v>11</v>
      </c>
      <c r="E715" s="3">
        <v>777.492</v>
      </c>
      <c r="F715" s="4" t="str">
        <f>HYPERLINK("http://141.218.60.56/~jnz1568/getInfo.php?workbook=14_09.xlsx&amp;sheet=A0&amp;row=715&amp;col=6&amp;number=760000000&amp;sourceID=14","760000000")</f>
        <v>760000000</v>
      </c>
      <c r="G715" s="4" t="str">
        <f>HYPERLINK("http://141.218.60.56/~jnz1568/getInfo.php?workbook=14_09.xlsx&amp;sheet=A0&amp;row=715&amp;col=7&amp;number=0&amp;sourceID=14","0")</f>
        <v>0</v>
      </c>
    </row>
    <row r="716" spans="1:7">
      <c r="A716" s="3">
        <v>14</v>
      </c>
      <c r="B716" s="3">
        <v>9</v>
      </c>
      <c r="C716" s="3">
        <v>43</v>
      </c>
      <c r="D716" s="3">
        <v>11</v>
      </c>
      <c r="E716" s="3">
        <v>775.976</v>
      </c>
      <c r="F716" s="4" t="str">
        <f>HYPERLINK("http://141.218.60.56/~jnz1568/getInfo.php?workbook=14_09.xlsx&amp;sheet=A0&amp;row=716&amp;col=6&amp;number=14600000&amp;sourceID=14","14600000")</f>
        <v>14600000</v>
      </c>
      <c r="G716" s="4" t="str">
        <f>HYPERLINK("http://141.218.60.56/~jnz1568/getInfo.php?workbook=14_09.xlsx&amp;sheet=A0&amp;row=716&amp;col=7&amp;number=0&amp;sourceID=14","0")</f>
        <v>0</v>
      </c>
    </row>
    <row r="717" spans="1:7">
      <c r="A717" s="3">
        <v>14</v>
      </c>
      <c r="B717" s="3">
        <v>9</v>
      </c>
      <c r="C717" s="3">
        <v>61</v>
      </c>
      <c r="D717" s="3">
        <v>11</v>
      </c>
      <c r="E717" s="3">
        <v>-393.506</v>
      </c>
      <c r="F717" s="4" t="str">
        <f>HYPERLINK("http://141.218.60.56/~jnz1568/getInfo.php?workbook=14_09.xlsx&amp;sheet=A0&amp;row=717&amp;col=6&amp;number=2990000000&amp;sourceID=14","2990000000")</f>
        <v>2990000000</v>
      </c>
      <c r="G717" s="4" t="str">
        <f>HYPERLINK("http://141.218.60.56/~jnz1568/getInfo.php?workbook=14_09.xlsx&amp;sheet=A0&amp;row=717&amp;col=7&amp;number=0&amp;sourceID=14","0")</f>
        <v>0</v>
      </c>
    </row>
    <row r="718" spans="1:7">
      <c r="A718" s="3">
        <v>14</v>
      </c>
      <c r="B718" s="3">
        <v>9</v>
      </c>
      <c r="C718" s="3">
        <v>62</v>
      </c>
      <c r="D718" s="3">
        <v>11</v>
      </c>
      <c r="E718" s="3">
        <v>-389.617</v>
      </c>
      <c r="F718" s="4" t="str">
        <f>HYPERLINK("http://141.218.60.56/~jnz1568/getInfo.php?workbook=14_09.xlsx&amp;sheet=A0&amp;row=718&amp;col=6&amp;number=883000000&amp;sourceID=14","883000000")</f>
        <v>883000000</v>
      </c>
      <c r="G718" s="4" t="str">
        <f>HYPERLINK("http://141.218.60.56/~jnz1568/getInfo.php?workbook=14_09.xlsx&amp;sheet=A0&amp;row=718&amp;col=7&amp;number=0&amp;sourceID=14","0")</f>
        <v>0</v>
      </c>
    </row>
    <row r="719" spans="1:7">
      <c r="A719" s="3">
        <v>14</v>
      </c>
      <c r="B719" s="3">
        <v>9</v>
      </c>
      <c r="C719" s="3">
        <v>64</v>
      </c>
      <c r="D719" s="3">
        <v>11</v>
      </c>
      <c r="E719" s="3">
        <v>-384.098</v>
      </c>
      <c r="F719" s="4" t="str">
        <f>HYPERLINK("http://141.218.60.56/~jnz1568/getInfo.php?workbook=14_09.xlsx&amp;sheet=A0&amp;row=719&amp;col=6&amp;number=154000000&amp;sourceID=14","154000000")</f>
        <v>154000000</v>
      </c>
      <c r="G719" s="4" t="str">
        <f>HYPERLINK("http://141.218.60.56/~jnz1568/getInfo.php?workbook=14_09.xlsx&amp;sheet=A0&amp;row=719&amp;col=7&amp;number=0&amp;sourceID=14","0")</f>
        <v>0</v>
      </c>
    </row>
    <row r="720" spans="1:7">
      <c r="A720" s="3">
        <v>14</v>
      </c>
      <c r="B720" s="3">
        <v>9</v>
      </c>
      <c r="C720" s="3">
        <v>69</v>
      </c>
      <c r="D720" s="3">
        <v>11</v>
      </c>
      <c r="E720" s="3">
        <v>-348.584</v>
      </c>
      <c r="F720" s="4" t="str">
        <f>HYPERLINK("http://141.218.60.56/~jnz1568/getInfo.php?workbook=14_09.xlsx&amp;sheet=A0&amp;row=720&amp;col=6&amp;number=67000&amp;sourceID=14","67000")</f>
        <v>67000</v>
      </c>
      <c r="G720" s="4" t="str">
        <f>HYPERLINK("http://141.218.60.56/~jnz1568/getInfo.php?workbook=14_09.xlsx&amp;sheet=A0&amp;row=720&amp;col=7&amp;number=0&amp;sourceID=14","0")</f>
        <v>0</v>
      </c>
    </row>
    <row r="721" spans="1:7">
      <c r="A721" s="3">
        <v>14</v>
      </c>
      <c r="B721" s="3">
        <v>9</v>
      </c>
      <c r="C721" s="3">
        <v>79</v>
      </c>
      <c r="D721" s="3">
        <v>11</v>
      </c>
      <c r="E721" s="3">
        <v>-328.921</v>
      </c>
      <c r="F721" s="4" t="str">
        <f>HYPERLINK("http://141.218.60.56/~jnz1568/getInfo.php?workbook=14_09.xlsx&amp;sheet=A0&amp;row=721&amp;col=6&amp;number=1610000&amp;sourceID=14","1610000")</f>
        <v>1610000</v>
      </c>
      <c r="G721" s="4" t="str">
        <f>HYPERLINK("http://141.218.60.56/~jnz1568/getInfo.php?workbook=14_09.xlsx&amp;sheet=A0&amp;row=721&amp;col=7&amp;number=0&amp;sourceID=14","0")</f>
        <v>0</v>
      </c>
    </row>
    <row r="722" spans="1:7">
      <c r="A722" s="3">
        <v>14</v>
      </c>
      <c r="B722" s="3">
        <v>9</v>
      </c>
      <c r="C722" s="3">
        <v>86</v>
      </c>
      <c r="D722" s="3">
        <v>11</v>
      </c>
      <c r="E722" s="3">
        <v>-308.809</v>
      </c>
      <c r="F722" s="4" t="str">
        <f>HYPERLINK("http://141.218.60.56/~jnz1568/getInfo.php?workbook=14_09.xlsx&amp;sheet=A0&amp;row=722&amp;col=6&amp;number=2970000000&amp;sourceID=14","2970000000")</f>
        <v>2970000000</v>
      </c>
      <c r="G722" s="4" t="str">
        <f>HYPERLINK("http://141.218.60.56/~jnz1568/getInfo.php?workbook=14_09.xlsx&amp;sheet=A0&amp;row=722&amp;col=7&amp;number=0&amp;sourceID=14","0")</f>
        <v>0</v>
      </c>
    </row>
    <row r="723" spans="1:7">
      <c r="A723" s="3">
        <v>14</v>
      </c>
      <c r="B723" s="3">
        <v>9</v>
      </c>
      <c r="C723" s="3">
        <v>87</v>
      </c>
      <c r="D723" s="3">
        <v>11</v>
      </c>
      <c r="E723" s="3">
        <v>-308.519</v>
      </c>
      <c r="F723" s="4" t="str">
        <f>HYPERLINK("http://141.218.60.56/~jnz1568/getInfo.php?workbook=14_09.xlsx&amp;sheet=A0&amp;row=723&amp;col=6&amp;number=1760000000&amp;sourceID=14","1760000000")</f>
        <v>1760000000</v>
      </c>
      <c r="G723" s="4" t="str">
        <f>HYPERLINK("http://141.218.60.56/~jnz1568/getInfo.php?workbook=14_09.xlsx&amp;sheet=A0&amp;row=723&amp;col=7&amp;number=0&amp;sourceID=14","0")</f>
        <v>0</v>
      </c>
    </row>
    <row r="724" spans="1:7">
      <c r="A724" s="3">
        <v>14</v>
      </c>
      <c r="B724" s="3">
        <v>9</v>
      </c>
      <c r="C724" s="3">
        <v>88</v>
      </c>
      <c r="D724" s="3">
        <v>11</v>
      </c>
      <c r="E724" s="3">
        <v>-307.95</v>
      </c>
      <c r="F724" s="4" t="str">
        <f>HYPERLINK("http://141.218.60.56/~jnz1568/getInfo.php?workbook=14_09.xlsx&amp;sheet=A0&amp;row=724&amp;col=6&amp;number=543000000&amp;sourceID=14","543000000")</f>
        <v>543000000</v>
      </c>
      <c r="G724" s="4" t="str">
        <f>HYPERLINK("http://141.218.60.56/~jnz1568/getInfo.php?workbook=14_09.xlsx&amp;sheet=A0&amp;row=724&amp;col=7&amp;number=0&amp;sourceID=14","0")</f>
        <v>0</v>
      </c>
    </row>
    <row r="725" spans="1:7">
      <c r="A725" s="3">
        <v>14</v>
      </c>
      <c r="B725" s="3">
        <v>9</v>
      </c>
      <c r="C725" s="3">
        <v>91</v>
      </c>
      <c r="D725" s="3">
        <v>11</v>
      </c>
      <c r="E725" s="3">
        <v>-305.171</v>
      </c>
      <c r="F725" s="4" t="str">
        <f>HYPERLINK("http://141.218.60.56/~jnz1568/getInfo.php?workbook=14_09.xlsx&amp;sheet=A0&amp;row=725&amp;col=6&amp;number=22800000&amp;sourceID=14","22800000")</f>
        <v>22800000</v>
      </c>
      <c r="G725" s="4" t="str">
        <f>HYPERLINK("http://141.218.60.56/~jnz1568/getInfo.php?workbook=14_09.xlsx&amp;sheet=A0&amp;row=725&amp;col=7&amp;number=0&amp;sourceID=14","0")</f>
        <v>0</v>
      </c>
    </row>
    <row r="726" spans="1:7">
      <c r="A726" s="3">
        <v>14</v>
      </c>
      <c r="B726" s="3">
        <v>9</v>
      </c>
      <c r="C726" s="3">
        <v>93</v>
      </c>
      <c r="D726" s="3">
        <v>11</v>
      </c>
      <c r="E726" s="3">
        <v>-303.576</v>
      </c>
      <c r="F726" s="4" t="str">
        <f>HYPERLINK("http://141.218.60.56/~jnz1568/getInfo.php?workbook=14_09.xlsx&amp;sheet=A0&amp;row=726&amp;col=6&amp;number=133000000&amp;sourceID=14","133000000")</f>
        <v>133000000</v>
      </c>
      <c r="G726" s="4" t="str">
        <f>HYPERLINK("http://141.218.60.56/~jnz1568/getInfo.php?workbook=14_09.xlsx&amp;sheet=A0&amp;row=726&amp;col=7&amp;number=0&amp;sourceID=14","0")</f>
        <v>0</v>
      </c>
    </row>
    <row r="727" spans="1:7">
      <c r="A727" s="3">
        <v>14</v>
      </c>
      <c r="B727" s="3">
        <v>9</v>
      </c>
      <c r="C727" s="3">
        <v>94</v>
      </c>
      <c r="D727" s="3">
        <v>11</v>
      </c>
      <c r="E727" s="3">
        <v>-303.373</v>
      </c>
      <c r="F727" s="4" t="str">
        <f>HYPERLINK("http://141.218.60.56/~jnz1568/getInfo.php?workbook=14_09.xlsx&amp;sheet=A0&amp;row=727&amp;col=6&amp;number=316000000&amp;sourceID=14","316000000")</f>
        <v>316000000</v>
      </c>
      <c r="G727" s="4" t="str">
        <f>HYPERLINK("http://141.218.60.56/~jnz1568/getInfo.php?workbook=14_09.xlsx&amp;sheet=A0&amp;row=727&amp;col=7&amp;number=0&amp;sourceID=14","0")</f>
        <v>0</v>
      </c>
    </row>
    <row r="728" spans="1:7">
      <c r="A728" s="3">
        <v>14</v>
      </c>
      <c r="B728" s="3">
        <v>9</v>
      </c>
      <c r="C728" s="3">
        <v>95</v>
      </c>
      <c r="D728" s="3">
        <v>11</v>
      </c>
      <c r="E728" s="3">
        <v>-302.605</v>
      </c>
      <c r="F728" s="4" t="str">
        <f>HYPERLINK("http://141.218.60.56/~jnz1568/getInfo.php?workbook=14_09.xlsx&amp;sheet=A0&amp;row=728&amp;col=6&amp;number=86600000&amp;sourceID=14","86600000")</f>
        <v>86600000</v>
      </c>
      <c r="G728" s="4" t="str">
        <f>HYPERLINK("http://141.218.60.56/~jnz1568/getInfo.php?workbook=14_09.xlsx&amp;sheet=A0&amp;row=728&amp;col=7&amp;number=0&amp;sourceID=14","0")</f>
        <v>0</v>
      </c>
    </row>
    <row r="729" spans="1:7">
      <c r="A729" s="3">
        <v>14</v>
      </c>
      <c r="B729" s="3">
        <v>9</v>
      </c>
      <c r="C729" s="3">
        <v>96</v>
      </c>
      <c r="D729" s="3">
        <v>11</v>
      </c>
      <c r="E729" s="3">
        <v>-302.149</v>
      </c>
      <c r="F729" s="4" t="str">
        <f>HYPERLINK("http://141.218.60.56/~jnz1568/getInfo.php?workbook=14_09.xlsx&amp;sheet=A0&amp;row=729&amp;col=6&amp;number=13900000&amp;sourceID=14","13900000")</f>
        <v>13900000</v>
      </c>
      <c r="G729" s="4" t="str">
        <f>HYPERLINK("http://141.218.60.56/~jnz1568/getInfo.php?workbook=14_09.xlsx&amp;sheet=A0&amp;row=729&amp;col=7&amp;number=0&amp;sourceID=14","0")</f>
        <v>0</v>
      </c>
    </row>
    <row r="730" spans="1:7">
      <c r="A730" s="3">
        <v>14</v>
      </c>
      <c r="B730" s="3">
        <v>9</v>
      </c>
      <c r="C730" s="3">
        <v>97</v>
      </c>
      <c r="D730" s="3">
        <v>11</v>
      </c>
      <c r="E730" s="3">
        <v>-301.737</v>
      </c>
      <c r="F730" s="4" t="str">
        <f>HYPERLINK("http://141.218.60.56/~jnz1568/getInfo.php?workbook=14_09.xlsx&amp;sheet=A0&amp;row=730&amp;col=6&amp;number=292000000&amp;sourceID=14","292000000")</f>
        <v>292000000</v>
      </c>
      <c r="G730" s="4" t="str">
        <f>HYPERLINK("http://141.218.60.56/~jnz1568/getInfo.php?workbook=14_09.xlsx&amp;sheet=A0&amp;row=730&amp;col=7&amp;number=0&amp;sourceID=14","0")</f>
        <v>0</v>
      </c>
    </row>
    <row r="731" spans="1:7">
      <c r="A731" s="3">
        <v>14</v>
      </c>
      <c r="B731" s="3">
        <v>9</v>
      </c>
      <c r="C731" s="3">
        <v>98</v>
      </c>
      <c r="D731" s="3">
        <v>11</v>
      </c>
      <c r="E731" s="3">
        <v>-300.984</v>
      </c>
      <c r="F731" s="4" t="str">
        <f>HYPERLINK("http://141.218.60.56/~jnz1568/getInfo.php?workbook=14_09.xlsx&amp;sheet=A0&amp;row=731&amp;col=6&amp;number=22400000&amp;sourceID=14","22400000")</f>
        <v>22400000</v>
      </c>
      <c r="G731" s="4" t="str">
        <f>HYPERLINK("http://141.218.60.56/~jnz1568/getInfo.php?workbook=14_09.xlsx&amp;sheet=A0&amp;row=731&amp;col=7&amp;number=0&amp;sourceID=14","0")</f>
        <v>0</v>
      </c>
    </row>
    <row r="732" spans="1:7">
      <c r="A732" s="3">
        <v>14</v>
      </c>
      <c r="B732" s="3">
        <v>9</v>
      </c>
      <c r="C732" s="3">
        <v>100</v>
      </c>
      <c r="D732" s="3">
        <v>11</v>
      </c>
      <c r="E732" s="3">
        <v>-298.982</v>
      </c>
      <c r="F732" s="4" t="str">
        <f>HYPERLINK("http://141.218.60.56/~jnz1568/getInfo.php?workbook=14_09.xlsx&amp;sheet=A0&amp;row=732&amp;col=6&amp;number=2280000&amp;sourceID=14","2280000")</f>
        <v>2280000</v>
      </c>
      <c r="G732" s="4" t="str">
        <f>HYPERLINK("http://141.218.60.56/~jnz1568/getInfo.php?workbook=14_09.xlsx&amp;sheet=A0&amp;row=732&amp;col=7&amp;number=0&amp;sourceID=14","0")</f>
        <v>0</v>
      </c>
    </row>
    <row r="733" spans="1:7">
      <c r="A733" s="3">
        <v>14</v>
      </c>
      <c r="B733" s="3">
        <v>9</v>
      </c>
      <c r="C733" s="3">
        <v>103</v>
      </c>
      <c r="D733" s="3">
        <v>11</v>
      </c>
      <c r="E733" s="3">
        <v>-297.305</v>
      </c>
      <c r="F733" s="4" t="str">
        <f>HYPERLINK("http://141.218.60.56/~jnz1568/getInfo.php?workbook=14_09.xlsx&amp;sheet=A0&amp;row=733&amp;col=6&amp;number=3040000&amp;sourceID=14","3040000")</f>
        <v>3040000</v>
      </c>
      <c r="G733" s="4" t="str">
        <f>HYPERLINK("http://141.218.60.56/~jnz1568/getInfo.php?workbook=14_09.xlsx&amp;sheet=A0&amp;row=733&amp;col=7&amp;number=0&amp;sourceID=14","0")</f>
        <v>0</v>
      </c>
    </row>
    <row r="734" spans="1:7">
      <c r="A734" s="3">
        <v>14</v>
      </c>
      <c r="B734" s="3">
        <v>9</v>
      </c>
      <c r="C734" s="3">
        <v>104</v>
      </c>
      <c r="D734" s="3">
        <v>11</v>
      </c>
      <c r="E734" s="3">
        <v>-297.263</v>
      </c>
      <c r="F734" s="4" t="str">
        <f>HYPERLINK("http://141.218.60.56/~jnz1568/getInfo.php?workbook=14_09.xlsx&amp;sheet=A0&amp;row=734&amp;col=6&amp;number=658000&amp;sourceID=14","658000")</f>
        <v>658000</v>
      </c>
      <c r="G734" s="4" t="str">
        <f>HYPERLINK("http://141.218.60.56/~jnz1568/getInfo.php?workbook=14_09.xlsx&amp;sheet=A0&amp;row=734&amp;col=7&amp;number=0&amp;sourceID=14","0")</f>
        <v>0</v>
      </c>
    </row>
    <row r="735" spans="1:7">
      <c r="A735" s="3">
        <v>14</v>
      </c>
      <c r="B735" s="3">
        <v>9</v>
      </c>
      <c r="C735" s="3">
        <v>105</v>
      </c>
      <c r="D735" s="3">
        <v>11</v>
      </c>
      <c r="E735" s="3">
        <v>-297.237</v>
      </c>
      <c r="F735" s="4" t="str">
        <f>HYPERLINK("http://141.218.60.56/~jnz1568/getInfo.php?workbook=14_09.xlsx&amp;sheet=A0&amp;row=735&amp;col=6&amp;number=551000&amp;sourceID=14","551000")</f>
        <v>551000</v>
      </c>
      <c r="G735" s="4" t="str">
        <f>HYPERLINK("http://141.218.60.56/~jnz1568/getInfo.php?workbook=14_09.xlsx&amp;sheet=A0&amp;row=735&amp;col=7&amp;number=0&amp;sourceID=14","0")</f>
        <v>0</v>
      </c>
    </row>
    <row r="736" spans="1:7">
      <c r="A736" s="3">
        <v>14</v>
      </c>
      <c r="B736" s="3">
        <v>9</v>
      </c>
      <c r="C736" s="3">
        <v>106</v>
      </c>
      <c r="D736" s="3">
        <v>11</v>
      </c>
      <c r="E736" s="3">
        <v>-297.108</v>
      </c>
      <c r="F736" s="4" t="str">
        <f>HYPERLINK("http://141.218.60.56/~jnz1568/getInfo.php?workbook=14_09.xlsx&amp;sheet=A0&amp;row=736&amp;col=6&amp;number=253000&amp;sourceID=14","253000")</f>
        <v>253000</v>
      </c>
      <c r="G736" s="4" t="str">
        <f>HYPERLINK("http://141.218.60.56/~jnz1568/getInfo.php?workbook=14_09.xlsx&amp;sheet=A0&amp;row=736&amp;col=7&amp;number=0&amp;sourceID=14","0")</f>
        <v>0</v>
      </c>
    </row>
    <row r="737" spans="1:7">
      <c r="A737" s="3">
        <v>14</v>
      </c>
      <c r="B737" s="3">
        <v>9</v>
      </c>
      <c r="C737" s="3">
        <v>128</v>
      </c>
      <c r="D737" s="3">
        <v>11</v>
      </c>
      <c r="E737" s="3">
        <v>-269.137</v>
      </c>
      <c r="F737" s="4" t="str">
        <f>HYPERLINK("http://141.218.60.56/~jnz1568/getInfo.php?workbook=14_09.xlsx&amp;sheet=A0&amp;row=737&amp;col=6&amp;number=10300000000&amp;sourceID=14","10300000000")</f>
        <v>10300000000</v>
      </c>
      <c r="G737" s="4" t="str">
        <f>HYPERLINK("http://141.218.60.56/~jnz1568/getInfo.php?workbook=14_09.xlsx&amp;sheet=A0&amp;row=737&amp;col=7&amp;number=0&amp;sourceID=14","0")</f>
        <v>0</v>
      </c>
    </row>
    <row r="738" spans="1:7">
      <c r="A738" s="3">
        <v>14</v>
      </c>
      <c r="B738" s="3">
        <v>9</v>
      </c>
      <c r="C738" s="3">
        <v>133</v>
      </c>
      <c r="D738" s="3">
        <v>11</v>
      </c>
      <c r="E738" s="3">
        <v>-265.186</v>
      </c>
      <c r="F738" s="4" t="str">
        <f>HYPERLINK("http://141.218.60.56/~jnz1568/getInfo.php?workbook=14_09.xlsx&amp;sheet=A0&amp;row=738&amp;col=6&amp;number=2200000&amp;sourceID=14","2200000")</f>
        <v>2200000</v>
      </c>
      <c r="G738" s="4" t="str">
        <f>HYPERLINK("http://141.218.60.56/~jnz1568/getInfo.php?workbook=14_09.xlsx&amp;sheet=A0&amp;row=738&amp;col=7&amp;number=0&amp;sourceID=14","0")</f>
        <v>0</v>
      </c>
    </row>
    <row r="739" spans="1:7">
      <c r="A739" s="3">
        <v>14</v>
      </c>
      <c r="B739" s="3">
        <v>9</v>
      </c>
      <c r="C739" s="3">
        <v>135</v>
      </c>
      <c r="D739" s="3">
        <v>11</v>
      </c>
      <c r="E739" s="3">
        <v>-264.72</v>
      </c>
      <c r="F739" s="4" t="str">
        <f>HYPERLINK("http://141.218.60.56/~jnz1568/getInfo.php?workbook=14_09.xlsx&amp;sheet=A0&amp;row=739&amp;col=6&amp;number=3360000&amp;sourceID=14","3360000")</f>
        <v>3360000</v>
      </c>
      <c r="G739" s="4" t="str">
        <f>HYPERLINK("http://141.218.60.56/~jnz1568/getInfo.php?workbook=14_09.xlsx&amp;sheet=A0&amp;row=739&amp;col=7&amp;number=0&amp;sourceID=14","0")</f>
        <v>0</v>
      </c>
    </row>
    <row r="740" spans="1:7">
      <c r="A740" s="3">
        <v>14</v>
      </c>
      <c r="B740" s="3">
        <v>9</v>
      </c>
      <c r="C740" s="3">
        <v>140</v>
      </c>
      <c r="D740" s="3">
        <v>11</v>
      </c>
      <c r="E740" s="3">
        <v>-260.597</v>
      </c>
      <c r="F740" s="4" t="str">
        <f>HYPERLINK("http://141.218.60.56/~jnz1568/getInfo.php?workbook=14_09.xlsx&amp;sheet=A0&amp;row=740&amp;col=6&amp;number=2250000000&amp;sourceID=14","2250000000")</f>
        <v>2250000000</v>
      </c>
      <c r="G740" s="4" t="str">
        <f>HYPERLINK("http://141.218.60.56/~jnz1568/getInfo.php?workbook=14_09.xlsx&amp;sheet=A0&amp;row=740&amp;col=7&amp;number=0&amp;sourceID=14","0")</f>
        <v>0</v>
      </c>
    </row>
    <row r="741" spans="1:7">
      <c r="A741" s="3">
        <v>14</v>
      </c>
      <c r="B741" s="3">
        <v>9</v>
      </c>
      <c r="C741" s="3">
        <v>145</v>
      </c>
      <c r="D741" s="3">
        <v>11</v>
      </c>
      <c r="E741" s="3">
        <v>-259.645</v>
      </c>
      <c r="F741" s="4" t="str">
        <f>HYPERLINK("http://141.218.60.56/~jnz1568/getInfo.php?workbook=14_09.xlsx&amp;sheet=A0&amp;row=741&amp;col=6&amp;number=2320000000&amp;sourceID=14","2320000000")</f>
        <v>2320000000</v>
      </c>
      <c r="G741" s="4" t="str">
        <f>HYPERLINK("http://141.218.60.56/~jnz1568/getInfo.php?workbook=14_09.xlsx&amp;sheet=A0&amp;row=741&amp;col=7&amp;number=0&amp;sourceID=14","0")</f>
        <v>0</v>
      </c>
    </row>
    <row r="742" spans="1:7">
      <c r="A742" s="3">
        <v>14</v>
      </c>
      <c r="B742" s="3">
        <v>9</v>
      </c>
      <c r="C742" s="3">
        <v>148</v>
      </c>
      <c r="D742" s="3">
        <v>11</v>
      </c>
      <c r="E742" s="3">
        <v>-258.68</v>
      </c>
      <c r="F742" s="4" t="str">
        <f>HYPERLINK("http://141.218.60.56/~jnz1568/getInfo.php?workbook=14_09.xlsx&amp;sheet=A0&amp;row=742&amp;col=6&amp;number=748000000&amp;sourceID=14","748000000")</f>
        <v>748000000</v>
      </c>
      <c r="G742" s="4" t="str">
        <f>HYPERLINK("http://141.218.60.56/~jnz1568/getInfo.php?workbook=14_09.xlsx&amp;sheet=A0&amp;row=742&amp;col=7&amp;number=0&amp;sourceID=14","0")</f>
        <v>0</v>
      </c>
    </row>
    <row r="743" spans="1:7">
      <c r="A743" s="3">
        <v>14</v>
      </c>
      <c r="B743" s="3">
        <v>9</v>
      </c>
      <c r="C743" s="3">
        <v>152</v>
      </c>
      <c r="D743" s="3">
        <v>11</v>
      </c>
      <c r="E743" s="3">
        <v>-253.792</v>
      </c>
      <c r="F743" s="4" t="str">
        <f>HYPERLINK("http://141.218.60.56/~jnz1568/getInfo.php?workbook=14_09.xlsx&amp;sheet=A0&amp;row=743&amp;col=6&amp;number=1600000000&amp;sourceID=14","1600000000")</f>
        <v>1600000000</v>
      </c>
      <c r="G743" s="4" t="str">
        <f>HYPERLINK("http://141.218.60.56/~jnz1568/getInfo.php?workbook=14_09.xlsx&amp;sheet=A0&amp;row=743&amp;col=7&amp;number=0&amp;sourceID=14","0")</f>
        <v>0</v>
      </c>
    </row>
    <row r="744" spans="1:7">
      <c r="A744" s="3">
        <v>14</v>
      </c>
      <c r="B744" s="3">
        <v>9</v>
      </c>
      <c r="C744" s="3">
        <v>153</v>
      </c>
      <c r="D744" s="3">
        <v>11</v>
      </c>
      <c r="E744" s="3">
        <v>-252.669</v>
      </c>
      <c r="F744" s="4" t="str">
        <f>HYPERLINK("http://141.218.60.56/~jnz1568/getInfo.php?workbook=14_09.xlsx&amp;sheet=A0&amp;row=744&amp;col=6&amp;number=225000000&amp;sourceID=14","225000000")</f>
        <v>225000000</v>
      </c>
      <c r="G744" s="4" t="str">
        <f>HYPERLINK("http://141.218.60.56/~jnz1568/getInfo.php?workbook=14_09.xlsx&amp;sheet=A0&amp;row=744&amp;col=7&amp;number=0&amp;sourceID=14","0")</f>
        <v>0</v>
      </c>
    </row>
    <row r="745" spans="1:7">
      <c r="A745" s="3">
        <v>14</v>
      </c>
      <c r="B745" s="3">
        <v>9</v>
      </c>
      <c r="C745" s="3">
        <v>154</v>
      </c>
      <c r="D745" s="3">
        <v>11</v>
      </c>
      <c r="E745" s="3">
        <v>-252.655</v>
      </c>
      <c r="F745" s="4" t="str">
        <f>HYPERLINK("http://141.218.60.56/~jnz1568/getInfo.php?workbook=14_09.xlsx&amp;sheet=A0&amp;row=745&amp;col=6&amp;number=944000000&amp;sourceID=14","944000000")</f>
        <v>944000000</v>
      </c>
      <c r="G745" s="4" t="str">
        <f>HYPERLINK("http://141.218.60.56/~jnz1568/getInfo.php?workbook=14_09.xlsx&amp;sheet=A0&amp;row=745&amp;col=7&amp;number=0&amp;sourceID=14","0")</f>
        <v>0</v>
      </c>
    </row>
    <row r="746" spans="1:7">
      <c r="A746" s="3">
        <v>14</v>
      </c>
      <c r="B746" s="3">
        <v>9</v>
      </c>
      <c r="C746" s="3">
        <v>156</v>
      </c>
      <c r="D746" s="3">
        <v>11</v>
      </c>
      <c r="E746" s="3">
        <v>-251.65</v>
      </c>
      <c r="F746" s="4" t="str">
        <f>HYPERLINK("http://141.218.60.56/~jnz1568/getInfo.php?workbook=14_09.xlsx&amp;sheet=A0&amp;row=746&amp;col=6&amp;number=98300000&amp;sourceID=14","98300000")</f>
        <v>98300000</v>
      </c>
      <c r="G746" s="4" t="str">
        <f>HYPERLINK("http://141.218.60.56/~jnz1568/getInfo.php?workbook=14_09.xlsx&amp;sheet=A0&amp;row=746&amp;col=7&amp;number=0&amp;sourceID=14","0")</f>
        <v>0</v>
      </c>
    </row>
    <row r="747" spans="1:7">
      <c r="A747" s="3">
        <v>14</v>
      </c>
      <c r="B747" s="3">
        <v>9</v>
      </c>
      <c r="C747" s="3">
        <v>157</v>
      </c>
      <c r="D747" s="3">
        <v>11</v>
      </c>
      <c r="E747" s="3">
        <v>-250.041</v>
      </c>
      <c r="F747" s="4" t="str">
        <f>HYPERLINK("http://141.218.60.56/~jnz1568/getInfo.php?workbook=14_09.xlsx&amp;sheet=A0&amp;row=747&amp;col=6&amp;number=43700000&amp;sourceID=14","43700000")</f>
        <v>43700000</v>
      </c>
      <c r="G747" s="4" t="str">
        <f>HYPERLINK("http://141.218.60.56/~jnz1568/getInfo.php?workbook=14_09.xlsx&amp;sheet=A0&amp;row=747&amp;col=7&amp;number=0&amp;sourceID=14","0")</f>
        <v>0</v>
      </c>
    </row>
    <row r="748" spans="1:7">
      <c r="A748" s="3">
        <v>14</v>
      </c>
      <c r="B748" s="3">
        <v>9</v>
      </c>
      <c r="C748" s="3">
        <v>185</v>
      </c>
      <c r="D748" s="3">
        <v>11</v>
      </c>
      <c r="E748" s="3">
        <v>-184.245</v>
      </c>
      <c r="F748" s="4" t="str">
        <f>HYPERLINK("http://141.218.60.56/~jnz1568/getInfo.php?workbook=14_09.xlsx&amp;sheet=A0&amp;row=748&amp;col=6&amp;number=4700000&amp;sourceID=14","4700000")</f>
        <v>4700000</v>
      </c>
      <c r="G748" s="4" t="str">
        <f>HYPERLINK("http://141.218.60.56/~jnz1568/getInfo.php?workbook=14_09.xlsx&amp;sheet=A0&amp;row=748&amp;col=7&amp;number=0&amp;sourceID=14","0")</f>
        <v>0</v>
      </c>
    </row>
    <row r="749" spans="1:7">
      <c r="A749" s="3">
        <v>14</v>
      </c>
      <c r="B749" s="3">
        <v>9</v>
      </c>
      <c r="C749" s="3">
        <v>186</v>
      </c>
      <c r="D749" s="3">
        <v>11</v>
      </c>
      <c r="E749" s="3">
        <v>-184.03</v>
      </c>
      <c r="F749" s="4" t="str">
        <f>HYPERLINK("http://141.218.60.56/~jnz1568/getInfo.php?workbook=14_09.xlsx&amp;sheet=A0&amp;row=749&amp;col=6&amp;number=15700000&amp;sourceID=14","15700000")</f>
        <v>15700000</v>
      </c>
      <c r="G749" s="4" t="str">
        <f>HYPERLINK("http://141.218.60.56/~jnz1568/getInfo.php?workbook=14_09.xlsx&amp;sheet=A0&amp;row=749&amp;col=7&amp;number=0&amp;sourceID=14","0")</f>
        <v>0</v>
      </c>
    </row>
    <row r="750" spans="1:7">
      <c r="A750" s="3">
        <v>14</v>
      </c>
      <c r="B750" s="3">
        <v>9</v>
      </c>
      <c r="C750" s="3">
        <v>188</v>
      </c>
      <c r="D750" s="3">
        <v>11</v>
      </c>
      <c r="E750" s="3">
        <v>-182.28</v>
      </c>
      <c r="F750" s="4" t="str">
        <f>HYPERLINK("http://141.218.60.56/~jnz1568/getInfo.php?workbook=14_09.xlsx&amp;sheet=A0&amp;row=750&amp;col=6&amp;number=49700000&amp;sourceID=14","49700000")</f>
        <v>49700000</v>
      </c>
      <c r="G750" s="4" t="str">
        <f>HYPERLINK("http://141.218.60.56/~jnz1568/getInfo.php?workbook=14_09.xlsx&amp;sheet=A0&amp;row=750&amp;col=7&amp;number=0&amp;sourceID=14","0")</f>
        <v>0</v>
      </c>
    </row>
    <row r="751" spans="1:7">
      <c r="A751" s="3">
        <v>14</v>
      </c>
      <c r="B751" s="3">
        <v>9</v>
      </c>
      <c r="C751" s="3">
        <v>32</v>
      </c>
      <c r="D751" s="3">
        <v>12</v>
      </c>
      <c r="E751" s="3">
        <v>898.268</v>
      </c>
      <c r="F751" s="4" t="str">
        <f>HYPERLINK("http://141.218.60.56/~jnz1568/getInfo.php?workbook=14_09.xlsx&amp;sheet=A0&amp;row=751&amp;col=6&amp;number=1120000000&amp;sourceID=14","1120000000")</f>
        <v>1120000000</v>
      </c>
      <c r="G751" s="4" t="str">
        <f>HYPERLINK("http://141.218.60.56/~jnz1568/getInfo.php?workbook=14_09.xlsx&amp;sheet=A0&amp;row=751&amp;col=7&amp;number=0&amp;sourceID=14","0")</f>
        <v>0</v>
      </c>
    </row>
    <row r="752" spans="1:7">
      <c r="A752" s="3">
        <v>14</v>
      </c>
      <c r="B752" s="3">
        <v>9</v>
      </c>
      <c r="C752" s="3">
        <v>33</v>
      </c>
      <c r="D752" s="3">
        <v>12</v>
      </c>
      <c r="E752" s="3">
        <v>894.562</v>
      </c>
      <c r="F752" s="4" t="str">
        <f>HYPERLINK("http://141.218.60.56/~jnz1568/getInfo.php?workbook=14_09.xlsx&amp;sheet=A0&amp;row=752&amp;col=6&amp;number=1260000000&amp;sourceID=14","1260000000")</f>
        <v>1260000000</v>
      </c>
      <c r="G752" s="4" t="str">
        <f>HYPERLINK("http://141.218.60.56/~jnz1568/getInfo.php?workbook=14_09.xlsx&amp;sheet=A0&amp;row=752&amp;col=7&amp;number=0&amp;sourceID=14","0")</f>
        <v>0</v>
      </c>
    </row>
    <row r="753" spans="1:7">
      <c r="A753" s="3">
        <v>14</v>
      </c>
      <c r="B753" s="3">
        <v>9</v>
      </c>
      <c r="C753" s="3">
        <v>34</v>
      </c>
      <c r="D753" s="3">
        <v>12</v>
      </c>
      <c r="E753" s="3">
        <v>889.173</v>
      </c>
      <c r="F753" s="4" t="str">
        <f>HYPERLINK("http://141.218.60.56/~jnz1568/getInfo.php?workbook=14_09.xlsx&amp;sheet=A0&amp;row=753&amp;col=6&amp;number=515000000&amp;sourceID=14","515000000")</f>
        <v>515000000</v>
      </c>
      <c r="G753" s="4" t="str">
        <f>HYPERLINK("http://141.218.60.56/~jnz1568/getInfo.php?workbook=14_09.xlsx&amp;sheet=A0&amp;row=753&amp;col=7&amp;number=0&amp;sourceID=14","0")</f>
        <v>0</v>
      </c>
    </row>
    <row r="754" spans="1:7">
      <c r="A754" s="3">
        <v>14</v>
      </c>
      <c r="B754" s="3">
        <v>9</v>
      </c>
      <c r="C754" s="3">
        <v>37</v>
      </c>
      <c r="D754" s="3">
        <v>12</v>
      </c>
      <c r="E754" s="3">
        <v>810.584</v>
      </c>
      <c r="F754" s="4" t="str">
        <f>HYPERLINK("http://141.218.60.56/~jnz1568/getInfo.php?workbook=14_09.xlsx&amp;sheet=A0&amp;row=754&amp;col=6&amp;number=5130000&amp;sourceID=14","5130000")</f>
        <v>5130000</v>
      </c>
      <c r="G754" s="4" t="str">
        <f>HYPERLINK("http://141.218.60.56/~jnz1568/getInfo.php?workbook=14_09.xlsx&amp;sheet=A0&amp;row=754&amp;col=7&amp;number=0&amp;sourceID=14","0")</f>
        <v>0</v>
      </c>
    </row>
    <row r="755" spans="1:7">
      <c r="A755" s="3">
        <v>14</v>
      </c>
      <c r="B755" s="3">
        <v>9</v>
      </c>
      <c r="C755" s="3">
        <v>38</v>
      </c>
      <c r="D755" s="3">
        <v>12</v>
      </c>
      <c r="E755" s="3">
        <v>-800.854</v>
      </c>
      <c r="F755" s="4" t="str">
        <f>HYPERLINK("http://141.218.60.56/~jnz1568/getInfo.php?workbook=14_09.xlsx&amp;sheet=A0&amp;row=755&amp;col=6&amp;number=1310000&amp;sourceID=14","1310000")</f>
        <v>1310000</v>
      </c>
      <c r="G755" s="4" t="str">
        <f>HYPERLINK("http://141.218.60.56/~jnz1568/getInfo.php?workbook=14_09.xlsx&amp;sheet=A0&amp;row=755&amp;col=7&amp;number=0&amp;sourceID=14","0")</f>
        <v>0</v>
      </c>
    </row>
    <row r="756" spans="1:7">
      <c r="A756" s="3">
        <v>14</v>
      </c>
      <c r="B756" s="3">
        <v>9</v>
      </c>
      <c r="C756" s="3">
        <v>39</v>
      </c>
      <c r="D756" s="3">
        <v>12</v>
      </c>
      <c r="E756" s="3">
        <v>799.725</v>
      </c>
      <c r="F756" s="4" t="str">
        <f>HYPERLINK("http://141.218.60.56/~jnz1568/getInfo.php?workbook=14_09.xlsx&amp;sheet=A0&amp;row=756&amp;col=6&amp;number=1420000000&amp;sourceID=14","1420000000")</f>
        <v>1420000000</v>
      </c>
      <c r="G756" s="4" t="str">
        <f>HYPERLINK("http://141.218.60.56/~jnz1568/getInfo.php?workbook=14_09.xlsx&amp;sheet=A0&amp;row=756&amp;col=7&amp;number=0&amp;sourceID=14","0")</f>
        <v>0</v>
      </c>
    </row>
    <row r="757" spans="1:7">
      <c r="A757" s="3">
        <v>14</v>
      </c>
      <c r="B757" s="3">
        <v>9</v>
      </c>
      <c r="C757" s="3">
        <v>40</v>
      </c>
      <c r="D757" s="3">
        <v>12</v>
      </c>
      <c r="E757" s="3">
        <v>792.814</v>
      </c>
      <c r="F757" s="4" t="str">
        <f>HYPERLINK("http://141.218.60.56/~jnz1568/getInfo.php?workbook=14_09.xlsx&amp;sheet=A0&amp;row=757&amp;col=6&amp;number=149000000&amp;sourceID=14","149000000")</f>
        <v>149000000</v>
      </c>
      <c r="G757" s="4" t="str">
        <f>HYPERLINK("http://141.218.60.56/~jnz1568/getInfo.php?workbook=14_09.xlsx&amp;sheet=A0&amp;row=757&amp;col=7&amp;number=0&amp;sourceID=14","0")</f>
        <v>0</v>
      </c>
    </row>
    <row r="758" spans="1:7">
      <c r="A758" s="3">
        <v>14</v>
      </c>
      <c r="B758" s="3">
        <v>9</v>
      </c>
      <c r="C758" s="3">
        <v>42</v>
      </c>
      <c r="D758" s="3">
        <v>12</v>
      </c>
      <c r="E758" s="3">
        <v>783.751</v>
      </c>
      <c r="F758" s="4" t="str">
        <f>HYPERLINK("http://141.218.60.56/~jnz1568/getInfo.php?workbook=14_09.xlsx&amp;sheet=A0&amp;row=758&amp;col=6&amp;number=449000000&amp;sourceID=14","449000000")</f>
        <v>449000000</v>
      </c>
      <c r="G758" s="4" t="str">
        <f>HYPERLINK("http://141.218.60.56/~jnz1568/getInfo.php?workbook=14_09.xlsx&amp;sheet=A0&amp;row=758&amp;col=7&amp;number=0&amp;sourceID=14","0")</f>
        <v>0</v>
      </c>
    </row>
    <row r="759" spans="1:7">
      <c r="A759" s="3">
        <v>14</v>
      </c>
      <c r="B759" s="3">
        <v>9</v>
      </c>
      <c r="C759" s="3">
        <v>43</v>
      </c>
      <c r="D759" s="3">
        <v>12</v>
      </c>
      <c r="E759" s="3">
        <v>782.21</v>
      </c>
      <c r="F759" s="4" t="str">
        <f>HYPERLINK("http://141.218.60.56/~jnz1568/getInfo.php?workbook=14_09.xlsx&amp;sheet=A0&amp;row=759&amp;col=6&amp;number=6370000&amp;sourceID=14","6370000")</f>
        <v>6370000</v>
      </c>
      <c r="G759" s="4" t="str">
        <f>HYPERLINK("http://141.218.60.56/~jnz1568/getInfo.php?workbook=14_09.xlsx&amp;sheet=A0&amp;row=759&amp;col=7&amp;number=0&amp;sourceID=14","0")</f>
        <v>0</v>
      </c>
    </row>
    <row r="760" spans="1:7">
      <c r="A760" s="3">
        <v>14</v>
      </c>
      <c r="B760" s="3">
        <v>9</v>
      </c>
      <c r="C760" s="3">
        <v>61</v>
      </c>
      <c r="D760" s="3">
        <v>12</v>
      </c>
      <c r="E760" s="3">
        <v>-395.187</v>
      </c>
      <c r="F760" s="4" t="str">
        <f>HYPERLINK("http://141.218.60.56/~jnz1568/getInfo.php?workbook=14_09.xlsx&amp;sheet=A0&amp;row=760&amp;col=6&amp;number=1350000000&amp;sourceID=14","1350000000")</f>
        <v>1350000000</v>
      </c>
      <c r="G760" s="4" t="str">
        <f>HYPERLINK("http://141.218.60.56/~jnz1568/getInfo.php?workbook=14_09.xlsx&amp;sheet=A0&amp;row=760&amp;col=7&amp;number=0&amp;sourceID=14","0")</f>
        <v>0</v>
      </c>
    </row>
    <row r="761" spans="1:7">
      <c r="A761" s="3">
        <v>14</v>
      </c>
      <c r="B761" s="3">
        <v>9</v>
      </c>
      <c r="C761" s="3">
        <v>62</v>
      </c>
      <c r="D761" s="3">
        <v>12</v>
      </c>
      <c r="E761" s="3">
        <v>-391.265</v>
      </c>
      <c r="F761" s="4" t="str">
        <f>HYPERLINK("http://141.218.60.56/~jnz1568/getInfo.php?workbook=14_09.xlsx&amp;sheet=A0&amp;row=761&amp;col=6&amp;number=534000000&amp;sourceID=14","534000000")</f>
        <v>534000000</v>
      </c>
      <c r="G761" s="4" t="str">
        <f>HYPERLINK("http://141.218.60.56/~jnz1568/getInfo.php?workbook=14_09.xlsx&amp;sheet=A0&amp;row=761&amp;col=7&amp;number=0&amp;sourceID=14","0")</f>
        <v>0</v>
      </c>
    </row>
    <row r="762" spans="1:7">
      <c r="A762" s="3">
        <v>14</v>
      </c>
      <c r="B762" s="3">
        <v>9</v>
      </c>
      <c r="C762" s="3">
        <v>63</v>
      </c>
      <c r="D762" s="3">
        <v>12</v>
      </c>
      <c r="E762" s="3">
        <v>-387.752</v>
      </c>
      <c r="F762" s="4" t="str">
        <f>HYPERLINK("http://141.218.60.56/~jnz1568/getInfo.php?workbook=14_09.xlsx&amp;sheet=A0&amp;row=762&amp;col=6&amp;number=2080000000&amp;sourceID=14","2080000000")</f>
        <v>2080000000</v>
      </c>
      <c r="G762" s="4" t="str">
        <f>HYPERLINK("http://141.218.60.56/~jnz1568/getInfo.php?workbook=14_09.xlsx&amp;sheet=A0&amp;row=762&amp;col=7&amp;number=0&amp;sourceID=14","0")</f>
        <v>0</v>
      </c>
    </row>
    <row r="763" spans="1:7">
      <c r="A763" s="3">
        <v>14</v>
      </c>
      <c r="B763" s="3">
        <v>9</v>
      </c>
      <c r="C763" s="3">
        <v>64</v>
      </c>
      <c r="D763" s="3">
        <v>12</v>
      </c>
      <c r="E763" s="3">
        <v>-385.699</v>
      </c>
      <c r="F763" s="4" t="str">
        <f>HYPERLINK("http://141.218.60.56/~jnz1568/getInfo.php?workbook=14_09.xlsx&amp;sheet=A0&amp;row=763&amp;col=6&amp;number=58300000&amp;sourceID=14","58300000")</f>
        <v>58300000</v>
      </c>
      <c r="G763" s="4" t="str">
        <f>HYPERLINK("http://141.218.60.56/~jnz1568/getInfo.php?workbook=14_09.xlsx&amp;sheet=A0&amp;row=763&amp;col=7&amp;number=0&amp;sourceID=14","0")</f>
        <v>0</v>
      </c>
    </row>
    <row r="764" spans="1:7">
      <c r="A764" s="3">
        <v>14</v>
      </c>
      <c r="B764" s="3">
        <v>9</v>
      </c>
      <c r="C764" s="3">
        <v>65</v>
      </c>
      <c r="D764" s="3">
        <v>12</v>
      </c>
      <c r="E764" s="3">
        <v>-380.966</v>
      </c>
      <c r="F764" s="4" t="str">
        <f>HYPERLINK("http://141.218.60.56/~jnz1568/getInfo.php?workbook=14_09.xlsx&amp;sheet=A0&amp;row=764&amp;col=6&amp;number=32500000&amp;sourceID=14","32500000")</f>
        <v>32500000</v>
      </c>
      <c r="G764" s="4" t="str">
        <f>HYPERLINK("http://141.218.60.56/~jnz1568/getInfo.php?workbook=14_09.xlsx&amp;sheet=A0&amp;row=764&amp;col=7&amp;number=0&amp;sourceID=14","0")</f>
        <v>0</v>
      </c>
    </row>
    <row r="765" spans="1:7">
      <c r="A765" s="3">
        <v>14</v>
      </c>
      <c r="B765" s="3">
        <v>9</v>
      </c>
      <c r="C765" s="3">
        <v>69</v>
      </c>
      <c r="D765" s="3">
        <v>12</v>
      </c>
      <c r="E765" s="3">
        <v>-349.903</v>
      </c>
      <c r="F765" s="4" t="str">
        <f>HYPERLINK("http://141.218.60.56/~jnz1568/getInfo.php?workbook=14_09.xlsx&amp;sheet=A0&amp;row=765&amp;col=6&amp;number=49300&amp;sourceID=14","49300")</f>
        <v>49300</v>
      </c>
      <c r="G765" s="4" t="str">
        <f>HYPERLINK("http://141.218.60.56/~jnz1568/getInfo.php?workbook=14_09.xlsx&amp;sheet=A0&amp;row=765&amp;col=7&amp;number=0&amp;sourceID=14","0")</f>
        <v>0</v>
      </c>
    </row>
    <row r="766" spans="1:7">
      <c r="A766" s="3">
        <v>14</v>
      </c>
      <c r="B766" s="3">
        <v>9</v>
      </c>
      <c r="C766" s="3">
        <v>73</v>
      </c>
      <c r="D766" s="3">
        <v>12</v>
      </c>
      <c r="E766" s="3">
        <v>-344.519</v>
      </c>
      <c r="F766" s="4" t="str">
        <f>HYPERLINK("http://141.218.60.56/~jnz1568/getInfo.php?workbook=14_09.xlsx&amp;sheet=A0&amp;row=766&amp;col=6&amp;number=58800&amp;sourceID=14","58800")</f>
        <v>58800</v>
      </c>
      <c r="G766" s="4" t="str">
        <f>HYPERLINK("http://141.218.60.56/~jnz1568/getInfo.php?workbook=14_09.xlsx&amp;sheet=A0&amp;row=766&amp;col=7&amp;number=0&amp;sourceID=14","0")</f>
        <v>0</v>
      </c>
    </row>
    <row r="767" spans="1:7">
      <c r="A767" s="3">
        <v>14</v>
      </c>
      <c r="B767" s="3">
        <v>9</v>
      </c>
      <c r="C767" s="3">
        <v>79</v>
      </c>
      <c r="D767" s="3">
        <v>12</v>
      </c>
      <c r="E767" s="3">
        <v>-330.095</v>
      </c>
      <c r="F767" s="4" t="str">
        <f>HYPERLINK("http://141.218.60.56/~jnz1568/getInfo.php?workbook=14_09.xlsx&amp;sheet=A0&amp;row=767&amp;col=6&amp;number=743000&amp;sourceID=14","743000")</f>
        <v>743000</v>
      </c>
      <c r="G767" s="4" t="str">
        <f>HYPERLINK("http://141.218.60.56/~jnz1568/getInfo.php?workbook=14_09.xlsx&amp;sheet=A0&amp;row=767&amp;col=7&amp;number=0&amp;sourceID=14","0")</f>
        <v>0</v>
      </c>
    </row>
    <row r="768" spans="1:7">
      <c r="A768" s="3">
        <v>14</v>
      </c>
      <c r="B768" s="3">
        <v>9</v>
      </c>
      <c r="C768" s="3">
        <v>80</v>
      </c>
      <c r="D768" s="3">
        <v>12</v>
      </c>
      <c r="E768" s="3">
        <v>-330.076</v>
      </c>
      <c r="F768" s="4" t="str">
        <f>HYPERLINK("http://141.218.60.56/~jnz1568/getInfo.php?workbook=14_09.xlsx&amp;sheet=A0&amp;row=768&amp;col=6&amp;number=1030000&amp;sourceID=14","1030000")</f>
        <v>1030000</v>
      </c>
      <c r="G768" s="4" t="str">
        <f>HYPERLINK("http://141.218.60.56/~jnz1568/getInfo.php?workbook=14_09.xlsx&amp;sheet=A0&amp;row=768&amp;col=7&amp;number=0&amp;sourceID=14","0")</f>
        <v>0</v>
      </c>
    </row>
    <row r="769" spans="1:7">
      <c r="A769" s="3">
        <v>14</v>
      </c>
      <c r="B769" s="3">
        <v>9</v>
      </c>
      <c r="C769" s="3">
        <v>87</v>
      </c>
      <c r="D769" s="3">
        <v>12</v>
      </c>
      <c r="E769" s="3">
        <v>-309.551</v>
      </c>
      <c r="F769" s="4" t="str">
        <f>HYPERLINK("http://141.218.60.56/~jnz1568/getInfo.php?workbook=14_09.xlsx&amp;sheet=A0&amp;row=769&amp;col=6&amp;number=1580000000&amp;sourceID=14","1580000000")</f>
        <v>1580000000</v>
      </c>
      <c r="G769" s="4" t="str">
        <f>HYPERLINK("http://141.218.60.56/~jnz1568/getInfo.php?workbook=14_09.xlsx&amp;sheet=A0&amp;row=769&amp;col=7&amp;number=0&amp;sourceID=14","0")</f>
        <v>0</v>
      </c>
    </row>
    <row r="770" spans="1:7">
      <c r="A770" s="3">
        <v>14</v>
      </c>
      <c r="B770" s="3">
        <v>9</v>
      </c>
      <c r="C770" s="3">
        <v>88</v>
      </c>
      <c r="D770" s="3">
        <v>12</v>
      </c>
      <c r="E770" s="3">
        <v>-308.978</v>
      </c>
      <c r="F770" s="4" t="str">
        <f>HYPERLINK("http://141.218.60.56/~jnz1568/getInfo.php?workbook=14_09.xlsx&amp;sheet=A0&amp;row=770&amp;col=6&amp;number=2290000000&amp;sourceID=14","2290000000")</f>
        <v>2290000000</v>
      </c>
      <c r="G770" s="4" t="str">
        <f>HYPERLINK("http://141.218.60.56/~jnz1568/getInfo.php?workbook=14_09.xlsx&amp;sheet=A0&amp;row=770&amp;col=7&amp;number=0&amp;sourceID=14","0")</f>
        <v>0</v>
      </c>
    </row>
    <row r="771" spans="1:7">
      <c r="A771" s="3">
        <v>14</v>
      </c>
      <c r="B771" s="3">
        <v>9</v>
      </c>
      <c r="C771" s="3">
        <v>89</v>
      </c>
      <c r="D771" s="3">
        <v>12</v>
      </c>
      <c r="E771" s="3">
        <v>-308.281</v>
      </c>
      <c r="F771" s="4" t="str">
        <f>HYPERLINK("http://141.218.60.56/~jnz1568/getInfo.php?workbook=14_09.xlsx&amp;sheet=A0&amp;row=771&amp;col=6&amp;number=1350000000&amp;sourceID=14","1350000000")</f>
        <v>1350000000</v>
      </c>
      <c r="G771" s="4" t="str">
        <f>HYPERLINK("http://141.218.60.56/~jnz1568/getInfo.php?workbook=14_09.xlsx&amp;sheet=A0&amp;row=771&amp;col=7&amp;number=0&amp;sourceID=14","0")</f>
        <v>0</v>
      </c>
    </row>
    <row r="772" spans="1:7">
      <c r="A772" s="3">
        <v>14</v>
      </c>
      <c r="B772" s="3">
        <v>9</v>
      </c>
      <c r="C772" s="3">
        <v>92</v>
      </c>
      <c r="D772" s="3">
        <v>12</v>
      </c>
      <c r="E772" s="3">
        <v>-305.351</v>
      </c>
      <c r="F772" s="4" t="str">
        <f>HYPERLINK("http://141.218.60.56/~jnz1568/getInfo.php?workbook=14_09.xlsx&amp;sheet=A0&amp;row=772&amp;col=6&amp;number=838000000&amp;sourceID=14","838000000")</f>
        <v>838000000</v>
      </c>
      <c r="G772" s="4" t="str">
        <f>HYPERLINK("http://141.218.60.56/~jnz1568/getInfo.php?workbook=14_09.xlsx&amp;sheet=A0&amp;row=772&amp;col=7&amp;number=0&amp;sourceID=14","0")</f>
        <v>0</v>
      </c>
    </row>
    <row r="773" spans="1:7">
      <c r="A773" s="3">
        <v>14</v>
      </c>
      <c r="B773" s="3">
        <v>9</v>
      </c>
      <c r="C773" s="3">
        <v>93</v>
      </c>
      <c r="D773" s="3">
        <v>12</v>
      </c>
      <c r="E773" s="3">
        <v>-304.576</v>
      </c>
      <c r="F773" s="4" t="str">
        <f>HYPERLINK("http://141.218.60.56/~jnz1568/getInfo.php?workbook=14_09.xlsx&amp;sheet=A0&amp;row=773&amp;col=6&amp;number=16300000&amp;sourceID=14","16300000")</f>
        <v>16300000</v>
      </c>
      <c r="G773" s="4" t="str">
        <f>HYPERLINK("http://141.218.60.56/~jnz1568/getInfo.php?workbook=14_09.xlsx&amp;sheet=A0&amp;row=773&amp;col=7&amp;number=0&amp;sourceID=14","0")</f>
        <v>0</v>
      </c>
    </row>
    <row r="774" spans="1:7">
      <c r="A774" s="3">
        <v>14</v>
      </c>
      <c r="B774" s="3">
        <v>9</v>
      </c>
      <c r="C774" s="3">
        <v>94</v>
      </c>
      <c r="D774" s="3">
        <v>12</v>
      </c>
      <c r="E774" s="3">
        <v>-304.371</v>
      </c>
      <c r="F774" s="4" t="str">
        <f>HYPERLINK("http://141.218.60.56/~jnz1568/getInfo.php?workbook=14_09.xlsx&amp;sheet=A0&amp;row=774&amp;col=6&amp;number=14400000&amp;sourceID=14","14400000")</f>
        <v>14400000</v>
      </c>
      <c r="G774" s="4" t="str">
        <f>HYPERLINK("http://141.218.60.56/~jnz1568/getInfo.php?workbook=14_09.xlsx&amp;sheet=A0&amp;row=774&amp;col=7&amp;number=0&amp;sourceID=14","0")</f>
        <v>0</v>
      </c>
    </row>
    <row r="775" spans="1:7">
      <c r="A775" s="3">
        <v>14</v>
      </c>
      <c r="B775" s="3">
        <v>9</v>
      </c>
      <c r="C775" s="3">
        <v>96</v>
      </c>
      <c r="D775" s="3">
        <v>12</v>
      </c>
      <c r="E775" s="3">
        <v>-303.139</v>
      </c>
      <c r="F775" s="4" t="str">
        <f>HYPERLINK("http://141.218.60.56/~jnz1568/getInfo.php?workbook=14_09.xlsx&amp;sheet=A0&amp;row=775&amp;col=6&amp;number=11700000&amp;sourceID=14","11700000")</f>
        <v>11700000</v>
      </c>
      <c r="G775" s="4" t="str">
        <f>HYPERLINK("http://141.218.60.56/~jnz1568/getInfo.php?workbook=14_09.xlsx&amp;sheet=A0&amp;row=775&amp;col=7&amp;number=0&amp;sourceID=14","0")</f>
        <v>0</v>
      </c>
    </row>
    <row r="776" spans="1:7">
      <c r="A776" s="3">
        <v>14</v>
      </c>
      <c r="B776" s="3">
        <v>9</v>
      </c>
      <c r="C776" s="3">
        <v>97</v>
      </c>
      <c r="D776" s="3">
        <v>12</v>
      </c>
      <c r="E776" s="3">
        <v>-302.724</v>
      </c>
      <c r="F776" s="4" t="str">
        <f>HYPERLINK("http://141.218.60.56/~jnz1568/getInfo.php?workbook=14_09.xlsx&amp;sheet=A0&amp;row=776&amp;col=6&amp;number=701000000&amp;sourceID=14","701000000")</f>
        <v>701000000</v>
      </c>
      <c r="G776" s="4" t="str">
        <f>HYPERLINK("http://141.218.60.56/~jnz1568/getInfo.php?workbook=14_09.xlsx&amp;sheet=A0&amp;row=776&amp;col=7&amp;number=0&amp;sourceID=14","0")</f>
        <v>0</v>
      </c>
    </row>
    <row r="777" spans="1:7">
      <c r="A777" s="3">
        <v>14</v>
      </c>
      <c r="B777" s="3">
        <v>9</v>
      </c>
      <c r="C777" s="3">
        <v>98</v>
      </c>
      <c r="D777" s="3">
        <v>12</v>
      </c>
      <c r="E777" s="3">
        <v>-301.967</v>
      </c>
      <c r="F777" s="4" t="str">
        <f>HYPERLINK("http://141.218.60.56/~jnz1568/getInfo.php?workbook=14_09.xlsx&amp;sheet=A0&amp;row=777&amp;col=6&amp;number=691000&amp;sourceID=14","691000")</f>
        <v>691000</v>
      </c>
      <c r="G777" s="4" t="str">
        <f>HYPERLINK("http://141.218.60.56/~jnz1568/getInfo.php?workbook=14_09.xlsx&amp;sheet=A0&amp;row=777&amp;col=7&amp;number=0&amp;sourceID=14","0")</f>
        <v>0</v>
      </c>
    </row>
    <row r="778" spans="1:7">
      <c r="A778" s="3">
        <v>14</v>
      </c>
      <c r="B778" s="3">
        <v>9</v>
      </c>
      <c r="C778" s="3">
        <v>103</v>
      </c>
      <c r="D778" s="3">
        <v>12</v>
      </c>
      <c r="E778" s="3">
        <v>-298.264</v>
      </c>
      <c r="F778" s="4" t="str">
        <f>HYPERLINK("http://141.218.60.56/~jnz1568/getInfo.php?workbook=14_09.xlsx&amp;sheet=A0&amp;row=778&amp;col=6&amp;number=12600000&amp;sourceID=14","12600000")</f>
        <v>12600000</v>
      </c>
      <c r="G778" s="4" t="str">
        <f>HYPERLINK("http://141.218.60.56/~jnz1568/getInfo.php?workbook=14_09.xlsx&amp;sheet=A0&amp;row=778&amp;col=7&amp;number=0&amp;sourceID=14","0")</f>
        <v>0</v>
      </c>
    </row>
    <row r="779" spans="1:7">
      <c r="A779" s="3">
        <v>14</v>
      </c>
      <c r="B779" s="3">
        <v>9</v>
      </c>
      <c r="C779" s="3">
        <v>105</v>
      </c>
      <c r="D779" s="3">
        <v>12</v>
      </c>
      <c r="E779" s="3">
        <v>-298.196</v>
      </c>
      <c r="F779" s="4" t="str">
        <f>HYPERLINK("http://141.218.60.56/~jnz1568/getInfo.php?workbook=14_09.xlsx&amp;sheet=A0&amp;row=779&amp;col=6&amp;number=222000&amp;sourceID=14","222000")</f>
        <v>222000</v>
      </c>
      <c r="G779" s="4" t="str">
        <f>HYPERLINK("http://141.218.60.56/~jnz1568/getInfo.php?workbook=14_09.xlsx&amp;sheet=A0&amp;row=779&amp;col=7&amp;number=0&amp;sourceID=14","0")</f>
        <v>0</v>
      </c>
    </row>
    <row r="780" spans="1:7">
      <c r="A780" s="3">
        <v>14</v>
      </c>
      <c r="B780" s="3">
        <v>9</v>
      </c>
      <c r="C780" s="3">
        <v>106</v>
      </c>
      <c r="D780" s="3">
        <v>12</v>
      </c>
      <c r="E780" s="3">
        <v>-298.065</v>
      </c>
      <c r="F780" s="4" t="str">
        <f>HYPERLINK("http://141.218.60.56/~jnz1568/getInfo.php?workbook=14_09.xlsx&amp;sheet=A0&amp;row=780&amp;col=6&amp;number=398000&amp;sourceID=14","398000")</f>
        <v>398000</v>
      </c>
      <c r="G780" s="4" t="str">
        <f>HYPERLINK("http://141.218.60.56/~jnz1568/getInfo.php?workbook=14_09.xlsx&amp;sheet=A0&amp;row=780&amp;col=7&amp;number=0&amp;sourceID=14","0")</f>
        <v>0</v>
      </c>
    </row>
    <row r="781" spans="1:7">
      <c r="A781" s="3">
        <v>14</v>
      </c>
      <c r="B781" s="3">
        <v>9</v>
      </c>
      <c r="C781" s="3">
        <v>108</v>
      </c>
      <c r="D781" s="3">
        <v>12</v>
      </c>
      <c r="E781" s="3">
        <v>-297.699</v>
      </c>
      <c r="F781" s="4" t="str">
        <f>HYPERLINK("http://141.218.60.56/~jnz1568/getInfo.php?workbook=14_09.xlsx&amp;sheet=A0&amp;row=781&amp;col=6&amp;number=460000&amp;sourceID=14","460000")</f>
        <v>460000</v>
      </c>
      <c r="G781" s="4" t="str">
        <f>HYPERLINK("http://141.218.60.56/~jnz1568/getInfo.php?workbook=14_09.xlsx&amp;sheet=A0&amp;row=781&amp;col=7&amp;number=0&amp;sourceID=14","0")</f>
        <v>0</v>
      </c>
    </row>
    <row r="782" spans="1:7">
      <c r="A782" s="3">
        <v>14</v>
      </c>
      <c r="B782" s="3">
        <v>9</v>
      </c>
      <c r="C782" s="3">
        <v>112</v>
      </c>
      <c r="D782" s="3">
        <v>12</v>
      </c>
      <c r="E782" s="3">
        <v>-296.856</v>
      </c>
      <c r="F782" s="4" t="str">
        <f>HYPERLINK("http://141.218.60.56/~jnz1568/getInfo.php?workbook=14_09.xlsx&amp;sheet=A0&amp;row=782&amp;col=6&amp;number=634000&amp;sourceID=14","634000")</f>
        <v>634000</v>
      </c>
      <c r="G782" s="4" t="str">
        <f>HYPERLINK("http://141.218.60.56/~jnz1568/getInfo.php?workbook=14_09.xlsx&amp;sheet=A0&amp;row=782&amp;col=7&amp;number=0&amp;sourceID=14","0")</f>
        <v>0</v>
      </c>
    </row>
    <row r="783" spans="1:7">
      <c r="A783" s="3">
        <v>14</v>
      </c>
      <c r="B783" s="3">
        <v>9</v>
      </c>
      <c r="C783" s="3">
        <v>121</v>
      </c>
      <c r="D783" s="3">
        <v>12</v>
      </c>
      <c r="E783" s="3">
        <v>-293.504</v>
      </c>
      <c r="F783" s="4" t="str">
        <f>HYPERLINK("http://141.218.60.56/~jnz1568/getInfo.php?workbook=14_09.xlsx&amp;sheet=A0&amp;row=783&amp;col=6&amp;number=212000&amp;sourceID=14","212000")</f>
        <v>212000</v>
      </c>
      <c r="G783" s="4" t="str">
        <f>HYPERLINK("http://141.218.60.56/~jnz1568/getInfo.php?workbook=14_09.xlsx&amp;sheet=A0&amp;row=783&amp;col=7&amp;number=0&amp;sourceID=14","0")</f>
        <v>0</v>
      </c>
    </row>
    <row r="784" spans="1:7">
      <c r="A784" s="3">
        <v>14</v>
      </c>
      <c r="B784" s="3">
        <v>9</v>
      </c>
      <c r="C784" s="3">
        <v>128</v>
      </c>
      <c r="D784" s="3">
        <v>12</v>
      </c>
      <c r="E784" s="3">
        <v>-269.923</v>
      </c>
      <c r="F784" s="4" t="str">
        <f>HYPERLINK("http://141.218.60.56/~jnz1568/getInfo.php?workbook=14_09.xlsx&amp;sheet=A0&amp;row=784&amp;col=6&amp;number=7510000000&amp;sourceID=14","7510000000")</f>
        <v>7510000000</v>
      </c>
      <c r="G784" s="4" t="str">
        <f>HYPERLINK("http://141.218.60.56/~jnz1568/getInfo.php?workbook=14_09.xlsx&amp;sheet=A0&amp;row=784&amp;col=7&amp;number=0&amp;sourceID=14","0")</f>
        <v>0</v>
      </c>
    </row>
    <row r="785" spans="1:7">
      <c r="A785" s="3">
        <v>14</v>
      </c>
      <c r="B785" s="3">
        <v>9</v>
      </c>
      <c r="C785" s="3">
        <v>131</v>
      </c>
      <c r="D785" s="3">
        <v>12</v>
      </c>
      <c r="E785" s="3">
        <v>-266.039</v>
      </c>
      <c r="F785" s="4" t="str">
        <f>HYPERLINK("http://141.218.60.56/~jnz1568/getInfo.php?workbook=14_09.xlsx&amp;sheet=A0&amp;row=785&amp;col=6&amp;number=218000&amp;sourceID=14","218000")</f>
        <v>218000</v>
      </c>
      <c r="G785" s="4" t="str">
        <f>HYPERLINK("http://141.218.60.56/~jnz1568/getInfo.php?workbook=14_09.xlsx&amp;sheet=A0&amp;row=785&amp;col=7&amp;number=0&amp;sourceID=14","0")</f>
        <v>0</v>
      </c>
    </row>
    <row r="786" spans="1:7">
      <c r="A786" s="3">
        <v>14</v>
      </c>
      <c r="B786" s="3">
        <v>9</v>
      </c>
      <c r="C786" s="3">
        <v>136</v>
      </c>
      <c r="D786" s="3">
        <v>12</v>
      </c>
      <c r="E786" s="3">
        <v>-265.148</v>
      </c>
      <c r="F786" s="4" t="str">
        <f>HYPERLINK("http://141.218.60.56/~jnz1568/getInfo.php?workbook=14_09.xlsx&amp;sheet=A0&amp;row=786&amp;col=6&amp;number=1820000&amp;sourceID=14","1820000")</f>
        <v>1820000</v>
      </c>
      <c r="G786" s="4" t="str">
        <f>HYPERLINK("http://141.218.60.56/~jnz1568/getInfo.php?workbook=14_09.xlsx&amp;sheet=A0&amp;row=786&amp;col=7&amp;number=0&amp;sourceID=14","0")</f>
        <v>0</v>
      </c>
    </row>
    <row r="787" spans="1:7">
      <c r="A787" s="3">
        <v>14</v>
      </c>
      <c r="B787" s="3">
        <v>9</v>
      </c>
      <c r="C787" s="3">
        <v>145</v>
      </c>
      <c r="D787" s="3">
        <v>12</v>
      </c>
      <c r="E787" s="3">
        <v>-260.376</v>
      </c>
      <c r="F787" s="4" t="str">
        <f>HYPERLINK("http://141.218.60.56/~jnz1568/getInfo.php?workbook=14_09.xlsx&amp;sheet=A0&amp;row=787&amp;col=6&amp;number=1180000000&amp;sourceID=14","1180000000")</f>
        <v>1180000000</v>
      </c>
      <c r="G787" s="4" t="str">
        <f>HYPERLINK("http://141.218.60.56/~jnz1568/getInfo.php?workbook=14_09.xlsx&amp;sheet=A0&amp;row=787&amp;col=7&amp;number=0&amp;sourceID=14","0")</f>
        <v>0</v>
      </c>
    </row>
    <row r="788" spans="1:7">
      <c r="A788" s="3">
        <v>14</v>
      </c>
      <c r="B788" s="3">
        <v>9</v>
      </c>
      <c r="C788" s="3">
        <v>148</v>
      </c>
      <c r="D788" s="3">
        <v>12</v>
      </c>
      <c r="E788" s="3">
        <v>-259.405</v>
      </c>
      <c r="F788" s="4" t="str">
        <f>HYPERLINK("http://141.218.60.56/~jnz1568/getInfo.php?workbook=14_09.xlsx&amp;sheet=A0&amp;row=788&amp;col=6&amp;number=2550000000&amp;sourceID=14","2550000000")</f>
        <v>2550000000</v>
      </c>
      <c r="G788" s="4" t="str">
        <f>HYPERLINK("http://141.218.60.56/~jnz1568/getInfo.php?workbook=14_09.xlsx&amp;sheet=A0&amp;row=788&amp;col=7&amp;number=0&amp;sourceID=14","0")</f>
        <v>0</v>
      </c>
    </row>
    <row r="789" spans="1:7">
      <c r="A789" s="3">
        <v>14</v>
      </c>
      <c r="B789" s="3">
        <v>9</v>
      </c>
      <c r="C789" s="3">
        <v>151</v>
      </c>
      <c r="D789" s="3">
        <v>12</v>
      </c>
      <c r="E789" s="3">
        <v>-258.688</v>
      </c>
      <c r="F789" s="4" t="str">
        <f>HYPERLINK("http://141.218.60.56/~jnz1568/getInfo.php?workbook=14_09.xlsx&amp;sheet=A0&amp;row=789&amp;col=6&amp;number=1310000000&amp;sourceID=14","1310000000")</f>
        <v>1310000000</v>
      </c>
      <c r="G789" s="4" t="str">
        <f>HYPERLINK("http://141.218.60.56/~jnz1568/getInfo.php?workbook=14_09.xlsx&amp;sheet=A0&amp;row=789&amp;col=7&amp;number=0&amp;sourceID=14","0")</f>
        <v>0</v>
      </c>
    </row>
    <row r="790" spans="1:7">
      <c r="A790" s="3">
        <v>14</v>
      </c>
      <c r="B790" s="3">
        <v>9</v>
      </c>
      <c r="C790" s="3">
        <v>152</v>
      </c>
      <c r="D790" s="3">
        <v>12</v>
      </c>
      <c r="E790" s="3">
        <v>-254.49</v>
      </c>
      <c r="F790" s="4" t="str">
        <f>HYPERLINK("http://141.218.60.56/~jnz1568/getInfo.php?workbook=14_09.xlsx&amp;sheet=A0&amp;row=790&amp;col=6&amp;number=531000000&amp;sourceID=14","531000000")</f>
        <v>531000000</v>
      </c>
      <c r="G790" s="4" t="str">
        <f>HYPERLINK("http://141.218.60.56/~jnz1568/getInfo.php?workbook=14_09.xlsx&amp;sheet=A0&amp;row=790&amp;col=7&amp;number=0&amp;sourceID=14","0")</f>
        <v>0</v>
      </c>
    </row>
    <row r="791" spans="1:7">
      <c r="A791" s="3">
        <v>14</v>
      </c>
      <c r="B791" s="3">
        <v>9</v>
      </c>
      <c r="C791" s="3">
        <v>153</v>
      </c>
      <c r="D791" s="3">
        <v>12</v>
      </c>
      <c r="E791" s="3">
        <v>-253.361</v>
      </c>
      <c r="F791" s="4" t="str">
        <f>HYPERLINK("http://141.218.60.56/~jnz1568/getInfo.php?workbook=14_09.xlsx&amp;sheet=A0&amp;row=791&amp;col=6&amp;number=284000000&amp;sourceID=14","284000000")</f>
        <v>284000000</v>
      </c>
      <c r="G791" s="4" t="str">
        <f>HYPERLINK("http://141.218.60.56/~jnz1568/getInfo.php?workbook=14_09.xlsx&amp;sheet=A0&amp;row=791&amp;col=7&amp;number=0&amp;sourceID=14","0")</f>
        <v>0</v>
      </c>
    </row>
    <row r="792" spans="1:7">
      <c r="A792" s="3">
        <v>14</v>
      </c>
      <c r="B792" s="3">
        <v>9</v>
      </c>
      <c r="C792" s="3">
        <v>154</v>
      </c>
      <c r="D792" s="3">
        <v>12</v>
      </c>
      <c r="E792" s="3">
        <v>-253.346</v>
      </c>
      <c r="F792" s="4" t="str">
        <f>HYPERLINK("http://141.218.60.56/~jnz1568/getInfo.php?workbook=14_09.xlsx&amp;sheet=A0&amp;row=792&amp;col=6&amp;number=274000000&amp;sourceID=14","274000000")</f>
        <v>274000000</v>
      </c>
      <c r="G792" s="4" t="str">
        <f>HYPERLINK("http://141.218.60.56/~jnz1568/getInfo.php?workbook=14_09.xlsx&amp;sheet=A0&amp;row=792&amp;col=7&amp;number=0&amp;sourceID=14","0")</f>
        <v>0</v>
      </c>
    </row>
    <row r="793" spans="1:7">
      <c r="A793" s="3">
        <v>14</v>
      </c>
      <c r="B793" s="3">
        <v>9</v>
      </c>
      <c r="C793" s="3">
        <v>155</v>
      </c>
      <c r="D793" s="3">
        <v>12</v>
      </c>
      <c r="E793" s="3">
        <v>-252.925</v>
      </c>
      <c r="F793" s="4" t="str">
        <f>HYPERLINK("http://141.218.60.56/~jnz1568/getInfo.php?workbook=14_09.xlsx&amp;sheet=A0&amp;row=793&amp;col=6&amp;number=2090000000&amp;sourceID=14","2090000000")</f>
        <v>2090000000</v>
      </c>
      <c r="G793" s="4" t="str">
        <f>HYPERLINK("http://141.218.60.56/~jnz1568/getInfo.php?workbook=14_09.xlsx&amp;sheet=A0&amp;row=793&amp;col=7&amp;number=0&amp;sourceID=14","0")</f>
        <v>0</v>
      </c>
    </row>
    <row r="794" spans="1:7">
      <c r="A794" s="3">
        <v>14</v>
      </c>
      <c r="B794" s="3">
        <v>9</v>
      </c>
      <c r="C794" s="3">
        <v>156</v>
      </c>
      <c r="D794" s="3">
        <v>12</v>
      </c>
      <c r="E794" s="3">
        <v>-252.337</v>
      </c>
      <c r="F794" s="4" t="str">
        <f>HYPERLINK("http://141.218.60.56/~jnz1568/getInfo.php?workbook=14_09.xlsx&amp;sheet=A0&amp;row=794&amp;col=6&amp;number=20400000&amp;sourceID=14","20400000")</f>
        <v>20400000</v>
      </c>
      <c r="G794" s="4" t="str">
        <f>HYPERLINK("http://141.218.60.56/~jnz1568/getInfo.php?workbook=14_09.xlsx&amp;sheet=A0&amp;row=794&amp;col=7&amp;number=0&amp;sourceID=14","0")</f>
        <v>0</v>
      </c>
    </row>
    <row r="795" spans="1:7">
      <c r="A795" s="3">
        <v>14</v>
      </c>
      <c r="B795" s="3">
        <v>9</v>
      </c>
      <c r="C795" s="3">
        <v>158</v>
      </c>
      <c r="D795" s="3">
        <v>12</v>
      </c>
      <c r="E795" s="3">
        <v>-250.383</v>
      </c>
      <c r="F795" s="4" t="str">
        <f>HYPERLINK("http://141.218.60.56/~jnz1568/getInfo.php?workbook=14_09.xlsx&amp;sheet=A0&amp;row=795&amp;col=6&amp;number=44900000&amp;sourceID=14","44900000")</f>
        <v>44900000</v>
      </c>
      <c r="G795" s="4" t="str">
        <f>HYPERLINK("http://141.218.60.56/~jnz1568/getInfo.php?workbook=14_09.xlsx&amp;sheet=A0&amp;row=795&amp;col=7&amp;number=0&amp;sourceID=14","0")</f>
        <v>0</v>
      </c>
    </row>
    <row r="796" spans="1:7">
      <c r="A796" s="3">
        <v>14</v>
      </c>
      <c r="B796" s="3">
        <v>9</v>
      </c>
      <c r="C796" s="3">
        <v>161</v>
      </c>
      <c r="D796" s="3">
        <v>12</v>
      </c>
      <c r="E796" s="3">
        <v>-229.438</v>
      </c>
      <c r="F796" s="4" t="str">
        <f>HYPERLINK("http://141.218.60.56/~jnz1568/getInfo.php?workbook=14_09.xlsx&amp;sheet=A0&amp;row=796&amp;col=6&amp;number=144000000&amp;sourceID=14","144000000")</f>
        <v>144000000</v>
      </c>
      <c r="G796" s="4" t="str">
        <f>HYPERLINK("http://141.218.60.56/~jnz1568/getInfo.php?workbook=14_09.xlsx&amp;sheet=A0&amp;row=796&amp;col=7&amp;number=0&amp;sourceID=14","0")</f>
        <v>0</v>
      </c>
    </row>
    <row r="797" spans="1:7">
      <c r="A797" s="3">
        <v>14</v>
      </c>
      <c r="B797" s="3">
        <v>9</v>
      </c>
      <c r="C797" s="3">
        <v>185</v>
      </c>
      <c r="D797" s="3">
        <v>12</v>
      </c>
      <c r="E797" s="3">
        <v>-184.613</v>
      </c>
      <c r="F797" s="4" t="str">
        <f>HYPERLINK("http://141.218.60.56/~jnz1568/getInfo.php?workbook=14_09.xlsx&amp;sheet=A0&amp;row=797&amp;col=6&amp;number=7630000&amp;sourceID=14","7630000")</f>
        <v>7630000</v>
      </c>
      <c r="G797" s="4" t="str">
        <f>HYPERLINK("http://141.218.60.56/~jnz1568/getInfo.php?workbook=14_09.xlsx&amp;sheet=A0&amp;row=797&amp;col=7&amp;number=0&amp;sourceID=14","0")</f>
        <v>0</v>
      </c>
    </row>
    <row r="798" spans="1:7">
      <c r="A798" s="3">
        <v>14</v>
      </c>
      <c r="B798" s="3">
        <v>9</v>
      </c>
      <c r="C798" s="3">
        <v>186</v>
      </c>
      <c r="D798" s="3">
        <v>12</v>
      </c>
      <c r="E798" s="3">
        <v>-184.396</v>
      </c>
      <c r="F798" s="4" t="str">
        <f>HYPERLINK("http://141.218.60.56/~jnz1568/getInfo.php?workbook=14_09.xlsx&amp;sheet=A0&amp;row=798&amp;col=6&amp;number=2070000&amp;sourceID=14","2070000")</f>
        <v>2070000</v>
      </c>
      <c r="G798" s="4" t="str">
        <f>HYPERLINK("http://141.218.60.56/~jnz1568/getInfo.php?workbook=14_09.xlsx&amp;sheet=A0&amp;row=798&amp;col=7&amp;number=0&amp;sourceID=14","0")</f>
        <v>0</v>
      </c>
    </row>
    <row r="799" spans="1:7">
      <c r="A799" s="3">
        <v>14</v>
      </c>
      <c r="B799" s="3">
        <v>9</v>
      </c>
      <c r="C799" s="3">
        <v>187</v>
      </c>
      <c r="D799" s="3">
        <v>12</v>
      </c>
      <c r="E799" s="3">
        <v>-182.744</v>
      </c>
      <c r="F799" s="4" t="str">
        <f>HYPERLINK("http://141.218.60.56/~jnz1568/getInfo.php?workbook=14_09.xlsx&amp;sheet=A0&amp;row=799&amp;col=6&amp;number=32000000&amp;sourceID=14","32000000")</f>
        <v>32000000</v>
      </c>
      <c r="G799" s="4" t="str">
        <f>HYPERLINK("http://141.218.60.56/~jnz1568/getInfo.php?workbook=14_09.xlsx&amp;sheet=A0&amp;row=799&amp;col=7&amp;number=0&amp;sourceID=14","0")</f>
        <v>0</v>
      </c>
    </row>
    <row r="800" spans="1:7">
      <c r="A800" s="3">
        <v>14</v>
      </c>
      <c r="B800" s="3">
        <v>9</v>
      </c>
      <c r="C800" s="3">
        <v>188</v>
      </c>
      <c r="D800" s="3">
        <v>12</v>
      </c>
      <c r="E800" s="3">
        <v>-182.64</v>
      </c>
      <c r="F800" s="4" t="str">
        <f>HYPERLINK("http://141.218.60.56/~jnz1568/getInfo.php?workbook=14_09.xlsx&amp;sheet=A0&amp;row=800&amp;col=6&amp;number=4620000&amp;sourceID=14","4620000")</f>
        <v>4620000</v>
      </c>
      <c r="G800" s="4" t="str">
        <f>HYPERLINK("http://141.218.60.56/~jnz1568/getInfo.php?workbook=14_09.xlsx&amp;sheet=A0&amp;row=800&amp;col=7&amp;number=0&amp;sourceID=14","0")</f>
        <v>0</v>
      </c>
    </row>
    <row r="801" spans="1:7">
      <c r="A801" s="3">
        <v>14</v>
      </c>
      <c r="B801" s="3">
        <v>9</v>
      </c>
      <c r="C801" s="3">
        <v>189</v>
      </c>
      <c r="D801" s="3">
        <v>12</v>
      </c>
      <c r="E801" s="3">
        <v>-178.265</v>
      </c>
      <c r="F801" s="4" t="str">
        <f>HYPERLINK("http://141.218.60.56/~jnz1568/getInfo.php?workbook=14_09.xlsx&amp;sheet=A0&amp;row=801&amp;col=6&amp;number=97000000&amp;sourceID=14","97000000")</f>
        <v>97000000</v>
      </c>
      <c r="G801" s="4" t="str">
        <f>HYPERLINK("http://141.218.60.56/~jnz1568/getInfo.php?workbook=14_09.xlsx&amp;sheet=A0&amp;row=801&amp;col=7&amp;number=0&amp;sourceID=14","0")</f>
        <v>0</v>
      </c>
    </row>
    <row r="802" spans="1:7">
      <c r="A802" s="3">
        <v>14</v>
      </c>
      <c r="B802" s="3">
        <v>9</v>
      </c>
      <c r="C802" s="3">
        <v>33</v>
      </c>
      <c r="D802" s="3">
        <v>13</v>
      </c>
      <c r="E802" s="3">
        <v>904.818</v>
      </c>
      <c r="F802" s="4" t="str">
        <f>HYPERLINK("http://141.218.60.56/~jnz1568/getInfo.php?workbook=14_09.xlsx&amp;sheet=A0&amp;row=802&amp;col=6&amp;number=605000000&amp;sourceID=14","605000000")</f>
        <v>605000000</v>
      </c>
      <c r="G802" s="4" t="str">
        <f>HYPERLINK("http://141.218.60.56/~jnz1568/getInfo.php?workbook=14_09.xlsx&amp;sheet=A0&amp;row=802&amp;col=7&amp;number=0&amp;sourceID=14","0")</f>
        <v>0</v>
      </c>
    </row>
    <row r="803" spans="1:7">
      <c r="A803" s="3">
        <v>14</v>
      </c>
      <c r="B803" s="3">
        <v>9</v>
      </c>
      <c r="C803" s="3">
        <v>34</v>
      </c>
      <c r="D803" s="3">
        <v>13</v>
      </c>
      <c r="E803" s="3">
        <v>899.305</v>
      </c>
      <c r="F803" s="4" t="str">
        <f>HYPERLINK("http://141.218.60.56/~jnz1568/getInfo.php?workbook=14_09.xlsx&amp;sheet=A0&amp;row=803&amp;col=6&amp;number=1580000000&amp;sourceID=14","1580000000")</f>
        <v>1580000000</v>
      </c>
      <c r="G803" s="4" t="str">
        <f>HYPERLINK("http://141.218.60.56/~jnz1568/getInfo.php?workbook=14_09.xlsx&amp;sheet=A0&amp;row=803&amp;col=7&amp;number=0&amp;sourceID=14","0")</f>
        <v>0</v>
      </c>
    </row>
    <row r="804" spans="1:7">
      <c r="A804" s="3">
        <v>14</v>
      </c>
      <c r="B804" s="3">
        <v>9</v>
      </c>
      <c r="C804" s="3">
        <v>38</v>
      </c>
      <c r="D804" s="3">
        <v>13</v>
      </c>
      <c r="E804" s="3">
        <v>-808.834</v>
      </c>
      <c r="F804" s="4" t="str">
        <f>HYPERLINK("http://141.218.60.56/~jnz1568/getInfo.php?workbook=14_09.xlsx&amp;sheet=A0&amp;row=804&amp;col=6&amp;number=14200000&amp;sourceID=14","14200000")</f>
        <v>14200000</v>
      </c>
      <c r="G804" s="4" t="str">
        <f>HYPERLINK("http://141.218.60.56/~jnz1568/getInfo.php?workbook=14_09.xlsx&amp;sheet=A0&amp;row=804&amp;col=7&amp;number=0&amp;sourceID=14","0")</f>
        <v>0</v>
      </c>
    </row>
    <row r="805" spans="1:7">
      <c r="A805" s="3">
        <v>14</v>
      </c>
      <c r="B805" s="3">
        <v>9</v>
      </c>
      <c r="C805" s="3">
        <v>39</v>
      </c>
      <c r="D805" s="3">
        <v>13</v>
      </c>
      <c r="E805" s="3">
        <v>807.911</v>
      </c>
      <c r="F805" s="4" t="str">
        <f>HYPERLINK("http://141.218.60.56/~jnz1568/getInfo.php?workbook=14_09.xlsx&amp;sheet=A0&amp;row=805&amp;col=6&amp;number=385000000&amp;sourceID=14","385000000")</f>
        <v>385000000</v>
      </c>
      <c r="G805" s="4" t="str">
        <f>HYPERLINK("http://141.218.60.56/~jnz1568/getInfo.php?workbook=14_09.xlsx&amp;sheet=A0&amp;row=805&amp;col=7&amp;number=0&amp;sourceID=14","0")</f>
        <v>0</v>
      </c>
    </row>
    <row r="806" spans="1:7">
      <c r="A806" s="3">
        <v>14</v>
      </c>
      <c r="B806" s="3">
        <v>9</v>
      </c>
      <c r="C806" s="3">
        <v>40</v>
      </c>
      <c r="D806" s="3">
        <v>13</v>
      </c>
      <c r="E806" s="3">
        <v>800.859</v>
      </c>
      <c r="F806" s="4" t="str">
        <f>HYPERLINK("http://141.218.60.56/~jnz1568/getInfo.php?workbook=14_09.xlsx&amp;sheet=A0&amp;row=806&amp;col=6&amp;number=772000000&amp;sourceID=14","772000000")</f>
        <v>772000000</v>
      </c>
      <c r="G806" s="4" t="str">
        <f>HYPERLINK("http://141.218.60.56/~jnz1568/getInfo.php?workbook=14_09.xlsx&amp;sheet=A0&amp;row=806&amp;col=7&amp;number=0&amp;sourceID=14","0")</f>
        <v>0</v>
      </c>
    </row>
    <row r="807" spans="1:7">
      <c r="A807" s="3">
        <v>14</v>
      </c>
      <c r="B807" s="3">
        <v>9</v>
      </c>
      <c r="C807" s="3">
        <v>62</v>
      </c>
      <c r="D807" s="3">
        <v>13</v>
      </c>
      <c r="E807" s="3">
        <v>-393.16</v>
      </c>
      <c r="F807" s="4" t="str">
        <f>HYPERLINK("http://141.218.60.56/~jnz1568/getInfo.php?workbook=14_09.xlsx&amp;sheet=A0&amp;row=807&amp;col=6&amp;number=1380000000&amp;sourceID=14","1380000000")</f>
        <v>1380000000</v>
      </c>
      <c r="G807" s="4" t="str">
        <f>HYPERLINK("http://141.218.60.56/~jnz1568/getInfo.php?workbook=14_09.xlsx&amp;sheet=A0&amp;row=807&amp;col=7&amp;number=0&amp;sourceID=14","0")</f>
        <v>0</v>
      </c>
    </row>
    <row r="808" spans="1:7">
      <c r="A808" s="3">
        <v>14</v>
      </c>
      <c r="B808" s="3">
        <v>9</v>
      </c>
      <c r="C808" s="3">
        <v>63</v>
      </c>
      <c r="D808" s="3">
        <v>13</v>
      </c>
      <c r="E808" s="3">
        <v>-389.614</v>
      </c>
      <c r="F808" s="4" t="str">
        <f>HYPERLINK("http://141.218.60.56/~jnz1568/getInfo.php?workbook=14_09.xlsx&amp;sheet=A0&amp;row=808&amp;col=6&amp;number=426000000&amp;sourceID=14","426000000")</f>
        <v>426000000</v>
      </c>
      <c r="G808" s="4" t="str">
        <f>HYPERLINK("http://141.218.60.56/~jnz1568/getInfo.php?workbook=14_09.xlsx&amp;sheet=A0&amp;row=808&amp;col=7&amp;number=0&amp;sourceID=14","0")</f>
        <v>0</v>
      </c>
    </row>
    <row r="809" spans="1:7">
      <c r="A809" s="3">
        <v>14</v>
      </c>
      <c r="B809" s="3">
        <v>9</v>
      </c>
      <c r="C809" s="3">
        <v>64</v>
      </c>
      <c r="D809" s="3">
        <v>13</v>
      </c>
      <c r="E809" s="3">
        <v>-387.541</v>
      </c>
      <c r="F809" s="4" t="str">
        <f>HYPERLINK("http://141.218.60.56/~jnz1568/getInfo.php?workbook=14_09.xlsx&amp;sheet=A0&amp;row=809&amp;col=6&amp;number=236000000&amp;sourceID=14","236000000")</f>
        <v>236000000</v>
      </c>
      <c r="G809" s="4" t="str">
        <f>HYPERLINK("http://141.218.60.56/~jnz1568/getInfo.php?workbook=14_09.xlsx&amp;sheet=A0&amp;row=809&amp;col=7&amp;number=0&amp;sourceID=14","0")</f>
        <v>0</v>
      </c>
    </row>
    <row r="810" spans="1:7">
      <c r="A810" s="3">
        <v>14</v>
      </c>
      <c r="B810" s="3">
        <v>9</v>
      </c>
      <c r="C810" s="3">
        <v>65</v>
      </c>
      <c r="D810" s="3">
        <v>13</v>
      </c>
      <c r="E810" s="3">
        <v>-382.763</v>
      </c>
      <c r="F810" s="4" t="str">
        <f>HYPERLINK("http://141.218.60.56/~jnz1568/getInfo.php?workbook=14_09.xlsx&amp;sheet=A0&amp;row=810&amp;col=6&amp;number=21900000&amp;sourceID=14","21900000")</f>
        <v>21900000</v>
      </c>
      <c r="G810" s="4" t="str">
        <f>HYPERLINK("http://141.218.60.56/~jnz1568/getInfo.php?workbook=14_09.xlsx&amp;sheet=A0&amp;row=810&amp;col=7&amp;number=0&amp;sourceID=14","0")</f>
        <v>0</v>
      </c>
    </row>
    <row r="811" spans="1:7">
      <c r="A811" s="3">
        <v>14</v>
      </c>
      <c r="B811" s="3">
        <v>9</v>
      </c>
      <c r="C811" s="3">
        <v>80</v>
      </c>
      <c r="D811" s="3">
        <v>13</v>
      </c>
      <c r="E811" s="3">
        <v>-331.424</v>
      </c>
      <c r="F811" s="4" t="str">
        <f>HYPERLINK("http://141.218.60.56/~jnz1568/getInfo.php?workbook=14_09.xlsx&amp;sheet=A0&amp;row=811&amp;col=6&amp;number=514000&amp;sourceID=14","514000")</f>
        <v>514000</v>
      </c>
      <c r="G811" s="4" t="str">
        <f>HYPERLINK("http://141.218.60.56/~jnz1568/getInfo.php?workbook=14_09.xlsx&amp;sheet=A0&amp;row=811&amp;col=7&amp;number=0&amp;sourceID=14","0")</f>
        <v>0</v>
      </c>
    </row>
    <row r="812" spans="1:7">
      <c r="A812" s="3">
        <v>14</v>
      </c>
      <c r="B812" s="3">
        <v>9</v>
      </c>
      <c r="C812" s="3">
        <v>88</v>
      </c>
      <c r="D812" s="3">
        <v>13</v>
      </c>
      <c r="E812" s="3">
        <v>-310.159</v>
      </c>
      <c r="F812" s="4" t="str">
        <f>HYPERLINK("http://141.218.60.56/~jnz1568/getInfo.php?workbook=14_09.xlsx&amp;sheet=A0&amp;row=812&amp;col=6&amp;number=653000000&amp;sourceID=14","653000000")</f>
        <v>653000000</v>
      </c>
      <c r="G812" s="4" t="str">
        <f>HYPERLINK("http://141.218.60.56/~jnz1568/getInfo.php?workbook=14_09.xlsx&amp;sheet=A0&amp;row=812&amp;col=7&amp;number=0&amp;sourceID=14","0")</f>
        <v>0</v>
      </c>
    </row>
    <row r="813" spans="1:7">
      <c r="A813" s="3">
        <v>14</v>
      </c>
      <c r="B813" s="3">
        <v>9</v>
      </c>
      <c r="C813" s="3">
        <v>89</v>
      </c>
      <c r="D813" s="3">
        <v>13</v>
      </c>
      <c r="E813" s="3">
        <v>-309.456</v>
      </c>
      <c r="F813" s="4" t="str">
        <f>HYPERLINK("http://141.218.60.56/~jnz1568/getInfo.php?workbook=14_09.xlsx&amp;sheet=A0&amp;row=813&amp;col=6&amp;number=2180000000&amp;sourceID=14","2180000000")</f>
        <v>2180000000</v>
      </c>
      <c r="G813" s="4" t="str">
        <f>HYPERLINK("http://141.218.60.56/~jnz1568/getInfo.php?workbook=14_09.xlsx&amp;sheet=A0&amp;row=813&amp;col=7&amp;number=0&amp;sourceID=14","0")</f>
        <v>0</v>
      </c>
    </row>
    <row r="814" spans="1:7">
      <c r="A814" s="3">
        <v>14</v>
      </c>
      <c r="B814" s="3">
        <v>9</v>
      </c>
      <c r="C814" s="3">
        <v>92</v>
      </c>
      <c r="D814" s="3">
        <v>13</v>
      </c>
      <c r="E814" s="3">
        <v>-306.504</v>
      </c>
      <c r="F814" s="4" t="str">
        <f>HYPERLINK("http://141.218.60.56/~jnz1568/getInfo.php?workbook=14_09.xlsx&amp;sheet=A0&amp;row=814&amp;col=6&amp;number=918000000&amp;sourceID=14","918000000")</f>
        <v>918000000</v>
      </c>
      <c r="G814" s="4" t="str">
        <f>HYPERLINK("http://141.218.60.56/~jnz1568/getInfo.php?workbook=14_09.xlsx&amp;sheet=A0&amp;row=814&amp;col=7&amp;number=0&amp;sourceID=14","0")</f>
        <v>0</v>
      </c>
    </row>
    <row r="815" spans="1:7">
      <c r="A815" s="3">
        <v>14</v>
      </c>
      <c r="B815" s="3">
        <v>9</v>
      </c>
      <c r="C815" s="3">
        <v>94</v>
      </c>
      <c r="D815" s="3">
        <v>13</v>
      </c>
      <c r="E815" s="3">
        <v>-305.517</v>
      </c>
      <c r="F815" s="4" t="str">
        <f>HYPERLINK("http://141.218.60.56/~jnz1568/getInfo.php?workbook=14_09.xlsx&amp;sheet=A0&amp;row=815&amp;col=6&amp;number=981000000&amp;sourceID=14","981000000")</f>
        <v>981000000</v>
      </c>
      <c r="G815" s="4" t="str">
        <f>HYPERLINK("http://141.218.60.56/~jnz1568/getInfo.php?workbook=14_09.xlsx&amp;sheet=A0&amp;row=815&amp;col=7&amp;number=0&amp;sourceID=14","0")</f>
        <v>0</v>
      </c>
    </row>
    <row r="816" spans="1:7">
      <c r="A816" s="3">
        <v>14</v>
      </c>
      <c r="B816" s="3">
        <v>9</v>
      </c>
      <c r="C816" s="3">
        <v>96</v>
      </c>
      <c r="D816" s="3">
        <v>13</v>
      </c>
      <c r="E816" s="3">
        <v>-304.276</v>
      </c>
      <c r="F816" s="4" t="str">
        <f>HYPERLINK("http://141.218.60.56/~jnz1568/getInfo.php?workbook=14_09.xlsx&amp;sheet=A0&amp;row=816&amp;col=6&amp;number=175000000&amp;sourceID=14","175000000")</f>
        <v>175000000</v>
      </c>
      <c r="G816" s="4" t="str">
        <f>HYPERLINK("http://141.218.60.56/~jnz1568/getInfo.php?workbook=14_09.xlsx&amp;sheet=A0&amp;row=816&amp;col=7&amp;number=0&amp;sourceID=14","0")</f>
        <v>0</v>
      </c>
    </row>
    <row r="817" spans="1:7">
      <c r="A817" s="3">
        <v>14</v>
      </c>
      <c r="B817" s="3">
        <v>9</v>
      </c>
      <c r="C817" s="3">
        <v>99</v>
      </c>
      <c r="D817" s="3">
        <v>13</v>
      </c>
      <c r="E817" s="3">
        <v>-301.721</v>
      </c>
      <c r="F817" s="4" t="str">
        <f>HYPERLINK("http://141.218.60.56/~jnz1568/getInfo.php?workbook=14_09.xlsx&amp;sheet=A0&amp;row=817&amp;col=6&amp;number=61600000&amp;sourceID=14","61600000")</f>
        <v>61600000</v>
      </c>
      <c r="G817" s="4" t="str">
        <f>HYPERLINK("http://141.218.60.56/~jnz1568/getInfo.php?workbook=14_09.xlsx&amp;sheet=A0&amp;row=817&amp;col=7&amp;number=0&amp;sourceID=14","0")</f>
        <v>0</v>
      </c>
    </row>
    <row r="818" spans="1:7">
      <c r="A818" s="3">
        <v>14</v>
      </c>
      <c r="B818" s="3">
        <v>9</v>
      </c>
      <c r="C818" s="3">
        <v>100</v>
      </c>
      <c r="D818" s="3">
        <v>13</v>
      </c>
      <c r="E818" s="3">
        <v>-301.064</v>
      </c>
      <c r="F818" s="4" t="str">
        <f>HYPERLINK("http://141.218.60.56/~jnz1568/getInfo.php?workbook=14_09.xlsx&amp;sheet=A0&amp;row=818&amp;col=6&amp;number=39300000&amp;sourceID=14","39300000")</f>
        <v>39300000</v>
      </c>
      <c r="G818" s="4" t="str">
        <f>HYPERLINK("http://141.218.60.56/~jnz1568/getInfo.php?workbook=14_09.xlsx&amp;sheet=A0&amp;row=818&amp;col=7&amp;number=0&amp;sourceID=14","0")</f>
        <v>0</v>
      </c>
    </row>
    <row r="819" spans="1:7">
      <c r="A819" s="3">
        <v>14</v>
      </c>
      <c r="B819" s="3">
        <v>9</v>
      </c>
      <c r="C819" s="3">
        <v>110</v>
      </c>
      <c r="D819" s="3">
        <v>13</v>
      </c>
      <c r="E819" s="3">
        <v>-298.045</v>
      </c>
      <c r="F819" s="4" t="str">
        <f>HYPERLINK("http://141.218.60.56/~jnz1568/getInfo.php?workbook=14_09.xlsx&amp;sheet=A0&amp;row=819&amp;col=6&amp;number=3330000&amp;sourceID=14","3330000")</f>
        <v>3330000</v>
      </c>
      <c r="G819" s="4" t="str">
        <f>HYPERLINK("http://141.218.60.56/~jnz1568/getInfo.php?workbook=14_09.xlsx&amp;sheet=A0&amp;row=819&amp;col=7&amp;number=0&amp;sourceID=14","0")</f>
        <v>0</v>
      </c>
    </row>
    <row r="820" spans="1:7">
      <c r="A820" s="3">
        <v>14</v>
      </c>
      <c r="B820" s="3">
        <v>9</v>
      </c>
      <c r="C820" s="3">
        <v>117</v>
      </c>
      <c r="D820" s="3">
        <v>13</v>
      </c>
      <c r="E820" s="3">
        <v>-295.411</v>
      </c>
      <c r="F820" s="4" t="str">
        <f>HYPERLINK("http://141.218.60.56/~jnz1568/getInfo.php?workbook=14_09.xlsx&amp;sheet=A0&amp;row=820&amp;col=6&amp;number=401000&amp;sourceID=14","401000")</f>
        <v>401000</v>
      </c>
      <c r="G820" s="4" t="str">
        <f>HYPERLINK("http://141.218.60.56/~jnz1568/getInfo.php?workbook=14_09.xlsx&amp;sheet=A0&amp;row=820&amp;col=7&amp;number=0&amp;sourceID=14","0")</f>
        <v>0</v>
      </c>
    </row>
    <row r="821" spans="1:7">
      <c r="A821" s="3">
        <v>14</v>
      </c>
      <c r="B821" s="3">
        <v>9</v>
      </c>
      <c r="C821" s="3">
        <v>118</v>
      </c>
      <c r="D821" s="3">
        <v>13</v>
      </c>
      <c r="E821" s="3">
        <v>-295.346</v>
      </c>
      <c r="F821" s="4" t="str">
        <f>HYPERLINK("http://141.218.60.56/~jnz1568/getInfo.php?workbook=14_09.xlsx&amp;sheet=A0&amp;row=821&amp;col=6&amp;number=281000&amp;sourceID=14","281000")</f>
        <v>281000</v>
      </c>
      <c r="G821" s="4" t="str">
        <f>HYPERLINK("http://141.218.60.56/~jnz1568/getInfo.php?workbook=14_09.xlsx&amp;sheet=A0&amp;row=821&amp;col=7&amp;number=0&amp;sourceID=14","0")</f>
        <v>0</v>
      </c>
    </row>
    <row r="822" spans="1:7">
      <c r="A822" s="3">
        <v>14</v>
      </c>
      <c r="B822" s="3">
        <v>9</v>
      </c>
      <c r="C822" s="3">
        <v>128</v>
      </c>
      <c r="D822" s="3">
        <v>13</v>
      </c>
      <c r="E822" s="3">
        <v>-270.823</v>
      </c>
      <c r="F822" s="4" t="str">
        <f>HYPERLINK("http://141.218.60.56/~jnz1568/getInfo.php?workbook=14_09.xlsx&amp;sheet=A0&amp;row=822&amp;col=6&amp;number=3870000000&amp;sourceID=14","3870000000")</f>
        <v>3870000000</v>
      </c>
      <c r="G822" s="4" t="str">
        <f>HYPERLINK("http://141.218.60.56/~jnz1568/getInfo.php?workbook=14_09.xlsx&amp;sheet=A0&amp;row=822&amp;col=7&amp;number=0&amp;sourceID=14","0")</f>
        <v>0</v>
      </c>
    </row>
    <row r="823" spans="1:7">
      <c r="A823" s="3">
        <v>14</v>
      </c>
      <c r="B823" s="3">
        <v>9</v>
      </c>
      <c r="C823" s="3">
        <v>148</v>
      </c>
      <c r="D823" s="3">
        <v>13</v>
      </c>
      <c r="E823" s="3">
        <v>-260.237</v>
      </c>
      <c r="F823" s="4" t="str">
        <f>HYPERLINK("http://141.218.60.56/~jnz1568/getInfo.php?workbook=14_09.xlsx&amp;sheet=A0&amp;row=823&amp;col=6&amp;number=724000000&amp;sourceID=14","724000000")</f>
        <v>724000000</v>
      </c>
      <c r="G823" s="4" t="str">
        <f>HYPERLINK("http://141.218.60.56/~jnz1568/getInfo.php?workbook=14_09.xlsx&amp;sheet=A0&amp;row=823&amp;col=7&amp;number=0&amp;sourceID=14","0")</f>
        <v>0</v>
      </c>
    </row>
    <row r="824" spans="1:7">
      <c r="A824" s="3">
        <v>14</v>
      </c>
      <c r="B824" s="3">
        <v>9</v>
      </c>
      <c r="C824" s="3">
        <v>151</v>
      </c>
      <c r="D824" s="3">
        <v>13</v>
      </c>
      <c r="E824" s="3">
        <v>-259.515</v>
      </c>
      <c r="F824" s="4" t="str">
        <f>HYPERLINK("http://141.218.60.56/~jnz1568/getInfo.php?workbook=14_09.xlsx&amp;sheet=A0&amp;row=824&amp;col=6&amp;number=2870000000&amp;sourceID=14","2870000000")</f>
        <v>2870000000</v>
      </c>
      <c r="G824" s="4" t="str">
        <f>HYPERLINK("http://141.218.60.56/~jnz1568/getInfo.php?workbook=14_09.xlsx&amp;sheet=A0&amp;row=824&amp;col=7&amp;number=0&amp;sourceID=14","0")</f>
        <v>0</v>
      </c>
    </row>
    <row r="825" spans="1:7">
      <c r="A825" s="3">
        <v>14</v>
      </c>
      <c r="B825" s="3">
        <v>9</v>
      </c>
      <c r="C825" s="3">
        <v>154</v>
      </c>
      <c r="D825" s="3">
        <v>13</v>
      </c>
      <c r="E825" s="3">
        <v>-254.14</v>
      </c>
      <c r="F825" s="4" t="str">
        <f>HYPERLINK("http://141.218.60.56/~jnz1568/getInfo.php?workbook=14_09.xlsx&amp;sheet=A0&amp;row=825&amp;col=6&amp;number=1090000000&amp;sourceID=14","1090000000")</f>
        <v>1090000000</v>
      </c>
      <c r="G825" s="4" t="str">
        <f>HYPERLINK("http://141.218.60.56/~jnz1568/getInfo.php?workbook=14_09.xlsx&amp;sheet=A0&amp;row=825&amp;col=7&amp;number=0&amp;sourceID=14","0")</f>
        <v>0</v>
      </c>
    </row>
    <row r="826" spans="1:7">
      <c r="A826" s="3">
        <v>14</v>
      </c>
      <c r="B826" s="3">
        <v>9</v>
      </c>
      <c r="C826" s="3">
        <v>155</v>
      </c>
      <c r="D826" s="3">
        <v>13</v>
      </c>
      <c r="E826" s="3">
        <v>-253.716</v>
      </c>
      <c r="F826" s="4" t="str">
        <f>HYPERLINK("http://141.218.60.56/~jnz1568/getInfo.php?workbook=14_09.xlsx&amp;sheet=A0&amp;row=826&amp;col=6&amp;number=510000000&amp;sourceID=14","510000000")</f>
        <v>510000000</v>
      </c>
      <c r="G826" s="4" t="str">
        <f>HYPERLINK("http://141.218.60.56/~jnz1568/getInfo.php?workbook=14_09.xlsx&amp;sheet=A0&amp;row=826&amp;col=7&amp;number=0&amp;sourceID=14","0")</f>
        <v>0</v>
      </c>
    </row>
    <row r="827" spans="1:7">
      <c r="A827" s="3">
        <v>14</v>
      </c>
      <c r="B827" s="3">
        <v>9</v>
      </c>
      <c r="C827" s="3">
        <v>156</v>
      </c>
      <c r="D827" s="3">
        <v>13</v>
      </c>
      <c r="E827" s="3">
        <v>-253.123</v>
      </c>
      <c r="F827" s="4" t="str">
        <f>HYPERLINK("http://141.218.60.56/~jnz1568/getInfo.php?workbook=14_09.xlsx&amp;sheet=A0&amp;row=827&amp;col=6&amp;number=27000000&amp;sourceID=14","27000000")</f>
        <v>27000000</v>
      </c>
      <c r="G827" s="4" t="str">
        <f>HYPERLINK("http://141.218.60.56/~jnz1568/getInfo.php?workbook=14_09.xlsx&amp;sheet=A0&amp;row=827&amp;col=7&amp;number=0&amp;sourceID=14","0")</f>
        <v>0</v>
      </c>
    </row>
    <row r="828" spans="1:7">
      <c r="A828" s="3">
        <v>14</v>
      </c>
      <c r="B828" s="3">
        <v>9</v>
      </c>
      <c r="C828" s="3">
        <v>157</v>
      </c>
      <c r="D828" s="3">
        <v>13</v>
      </c>
      <c r="E828" s="3">
        <v>-251.495</v>
      </c>
      <c r="F828" s="4" t="str">
        <f>HYPERLINK("http://141.218.60.56/~jnz1568/getInfo.php?workbook=14_09.xlsx&amp;sheet=A0&amp;row=828&amp;col=6&amp;number=63100000&amp;sourceID=14","63100000")</f>
        <v>63100000</v>
      </c>
      <c r="G828" s="4" t="str">
        <f>HYPERLINK("http://141.218.60.56/~jnz1568/getInfo.php?workbook=14_09.xlsx&amp;sheet=A0&amp;row=828&amp;col=7&amp;number=0&amp;sourceID=14","0")</f>
        <v>0</v>
      </c>
    </row>
    <row r="829" spans="1:7">
      <c r="A829" s="3">
        <v>14</v>
      </c>
      <c r="B829" s="3">
        <v>9</v>
      </c>
      <c r="C829" s="3">
        <v>158</v>
      </c>
      <c r="D829" s="3">
        <v>13</v>
      </c>
      <c r="E829" s="3">
        <v>-251.158</v>
      </c>
      <c r="F829" s="4" t="str">
        <f>HYPERLINK("http://141.218.60.56/~jnz1568/getInfo.php?workbook=14_09.xlsx&amp;sheet=A0&amp;row=829&amp;col=6&amp;number=33900000&amp;sourceID=14","33900000")</f>
        <v>33900000</v>
      </c>
      <c r="G829" s="4" t="str">
        <f>HYPERLINK("http://141.218.60.56/~jnz1568/getInfo.php?workbook=14_09.xlsx&amp;sheet=A0&amp;row=829&amp;col=7&amp;number=0&amp;sourceID=14","0")</f>
        <v>0</v>
      </c>
    </row>
    <row r="830" spans="1:7">
      <c r="A830" s="3">
        <v>14</v>
      </c>
      <c r="B830" s="3">
        <v>9</v>
      </c>
      <c r="C830" s="3">
        <v>161</v>
      </c>
      <c r="D830" s="3">
        <v>13</v>
      </c>
      <c r="E830" s="3">
        <v>-230.088</v>
      </c>
      <c r="F830" s="4" t="str">
        <f>HYPERLINK("http://141.218.60.56/~jnz1568/getInfo.php?workbook=14_09.xlsx&amp;sheet=A0&amp;row=830&amp;col=6&amp;number=36500000&amp;sourceID=14","36500000")</f>
        <v>36500000</v>
      </c>
      <c r="G830" s="4" t="str">
        <f>HYPERLINK("http://141.218.60.56/~jnz1568/getInfo.php?workbook=14_09.xlsx&amp;sheet=A0&amp;row=830&amp;col=7&amp;number=0&amp;sourceID=14","0")</f>
        <v>0</v>
      </c>
    </row>
    <row r="831" spans="1:7">
      <c r="A831" s="3">
        <v>14</v>
      </c>
      <c r="B831" s="3">
        <v>9</v>
      </c>
      <c r="C831" s="3">
        <v>185</v>
      </c>
      <c r="D831" s="3">
        <v>13</v>
      </c>
      <c r="E831" s="3">
        <v>-185.033</v>
      </c>
      <c r="F831" s="4" t="str">
        <f>HYPERLINK("http://141.218.60.56/~jnz1568/getInfo.php?workbook=14_09.xlsx&amp;sheet=A0&amp;row=831&amp;col=6&amp;number=1340000&amp;sourceID=14","1340000")</f>
        <v>1340000</v>
      </c>
      <c r="G831" s="4" t="str">
        <f>HYPERLINK("http://141.218.60.56/~jnz1568/getInfo.php?workbook=14_09.xlsx&amp;sheet=A0&amp;row=831&amp;col=7&amp;number=0&amp;sourceID=14","0")</f>
        <v>0</v>
      </c>
    </row>
    <row r="832" spans="1:7">
      <c r="A832" s="3">
        <v>14</v>
      </c>
      <c r="B832" s="3">
        <v>9</v>
      </c>
      <c r="C832" s="3">
        <v>187</v>
      </c>
      <c r="D832" s="3">
        <v>13</v>
      </c>
      <c r="E832" s="3">
        <v>-183.157</v>
      </c>
      <c r="F832" s="4" t="str">
        <f>HYPERLINK("http://141.218.60.56/~jnz1568/getInfo.php?workbook=14_09.xlsx&amp;sheet=A0&amp;row=832&amp;col=6&amp;number=1680000&amp;sourceID=14","1680000")</f>
        <v>1680000</v>
      </c>
      <c r="G832" s="4" t="str">
        <f>HYPERLINK("http://141.218.60.56/~jnz1568/getInfo.php?workbook=14_09.xlsx&amp;sheet=A0&amp;row=832&amp;col=7&amp;number=0&amp;sourceID=14","0")</f>
        <v>0</v>
      </c>
    </row>
    <row r="833" spans="1:7">
      <c r="A833" s="3">
        <v>14</v>
      </c>
      <c r="B833" s="3">
        <v>9</v>
      </c>
      <c r="C833" s="3">
        <v>188</v>
      </c>
      <c r="D833" s="3">
        <v>13</v>
      </c>
      <c r="E833" s="3">
        <v>-183.052</v>
      </c>
      <c r="F833" s="4" t="str">
        <f>HYPERLINK("http://141.218.60.56/~jnz1568/getInfo.php?workbook=14_09.xlsx&amp;sheet=A0&amp;row=833&amp;col=6&amp;number=4880000&amp;sourceID=14","4880000")</f>
        <v>4880000</v>
      </c>
      <c r="G833" s="4" t="str">
        <f>HYPERLINK("http://141.218.60.56/~jnz1568/getInfo.php?workbook=14_09.xlsx&amp;sheet=A0&amp;row=833&amp;col=7&amp;number=0&amp;sourceID=14","0")</f>
        <v>0</v>
      </c>
    </row>
    <row r="834" spans="1:7">
      <c r="A834" s="3">
        <v>14</v>
      </c>
      <c r="B834" s="3">
        <v>9</v>
      </c>
      <c r="C834" s="3">
        <v>189</v>
      </c>
      <c r="D834" s="3">
        <v>13</v>
      </c>
      <c r="E834" s="3">
        <v>-178.657</v>
      </c>
      <c r="F834" s="4" t="str">
        <f>HYPERLINK("http://141.218.60.56/~jnz1568/getInfo.php?workbook=14_09.xlsx&amp;sheet=A0&amp;row=834&amp;col=6&amp;number=26100000&amp;sourceID=14","26100000")</f>
        <v>26100000</v>
      </c>
      <c r="G834" s="4" t="str">
        <f>HYPERLINK("http://141.218.60.56/~jnz1568/getInfo.php?workbook=14_09.xlsx&amp;sheet=A0&amp;row=834&amp;col=7&amp;number=0&amp;sourceID=14","0")</f>
        <v>0</v>
      </c>
    </row>
    <row r="835" spans="1:7">
      <c r="A835" s="3">
        <v>14</v>
      </c>
      <c r="B835" s="3">
        <v>9</v>
      </c>
      <c r="C835" s="3">
        <v>31</v>
      </c>
      <c r="D835" s="3">
        <v>14</v>
      </c>
      <c r="E835" s="3">
        <v>980.961</v>
      </c>
      <c r="F835" s="4" t="str">
        <f>HYPERLINK("http://141.218.60.56/~jnz1568/getInfo.php?workbook=14_09.xlsx&amp;sheet=A0&amp;row=835&amp;col=6&amp;number=494000000&amp;sourceID=14","494000000")</f>
        <v>494000000</v>
      </c>
      <c r="G835" s="4" t="str">
        <f>HYPERLINK("http://141.218.60.56/~jnz1568/getInfo.php?workbook=14_09.xlsx&amp;sheet=A0&amp;row=835&amp;col=7&amp;number=0&amp;sourceID=14","0")</f>
        <v>0</v>
      </c>
    </row>
    <row r="836" spans="1:7">
      <c r="A836" s="3">
        <v>14</v>
      </c>
      <c r="B836" s="3">
        <v>9</v>
      </c>
      <c r="C836" s="3">
        <v>32</v>
      </c>
      <c r="D836" s="3">
        <v>14</v>
      </c>
      <c r="E836" s="3">
        <v>978.407</v>
      </c>
      <c r="F836" s="4" t="str">
        <f>HYPERLINK("http://141.218.60.56/~jnz1568/getInfo.php?workbook=14_09.xlsx&amp;sheet=A0&amp;row=836&amp;col=6&amp;number=122000000&amp;sourceID=14","122000000")</f>
        <v>122000000</v>
      </c>
      <c r="G836" s="4" t="str">
        <f>HYPERLINK("http://141.218.60.56/~jnz1568/getInfo.php?workbook=14_09.xlsx&amp;sheet=A0&amp;row=836&amp;col=7&amp;number=0&amp;sourceID=14","0")</f>
        <v>0</v>
      </c>
    </row>
    <row r="837" spans="1:7">
      <c r="A837" s="3">
        <v>14</v>
      </c>
      <c r="B837" s="3">
        <v>9</v>
      </c>
      <c r="C837" s="3">
        <v>35</v>
      </c>
      <c r="D837" s="3">
        <v>14</v>
      </c>
      <c r="E837" s="3">
        <v>901.642</v>
      </c>
      <c r="F837" s="4" t="str">
        <f>HYPERLINK("http://141.218.60.56/~jnz1568/getInfo.php?workbook=14_09.xlsx&amp;sheet=A0&amp;row=837&amp;col=6&amp;number=2680000000&amp;sourceID=14","2680000000")</f>
        <v>2680000000</v>
      </c>
      <c r="G837" s="4" t="str">
        <f>HYPERLINK("http://141.218.60.56/~jnz1568/getInfo.php?workbook=14_09.xlsx&amp;sheet=A0&amp;row=837&amp;col=7&amp;number=0&amp;sourceID=14","0")</f>
        <v>0</v>
      </c>
    </row>
    <row r="838" spans="1:7">
      <c r="A838" s="3">
        <v>14</v>
      </c>
      <c r="B838" s="3">
        <v>9</v>
      </c>
      <c r="C838" s="3">
        <v>36</v>
      </c>
      <c r="D838" s="3">
        <v>14</v>
      </c>
      <c r="E838" s="3">
        <v>888.486</v>
      </c>
      <c r="F838" s="4" t="str">
        <f>HYPERLINK("http://141.218.60.56/~jnz1568/getInfo.php?workbook=14_09.xlsx&amp;sheet=A0&amp;row=838&amp;col=6&amp;number=262000000&amp;sourceID=14","262000000")</f>
        <v>262000000</v>
      </c>
      <c r="G838" s="4" t="str">
        <f>HYPERLINK("http://141.218.60.56/~jnz1568/getInfo.php?workbook=14_09.xlsx&amp;sheet=A0&amp;row=838&amp;col=7&amp;number=0&amp;sourceID=14","0")</f>
        <v>0</v>
      </c>
    </row>
    <row r="839" spans="1:7">
      <c r="A839" s="3">
        <v>14</v>
      </c>
      <c r="B839" s="3">
        <v>9</v>
      </c>
      <c r="C839" s="3">
        <v>37</v>
      </c>
      <c r="D839" s="3">
        <v>14</v>
      </c>
      <c r="E839" s="3">
        <v>875.277</v>
      </c>
      <c r="F839" s="4" t="str">
        <f>HYPERLINK("http://141.218.60.56/~jnz1568/getInfo.php?workbook=14_09.xlsx&amp;sheet=A0&amp;row=839&amp;col=6&amp;number=9730000&amp;sourceID=14","9730000")</f>
        <v>9730000</v>
      </c>
      <c r="G839" s="4" t="str">
        <f>HYPERLINK("http://141.218.60.56/~jnz1568/getInfo.php?workbook=14_09.xlsx&amp;sheet=A0&amp;row=839&amp;col=7&amp;number=0&amp;sourceID=14","0")</f>
        <v>0</v>
      </c>
    </row>
    <row r="840" spans="1:7">
      <c r="A840" s="3">
        <v>14</v>
      </c>
      <c r="B840" s="3">
        <v>9</v>
      </c>
      <c r="C840" s="3">
        <v>41</v>
      </c>
      <c r="D840" s="3">
        <v>14</v>
      </c>
      <c r="E840" s="3">
        <v>860.028</v>
      </c>
      <c r="F840" s="4" t="str">
        <f>HYPERLINK("http://141.218.60.56/~jnz1568/getInfo.php?workbook=14_09.xlsx&amp;sheet=A0&amp;row=840&amp;col=6&amp;number=16800000&amp;sourceID=14","16800000")</f>
        <v>16800000</v>
      </c>
      <c r="G840" s="4" t="str">
        <f>HYPERLINK("http://141.218.60.56/~jnz1568/getInfo.php?workbook=14_09.xlsx&amp;sheet=A0&amp;row=840&amp;col=7&amp;number=0&amp;sourceID=14","0")</f>
        <v>0</v>
      </c>
    </row>
    <row r="841" spans="1:7">
      <c r="A841" s="3">
        <v>14</v>
      </c>
      <c r="B841" s="3">
        <v>9</v>
      </c>
      <c r="C841" s="3">
        <v>42</v>
      </c>
      <c r="D841" s="3">
        <v>14</v>
      </c>
      <c r="E841" s="3">
        <v>844.072</v>
      </c>
      <c r="F841" s="4" t="str">
        <f>HYPERLINK("http://141.218.60.56/~jnz1568/getInfo.php?workbook=14_09.xlsx&amp;sheet=A0&amp;row=841&amp;col=6&amp;number=102000000&amp;sourceID=14","102000000")</f>
        <v>102000000</v>
      </c>
      <c r="G841" s="4" t="str">
        <f>HYPERLINK("http://141.218.60.56/~jnz1568/getInfo.php?workbook=14_09.xlsx&amp;sheet=A0&amp;row=841&amp;col=7&amp;number=0&amp;sourceID=14","0")</f>
        <v>0</v>
      </c>
    </row>
    <row r="842" spans="1:7">
      <c r="A842" s="3">
        <v>14</v>
      </c>
      <c r="B842" s="3">
        <v>9</v>
      </c>
      <c r="C842" s="3">
        <v>43</v>
      </c>
      <c r="D842" s="3">
        <v>14</v>
      </c>
      <c r="E842" s="3">
        <v>842.286</v>
      </c>
      <c r="F842" s="4" t="str">
        <f>HYPERLINK("http://141.218.60.56/~jnz1568/getInfo.php?workbook=14_09.xlsx&amp;sheet=A0&amp;row=842&amp;col=6&amp;number=606000&amp;sourceID=14","606000")</f>
        <v>606000</v>
      </c>
      <c r="G842" s="4" t="str">
        <f>HYPERLINK("http://141.218.60.56/~jnz1568/getInfo.php?workbook=14_09.xlsx&amp;sheet=A0&amp;row=842&amp;col=7&amp;number=0&amp;sourceID=14","0")</f>
        <v>0</v>
      </c>
    </row>
    <row r="843" spans="1:7">
      <c r="A843" s="3">
        <v>14</v>
      </c>
      <c r="B843" s="3">
        <v>9</v>
      </c>
      <c r="C843" s="3">
        <v>51</v>
      </c>
      <c r="D843" s="3">
        <v>14</v>
      </c>
      <c r="E843" s="3">
        <v>630.764</v>
      </c>
      <c r="F843" s="4" t="str">
        <f>HYPERLINK("http://141.218.60.56/~jnz1568/getInfo.php?workbook=14_09.xlsx&amp;sheet=A0&amp;row=843&amp;col=6&amp;number=87700&amp;sourceID=14","87700")</f>
        <v>87700</v>
      </c>
      <c r="G843" s="4" t="str">
        <f>HYPERLINK("http://141.218.60.56/~jnz1568/getInfo.php?workbook=14_09.xlsx&amp;sheet=A0&amp;row=843&amp;col=7&amp;number=0&amp;sourceID=14","0")</f>
        <v>0</v>
      </c>
    </row>
    <row r="844" spans="1:7">
      <c r="A844" s="3">
        <v>14</v>
      </c>
      <c r="B844" s="3">
        <v>9</v>
      </c>
      <c r="C844" s="3">
        <v>56</v>
      </c>
      <c r="D844" s="3">
        <v>14</v>
      </c>
      <c r="E844" s="3">
        <v>601.798</v>
      </c>
      <c r="F844" s="4" t="str">
        <f>HYPERLINK("http://141.218.60.56/~jnz1568/getInfo.php?workbook=14_09.xlsx&amp;sheet=A0&amp;row=844&amp;col=6&amp;number=713000&amp;sourceID=14","713000")</f>
        <v>713000</v>
      </c>
      <c r="G844" s="4" t="str">
        <f>HYPERLINK("http://141.218.60.56/~jnz1568/getInfo.php?workbook=14_09.xlsx&amp;sheet=A0&amp;row=844&amp;col=7&amp;number=0&amp;sourceID=14","0")</f>
        <v>0</v>
      </c>
    </row>
    <row r="845" spans="1:7">
      <c r="A845" s="3">
        <v>14</v>
      </c>
      <c r="B845" s="3">
        <v>9</v>
      </c>
      <c r="C845" s="3">
        <v>61</v>
      </c>
      <c r="D845" s="3">
        <v>14</v>
      </c>
      <c r="E845" s="3">
        <v>-409.981</v>
      </c>
      <c r="F845" s="4" t="str">
        <f>HYPERLINK("http://141.218.60.56/~jnz1568/getInfo.php?workbook=14_09.xlsx&amp;sheet=A0&amp;row=845&amp;col=6&amp;number=4840000000&amp;sourceID=14","4840000000")</f>
        <v>4840000000</v>
      </c>
      <c r="G845" s="4" t="str">
        <f>HYPERLINK("http://141.218.60.56/~jnz1568/getInfo.php?workbook=14_09.xlsx&amp;sheet=A0&amp;row=845&amp;col=7&amp;number=0&amp;sourceID=14","0")</f>
        <v>0</v>
      </c>
    </row>
    <row r="846" spans="1:7">
      <c r="A846" s="3">
        <v>14</v>
      </c>
      <c r="B846" s="3">
        <v>9</v>
      </c>
      <c r="C846" s="3">
        <v>75</v>
      </c>
      <c r="D846" s="3">
        <v>14</v>
      </c>
      <c r="E846" s="3">
        <v>-353.487</v>
      </c>
      <c r="F846" s="4" t="str">
        <f>HYPERLINK("http://141.218.60.56/~jnz1568/getInfo.php?workbook=14_09.xlsx&amp;sheet=A0&amp;row=846&amp;col=6&amp;number=61300&amp;sourceID=14","61300")</f>
        <v>61300</v>
      </c>
      <c r="G846" s="4" t="str">
        <f>HYPERLINK("http://141.218.60.56/~jnz1568/getInfo.php?workbook=14_09.xlsx&amp;sheet=A0&amp;row=846&amp;col=7&amp;number=0&amp;sourceID=14","0")</f>
        <v>0</v>
      </c>
    </row>
    <row r="847" spans="1:7">
      <c r="A847" s="3">
        <v>14</v>
      </c>
      <c r="B847" s="3">
        <v>9</v>
      </c>
      <c r="C847" s="3">
        <v>86</v>
      </c>
      <c r="D847" s="3">
        <v>14</v>
      </c>
      <c r="E847" s="3">
        <v>-318.865</v>
      </c>
      <c r="F847" s="4" t="str">
        <f>HYPERLINK("http://141.218.60.56/~jnz1568/getInfo.php?workbook=14_09.xlsx&amp;sheet=A0&amp;row=847&amp;col=6&amp;number=1960000000&amp;sourceID=14","1960000000")</f>
        <v>1960000000</v>
      </c>
      <c r="G847" s="4" t="str">
        <f>HYPERLINK("http://141.218.60.56/~jnz1568/getInfo.php?workbook=14_09.xlsx&amp;sheet=A0&amp;row=847&amp;col=7&amp;number=0&amp;sourceID=14","0")</f>
        <v>0</v>
      </c>
    </row>
    <row r="848" spans="1:7">
      <c r="A848" s="3">
        <v>14</v>
      </c>
      <c r="B848" s="3">
        <v>9</v>
      </c>
      <c r="C848" s="3">
        <v>87</v>
      </c>
      <c r="D848" s="3">
        <v>14</v>
      </c>
      <c r="E848" s="3">
        <v>-318.555</v>
      </c>
      <c r="F848" s="4" t="str">
        <f>HYPERLINK("http://141.218.60.56/~jnz1568/getInfo.php?workbook=14_09.xlsx&amp;sheet=A0&amp;row=848&amp;col=6&amp;number=384000000&amp;sourceID=14","384000000")</f>
        <v>384000000</v>
      </c>
      <c r="G848" s="4" t="str">
        <f>HYPERLINK("http://141.218.60.56/~jnz1568/getInfo.php?workbook=14_09.xlsx&amp;sheet=A0&amp;row=848&amp;col=7&amp;number=0&amp;sourceID=14","0")</f>
        <v>0</v>
      </c>
    </row>
    <row r="849" spans="1:7">
      <c r="A849" s="3">
        <v>14</v>
      </c>
      <c r="B849" s="3">
        <v>9</v>
      </c>
      <c r="C849" s="3">
        <v>90</v>
      </c>
      <c r="D849" s="3">
        <v>14</v>
      </c>
      <c r="E849" s="3">
        <v>-316.256</v>
      </c>
      <c r="F849" s="4" t="str">
        <f>HYPERLINK("http://141.218.60.56/~jnz1568/getInfo.php?workbook=14_09.xlsx&amp;sheet=A0&amp;row=849&amp;col=6&amp;number=4140000000&amp;sourceID=14","4140000000")</f>
        <v>4140000000</v>
      </c>
      <c r="G849" s="4" t="str">
        <f>HYPERLINK("http://141.218.60.56/~jnz1568/getInfo.php?workbook=14_09.xlsx&amp;sheet=A0&amp;row=849&amp;col=7&amp;number=0&amp;sourceID=14","0")</f>
        <v>0</v>
      </c>
    </row>
    <row r="850" spans="1:7">
      <c r="A850" s="3">
        <v>14</v>
      </c>
      <c r="B850" s="3">
        <v>9</v>
      </c>
      <c r="C850" s="3">
        <v>91</v>
      </c>
      <c r="D850" s="3">
        <v>14</v>
      </c>
      <c r="E850" s="3">
        <v>-314.987</v>
      </c>
      <c r="F850" s="4" t="str">
        <f>HYPERLINK("http://141.218.60.56/~jnz1568/getInfo.php?workbook=14_09.xlsx&amp;sheet=A0&amp;row=850&amp;col=6&amp;number=124000000&amp;sourceID=14","124000000")</f>
        <v>124000000</v>
      </c>
      <c r="G850" s="4" t="str">
        <f>HYPERLINK("http://141.218.60.56/~jnz1568/getInfo.php?workbook=14_09.xlsx&amp;sheet=A0&amp;row=850&amp;col=7&amp;number=0&amp;sourceID=14","0")</f>
        <v>0</v>
      </c>
    </row>
    <row r="851" spans="1:7">
      <c r="A851" s="3">
        <v>14</v>
      </c>
      <c r="B851" s="3">
        <v>9</v>
      </c>
      <c r="C851" s="3">
        <v>93</v>
      </c>
      <c r="D851" s="3">
        <v>14</v>
      </c>
      <c r="E851" s="3">
        <v>-313.289</v>
      </c>
      <c r="F851" s="4" t="str">
        <f>HYPERLINK("http://141.218.60.56/~jnz1568/getInfo.php?workbook=14_09.xlsx&amp;sheet=A0&amp;row=851&amp;col=6&amp;number=2060000&amp;sourceID=14","2060000")</f>
        <v>2060000</v>
      </c>
      <c r="G851" s="4" t="str">
        <f>HYPERLINK("http://141.218.60.56/~jnz1568/getInfo.php?workbook=14_09.xlsx&amp;sheet=A0&amp;row=851&amp;col=7&amp;number=0&amp;sourceID=14","0")</f>
        <v>0</v>
      </c>
    </row>
    <row r="852" spans="1:7">
      <c r="A852" s="3">
        <v>14</v>
      </c>
      <c r="B852" s="3">
        <v>9</v>
      </c>
      <c r="C852" s="3">
        <v>95</v>
      </c>
      <c r="D852" s="3">
        <v>14</v>
      </c>
      <c r="E852" s="3">
        <v>-312.255</v>
      </c>
      <c r="F852" s="4" t="str">
        <f>HYPERLINK("http://141.218.60.56/~jnz1568/getInfo.php?workbook=14_09.xlsx&amp;sheet=A0&amp;row=852&amp;col=6&amp;number=14200000&amp;sourceID=14","14200000")</f>
        <v>14200000</v>
      </c>
      <c r="G852" s="4" t="str">
        <f>HYPERLINK("http://141.218.60.56/~jnz1568/getInfo.php?workbook=14_09.xlsx&amp;sheet=A0&amp;row=852&amp;col=7&amp;number=0&amp;sourceID=14","0")</f>
        <v>0</v>
      </c>
    </row>
    <row r="853" spans="1:7">
      <c r="A853" s="3">
        <v>14</v>
      </c>
      <c r="B853" s="3">
        <v>9</v>
      </c>
      <c r="C853" s="3">
        <v>97</v>
      </c>
      <c r="D853" s="3">
        <v>14</v>
      </c>
      <c r="E853" s="3">
        <v>-311.33</v>
      </c>
      <c r="F853" s="4" t="str">
        <f>HYPERLINK("http://141.218.60.56/~jnz1568/getInfo.php?workbook=14_09.xlsx&amp;sheet=A0&amp;row=853&amp;col=6&amp;number=1160000&amp;sourceID=14","1160000")</f>
        <v>1160000</v>
      </c>
      <c r="G853" s="4" t="str">
        <f>HYPERLINK("http://141.218.60.56/~jnz1568/getInfo.php?workbook=14_09.xlsx&amp;sheet=A0&amp;row=853&amp;col=7&amp;number=0&amp;sourceID=14","0")</f>
        <v>0</v>
      </c>
    </row>
    <row r="854" spans="1:7">
      <c r="A854" s="3">
        <v>14</v>
      </c>
      <c r="B854" s="3">
        <v>9</v>
      </c>
      <c r="C854" s="3">
        <v>98</v>
      </c>
      <c r="D854" s="3">
        <v>14</v>
      </c>
      <c r="E854" s="3">
        <v>-310.529</v>
      </c>
      <c r="F854" s="4" t="str">
        <f>HYPERLINK("http://141.218.60.56/~jnz1568/getInfo.php?workbook=14_09.xlsx&amp;sheet=A0&amp;row=854&amp;col=6&amp;number=748000&amp;sourceID=14","748000")</f>
        <v>748000</v>
      </c>
      <c r="G854" s="4" t="str">
        <f>HYPERLINK("http://141.218.60.56/~jnz1568/getInfo.php?workbook=14_09.xlsx&amp;sheet=A0&amp;row=854&amp;col=7&amp;number=0&amp;sourceID=14","0")</f>
        <v>0</v>
      </c>
    </row>
    <row r="855" spans="1:7">
      <c r="A855" s="3">
        <v>14</v>
      </c>
      <c r="B855" s="3">
        <v>9</v>
      </c>
      <c r="C855" s="3">
        <v>104</v>
      </c>
      <c r="D855" s="3">
        <v>14</v>
      </c>
      <c r="E855" s="3">
        <v>-306.569</v>
      </c>
      <c r="F855" s="4" t="str">
        <f>HYPERLINK("http://141.218.60.56/~jnz1568/getInfo.php?workbook=14_09.xlsx&amp;sheet=A0&amp;row=855&amp;col=6&amp;number=467000&amp;sourceID=14","467000")</f>
        <v>467000</v>
      </c>
      <c r="G855" s="4" t="str">
        <f>HYPERLINK("http://141.218.60.56/~jnz1568/getInfo.php?workbook=14_09.xlsx&amp;sheet=A0&amp;row=855&amp;col=7&amp;number=0&amp;sourceID=14","0")</f>
        <v>0</v>
      </c>
    </row>
    <row r="856" spans="1:7">
      <c r="A856" s="3">
        <v>14</v>
      </c>
      <c r="B856" s="3">
        <v>9</v>
      </c>
      <c r="C856" s="3">
        <v>105</v>
      </c>
      <c r="D856" s="3">
        <v>14</v>
      </c>
      <c r="E856" s="3">
        <v>-306.542</v>
      </c>
      <c r="F856" s="4" t="str">
        <f>HYPERLINK("http://141.218.60.56/~jnz1568/getInfo.php?workbook=14_09.xlsx&amp;sheet=A0&amp;row=856&amp;col=6&amp;number=207000&amp;sourceID=14","207000")</f>
        <v>207000</v>
      </c>
      <c r="G856" s="4" t="str">
        <f>HYPERLINK("http://141.218.60.56/~jnz1568/getInfo.php?workbook=14_09.xlsx&amp;sheet=A0&amp;row=856&amp;col=7&amp;number=0&amp;sourceID=14","0")</f>
        <v>0</v>
      </c>
    </row>
    <row r="857" spans="1:7">
      <c r="A857" s="3">
        <v>14</v>
      </c>
      <c r="B857" s="3">
        <v>9</v>
      </c>
      <c r="C857" s="3">
        <v>111</v>
      </c>
      <c r="D857" s="3">
        <v>14</v>
      </c>
      <c r="E857" s="3">
        <v>-305.16</v>
      </c>
      <c r="F857" s="4" t="str">
        <f>HYPERLINK("http://141.218.60.56/~jnz1568/getInfo.php?workbook=14_09.xlsx&amp;sheet=A0&amp;row=857&amp;col=6&amp;number=1140000&amp;sourceID=14","1140000")</f>
        <v>1140000</v>
      </c>
      <c r="G857" s="4" t="str">
        <f>HYPERLINK("http://141.218.60.56/~jnz1568/getInfo.php?workbook=14_09.xlsx&amp;sheet=A0&amp;row=857&amp;col=7&amp;number=0&amp;sourceID=14","0")</f>
        <v>0</v>
      </c>
    </row>
    <row r="858" spans="1:7">
      <c r="A858" s="3">
        <v>14</v>
      </c>
      <c r="B858" s="3">
        <v>9</v>
      </c>
      <c r="C858" s="3">
        <v>131</v>
      </c>
      <c r="D858" s="3">
        <v>14</v>
      </c>
      <c r="E858" s="3">
        <v>-272.663</v>
      </c>
      <c r="F858" s="4" t="str">
        <f>HYPERLINK("http://141.218.60.56/~jnz1568/getInfo.php?workbook=14_09.xlsx&amp;sheet=A0&amp;row=858&amp;col=6&amp;number=260000&amp;sourceID=14","260000")</f>
        <v>260000</v>
      </c>
      <c r="G858" s="4" t="str">
        <f>HYPERLINK("http://141.218.60.56/~jnz1568/getInfo.php?workbook=14_09.xlsx&amp;sheet=A0&amp;row=858&amp;col=7&amp;number=0&amp;sourceID=14","0")</f>
        <v>0</v>
      </c>
    </row>
    <row r="859" spans="1:7">
      <c r="A859" s="3">
        <v>14</v>
      </c>
      <c r="B859" s="3">
        <v>9</v>
      </c>
      <c r="C859" s="3">
        <v>133</v>
      </c>
      <c r="D859" s="3">
        <v>14</v>
      </c>
      <c r="E859" s="3">
        <v>-272.568</v>
      </c>
      <c r="F859" s="4" t="str">
        <f>HYPERLINK("http://141.218.60.56/~jnz1568/getInfo.php?workbook=14_09.xlsx&amp;sheet=A0&amp;row=859&amp;col=6&amp;number=7670000&amp;sourceID=14","7670000")</f>
        <v>7670000</v>
      </c>
      <c r="G859" s="4" t="str">
        <f>HYPERLINK("http://141.218.60.56/~jnz1568/getInfo.php?workbook=14_09.xlsx&amp;sheet=A0&amp;row=859&amp;col=7&amp;number=0&amp;sourceID=14","0")</f>
        <v>0</v>
      </c>
    </row>
    <row r="860" spans="1:7">
      <c r="A860" s="3">
        <v>14</v>
      </c>
      <c r="B860" s="3">
        <v>9</v>
      </c>
      <c r="C860" s="3">
        <v>140</v>
      </c>
      <c r="D860" s="3">
        <v>14</v>
      </c>
      <c r="E860" s="3">
        <v>-267.722</v>
      </c>
      <c r="F860" s="4" t="str">
        <f>HYPERLINK("http://141.218.60.56/~jnz1568/getInfo.php?workbook=14_09.xlsx&amp;sheet=A0&amp;row=860&amp;col=6&amp;number=11500000000&amp;sourceID=14","11500000000")</f>
        <v>11500000000</v>
      </c>
      <c r="G860" s="4" t="str">
        <f>HYPERLINK("http://141.218.60.56/~jnz1568/getInfo.php?workbook=14_09.xlsx&amp;sheet=A0&amp;row=860&amp;col=7&amp;number=0&amp;sourceID=14","0")</f>
        <v>0</v>
      </c>
    </row>
    <row r="861" spans="1:7">
      <c r="A861" s="3">
        <v>14</v>
      </c>
      <c r="B861" s="3">
        <v>9</v>
      </c>
      <c r="C861" s="3">
        <v>145</v>
      </c>
      <c r="D861" s="3">
        <v>14</v>
      </c>
      <c r="E861" s="3">
        <v>-266.717</v>
      </c>
      <c r="F861" s="4" t="str">
        <f>HYPERLINK("http://141.218.60.56/~jnz1568/getInfo.php?workbook=14_09.xlsx&amp;sheet=A0&amp;row=861&amp;col=6&amp;number=1430000000&amp;sourceID=14","1430000000")</f>
        <v>1430000000</v>
      </c>
      <c r="G861" s="4" t="str">
        <f>HYPERLINK("http://141.218.60.56/~jnz1568/getInfo.php?workbook=14_09.xlsx&amp;sheet=A0&amp;row=861&amp;col=7&amp;number=0&amp;sourceID=14","0")</f>
        <v>0</v>
      </c>
    </row>
    <row r="862" spans="1:7">
      <c r="A862" s="3">
        <v>14</v>
      </c>
      <c r="B862" s="3">
        <v>9</v>
      </c>
      <c r="C862" s="3">
        <v>152</v>
      </c>
      <c r="D862" s="3">
        <v>14</v>
      </c>
      <c r="E862" s="3">
        <v>-260.544</v>
      </c>
      <c r="F862" s="4" t="str">
        <f>HYPERLINK("http://141.218.60.56/~jnz1568/getInfo.php?workbook=14_09.xlsx&amp;sheet=A0&amp;row=862&amp;col=6&amp;number=4550000000&amp;sourceID=14","4550000000")</f>
        <v>4550000000</v>
      </c>
      <c r="G862" s="4" t="str">
        <f>HYPERLINK("http://141.218.60.56/~jnz1568/getInfo.php?workbook=14_09.xlsx&amp;sheet=A0&amp;row=862&amp;col=7&amp;number=0&amp;sourceID=14","0")</f>
        <v>0</v>
      </c>
    </row>
    <row r="863" spans="1:7">
      <c r="A863" s="3">
        <v>14</v>
      </c>
      <c r="B863" s="3">
        <v>9</v>
      </c>
      <c r="C863" s="3">
        <v>153</v>
      </c>
      <c r="D863" s="3">
        <v>14</v>
      </c>
      <c r="E863" s="3">
        <v>-259.361</v>
      </c>
      <c r="F863" s="4" t="str">
        <f>HYPERLINK("http://141.218.60.56/~jnz1568/getInfo.php?workbook=14_09.xlsx&amp;sheet=A0&amp;row=863&amp;col=6&amp;number=2680000000&amp;sourceID=14","2680000000")</f>
        <v>2680000000</v>
      </c>
      <c r="G863" s="4" t="str">
        <f>HYPERLINK("http://141.218.60.56/~jnz1568/getInfo.php?workbook=14_09.xlsx&amp;sheet=A0&amp;row=863&amp;col=7&amp;number=0&amp;sourceID=14","0")</f>
        <v>0</v>
      </c>
    </row>
    <row r="864" spans="1:7">
      <c r="A864" s="3">
        <v>14</v>
      </c>
      <c r="B864" s="3">
        <v>9</v>
      </c>
      <c r="C864" s="3">
        <v>186</v>
      </c>
      <c r="D864" s="3">
        <v>14</v>
      </c>
      <c r="E864" s="3">
        <v>-187.554</v>
      </c>
      <c r="F864" s="4" t="str">
        <f>HYPERLINK("http://141.218.60.56/~jnz1568/getInfo.php?workbook=14_09.xlsx&amp;sheet=A0&amp;row=864&amp;col=6&amp;number=154000000&amp;sourceID=14","154000000")</f>
        <v>154000000</v>
      </c>
      <c r="G864" s="4" t="str">
        <f>HYPERLINK("http://141.218.60.56/~jnz1568/getInfo.php?workbook=14_09.xlsx&amp;sheet=A0&amp;row=864&amp;col=7&amp;number=0&amp;sourceID=14","0")</f>
        <v>0</v>
      </c>
    </row>
    <row r="865" spans="1:7">
      <c r="A865" s="3">
        <v>14</v>
      </c>
      <c r="B865" s="3">
        <v>9</v>
      </c>
      <c r="C865" s="3">
        <v>31</v>
      </c>
      <c r="D865" s="3">
        <v>15</v>
      </c>
      <c r="E865" s="3">
        <v>998.014</v>
      </c>
      <c r="F865" s="4" t="str">
        <f>HYPERLINK("http://141.218.60.56/~jnz1568/getInfo.php?workbook=14_09.xlsx&amp;sheet=A0&amp;row=865&amp;col=6&amp;number=51900000&amp;sourceID=14","51900000")</f>
        <v>51900000</v>
      </c>
      <c r="G865" s="4" t="str">
        <f>HYPERLINK("http://141.218.60.56/~jnz1568/getInfo.php?workbook=14_09.xlsx&amp;sheet=A0&amp;row=865&amp;col=7&amp;number=0&amp;sourceID=14","0")</f>
        <v>0</v>
      </c>
    </row>
    <row r="866" spans="1:7">
      <c r="A866" s="3">
        <v>14</v>
      </c>
      <c r="B866" s="3">
        <v>9</v>
      </c>
      <c r="C866" s="3">
        <v>32</v>
      </c>
      <c r="D866" s="3">
        <v>15</v>
      </c>
      <c r="E866" s="3">
        <v>995.371</v>
      </c>
      <c r="F866" s="4" t="str">
        <f>HYPERLINK("http://141.218.60.56/~jnz1568/getInfo.php?workbook=14_09.xlsx&amp;sheet=A0&amp;row=866&amp;col=6&amp;number=215000000&amp;sourceID=14","215000000")</f>
        <v>215000000</v>
      </c>
      <c r="G866" s="4" t="str">
        <f>HYPERLINK("http://141.218.60.56/~jnz1568/getInfo.php?workbook=14_09.xlsx&amp;sheet=A0&amp;row=866&amp;col=7&amp;number=0&amp;sourceID=14","0")</f>
        <v>0</v>
      </c>
    </row>
    <row r="867" spans="1:7">
      <c r="A867" s="3">
        <v>14</v>
      </c>
      <c r="B867" s="3">
        <v>9</v>
      </c>
      <c r="C867" s="3">
        <v>33</v>
      </c>
      <c r="D867" s="3">
        <v>15</v>
      </c>
      <c r="E867" s="3">
        <v>990.822</v>
      </c>
      <c r="F867" s="4" t="str">
        <f>HYPERLINK("http://141.218.60.56/~jnz1568/getInfo.php?workbook=14_09.xlsx&amp;sheet=A0&amp;row=867&amp;col=6&amp;number=153000000&amp;sourceID=14","153000000")</f>
        <v>153000000</v>
      </c>
      <c r="G867" s="4" t="str">
        <f>HYPERLINK("http://141.218.60.56/~jnz1568/getInfo.php?workbook=14_09.xlsx&amp;sheet=A0&amp;row=867&amp;col=7&amp;number=0&amp;sourceID=14","0")</f>
        <v>0</v>
      </c>
    </row>
    <row r="868" spans="1:7">
      <c r="A868" s="3">
        <v>14</v>
      </c>
      <c r="B868" s="3">
        <v>9</v>
      </c>
      <c r="C868" s="3">
        <v>36</v>
      </c>
      <c r="D868" s="3">
        <v>15</v>
      </c>
      <c r="E868" s="3">
        <v>902.453</v>
      </c>
      <c r="F868" s="4" t="str">
        <f>HYPERLINK("http://141.218.60.56/~jnz1568/getInfo.php?workbook=14_09.xlsx&amp;sheet=A0&amp;row=868&amp;col=6&amp;number=2410000000&amp;sourceID=14","2410000000")</f>
        <v>2410000000</v>
      </c>
      <c r="G868" s="4" t="str">
        <f>HYPERLINK("http://141.218.60.56/~jnz1568/getInfo.php?workbook=14_09.xlsx&amp;sheet=A0&amp;row=868&amp;col=7&amp;number=0&amp;sourceID=14","0")</f>
        <v>0</v>
      </c>
    </row>
    <row r="869" spans="1:7">
      <c r="A869" s="3">
        <v>14</v>
      </c>
      <c r="B869" s="3">
        <v>9</v>
      </c>
      <c r="C869" s="3">
        <v>37</v>
      </c>
      <c r="D869" s="3">
        <v>15</v>
      </c>
      <c r="E869" s="3">
        <v>888.829</v>
      </c>
      <c r="F869" s="4" t="str">
        <f>HYPERLINK("http://141.218.60.56/~jnz1568/getInfo.php?workbook=14_09.xlsx&amp;sheet=A0&amp;row=869&amp;col=6&amp;number=583000000&amp;sourceID=14","583000000")</f>
        <v>583000000</v>
      </c>
      <c r="G869" s="4" t="str">
        <f>HYPERLINK("http://141.218.60.56/~jnz1568/getInfo.php?workbook=14_09.xlsx&amp;sheet=A0&amp;row=869&amp;col=7&amp;number=0&amp;sourceID=14","0")</f>
        <v>0</v>
      </c>
    </row>
    <row r="870" spans="1:7">
      <c r="A870" s="3">
        <v>14</v>
      </c>
      <c r="B870" s="3">
        <v>9</v>
      </c>
      <c r="C870" s="3">
        <v>38</v>
      </c>
      <c r="D870" s="3">
        <v>15</v>
      </c>
      <c r="E870" s="3">
        <v>-877.71</v>
      </c>
      <c r="F870" s="4" t="str">
        <f>HYPERLINK("http://141.218.60.56/~jnz1568/getInfo.php?workbook=14_09.xlsx&amp;sheet=A0&amp;row=870&amp;col=6&amp;number=32200000&amp;sourceID=14","32200000")</f>
        <v>32200000</v>
      </c>
      <c r="G870" s="4" t="str">
        <f>HYPERLINK("http://141.218.60.56/~jnz1568/getInfo.php?workbook=14_09.xlsx&amp;sheet=A0&amp;row=870&amp;col=7&amp;number=0&amp;sourceID=14","0")</f>
        <v>0</v>
      </c>
    </row>
    <row r="871" spans="1:7">
      <c r="A871" s="3">
        <v>14</v>
      </c>
      <c r="B871" s="3">
        <v>9</v>
      </c>
      <c r="C871" s="3">
        <v>40</v>
      </c>
      <c r="D871" s="3">
        <v>15</v>
      </c>
      <c r="E871" s="3">
        <v>867.508</v>
      </c>
      <c r="F871" s="4" t="str">
        <f>HYPERLINK("http://141.218.60.56/~jnz1568/getInfo.php?workbook=14_09.xlsx&amp;sheet=A0&amp;row=871&amp;col=6&amp;number=28100000&amp;sourceID=14","28100000")</f>
        <v>28100000</v>
      </c>
      <c r="G871" s="4" t="str">
        <f>HYPERLINK("http://141.218.60.56/~jnz1568/getInfo.php?workbook=14_09.xlsx&amp;sheet=A0&amp;row=871&amp;col=7&amp;number=0&amp;sourceID=14","0")</f>
        <v>0</v>
      </c>
    </row>
    <row r="872" spans="1:7">
      <c r="A872" s="3">
        <v>14</v>
      </c>
      <c r="B872" s="3">
        <v>9</v>
      </c>
      <c r="C872" s="3">
        <v>41</v>
      </c>
      <c r="D872" s="3">
        <v>15</v>
      </c>
      <c r="E872" s="3">
        <v>873.108</v>
      </c>
      <c r="F872" s="4" t="str">
        <f>HYPERLINK("http://141.218.60.56/~jnz1568/getInfo.php?workbook=14_09.xlsx&amp;sheet=A0&amp;row=872&amp;col=6&amp;number=7230000&amp;sourceID=14","7230000")</f>
        <v>7230000</v>
      </c>
      <c r="G872" s="4" t="str">
        <f>HYPERLINK("http://141.218.60.56/~jnz1568/getInfo.php?workbook=14_09.xlsx&amp;sheet=A0&amp;row=872&amp;col=7&amp;number=0&amp;sourceID=14","0")</f>
        <v>0</v>
      </c>
    </row>
    <row r="873" spans="1:7">
      <c r="A873" s="3">
        <v>14</v>
      </c>
      <c r="B873" s="3">
        <v>9</v>
      </c>
      <c r="C873" s="3">
        <v>42</v>
      </c>
      <c r="D873" s="3">
        <v>15</v>
      </c>
      <c r="E873" s="3">
        <v>856.668</v>
      </c>
      <c r="F873" s="4" t="str">
        <f>HYPERLINK("http://141.218.60.56/~jnz1568/getInfo.php?workbook=14_09.xlsx&amp;sheet=A0&amp;row=873&amp;col=6&amp;number=90400000&amp;sourceID=14","90400000")</f>
        <v>90400000</v>
      </c>
      <c r="G873" s="4" t="str">
        <f>HYPERLINK("http://141.218.60.56/~jnz1568/getInfo.php?workbook=14_09.xlsx&amp;sheet=A0&amp;row=873&amp;col=7&amp;number=0&amp;sourceID=14","0")</f>
        <v>0</v>
      </c>
    </row>
    <row r="874" spans="1:7">
      <c r="A874" s="3">
        <v>14</v>
      </c>
      <c r="B874" s="3">
        <v>9</v>
      </c>
      <c r="C874" s="3">
        <v>43</v>
      </c>
      <c r="D874" s="3">
        <v>15</v>
      </c>
      <c r="E874" s="3">
        <v>854.828</v>
      </c>
      <c r="F874" s="4" t="str">
        <f>HYPERLINK("http://141.218.60.56/~jnz1568/getInfo.php?workbook=14_09.xlsx&amp;sheet=A0&amp;row=874&amp;col=6&amp;number=2000000&amp;sourceID=14","2000000")</f>
        <v>2000000</v>
      </c>
      <c r="G874" s="4" t="str">
        <f>HYPERLINK("http://141.218.60.56/~jnz1568/getInfo.php?workbook=14_09.xlsx&amp;sheet=A0&amp;row=874&amp;col=7&amp;number=0&amp;sourceID=14","0")</f>
        <v>0</v>
      </c>
    </row>
    <row r="875" spans="1:7">
      <c r="A875" s="3">
        <v>14</v>
      </c>
      <c r="B875" s="3">
        <v>9</v>
      </c>
      <c r="C875" s="3">
        <v>47</v>
      </c>
      <c r="D875" s="3">
        <v>15</v>
      </c>
      <c r="E875" s="3">
        <v>-818.265</v>
      </c>
      <c r="F875" s="4" t="str">
        <f>HYPERLINK("http://141.218.60.56/~jnz1568/getInfo.php?workbook=14_09.xlsx&amp;sheet=A0&amp;row=875&amp;col=6&amp;number=6180000&amp;sourceID=14","6180000")</f>
        <v>6180000</v>
      </c>
      <c r="G875" s="4" t="str">
        <f>HYPERLINK("http://141.218.60.56/~jnz1568/getInfo.php?workbook=14_09.xlsx&amp;sheet=A0&amp;row=875&amp;col=7&amp;number=0&amp;sourceID=14","0")</f>
        <v>0</v>
      </c>
    </row>
    <row r="876" spans="1:7">
      <c r="A876" s="3">
        <v>14</v>
      </c>
      <c r="B876" s="3">
        <v>9</v>
      </c>
      <c r="C876" s="3">
        <v>48</v>
      </c>
      <c r="D876" s="3">
        <v>15</v>
      </c>
      <c r="E876" s="3">
        <v>-804.83</v>
      </c>
      <c r="F876" s="4" t="str">
        <f>HYPERLINK("http://141.218.60.56/~jnz1568/getInfo.php?workbook=14_09.xlsx&amp;sheet=A0&amp;row=876&amp;col=6&amp;number=8700000&amp;sourceID=14","8700000")</f>
        <v>8700000</v>
      </c>
      <c r="G876" s="4" t="str">
        <f>HYPERLINK("http://141.218.60.56/~jnz1568/getInfo.php?workbook=14_09.xlsx&amp;sheet=A0&amp;row=876&amp;col=7&amp;number=0&amp;sourceID=14","0")</f>
        <v>0</v>
      </c>
    </row>
    <row r="877" spans="1:7">
      <c r="A877" s="3">
        <v>14</v>
      </c>
      <c r="B877" s="3">
        <v>9</v>
      </c>
      <c r="C877" s="3">
        <v>49</v>
      </c>
      <c r="D877" s="3">
        <v>15</v>
      </c>
      <c r="E877" s="3">
        <v>-795.534</v>
      </c>
      <c r="F877" s="4" t="str">
        <f>HYPERLINK("http://141.218.60.56/~jnz1568/getInfo.php?workbook=14_09.xlsx&amp;sheet=A0&amp;row=877&amp;col=6&amp;number=2020000&amp;sourceID=14","2020000")</f>
        <v>2020000</v>
      </c>
      <c r="G877" s="4" t="str">
        <f>HYPERLINK("http://141.218.60.56/~jnz1568/getInfo.php?workbook=14_09.xlsx&amp;sheet=A0&amp;row=877&amp;col=7&amp;number=0&amp;sourceID=14","0")</f>
        <v>0</v>
      </c>
    </row>
    <row r="878" spans="1:7">
      <c r="A878" s="3">
        <v>14</v>
      </c>
      <c r="B878" s="3">
        <v>9</v>
      </c>
      <c r="C878" s="3">
        <v>50</v>
      </c>
      <c r="D878" s="3">
        <v>15</v>
      </c>
      <c r="E878" s="3">
        <v>648.605</v>
      </c>
      <c r="F878" s="4" t="str">
        <f>HYPERLINK("http://141.218.60.56/~jnz1568/getInfo.php?workbook=14_09.xlsx&amp;sheet=A0&amp;row=878&amp;col=6&amp;number=28200&amp;sourceID=14","28200")</f>
        <v>28200</v>
      </c>
      <c r="G878" s="4" t="str">
        <f>HYPERLINK("http://141.218.60.56/~jnz1568/getInfo.php?workbook=14_09.xlsx&amp;sheet=A0&amp;row=878&amp;col=7&amp;number=0&amp;sourceID=14","0")</f>
        <v>0</v>
      </c>
    </row>
    <row r="879" spans="1:7">
      <c r="A879" s="3">
        <v>14</v>
      </c>
      <c r="B879" s="3">
        <v>9</v>
      </c>
      <c r="C879" s="3">
        <v>53</v>
      </c>
      <c r="D879" s="3">
        <v>15</v>
      </c>
      <c r="E879" s="3">
        <v>-613.453</v>
      </c>
      <c r="F879" s="4" t="str">
        <f>HYPERLINK("http://141.218.60.56/~jnz1568/getInfo.php?workbook=14_09.xlsx&amp;sheet=A0&amp;row=879&amp;col=6&amp;number=6620000&amp;sourceID=14","6620000")</f>
        <v>6620000</v>
      </c>
      <c r="G879" s="4" t="str">
        <f>HYPERLINK("http://141.218.60.56/~jnz1568/getInfo.php?workbook=14_09.xlsx&amp;sheet=A0&amp;row=879&amp;col=7&amp;number=0&amp;sourceID=14","0")</f>
        <v>0</v>
      </c>
    </row>
    <row r="880" spans="1:7">
      <c r="A880" s="3">
        <v>14</v>
      </c>
      <c r="B880" s="3">
        <v>9</v>
      </c>
      <c r="C880" s="3">
        <v>54</v>
      </c>
      <c r="D880" s="3">
        <v>15</v>
      </c>
      <c r="E880" s="3">
        <v>-609.178</v>
      </c>
      <c r="F880" s="4" t="str">
        <f>HYPERLINK("http://141.218.60.56/~jnz1568/getInfo.php?workbook=14_09.xlsx&amp;sheet=A0&amp;row=880&amp;col=6&amp;number=1910000&amp;sourceID=14","1910000")</f>
        <v>1910000</v>
      </c>
      <c r="G880" s="4" t="str">
        <f>HYPERLINK("http://141.218.60.56/~jnz1568/getInfo.php?workbook=14_09.xlsx&amp;sheet=A0&amp;row=880&amp;col=7&amp;number=0&amp;sourceID=14","0")</f>
        <v>0</v>
      </c>
    </row>
    <row r="881" spans="1:7">
      <c r="A881" s="3">
        <v>14</v>
      </c>
      <c r="B881" s="3">
        <v>9</v>
      </c>
      <c r="C881" s="3">
        <v>57</v>
      </c>
      <c r="D881" s="3">
        <v>15</v>
      </c>
      <c r="E881" s="3">
        <v>-603.574</v>
      </c>
      <c r="F881" s="4" t="str">
        <f>HYPERLINK("http://141.218.60.56/~jnz1568/getInfo.php?workbook=14_09.xlsx&amp;sheet=A0&amp;row=881&amp;col=6&amp;number=7400000&amp;sourceID=14","7400000")</f>
        <v>7400000</v>
      </c>
      <c r="G881" s="4" t="str">
        <f>HYPERLINK("http://141.218.60.56/~jnz1568/getInfo.php?workbook=14_09.xlsx&amp;sheet=A0&amp;row=881&amp;col=7&amp;number=0&amp;sourceID=14","0")</f>
        <v>0</v>
      </c>
    </row>
    <row r="882" spans="1:7">
      <c r="A882" s="3">
        <v>14</v>
      </c>
      <c r="B882" s="3">
        <v>9</v>
      </c>
      <c r="C882" s="3">
        <v>61</v>
      </c>
      <c r="D882" s="3">
        <v>15</v>
      </c>
      <c r="E882" s="3">
        <v>-413.034</v>
      </c>
      <c r="F882" s="4" t="str">
        <f>HYPERLINK("http://141.218.60.56/~jnz1568/getInfo.php?workbook=14_09.xlsx&amp;sheet=A0&amp;row=882&amp;col=6&amp;number=644000000&amp;sourceID=14","644000000")</f>
        <v>644000000</v>
      </c>
      <c r="G882" s="4" t="str">
        <f>HYPERLINK("http://141.218.60.56/~jnz1568/getInfo.php?workbook=14_09.xlsx&amp;sheet=A0&amp;row=882&amp;col=7&amp;number=0&amp;sourceID=14","0")</f>
        <v>0</v>
      </c>
    </row>
    <row r="883" spans="1:7">
      <c r="A883" s="3">
        <v>14</v>
      </c>
      <c r="B883" s="3">
        <v>9</v>
      </c>
      <c r="C883" s="3">
        <v>62</v>
      </c>
      <c r="D883" s="3">
        <v>15</v>
      </c>
      <c r="E883" s="3">
        <v>-408.751</v>
      </c>
      <c r="F883" s="4" t="str">
        <f>HYPERLINK("http://141.218.60.56/~jnz1568/getInfo.php?workbook=14_09.xlsx&amp;sheet=A0&amp;row=883&amp;col=6&amp;number=4300000000&amp;sourceID=14","4300000000")</f>
        <v>4300000000</v>
      </c>
      <c r="G883" s="4" t="str">
        <f>HYPERLINK("http://141.218.60.56/~jnz1568/getInfo.php?workbook=14_09.xlsx&amp;sheet=A0&amp;row=883&amp;col=7&amp;number=0&amp;sourceID=14","0")</f>
        <v>0</v>
      </c>
    </row>
    <row r="884" spans="1:7">
      <c r="A884" s="3">
        <v>14</v>
      </c>
      <c r="B884" s="3">
        <v>9</v>
      </c>
      <c r="C884" s="3">
        <v>64</v>
      </c>
      <c r="D884" s="3">
        <v>15</v>
      </c>
      <c r="E884" s="3">
        <v>-402.681</v>
      </c>
      <c r="F884" s="4" t="str">
        <f>HYPERLINK("http://141.218.60.56/~jnz1568/getInfo.php?workbook=14_09.xlsx&amp;sheet=A0&amp;row=884&amp;col=6&amp;number=140000000&amp;sourceID=14","140000000")</f>
        <v>140000000</v>
      </c>
      <c r="G884" s="4" t="str">
        <f>HYPERLINK("http://141.218.60.56/~jnz1568/getInfo.php?workbook=14_09.xlsx&amp;sheet=A0&amp;row=884&amp;col=7&amp;number=0&amp;sourceID=14","0")</f>
        <v>0</v>
      </c>
    </row>
    <row r="885" spans="1:7">
      <c r="A885" s="3">
        <v>14</v>
      </c>
      <c r="B885" s="3">
        <v>9</v>
      </c>
      <c r="C885" s="3">
        <v>68</v>
      </c>
      <c r="D885" s="3">
        <v>15</v>
      </c>
      <c r="E885" s="3">
        <v>-369.449</v>
      </c>
      <c r="F885" s="4" t="str">
        <f>HYPERLINK("http://141.218.60.56/~jnz1568/getInfo.php?workbook=14_09.xlsx&amp;sheet=A0&amp;row=885&amp;col=6&amp;number=128000&amp;sourceID=14","128000")</f>
        <v>128000</v>
      </c>
      <c r="G885" s="4" t="str">
        <f>HYPERLINK("http://141.218.60.56/~jnz1568/getInfo.php?workbook=14_09.xlsx&amp;sheet=A0&amp;row=885&amp;col=7&amp;number=0&amp;sourceID=14","0")</f>
        <v>0</v>
      </c>
    </row>
    <row r="886" spans="1:7">
      <c r="A886" s="3">
        <v>14</v>
      </c>
      <c r="B886" s="3">
        <v>9</v>
      </c>
      <c r="C886" s="3">
        <v>71</v>
      </c>
      <c r="D886" s="3">
        <v>15</v>
      </c>
      <c r="E886" s="3">
        <v>-359.452</v>
      </c>
      <c r="F886" s="4" t="str">
        <f>HYPERLINK("http://141.218.60.56/~jnz1568/getInfo.php?workbook=14_09.xlsx&amp;sheet=A0&amp;row=886&amp;col=6&amp;number=55700&amp;sourceID=14","55700")</f>
        <v>55700</v>
      </c>
      <c r="G886" s="4" t="str">
        <f>HYPERLINK("http://141.218.60.56/~jnz1568/getInfo.php?workbook=14_09.xlsx&amp;sheet=A0&amp;row=886&amp;col=7&amp;number=0&amp;sourceID=14","0")</f>
        <v>0</v>
      </c>
    </row>
    <row r="887" spans="1:7">
      <c r="A887" s="3">
        <v>14</v>
      </c>
      <c r="B887" s="3">
        <v>9</v>
      </c>
      <c r="C887" s="3">
        <v>79</v>
      </c>
      <c r="D887" s="3">
        <v>15</v>
      </c>
      <c r="E887" s="3">
        <v>-342.455</v>
      </c>
      <c r="F887" s="4" t="str">
        <f>HYPERLINK("http://141.218.60.56/~jnz1568/getInfo.php?workbook=14_09.xlsx&amp;sheet=A0&amp;row=887&amp;col=6&amp;number=896000&amp;sourceID=14","896000")</f>
        <v>896000</v>
      </c>
      <c r="G887" s="4" t="str">
        <f>HYPERLINK("http://141.218.60.56/~jnz1568/getInfo.php?workbook=14_09.xlsx&amp;sheet=A0&amp;row=887&amp;col=7&amp;number=0&amp;sourceID=14","0")</f>
        <v>0</v>
      </c>
    </row>
    <row r="888" spans="1:7">
      <c r="A888" s="3">
        <v>14</v>
      </c>
      <c r="B888" s="3">
        <v>9</v>
      </c>
      <c r="C888" s="3">
        <v>80</v>
      </c>
      <c r="D888" s="3">
        <v>15</v>
      </c>
      <c r="E888" s="3">
        <v>-342.435</v>
      </c>
      <c r="F888" s="4" t="str">
        <f>HYPERLINK("http://141.218.60.56/~jnz1568/getInfo.php?workbook=14_09.xlsx&amp;sheet=A0&amp;row=888&amp;col=6&amp;number=401000&amp;sourceID=14","401000")</f>
        <v>401000</v>
      </c>
      <c r="G888" s="4" t="str">
        <f>HYPERLINK("http://141.218.60.56/~jnz1568/getInfo.php?workbook=14_09.xlsx&amp;sheet=A0&amp;row=888&amp;col=7&amp;number=0&amp;sourceID=14","0")</f>
        <v>0</v>
      </c>
    </row>
    <row r="889" spans="1:7">
      <c r="A889" s="3">
        <v>14</v>
      </c>
      <c r="B889" s="3">
        <v>9</v>
      </c>
      <c r="C889" s="3">
        <v>86</v>
      </c>
      <c r="D889" s="3">
        <v>15</v>
      </c>
      <c r="E889" s="3">
        <v>-320.709</v>
      </c>
      <c r="F889" s="4" t="str">
        <f>HYPERLINK("http://141.218.60.56/~jnz1568/getInfo.php?workbook=14_09.xlsx&amp;sheet=A0&amp;row=889&amp;col=6&amp;number=27400000&amp;sourceID=14","27400000")</f>
        <v>27400000</v>
      </c>
      <c r="G889" s="4" t="str">
        <f>HYPERLINK("http://141.218.60.56/~jnz1568/getInfo.php?workbook=14_09.xlsx&amp;sheet=A0&amp;row=889&amp;col=7&amp;number=0&amp;sourceID=14","0")</f>
        <v>0</v>
      </c>
    </row>
    <row r="890" spans="1:7">
      <c r="A890" s="3">
        <v>14</v>
      </c>
      <c r="B890" s="3">
        <v>9</v>
      </c>
      <c r="C890" s="3">
        <v>87</v>
      </c>
      <c r="D890" s="3">
        <v>15</v>
      </c>
      <c r="E890" s="3">
        <v>-320.395</v>
      </c>
      <c r="F890" s="4" t="str">
        <f>HYPERLINK("http://141.218.60.56/~jnz1568/getInfo.php?workbook=14_09.xlsx&amp;sheet=A0&amp;row=890&amp;col=6&amp;number=972000000&amp;sourceID=14","972000000")</f>
        <v>972000000</v>
      </c>
      <c r="G890" s="4" t="str">
        <f>HYPERLINK("http://141.218.60.56/~jnz1568/getInfo.php?workbook=14_09.xlsx&amp;sheet=A0&amp;row=890&amp;col=7&amp;number=0&amp;sourceID=14","0")</f>
        <v>0</v>
      </c>
    </row>
    <row r="891" spans="1:7">
      <c r="A891" s="3">
        <v>14</v>
      </c>
      <c r="B891" s="3">
        <v>9</v>
      </c>
      <c r="C891" s="3">
        <v>88</v>
      </c>
      <c r="D891" s="3">
        <v>15</v>
      </c>
      <c r="E891" s="3">
        <v>-319.782</v>
      </c>
      <c r="F891" s="4" t="str">
        <f>HYPERLINK("http://141.218.60.56/~jnz1568/getInfo.php?workbook=14_09.xlsx&amp;sheet=A0&amp;row=891&amp;col=6&amp;number=489000000&amp;sourceID=14","489000000")</f>
        <v>489000000</v>
      </c>
      <c r="G891" s="4" t="str">
        <f>HYPERLINK("http://141.218.60.56/~jnz1568/getInfo.php?workbook=14_09.xlsx&amp;sheet=A0&amp;row=891&amp;col=7&amp;number=0&amp;sourceID=14","0")</f>
        <v>0</v>
      </c>
    </row>
    <row r="892" spans="1:7">
      <c r="A892" s="3">
        <v>14</v>
      </c>
      <c r="B892" s="3">
        <v>9</v>
      </c>
      <c r="C892" s="3">
        <v>91</v>
      </c>
      <c r="D892" s="3">
        <v>15</v>
      </c>
      <c r="E892" s="3">
        <v>-316.786</v>
      </c>
      <c r="F892" s="4" t="str">
        <f>HYPERLINK("http://141.218.60.56/~jnz1568/getInfo.php?workbook=14_09.xlsx&amp;sheet=A0&amp;row=892&amp;col=6&amp;number=3180000000&amp;sourceID=14","3180000000")</f>
        <v>3180000000</v>
      </c>
      <c r="G892" s="4" t="str">
        <f>HYPERLINK("http://141.218.60.56/~jnz1568/getInfo.php?workbook=14_09.xlsx&amp;sheet=A0&amp;row=892&amp;col=7&amp;number=0&amp;sourceID=14","0")</f>
        <v>0</v>
      </c>
    </row>
    <row r="893" spans="1:7">
      <c r="A893" s="3">
        <v>14</v>
      </c>
      <c r="B893" s="3">
        <v>9</v>
      </c>
      <c r="C893" s="3">
        <v>93</v>
      </c>
      <c r="D893" s="3">
        <v>15</v>
      </c>
      <c r="E893" s="3">
        <v>-315.068</v>
      </c>
      <c r="F893" s="4" t="str">
        <f>HYPERLINK("http://141.218.60.56/~jnz1568/getInfo.php?workbook=14_09.xlsx&amp;sheet=A0&amp;row=893&amp;col=6&amp;number=705000000&amp;sourceID=14","705000000")</f>
        <v>705000000</v>
      </c>
      <c r="G893" s="4" t="str">
        <f>HYPERLINK("http://141.218.60.56/~jnz1568/getInfo.php?workbook=14_09.xlsx&amp;sheet=A0&amp;row=893&amp;col=7&amp;number=0&amp;sourceID=14","0")</f>
        <v>0</v>
      </c>
    </row>
    <row r="894" spans="1:7">
      <c r="A894" s="3">
        <v>14</v>
      </c>
      <c r="B894" s="3">
        <v>9</v>
      </c>
      <c r="C894" s="3">
        <v>94</v>
      </c>
      <c r="D894" s="3">
        <v>15</v>
      </c>
      <c r="E894" s="3">
        <v>-314.849</v>
      </c>
      <c r="F894" s="4" t="str">
        <f>HYPERLINK("http://141.218.60.56/~jnz1568/getInfo.php?workbook=14_09.xlsx&amp;sheet=A0&amp;row=894&amp;col=6&amp;number=76100000&amp;sourceID=14","76100000")</f>
        <v>76100000</v>
      </c>
      <c r="G894" s="4" t="str">
        <f>HYPERLINK("http://141.218.60.56/~jnz1568/getInfo.php?workbook=14_09.xlsx&amp;sheet=A0&amp;row=894&amp;col=7&amp;number=0&amp;sourceID=14","0")</f>
        <v>0</v>
      </c>
    </row>
    <row r="895" spans="1:7">
      <c r="A895" s="3">
        <v>14</v>
      </c>
      <c r="B895" s="3">
        <v>9</v>
      </c>
      <c r="C895" s="3">
        <v>95</v>
      </c>
      <c r="D895" s="3">
        <v>15</v>
      </c>
      <c r="E895" s="3">
        <v>-314.023</v>
      </c>
      <c r="F895" s="4" t="str">
        <f>HYPERLINK("http://141.218.60.56/~jnz1568/getInfo.php?workbook=14_09.xlsx&amp;sheet=A0&amp;row=895&amp;col=6&amp;number=816000000&amp;sourceID=14","816000000")</f>
        <v>816000000</v>
      </c>
      <c r="G895" s="4" t="str">
        <f>HYPERLINK("http://141.218.60.56/~jnz1568/getInfo.php?workbook=14_09.xlsx&amp;sheet=A0&amp;row=895&amp;col=7&amp;number=0&amp;sourceID=14","0")</f>
        <v>0</v>
      </c>
    </row>
    <row r="896" spans="1:7">
      <c r="A896" s="3">
        <v>14</v>
      </c>
      <c r="B896" s="3">
        <v>9</v>
      </c>
      <c r="C896" s="3">
        <v>96</v>
      </c>
      <c r="D896" s="3">
        <v>15</v>
      </c>
      <c r="E896" s="3">
        <v>-313.531</v>
      </c>
      <c r="F896" s="4" t="str">
        <f>HYPERLINK("http://141.218.60.56/~jnz1568/getInfo.php?workbook=14_09.xlsx&amp;sheet=A0&amp;row=896&amp;col=6&amp;number=4560000&amp;sourceID=14","4560000")</f>
        <v>4560000</v>
      </c>
      <c r="G896" s="4" t="str">
        <f>HYPERLINK("http://141.218.60.56/~jnz1568/getInfo.php?workbook=14_09.xlsx&amp;sheet=A0&amp;row=896&amp;col=7&amp;number=0&amp;sourceID=14","0")</f>
        <v>0</v>
      </c>
    </row>
    <row r="897" spans="1:7">
      <c r="A897" s="3">
        <v>14</v>
      </c>
      <c r="B897" s="3">
        <v>9</v>
      </c>
      <c r="C897" s="3">
        <v>97</v>
      </c>
      <c r="D897" s="3">
        <v>15</v>
      </c>
      <c r="E897" s="3">
        <v>-313.088</v>
      </c>
      <c r="F897" s="4" t="str">
        <f>HYPERLINK("http://141.218.60.56/~jnz1568/getInfo.php?workbook=14_09.xlsx&amp;sheet=A0&amp;row=897&amp;col=6&amp;number=34300000&amp;sourceID=14","34300000")</f>
        <v>34300000</v>
      </c>
      <c r="G897" s="4" t="str">
        <f>HYPERLINK("http://141.218.60.56/~jnz1568/getInfo.php?workbook=14_09.xlsx&amp;sheet=A0&amp;row=897&amp;col=7&amp;number=0&amp;sourceID=14","0")</f>
        <v>0</v>
      </c>
    </row>
    <row r="898" spans="1:7">
      <c r="A898" s="3">
        <v>14</v>
      </c>
      <c r="B898" s="3">
        <v>9</v>
      </c>
      <c r="C898" s="3">
        <v>98</v>
      </c>
      <c r="D898" s="3">
        <v>15</v>
      </c>
      <c r="E898" s="3">
        <v>-312.277</v>
      </c>
      <c r="F898" s="4" t="str">
        <f>HYPERLINK("http://141.218.60.56/~jnz1568/getInfo.php?workbook=14_09.xlsx&amp;sheet=A0&amp;row=898&amp;col=6&amp;number=34800000&amp;sourceID=14","34800000")</f>
        <v>34800000</v>
      </c>
      <c r="G898" s="4" t="str">
        <f>HYPERLINK("http://141.218.60.56/~jnz1568/getInfo.php?workbook=14_09.xlsx&amp;sheet=A0&amp;row=898&amp;col=7&amp;number=0&amp;sourceID=14","0")</f>
        <v>0</v>
      </c>
    </row>
    <row r="899" spans="1:7">
      <c r="A899" s="3">
        <v>14</v>
      </c>
      <c r="B899" s="3">
        <v>9</v>
      </c>
      <c r="C899" s="3">
        <v>100</v>
      </c>
      <c r="D899" s="3">
        <v>15</v>
      </c>
      <c r="E899" s="3">
        <v>-310.122</v>
      </c>
      <c r="F899" s="4" t="str">
        <f>HYPERLINK("http://141.218.60.56/~jnz1568/getInfo.php?workbook=14_09.xlsx&amp;sheet=A0&amp;row=899&amp;col=6&amp;number=3570000&amp;sourceID=14","3570000")</f>
        <v>3570000</v>
      </c>
      <c r="G899" s="4" t="str">
        <f>HYPERLINK("http://141.218.60.56/~jnz1568/getInfo.php?workbook=14_09.xlsx&amp;sheet=A0&amp;row=899&amp;col=7&amp;number=0&amp;sourceID=14","0")</f>
        <v>0</v>
      </c>
    </row>
    <row r="900" spans="1:7">
      <c r="A900" s="3">
        <v>14</v>
      </c>
      <c r="B900" s="3">
        <v>9</v>
      </c>
      <c r="C900" s="3">
        <v>103</v>
      </c>
      <c r="D900" s="3">
        <v>15</v>
      </c>
      <c r="E900" s="3">
        <v>-308.319</v>
      </c>
      <c r="F900" s="4" t="str">
        <f>HYPERLINK("http://141.218.60.56/~jnz1568/getInfo.php?workbook=14_09.xlsx&amp;sheet=A0&amp;row=900&amp;col=6&amp;number=9730000&amp;sourceID=14","9730000")</f>
        <v>9730000</v>
      </c>
      <c r="G900" s="4" t="str">
        <f>HYPERLINK("http://141.218.60.56/~jnz1568/getInfo.php?workbook=14_09.xlsx&amp;sheet=A0&amp;row=900&amp;col=7&amp;number=0&amp;sourceID=14","0")</f>
        <v>0</v>
      </c>
    </row>
    <row r="901" spans="1:7">
      <c r="A901" s="3">
        <v>14</v>
      </c>
      <c r="B901" s="3">
        <v>9</v>
      </c>
      <c r="C901" s="3">
        <v>110</v>
      </c>
      <c r="D901" s="3">
        <v>15</v>
      </c>
      <c r="E901" s="3">
        <v>-306.92</v>
      </c>
      <c r="F901" s="4" t="str">
        <f>HYPERLINK("http://141.218.60.56/~jnz1568/getInfo.php?workbook=14_09.xlsx&amp;sheet=A0&amp;row=901&amp;col=6&amp;number=4180000&amp;sourceID=14","4180000")</f>
        <v>4180000</v>
      </c>
      <c r="G901" s="4" t="str">
        <f>HYPERLINK("http://141.218.60.56/~jnz1568/getInfo.php?workbook=14_09.xlsx&amp;sheet=A0&amp;row=901&amp;col=7&amp;number=0&amp;sourceID=14","0")</f>
        <v>0</v>
      </c>
    </row>
    <row r="902" spans="1:7">
      <c r="A902" s="3">
        <v>14</v>
      </c>
      <c r="B902" s="3">
        <v>9</v>
      </c>
      <c r="C902" s="3">
        <v>114</v>
      </c>
      <c r="D902" s="3">
        <v>15</v>
      </c>
      <c r="E902" s="3">
        <v>-306.8</v>
      </c>
      <c r="F902" s="4" t="str">
        <f>HYPERLINK("http://141.218.60.56/~jnz1568/getInfo.php?workbook=14_09.xlsx&amp;sheet=A0&amp;row=902&amp;col=6&amp;number=505000&amp;sourceID=14","505000")</f>
        <v>505000</v>
      </c>
      <c r="G902" s="4" t="str">
        <f>HYPERLINK("http://141.218.60.56/~jnz1568/getInfo.php?workbook=14_09.xlsx&amp;sheet=A0&amp;row=902&amp;col=7&amp;number=0&amp;sourceID=14","0")</f>
        <v>0</v>
      </c>
    </row>
    <row r="903" spans="1:7">
      <c r="A903" s="3">
        <v>14</v>
      </c>
      <c r="B903" s="3">
        <v>9</v>
      </c>
      <c r="C903" s="3">
        <v>119</v>
      </c>
      <c r="D903" s="3">
        <v>15</v>
      </c>
      <c r="E903" s="3">
        <v>-303.704</v>
      </c>
      <c r="F903" s="4" t="str">
        <f>HYPERLINK("http://141.218.60.56/~jnz1568/getInfo.php?workbook=14_09.xlsx&amp;sheet=A0&amp;row=903&amp;col=6&amp;number=538000&amp;sourceID=14","538000")</f>
        <v>538000</v>
      </c>
      <c r="G903" s="4" t="str">
        <f>HYPERLINK("http://141.218.60.56/~jnz1568/getInfo.php?workbook=14_09.xlsx&amp;sheet=A0&amp;row=903&amp;col=7&amp;number=0&amp;sourceID=14","0")</f>
        <v>0</v>
      </c>
    </row>
    <row r="904" spans="1:7">
      <c r="A904" s="3">
        <v>14</v>
      </c>
      <c r="B904" s="3">
        <v>9</v>
      </c>
      <c r="C904" s="3">
        <v>128</v>
      </c>
      <c r="D904" s="3">
        <v>15</v>
      </c>
      <c r="E904" s="3">
        <v>-278.131</v>
      </c>
      <c r="F904" s="4" t="str">
        <f>HYPERLINK("http://141.218.60.56/~jnz1568/getInfo.php?workbook=14_09.xlsx&amp;sheet=A0&amp;row=904&amp;col=6&amp;number=53700000&amp;sourceID=14","53700000")</f>
        <v>53700000</v>
      </c>
      <c r="G904" s="4" t="str">
        <f>HYPERLINK("http://141.218.60.56/~jnz1568/getInfo.php?workbook=14_09.xlsx&amp;sheet=A0&amp;row=904&amp;col=7&amp;number=0&amp;sourceID=14","0")</f>
        <v>0</v>
      </c>
    </row>
    <row r="905" spans="1:7">
      <c r="A905" s="3">
        <v>14</v>
      </c>
      <c r="B905" s="3">
        <v>9</v>
      </c>
      <c r="C905" s="3">
        <v>131</v>
      </c>
      <c r="D905" s="3">
        <v>15</v>
      </c>
      <c r="E905" s="3">
        <v>-274.01</v>
      </c>
      <c r="F905" s="4" t="str">
        <f>HYPERLINK("http://141.218.60.56/~jnz1568/getInfo.php?workbook=14_09.xlsx&amp;sheet=A0&amp;row=905&amp;col=6&amp;number=183000&amp;sourceID=14","183000")</f>
        <v>183000</v>
      </c>
      <c r="G905" s="4" t="str">
        <f>HYPERLINK("http://141.218.60.56/~jnz1568/getInfo.php?workbook=14_09.xlsx&amp;sheet=A0&amp;row=905&amp;col=7&amp;number=0&amp;sourceID=14","0")</f>
        <v>0</v>
      </c>
    </row>
    <row r="906" spans="1:7">
      <c r="A906" s="3">
        <v>14</v>
      </c>
      <c r="B906" s="3">
        <v>9</v>
      </c>
      <c r="C906" s="3">
        <v>132</v>
      </c>
      <c r="D906" s="3">
        <v>15</v>
      </c>
      <c r="E906" s="3">
        <v>-273.98</v>
      </c>
      <c r="F906" s="4" t="str">
        <f>HYPERLINK("http://141.218.60.56/~jnz1568/getInfo.php?workbook=14_09.xlsx&amp;sheet=A0&amp;row=906&amp;col=6&amp;number=2990000&amp;sourceID=14","2990000")</f>
        <v>2990000</v>
      </c>
      <c r="G906" s="4" t="str">
        <f>HYPERLINK("http://141.218.60.56/~jnz1568/getInfo.php?workbook=14_09.xlsx&amp;sheet=A0&amp;row=906&amp;col=7&amp;number=0&amp;sourceID=14","0")</f>
        <v>0</v>
      </c>
    </row>
    <row r="907" spans="1:7">
      <c r="A907" s="3">
        <v>14</v>
      </c>
      <c r="B907" s="3">
        <v>9</v>
      </c>
      <c r="C907" s="3">
        <v>133</v>
      </c>
      <c r="D907" s="3">
        <v>15</v>
      </c>
      <c r="E907" s="3">
        <v>-273.914</v>
      </c>
      <c r="F907" s="4" t="str">
        <f>HYPERLINK("http://141.218.60.56/~jnz1568/getInfo.php?workbook=14_09.xlsx&amp;sheet=A0&amp;row=907&amp;col=6&amp;number=756000&amp;sourceID=14","756000")</f>
        <v>756000</v>
      </c>
      <c r="G907" s="4" t="str">
        <f>HYPERLINK("http://141.218.60.56/~jnz1568/getInfo.php?workbook=14_09.xlsx&amp;sheet=A0&amp;row=907&amp;col=7&amp;number=0&amp;sourceID=14","0")</f>
        <v>0</v>
      </c>
    </row>
    <row r="908" spans="1:7">
      <c r="A908" s="3">
        <v>14</v>
      </c>
      <c r="B908" s="3">
        <v>9</v>
      </c>
      <c r="C908" s="3">
        <v>135</v>
      </c>
      <c r="D908" s="3">
        <v>15</v>
      </c>
      <c r="E908" s="3">
        <v>-273.416</v>
      </c>
      <c r="F908" s="4" t="str">
        <f>HYPERLINK("http://141.218.60.56/~jnz1568/getInfo.php?workbook=14_09.xlsx&amp;sheet=A0&amp;row=908&amp;col=6&amp;number=33000000&amp;sourceID=14","33000000")</f>
        <v>33000000</v>
      </c>
      <c r="G908" s="4" t="str">
        <f>HYPERLINK("http://141.218.60.56/~jnz1568/getInfo.php?workbook=14_09.xlsx&amp;sheet=A0&amp;row=908&amp;col=7&amp;number=0&amp;sourceID=14","0")</f>
        <v>0</v>
      </c>
    </row>
    <row r="909" spans="1:7">
      <c r="A909" s="3">
        <v>14</v>
      </c>
      <c r="B909" s="3">
        <v>9</v>
      </c>
      <c r="C909" s="3">
        <v>136</v>
      </c>
      <c r="D909" s="3">
        <v>15</v>
      </c>
      <c r="E909" s="3">
        <v>-273.065</v>
      </c>
      <c r="F909" s="4" t="str">
        <f>HYPERLINK("http://141.218.60.56/~jnz1568/getInfo.php?workbook=14_09.xlsx&amp;sheet=A0&amp;row=909&amp;col=6&amp;number=1870000&amp;sourceID=14","1870000")</f>
        <v>1870000</v>
      </c>
      <c r="G909" s="4" t="str">
        <f>HYPERLINK("http://141.218.60.56/~jnz1568/getInfo.php?workbook=14_09.xlsx&amp;sheet=A0&amp;row=909&amp;col=7&amp;number=0&amp;sourceID=14","0")</f>
        <v>0</v>
      </c>
    </row>
    <row r="910" spans="1:7">
      <c r="A910" s="3">
        <v>14</v>
      </c>
      <c r="B910" s="3">
        <v>9</v>
      </c>
      <c r="C910" s="3">
        <v>140</v>
      </c>
      <c r="D910" s="3">
        <v>15</v>
      </c>
      <c r="E910" s="3">
        <v>-269.02</v>
      </c>
      <c r="F910" s="4" t="str">
        <f>HYPERLINK("http://141.218.60.56/~jnz1568/getInfo.php?workbook=14_09.xlsx&amp;sheet=A0&amp;row=910&amp;col=6&amp;number=2290000000&amp;sourceID=14","2290000000")</f>
        <v>2290000000</v>
      </c>
      <c r="G910" s="4" t="str">
        <f>HYPERLINK("http://141.218.60.56/~jnz1568/getInfo.php?workbook=14_09.xlsx&amp;sheet=A0&amp;row=910&amp;col=7&amp;number=0&amp;sourceID=14","0")</f>
        <v>0</v>
      </c>
    </row>
    <row r="911" spans="1:7">
      <c r="A911" s="3">
        <v>14</v>
      </c>
      <c r="B911" s="3">
        <v>9</v>
      </c>
      <c r="C911" s="3">
        <v>145</v>
      </c>
      <c r="D911" s="3">
        <v>15</v>
      </c>
      <c r="E911" s="3">
        <v>-268.006</v>
      </c>
      <c r="F911" s="4" t="str">
        <f>HYPERLINK("http://141.218.60.56/~jnz1568/getInfo.php?workbook=14_09.xlsx&amp;sheet=A0&amp;row=911&amp;col=6&amp;number=7650000000&amp;sourceID=14","7650000000")</f>
        <v>7650000000</v>
      </c>
      <c r="G911" s="4" t="str">
        <f>HYPERLINK("http://141.218.60.56/~jnz1568/getInfo.php?workbook=14_09.xlsx&amp;sheet=A0&amp;row=911&amp;col=7&amp;number=0&amp;sourceID=14","0")</f>
        <v>0</v>
      </c>
    </row>
    <row r="912" spans="1:7">
      <c r="A912" s="3">
        <v>14</v>
      </c>
      <c r="B912" s="3">
        <v>9</v>
      </c>
      <c r="C912" s="3">
        <v>148</v>
      </c>
      <c r="D912" s="3">
        <v>15</v>
      </c>
      <c r="E912" s="3">
        <v>-266.978</v>
      </c>
      <c r="F912" s="4" t="str">
        <f>HYPERLINK("http://141.218.60.56/~jnz1568/getInfo.php?workbook=14_09.xlsx&amp;sheet=A0&amp;row=912&amp;col=6&amp;number=2790000000&amp;sourceID=14","2790000000")</f>
        <v>2790000000</v>
      </c>
      <c r="G912" s="4" t="str">
        <f>HYPERLINK("http://141.218.60.56/~jnz1568/getInfo.php?workbook=14_09.xlsx&amp;sheet=A0&amp;row=912&amp;col=7&amp;number=0&amp;sourceID=14","0")</f>
        <v>0</v>
      </c>
    </row>
    <row r="913" spans="1:7">
      <c r="A913" s="3">
        <v>14</v>
      </c>
      <c r="B913" s="3">
        <v>9</v>
      </c>
      <c r="C913" s="3">
        <v>152</v>
      </c>
      <c r="D913" s="3">
        <v>15</v>
      </c>
      <c r="E913" s="3">
        <v>-261.774</v>
      </c>
      <c r="F913" s="4" t="str">
        <f>HYPERLINK("http://141.218.60.56/~jnz1568/getInfo.php?workbook=14_09.xlsx&amp;sheet=A0&amp;row=913&amp;col=6&amp;number=10200000&amp;sourceID=14","10200000")</f>
        <v>10200000</v>
      </c>
      <c r="G913" s="4" t="str">
        <f>HYPERLINK("http://141.218.60.56/~jnz1568/getInfo.php?workbook=14_09.xlsx&amp;sheet=A0&amp;row=913&amp;col=7&amp;number=0&amp;sourceID=14","0")</f>
        <v>0</v>
      </c>
    </row>
    <row r="914" spans="1:7">
      <c r="A914" s="3">
        <v>14</v>
      </c>
      <c r="B914" s="3">
        <v>9</v>
      </c>
      <c r="C914" s="3">
        <v>153</v>
      </c>
      <c r="D914" s="3">
        <v>15</v>
      </c>
      <c r="E914" s="3">
        <v>-260.58</v>
      </c>
      <c r="F914" s="4" t="str">
        <f>HYPERLINK("http://141.218.60.56/~jnz1568/getInfo.php?workbook=14_09.xlsx&amp;sheet=A0&amp;row=914&amp;col=6&amp;number=540000000&amp;sourceID=14","540000000")</f>
        <v>540000000</v>
      </c>
      <c r="G914" s="4" t="str">
        <f>HYPERLINK("http://141.218.60.56/~jnz1568/getInfo.php?workbook=14_09.xlsx&amp;sheet=A0&amp;row=914&amp;col=7&amp;number=0&amp;sourceID=14","0")</f>
        <v>0</v>
      </c>
    </row>
    <row r="915" spans="1:7">
      <c r="A915" s="3">
        <v>14</v>
      </c>
      <c r="B915" s="3">
        <v>9</v>
      </c>
      <c r="C915" s="3">
        <v>154</v>
      </c>
      <c r="D915" s="3">
        <v>15</v>
      </c>
      <c r="E915" s="3">
        <v>-260.564</v>
      </c>
      <c r="F915" s="4" t="str">
        <f>HYPERLINK("http://141.218.60.56/~jnz1568/getInfo.php?workbook=14_09.xlsx&amp;sheet=A0&amp;row=915&amp;col=6&amp;number=7000000000&amp;sourceID=14","7000000000")</f>
        <v>7000000000</v>
      </c>
      <c r="G915" s="4" t="str">
        <f>HYPERLINK("http://141.218.60.56/~jnz1568/getInfo.php?workbook=14_09.xlsx&amp;sheet=A0&amp;row=915&amp;col=7&amp;number=0&amp;sourceID=14","0")</f>
        <v>0</v>
      </c>
    </row>
    <row r="916" spans="1:7">
      <c r="A916" s="3">
        <v>14</v>
      </c>
      <c r="B916" s="3">
        <v>9</v>
      </c>
      <c r="C916" s="3">
        <v>156</v>
      </c>
      <c r="D916" s="3">
        <v>15</v>
      </c>
      <c r="E916" s="3">
        <v>-259.496</v>
      </c>
      <c r="F916" s="4" t="str">
        <f>HYPERLINK("http://141.218.60.56/~jnz1568/getInfo.php?workbook=14_09.xlsx&amp;sheet=A0&amp;row=916&amp;col=6&amp;number=2320000&amp;sourceID=14","2320000")</f>
        <v>2320000</v>
      </c>
      <c r="G916" s="4" t="str">
        <f>HYPERLINK("http://141.218.60.56/~jnz1568/getInfo.php?workbook=14_09.xlsx&amp;sheet=A0&amp;row=916&amp;col=7&amp;number=0&amp;sourceID=14","0")</f>
        <v>0</v>
      </c>
    </row>
    <row r="917" spans="1:7">
      <c r="A917" s="3">
        <v>14</v>
      </c>
      <c r="B917" s="3">
        <v>9</v>
      </c>
      <c r="C917" s="3">
        <v>157</v>
      </c>
      <c r="D917" s="3">
        <v>15</v>
      </c>
      <c r="E917" s="3">
        <v>-257.785</v>
      </c>
      <c r="F917" s="4" t="str">
        <f>HYPERLINK("http://141.218.60.56/~jnz1568/getInfo.php?workbook=14_09.xlsx&amp;sheet=A0&amp;row=917&amp;col=6&amp;number=1080000&amp;sourceID=14","1080000")</f>
        <v>1080000</v>
      </c>
      <c r="G917" s="4" t="str">
        <f>HYPERLINK("http://141.218.60.56/~jnz1568/getInfo.php?workbook=14_09.xlsx&amp;sheet=A0&amp;row=917&amp;col=7&amp;number=0&amp;sourceID=14","0")</f>
        <v>0</v>
      </c>
    </row>
    <row r="918" spans="1:7">
      <c r="A918" s="3">
        <v>14</v>
      </c>
      <c r="B918" s="3">
        <v>9</v>
      </c>
      <c r="C918" s="3">
        <v>162</v>
      </c>
      <c r="D918" s="3">
        <v>15</v>
      </c>
      <c r="E918" s="3">
        <v>-231.019</v>
      </c>
      <c r="F918" s="4" t="str">
        <f>HYPERLINK("http://141.218.60.56/~jnz1568/getInfo.php?workbook=14_09.xlsx&amp;sheet=A0&amp;row=918&amp;col=6&amp;number=536000&amp;sourceID=14","536000")</f>
        <v>536000</v>
      </c>
      <c r="G918" s="4" t="str">
        <f>HYPERLINK("http://141.218.60.56/~jnz1568/getInfo.php?workbook=14_09.xlsx&amp;sheet=A0&amp;row=918&amp;col=7&amp;number=0&amp;sourceID=14","0")</f>
        <v>0</v>
      </c>
    </row>
    <row r="919" spans="1:7">
      <c r="A919" s="3">
        <v>14</v>
      </c>
      <c r="B919" s="3">
        <v>9</v>
      </c>
      <c r="C919" s="3">
        <v>163</v>
      </c>
      <c r="D919" s="3">
        <v>15</v>
      </c>
      <c r="E919" s="3">
        <v>-230.949</v>
      </c>
      <c r="F919" s="4" t="str">
        <f>HYPERLINK("http://141.218.60.56/~jnz1568/getInfo.php?workbook=14_09.xlsx&amp;sheet=A0&amp;row=919&amp;col=6&amp;number=516000&amp;sourceID=14","516000")</f>
        <v>516000</v>
      </c>
      <c r="G919" s="4" t="str">
        <f>HYPERLINK("http://141.218.60.56/~jnz1568/getInfo.php?workbook=14_09.xlsx&amp;sheet=A0&amp;row=919&amp;col=7&amp;number=0&amp;sourceID=14","0")</f>
        <v>0</v>
      </c>
    </row>
    <row r="920" spans="1:7">
      <c r="A920" s="3">
        <v>14</v>
      </c>
      <c r="B920" s="3">
        <v>9</v>
      </c>
      <c r="C920" s="3">
        <v>185</v>
      </c>
      <c r="D920" s="3">
        <v>15</v>
      </c>
      <c r="E920" s="3">
        <v>-188.416</v>
      </c>
      <c r="F920" s="4" t="str">
        <f>HYPERLINK("http://141.218.60.56/~jnz1568/getInfo.php?workbook=14_09.xlsx&amp;sheet=A0&amp;row=920&amp;col=6&amp;number=74900000&amp;sourceID=14","74900000")</f>
        <v>74900000</v>
      </c>
      <c r="G920" s="4" t="str">
        <f>HYPERLINK("http://141.218.60.56/~jnz1568/getInfo.php?workbook=14_09.xlsx&amp;sheet=A0&amp;row=920&amp;col=7&amp;number=0&amp;sourceID=14","0")</f>
        <v>0</v>
      </c>
    </row>
    <row r="921" spans="1:7">
      <c r="A921" s="3">
        <v>14</v>
      </c>
      <c r="B921" s="3">
        <v>9</v>
      </c>
      <c r="C921" s="3">
        <v>186</v>
      </c>
      <c r="D921" s="3">
        <v>15</v>
      </c>
      <c r="E921" s="3">
        <v>-188.191</v>
      </c>
      <c r="F921" s="4" t="str">
        <f>HYPERLINK("http://141.218.60.56/~jnz1568/getInfo.php?workbook=14_09.xlsx&amp;sheet=A0&amp;row=921&amp;col=6&amp;number=10800000&amp;sourceID=14","10800000")</f>
        <v>10800000</v>
      </c>
      <c r="G921" s="4" t="str">
        <f>HYPERLINK("http://141.218.60.56/~jnz1568/getInfo.php?workbook=14_09.xlsx&amp;sheet=A0&amp;row=921&amp;col=7&amp;number=0&amp;sourceID=14","0")</f>
        <v>0</v>
      </c>
    </row>
    <row r="922" spans="1:7">
      <c r="A922" s="3">
        <v>14</v>
      </c>
      <c r="B922" s="3">
        <v>9</v>
      </c>
      <c r="C922" s="3">
        <v>32</v>
      </c>
      <c r="D922" s="3">
        <v>16</v>
      </c>
      <c r="E922" s="3">
        <v>1010.453</v>
      </c>
      <c r="F922" s="4" t="str">
        <f>HYPERLINK("http://141.218.60.56/~jnz1568/getInfo.php?workbook=14_09.xlsx&amp;sheet=A0&amp;row=922&amp;col=6&amp;number=67700000&amp;sourceID=14","67700000")</f>
        <v>67700000</v>
      </c>
      <c r="G922" s="4" t="str">
        <f>HYPERLINK("http://141.218.60.56/~jnz1568/getInfo.php?workbook=14_09.xlsx&amp;sheet=A0&amp;row=922&amp;col=7&amp;number=0&amp;sourceID=14","0")</f>
        <v>0</v>
      </c>
    </row>
    <row r="923" spans="1:7">
      <c r="A923" s="3">
        <v>14</v>
      </c>
      <c r="B923" s="3">
        <v>9</v>
      </c>
      <c r="C923" s="3">
        <v>33</v>
      </c>
      <c r="D923" s="3">
        <v>16</v>
      </c>
      <c r="E923" s="3">
        <v>1005.766</v>
      </c>
      <c r="F923" s="4" t="str">
        <f>HYPERLINK("http://141.218.60.56/~jnz1568/getInfo.php?workbook=14_09.xlsx&amp;sheet=A0&amp;row=923&amp;col=6&amp;number=121000000&amp;sourceID=14","121000000")</f>
        <v>121000000</v>
      </c>
      <c r="G923" s="4" t="str">
        <f>HYPERLINK("http://141.218.60.56/~jnz1568/getInfo.php?workbook=14_09.xlsx&amp;sheet=A0&amp;row=923&amp;col=7&amp;number=0&amp;sourceID=14","0")</f>
        <v>0</v>
      </c>
    </row>
    <row r="924" spans="1:7">
      <c r="A924" s="3">
        <v>14</v>
      </c>
      <c r="B924" s="3">
        <v>9</v>
      </c>
      <c r="C924" s="3">
        <v>34</v>
      </c>
      <c r="D924" s="3">
        <v>16</v>
      </c>
      <c r="E924" s="3">
        <v>998.959</v>
      </c>
      <c r="F924" s="4" t="str">
        <f>HYPERLINK("http://141.218.60.56/~jnz1568/getInfo.php?workbook=14_09.xlsx&amp;sheet=A0&amp;row=924&amp;col=6&amp;number=178000000&amp;sourceID=14","178000000")</f>
        <v>178000000</v>
      </c>
      <c r="G924" s="4" t="str">
        <f>HYPERLINK("http://141.218.60.56/~jnz1568/getInfo.php?workbook=14_09.xlsx&amp;sheet=A0&amp;row=924&amp;col=7&amp;number=0&amp;sourceID=14","0")</f>
        <v>0</v>
      </c>
    </row>
    <row r="925" spans="1:7">
      <c r="A925" s="3">
        <v>14</v>
      </c>
      <c r="B925" s="3">
        <v>9</v>
      </c>
      <c r="C925" s="3">
        <v>37</v>
      </c>
      <c r="D925" s="3">
        <v>16</v>
      </c>
      <c r="E925" s="3">
        <v>900.836</v>
      </c>
      <c r="F925" s="4" t="str">
        <f>HYPERLINK("http://141.218.60.56/~jnz1568/getInfo.php?workbook=14_09.xlsx&amp;sheet=A0&amp;row=925&amp;col=6&amp;number=2080000000&amp;sourceID=14","2080000000")</f>
        <v>2080000000</v>
      </c>
      <c r="G925" s="4" t="str">
        <f>HYPERLINK("http://141.218.60.56/~jnz1568/getInfo.php?workbook=14_09.xlsx&amp;sheet=A0&amp;row=925&amp;col=7&amp;number=0&amp;sourceID=14","0")</f>
        <v>0</v>
      </c>
    </row>
    <row r="926" spans="1:7">
      <c r="A926" s="3">
        <v>14</v>
      </c>
      <c r="B926" s="3">
        <v>9</v>
      </c>
      <c r="C926" s="3">
        <v>38</v>
      </c>
      <c r="D926" s="3">
        <v>16</v>
      </c>
      <c r="E926" s="3">
        <v>-889.452</v>
      </c>
      <c r="F926" s="4" t="str">
        <f>HYPERLINK("http://141.218.60.56/~jnz1568/getInfo.php?workbook=14_09.xlsx&amp;sheet=A0&amp;row=926&amp;col=6&amp;number=747000000&amp;sourceID=14","747000000")</f>
        <v>747000000</v>
      </c>
      <c r="G926" s="4" t="str">
        <f>HYPERLINK("http://141.218.60.56/~jnz1568/getInfo.php?workbook=14_09.xlsx&amp;sheet=A0&amp;row=926&amp;col=7&amp;number=0&amp;sourceID=14","0")</f>
        <v>0</v>
      </c>
    </row>
    <row r="927" spans="1:7">
      <c r="A927" s="3">
        <v>14</v>
      </c>
      <c r="B927" s="3">
        <v>9</v>
      </c>
      <c r="C927" s="3">
        <v>39</v>
      </c>
      <c r="D927" s="3">
        <v>16</v>
      </c>
      <c r="E927" s="3">
        <v>887.443</v>
      </c>
      <c r="F927" s="4" t="str">
        <f>HYPERLINK("http://141.218.60.56/~jnz1568/getInfo.php?workbook=14_09.xlsx&amp;sheet=A0&amp;row=927&amp;col=6&amp;number=8740000&amp;sourceID=14","8740000")</f>
        <v>8740000</v>
      </c>
      <c r="G927" s="4" t="str">
        <f>HYPERLINK("http://141.218.60.56/~jnz1568/getInfo.php?workbook=14_09.xlsx&amp;sheet=A0&amp;row=927&amp;col=7&amp;number=0&amp;sourceID=14","0")</f>
        <v>0</v>
      </c>
    </row>
    <row r="928" spans="1:7">
      <c r="A928" s="3">
        <v>14</v>
      </c>
      <c r="B928" s="3">
        <v>9</v>
      </c>
      <c r="C928" s="3">
        <v>40</v>
      </c>
      <c r="D928" s="3">
        <v>16</v>
      </c>
      <c r="E928" s="3">
        <v>878.942</v>
      </c>
      <c r="F928" s="4" t="str">
        <f>HYPERLINK("http://141.218.60.56/~jnz1568/getInfo.php?workbook=14_09.xlsx&amp;sheet=A0&amp;row=928&amp;col=6&amp;number=54000000&amp;sourceID=14","54000000")</f>
        <v>54000000</v>
      </c>
      <c r="G928" s="4" t="str">
        <f>HYPERLINK("http://141.218.60.56/~jnz1568/getInfo.php?workbook=14_09.xlsx&amp;sheet=A0&amp;row=928&amp;col=7&amp;number=0&amp;sourceID=14","0")</f>
        <v>0</v>
      </c>
    </row>
    <row r="929" spans="1:7">
      <c r="A929" s="3">
        <v>14</v>
      </c>
      <c r="B929" s="3">
        <v>9</v>
      </c>
      <c r="C929" s="3">
        <v>42</v>
      </c>
      <c r="D929" s="3">
        <v>16</v>
      </c>
      <c r="E929" s="3">
        <v>867.816</v>
      </c>
      <c r="F929" s="4" t="str">
        <f>HYPERLINK("http://141.218.60.56/~jnz1568/getInfo.php?workbook=14_09.xlsx&amp;sheet=A0&amp;row=929&amp;col=6&amp;number=64800000&amp;sourceID=14","64800000")</f>
        <v>64800000</v>
      </c>
      <c r="G929" s="4" t="str">
        <f>HYPERLINK("http://141.218.60.56/~jnz1568/getInfo.php?workbook=14_09.xlsx&amp;sheet=A0&amp;row=929&amp;col=7&amp;number=0&amp;sourceID=14","0")</f>
        <v>0</v>
      </c>
    </row>
    <row r="930" spans="1:7">
      <c r="A930" s="3">
        <v>14</v>
      </c>
      <c r="B930" s="3">
        <v>9</v>
      </c>
      <c r="C930" s="3">
        <v>43</v>
      </c>
      <c r="D930" s="3">
        <v>16</v>
      </c>
      <c r="E930" s="3">
        <v>865.928</v>
      </c>
      <c r="F930" s="4" t="str">
        <f>HYPERLINK("http://141.218.60.56/~jnz1568/getInfo.php?workbook=14_09.xlsx&amp;sheet=A0&amp;row=930&amp;col=6&amp;number=2410000&amp;sourceID=14","2410000")</f>
        <v>2410000</v>
      </c>
      <c r="G930" s="4" t="str">
        <f>HYPERLINK("http://141.218.60.56/~jnz1568/getInfo.php?workbook=14_09.xlsx&amp;sheet=A0&amp;row=930&amp;col=7&amp;number=0&amp;sourceID=14","0")</f>
        <v>0</v>
      </c>
    </row>
    <row r="931" spans="1:7">
      <c r="A931" s="3">
        <v>14</v>
      </c>
      <c r="B931" s="3">
        <v>9</v>
      </c>
      <c r="C931" s="3">
        <v>46</v>
      </c>
      <c r="D931" s="3">
        <v>16</v>
      </c>
      <c r="E931" s="3">
        <v>-833.557</v>
      </c>
      <c r="F931" s="4" t="str">
        <f>HYPERLINK("http://141.218.60.56/~jnz1568/getInfo.php?workbook=14_09.xlsx&amp;sheet=A0&amp;row=931&amp;col=6&amp;number=1030000&amp;sourceID=14","1030000")</f>
        <v>1030000</v>
      </c>
      <c r="G931" s="4" t="str">
        <f>HYPERLINK("http://141.218.60.56/~jnz1568/getInfo.php?workbook=14_09.xlsx&amp;sheet=A0&amp;row=931&amp;col=7&amp;number=0&amp;sourceID=14","0")</f>
        <v>0</v>
      </c>
    </row>
    <row r="932" spans="1:7">
      <c r="A932" s="3">
        <v>14</v>
      </c>
      <c r="B932" s="3">
        <v>9</v>
      </c>
      <c r="C932" s="3">
        <v>48</v>
      </c>
      <c r="D932" s="3">
        <v>16</v>
      </c>
      <c r="E932" s="3">
        <v>-814.692</v>
      </c>
      <c r="F932" s="4" t="str">
        <f>HYPERLINK("http://141.218.60.56/~jnz1568/getInfo.php?workbook=14_09.xlsx&amp;sheet=A0&amp;row=932&amp;col=6&amp;number=4750000&amp;sourceID=14","4750000")</f>
        <v>4750000</v>
      </c>
      <c r="G932" s="4" t="str">
        <f>HYPERLINK("http://141.218.60.56/~jnz1568/getInfo.php?workbook=14_09.xlsx&amp;sheet=A0&amp;row=932&amp;col=7&amp;number=0&amp;sourceID=14","0")</f>
        <v>0</v>
      </c>
    </row>
    <row r="933" spans="1:7">
      <c r="A933" s="3">
        <v>14</v>
      </c>
      <c r="B933" s="3">
        <v>9</v>
      </c>
      <c r="C933" s="3">
        <v>61</v>
      </c>
      <c r="D933" s="3">
        <v>16</v>
      </c>
      <c r="E933" s="3">
        <v>-415.616</v>
      </c>
      <c r="F933" s="4" t="str">
        <f>HYPERLINK("http://141.218.60.56/~jnz1568/getInfo.php?workbook=14_09.xlsx&amp;sheet=A0&amp;row=933&amp;col=6&amp;number=43400000&amp;sourceID=14","43400000")</f>
        <v>43400000</v>
      </c>
      <c r="G933" s="4" t="str">
        <f>HYPERLINK("http://141.218.60.56/~jnz1568/getInfo.php?workbook=14_09.xlsx&amp;sheet=A0&amp;row=933&amp;col=7&amp;number=0&amp;sourceID=14","0")</f>
        <v>0</v>
      </c>
    </row>
    <row r="934" spans="1:7">
      <c r="A934" s="3">
        <v>14</v>
      </c>
      <c r="B934" s="3">
        <v>9</v>
      </c>
      <c r="C934" s="3">
        <v>62</v>
      </c>
      <c r="D934" s="3">
        <v>16</v>
      </c>
      <c r="E934" s="3">
        <v>-411.28</v>
      </c>
      <c r="F934" s="4" t="str">
        <f>HYPERLINK("http://141.218.60.56/~jnz1568/getInfo.php?workbook=14_09.xlsx&amp;sheet=A0&amp;row=934&amp;col=6&amp;number=1530000000&amp;sourceID=14","1530000000")</f>
        <v>1530000000</v>
      </c>
      <c r="G934" s="4" t="str">
        <f>HYPERLINK("http://141.218.60.56/~jnz1568/getInfo.php?workbook=14_09.xlsx&amp;sheet=A0&amp;row=934&amp;col=7&amp;number=0&amp;sourceID=14","0")</f>
        <v>0</v>
      </c>
    </row>
    <row r="935" spans="1:7">
      <c r="A935" s="3">
        <v>14</v>
      </c>
      <c r="B935" s="3">
        <v>9</v>
      </c>
      <c r="C935" s="3">
        <v>63</v>
      </c>
      <c r="D935" s="3">
        <v>16</v>
      </c>
      <c r="E935" s="3">
        <v>-407.401</v>
      </c>
      <c r="F935" s="4" t="str">
        <f>HYPERLINK("http://141.218.60.56/~jnz1568/getInfo.php?workbook=14_09.xlsx&amp;sheet=A0&amp;row=935&amp;col=6&amp;number=3660000000&amp;sourceID=14","3660000000")</f>
        <v>3660000000</v>
      </c>
      <c r="G935" s="4" t="str">
        <f>HYPERLINK("http://141.218.60.56/~jnz1568/getInfo.php?workbook=14_09.xlsx&amp;sheet=A0&amp;row=935&amp;col=7&amp;number=0&amp;sourceID=14","0")</f>
        <v>0</v>
      </c>
    </row>
    <row r="936" spans="1:7">
      <c r="A936" s="3">
        <v>14</v>
      </c>
      <c r="B936" s="3">
        <v>9</v>
      </c>
      <c r="C936" s="3">
        <v>64</v>
      </c>
      <c r="D936" s="3">
        <v>16</v>
      </c>
      <c r="E936" s="3">
        <v>-405.135</v>
      </c>
      <c r="F936" s="4" t="str">
        <f>HYPERLINK("http://141.218.60.56/~jnz1568/getInfo.php?workbook=14_09.xlsx&amp;sheet=A0&amp;row=936&amp;col=6&amp;number=191000000&amp;sourceID=14","191000000")</f>
        <v>191000000</v>
      </c>
      <c r="G936" s="4" t="str">
        <f>HYPERLINK("http://141.218.60.56/~jnz1568/getInfo.php?workbook=14_09.xlsx&amp;sheet=A0&amp;row=936&amp;col=7&amp;number=0&amp;sourceID=14","0")</f>
        <v>0</v>
      </c>
    </row>
    <row r="937" spans="1:7">
      <c r="A937" s="3">
        <v>14</v>
      </c>
      <c r="B937" s="3">
        <v>9</v>
      </c>
      <c r="C937" s="3">
        <v>73</v>
      </c>
      <c r="D937" s="3">
        <v>16</v>
      </c>
      <c r="E937" s="3">
        <v>-359.943</v>
      </c>
      <c r="F937" s="4" t="str">
        <f>HYPERLINK("http://141.218.60.56/~jnz1568/getInfo.php?workbook=14_09.xlsx&amp;sheet=A0&amp;row=937&amp;col=6&amp;number=74400&amp;sourceID=14","74400")</f>
        <v>74400</v>
      </c>
      <c r="G937" s="4" t="str">
        <f>HYPERLINK("http://141.218.60.56/~jnz1568/getInfo.php?workbook=14_09.xlsx&amp;sheet=A0&amp;row=937&amp;col=7&amp;number=0&amp;sourceID=14","0")</f>
        <v>0</v>
      </c>
    </row>
    <row r="938" spans="1:7">
      <c r="A938" s="3">
        <v>14</v>
      </c>
      <c r="B938" s="3">
        <v>9</v>
      </c>
      <c r="C938" s="3">
        <v>80</v>
      </c>
      <c r="D938" s="3">
        <v>16</v>
      </c>
      <c r="E938" s="3">
        <v>-344.207</v>
      </c>
      <c r="F938" s="4" t="str">
        <f>HYPERLINK("http://141.218.60.56/~jnz1568/getInfo.php?workbook=14_09.xlsx&amp;sheet=A0&amp;row=938&amp;col=6&amp;number=706000&amp;sourceID=14","706000")</f>
        <v>706000</v>
      </c>
      <c r="G938" s="4" t="str">
        <f>HYPERLINK("http://141.218.60.56/~jnz1568/getInfo.php?workbook=14_09.xlsx&amp;sheet=A0&amp;row=938&amp;col=7&amp;number=0&amp;sourceID=14","0")</f>
        <v>0</v>
      </c>
    </row>
    <row r="939" spans="1:7">
      <c r="A939" s="3">
        <v>14</v>
      </c>
      <c r="B939" s="3">
        <v>9</v>
      </c>
      <c r="C939" s="3">
        <v>87</v>
      </c>
      <c r="D939" s="3">
        <v>16</v>
      </c>
      <c r="E939" s="3">
        <v>-321.947</v>
      </c>
      <c r="F939" s="4" t="str">
        <f>HYPERLINK("http://141.218.60.56/~jnz1568/getInfo.php?workbook=14_09.xlsx&amp;sheet=A0&amp;row=939&amp;col=6&amp;number=87100000&amp;sourceID=14","87100000")</f>
        <v>87100000</v>
      </c>
      <c r="G939" s="4" t="str">
        <f>HYPERLINK("http://141.218.60.56/~jnz1568/getInfo.php?workbook=14_09.xlsx&amp;sheet=A0&amp;row=939&amp;col=7&amp;number=0&amp;sourceID=14","0")</f>
        <v>0</v>
      </c>
    </row>
    <row r="940" spans="1:7">
      <c r="A940" s="3">
        <v>14</v>
      </c>
      <c r="B940" s="3">
        <v>9</v>
      </c>
      <c r="C940" s="3">
        <v>88</v>
      </c>
      <c r="D940" s="3">
        <v>16</v>
      </c>
      <c r="E940" s="3">
        <v>-321.327</v>
      </c>
      <c r="F940" s="4" t="str">
        <f>HYPERLINK("http://141.218.60.56/~jnz1568/getInfo.php?workbook=14_09.xlsx&amp;sheet=A0&amp;row=940&amp;col=6&amp;number=564000000&amp;sourceID=14","564000000")</f>
        <v>564000000</v>
      </c>
      <c r="G940" s="4" t="str">
        <f>HYPERLINK("http://141.218.60.56/~jnz1568/getInfo.php?workbook=14_09.xlsx&amp;sheet=A0&amp;row=940&amp;col=7&amp;number=0&amp;sourceID=14","0")</f>
        <v>0</v>
      </c>
    </row>
    <row r="941" spans="1:7">
      <c r="A941" s="3">
        <v>14</v>
      </c>
      <c r="B941" s="3">
        <v>9</v>
      </c>
      <c r="C941" s="3">
        <v>89</v>
      </c>
      <c r="D941" s="3">
        <v>16</v>
      </c>
      <c r="E941" s="3">
        <v>-320.573</v>
      </c>
      <c r="F941" s="4" t="str">
        <f>HYPERLINK("http://141.218.60.56/~jnz1568/getInfo.php?workbook=14_09.xlsx&amp;sheet=A0&amp;row=941&amp;col=6&amp;number=592000000&amp;sourceID=14","592000000")</f>
        <v>592000000</v>
      </c>
      <c r="G941" s="4" t="str">
        <f>HYPERLINK("http://141.218.60.56/~jnz1568/getInfo.php?workbook=14_09.xlsx&amp;sheet=A0&amp;row=941&amp;col=7&amp;number=0&amp;sourceID=14","0")</f>
        <v>0</v>
      </c>
    </row>
    <row r="942" spans="1:7">
      <c r="A942" s="3">
        <v>14</v>
      </c>
      <c r="B942" s="3">
        <v>9</v>
      </c>
      <c r="C942" s="3">
        <v>92</v>
      </c>
      <c r="D942" s="3">
        <v>16</v>
      </c>
      <c r="E942" s="3">
        <v>-317.406</v>
      </c>
      <c r="F942" s="4" t="str">
        <f>HYPERLINK("http://141.218.60.56/~jnz1568/getInfo.php?workbook=14_09.xlsx&amp;sheet=A0&amp;row=942&amp;col=6&amp;number=86600000&amp;sourceID=14","86600000")</f>
        <v>86600000</v>
      </c>
      <c r="G942" s="4" t="str">
        <f>HYPERLINK("http://141.218.60.56/~jnz1568/getInfo.php?workbook=14_09.xlsx&amp;sheet=A0&amp;row=942&amp;col=7&amp;number=0&amp;sourceID=14","0")</f>
        <v>0</v>
      </c>
    </row>
    <row r="943" spans="1:7">
      <c r="A943" s="3">
        <v>14</v>
      </c>
      <c r="B943" s="3">
        <v>9</v>
      </c>
      <c r="C943" s="3">
        <v>93</v>
      </c>
      <c r="D943" s="3">
        <v>16</v>
      </c>
      <c r="E943" s="3">
        <v>-316.568</v>
      </c>
      <c r="F943" s="4" t="str">
        <f>HYPERLINK("http://141.218.60.56/~jnz1568/getInfo.php?workbook=14_09.xlsx&amp;sheet=A0&amp;row=943&amp;col=6&amp;number=2590000000&amp;sourceID=14","2590000000")</f>
        <v>2590000000</v>
      </c>
      <c r="G943" s="4" t="str">
        <f>HYPERLINK("http://141.218.60.56/~jnz1568/getInfo.php?workbook=14_09.xlsx&amp;sheet=A0&amp;row=943&amp;col=7&amp;number=0&amp;sourceID=14","0")</f>
        <v>0</v>
      </c>
    </row>
    <row r="944" spans="1:7">
      <c r="A944" s="3">
        <v>14</v>
      </c>
      <c r="B944" s="3">
        <v>9</v>
      </c>
      <c r="C944" s="3">
        <v>94</v>
      </c>
      <c r="D944" s="3">
        <v>16</v>
      </c>
      <c r="E944" s="3">
        <v>-316.347</v>
      </c>
      <c r="F944" s="4" t="str">
        <f>HYPERLINK("http://141.218.60.56/~jnz1568/getInfo.php?workbook=14_09.xlsx&amp;sheet=A0&amp;row=944&amp;col=6&amp;number=465000000&amp;sourceID=14","465000000")</f>
        <v>465000000</v>
      </c>
      <c r="G944" s="4" t="str">
        <f>HYPERLINK("http://141.218.60.56/~jnz1568/getInfo.php?workbook=14_09.xlsx&amp;sheet=A0&amp;row=944&amp;col=7&amp;number=0&amp;sourceID=14","0")</f>
        <v>0</v>
      </c>
    </row>
    <row r="945" spans="1:7">
      <c r="A945" s="3">
        <v>14</v>
      </c>
      <c r="B945" s="3">
        <v>9</v>
      </c>
      <c r="C945" s="3">
        <v>96</v>
      </c>
      <c r="D945" s="3">
        <v>16</v>
      </c>
      <c r="E945" s="3">
        <v>-315.017</v>
      </c>
      <c r="F945" s="4" t="str">
        <f>HYPERLINK("http://141.218.60.56/~jnz1568/getInfo.php?workbook=14_09.xlsx&amp;sheet=A0&amp;row=945&amp;col=6&amp;number=562000000&amp;sourceID=14","562000000")</f>
        <v>562000000</v>
      </c>
      <c r="G945" s="4" t="str">
        <f>HYPERLINK("http://141.218.60.56/~jnz1568/getInfo.php?workbook=14_09.xlsx&amp;sheet=A0&amp;row=945&amp;col=7&amp;number=0&amp;sourceID=14","0")</f>
        <v>0</v>
      </c>
    </row>
    <row r="946" spans="1:7">
      <c r="A946" s="3">
        <v>14</v>
      </c>
      <c r="B946" s="3">
        <v>9</v>
      </c>
      <c r="C946" s="3">
        <v>97</v>
      </c>
      <c r="D946" s="3">
        <v>16</v>
      </c>
      <c r="E946" s="3">
        <v>-314.569</v>
      </c>
      <c r="F946" s="4" t="str">
        <f>HYPERLINK("http://141.218.60.56/~jnz1568/getInfo.php?workbook=14_09.xlsx&amp;sheet=A0&amp;row=946&amp;col=6&amp;number=693000000&amp;sourceID=14","693000000")</f>
        <v>693000000</v>
      </c>
      <c r="G946" s="4" t="str">
        <f>HYPERLINK("http://141.218.60.56/~jnz1568/getInfo.php?workbook=14_09.xlsx&amp;sheet=A0&amp;row=946&amp;col=7&amp;number=0&amp;sourceID=14","0")</f>
        <v>0</v>
      </c>
    </row>
    <row r="947" spans="1:7">
      <c r="A947" s="3">
        <v>14</v>
      </c>
      <c r="B947" s="3">
        <v>9</v>
      </c>
      <c r="C947" s="3">
        <v>98</v>
      </c>
      <c r="D947" s="3">
        <v>16</v>
      </c>
      <c r="E947" s="3">
        <v>-313.751</v>
      </c>
      <c r="F947" s="4" t="str">
        <f>HYPERLINK("http://141.218.60.56/~jnz1568/getInfo.php?workbook=14_09.xlsx&amp;sheet=A0&amp;row=947&amp;col=6&amp;number=306000000&amp;sourceID=14","306000000")</f>
        <v>306000000</v>
      </c>
      <c r="G947" s="4" t="str">
        <f>HYPERLINK("http://141.218.60.56/~jnz1568/getInfo.php?workbook=14_09.xlsx&amp;sheet=A0&amp;row=947&amp;col=7&amp;number=0&amp;sourceID=14","0")</f>
        <v>0</v>
      </c>
    </row>
    <row r="948" spans="1:7">
      <c r="A948" s="3">
        <v>14</v>
      </c>
      <c r="B948" s="3">
        <v>9</v>
      </c>
      <c r="C948" s="3">
        <v>99</v>
      </c>
      <c r="D948" s="3">
        <v>16</v>
      </c>
      <c r="E948" s="3">
        <v>-312.279</v>
      </c>
      <c r="F948" s="4" t="str">
        <f>HYPERLINK("http://141.218.60.56/~jnz1568/getInfo.php?workbook=14_09.xlsx&amp;sheet=A0&amp;row=948&amp;col=6&amp;number=18600000&amp;sourceID=14","18600000")</f>
        <v>18600000</v>
      </c>
      <c r="G948" s="4" t="str">
        <f>HYPERLINK("http://141.218.60.56/~jnz1568/getInfo.php?workbook=14_09.xlsx&amp;sheet=A0&amp;row=948&amp;col=7&amp;number=0&amp;sourceID=14","0")</f>
        <v>0</v>
      </c>
    </row>
    <row r="949" spans="1:7">
      <c r="A949" s="3">
        <v>14</v>
      </c>
      <c r="B949" s="3">
        <v>9</v>
      </c>
      <c r="C949" s="3">
        <v>100</v>
      </c>
      <c r="D949" s="3">
        <v>16</v>
      </c>
      <c r="E949" s="3">
        <v>-311.576</v>
      </c>
      <c r="F949" s="4" t="str">
        <f>HYPERLINK("http://141.218.60.56/~jnz1568/getInfo.php?workbook=14_09.xlsx&amp;sheet=A0&amp;row=949&amp;col=6&amp;number=14500000&amp;sourceID=14","14500000")</f>
        <v>14500000</v>
      </c>
      <c r="G949" s="4" t="str">
        <f>HYPERLINK("http://141.218.60.56/~jnz1568/getInfo.php?workbook=14_09.xlsx&amp;sheet=A0&amp;row=949&amp;col=7&amp;number=0&amp;sourceID=14","0")</f>
        <v>0</v>
      </c>
    </row>
    <row r="950" spans="1:7">
      <c r="A950" s="3">
        <v>14</v>
      </c>
      <c r="B950" s="3">
        <v>9</v>
      </c>
      <c r="C950" s="3">
        <v>103</v>
      </c>
      <c r="D950" s="3">
        <v>16</v>
      </c>
      <c r="E950" s="3">
        <v>-309.755</v>
      </c>
      <c r="F950" s="4" t="str">
        <f>HYPERLINK("http://141.218.60.56/~jnz1568/getInfo.php?workbook=14_09.xlsx&amp;sheet=A0&amp;row=950&amp;col=6&amp;number=5170000&amp;sourceID=14","5170000")</f>
        <v>5170000</v>
      </c>
      <c r="G950" s="4" t="str">
        <f>HYPERLINK("http://141.218.60.56/~jnz1568/getInfo.php?workbook=14_09.xlsx&amp;sheet=A0&amp;row=950&amp;col=7&amp;number=0&amp;sourceID=14","0")</f>
        <v>0</v>
      </c>
    </row>
    <row r="951" spans="1:7">
      <c r="A951" s="3">
        <v>14</v>
      </c>
      <c r="B951" s="3">
        <v>9</v>
      </c>
      <c r="C951" s="3">
        <v>120</v>
      </c>
      <c r="D951" s="3">
        <v>16</v>
      </c>
      <c r="E951" s="3">
        <v>-305.031</v>
      </c>
      <c r="F951" s="4" t="str">
        <f>HYPERLINK("http://141.218.60.56/~jnz1568/getInfo.php?workbook=14_09.xlsx&amp;sheet=A0&amp;row=951&amp;col=6&amp;number=602000&amp;sourceID=14","602000")</f>
        <v>602000</v>
      </c>
      <c r="G951" s="4" t="str">
        <f>HYPERLINK("http://141.218.60.56/~jnz1568/getInfo.php?workbook=14_09.xlsx&amp;sheet=A0&amp;row=951&amp;col=7&amp;number=0&amp;sourceID=14","0")</f>
        <v>0</v>
      </c>
    </row>
    <row r="952" spans="1:7">
      <c r="A952" s="3">
        <v>14</v>
      </c>
      <c r="B952" s="3">
        <v>9</v>
      </c>
      <c r="C952" s="3">
        <v>122</v>
      </c>
      <c r="D952" s="3">
        <v>16</v>
      </c>
      <c r="E952" s="3">
        <v>-304.519</v>
      </c>
      <c r="F952" s="4" t="str">
        <f>HYPERLINK("http://141.218.60.56/~jnz1568/getInfo.php?workbook=14_09.xlsx&amp;sheet=A0&amp;row=952&amp;col=6&amp;number=222000&amp;sourceID=14","222000")</f>
        <v>222000</v>
      </c>
      <c r="G952" s="4" t="str">
        <f>HYPERLINK("http://141.218.60.56/~jnz1568/getInfo.php?workbook=14_09.xlsx&amp;sheet=A0&amp;row=952&amp;col=7&amp;number=0&amp;sourceID=14","0")</f>
        <v>0</v>
      </c>
    </row>
    <row r="953" spans="1:7">
      <c r="A953" s="3">
        <v>14</v>
      </c>
      <c r="B953" s="3">
        <v>9</v>
      </c>
      <c r="C953" s="3">
        <v>123</v>
      </c>
      <c r="D953" s="3">
        <v>16</v>
      </c>
      <c r="E953" s="3">
        <v>-303.494</v>
      </c>
      <c r="F953" s="4" t="str">
        <f>HYPERLINK("http://141.218.60.56/~jnz1568/getInfo.php?workbook=14_09.xlsx&amp;sheet=A0&amp;row=953&amp;col=6&amp;number=252000&amp;sourceID=14","252000")</f>
        <v>252000</v>
      </c>
      <c r="G953" s="4" t="str">
        <f>HYPERLINK("http://141.218.60.56/~jnz1568/getInfo.php?workbook=14_09.xlsx&amp;sheet=A0&amp;row=953&amp;col=7&amp;number=0&amp;sourceID=14","0")</f>
        <v>0</v>
      </c>
    </row>
    <row r="954" spans="1:7">
      <c r="A954" s="3">
        <v>14</v>
      </c>
      <c r="B954" s="3">
        <v>9</v>
      </c>
      <c r="C954" s="3">
        <v>128</v>
      </c>
      <c r="D954" s="3">
        <v>16</v>
      </c>
      <c r="E954" s="3">
        <v>-279.3</v>
      </c>
      <c r="F954" s="4" t="str">
        <f>HYPERLINK("http://141.218.60.56/~jnz1568/getInfo.php?workbook=14_09.xlsx&amp;sheet=A0&amp;row=954&amp;col=6&amp;number=26600000&amp;sourceID=14","26600000")</f>
        <v>26600000</v>
      </c>
      <c r="G954" s="4" t="str">
        <f>HYPERLINK("http://141.218.60.56/~jnz1568/getInfo.php?workbook=14_09.xlsx&amp;sheet=A0&amp;row=954&amp;col=7&amp;number=0&amp;sourceID=14","0")</f>
        <v>0</v>
      </c>
    </row>
    <row r="955" spans="1:7">
      <c r="A955" s="3">
        <v>14</v>
      </c>
      <c r="B955" s="3">
        <v>9</v>
      </c>
      <c r="C955" s="3">
        <v>135</v>
      </c>
      <c r="D955" s="3">
        <v>16</v>
      </c>
      <c r="E955" s="3">
        <v>-274.546</v>
      </c>
      <c r="F955" s="4" t="str">
        <f>HYPERLINK("http://141.218.60.56/~jnz1568/getInfo.php?workbook=14_09.xlsx&amp;sheet=A0&amp;row=955&amp;col=6&amp;number=5350000&amp;sourceID=14","5350000")</f>
        <v>5350000</v>
      </c>
      <c r="G955" s="4" t="str">
        <f>HYPERLINK("http://141.218.60.56/~jnz1568/getInfo.php?workbook=14_09.xlsx&amp;sheet=A0&amp;row=955&amp;col=7&amp;number=0&amp;sourceID=14","0")</f>
        <v>0</v>
      </c>
    </row>
    <row r="956" spans="1:7">
      <c r="A956" s="3">
        <v>14</v>
      </c>
      <c r="B956" s="3">
        <v>9</v>
      </c>
      <c r="C956" s="3">
        <v>136</v>
      </c>
      <c r="D956" s="3">
        <v>16</v>
      </c>
      <c r="E956" s="3">
        <v>-274.191</v>
      </c>
      <c r="F956" s="4" t="str">
        <f>HYPERLINK("http://141.218.60.56/~jnz1568/getInfo.php?workbook=14_09.xlsx&amp;sheet=A0&amp;row=956&amp;col=6&amp;number=11300000&amp;sourceID=14","11300000")</f>
        <v>11300000</v>
      </c>
      <c r="G956" s="4" t="str">
        <f>HYPERLINK("http://141.218.60.56/~jnz1568/getInfo.php?workbook=14_09.xlsx&amp;sheet=A0&amp;row=956&amp;col=7&amp;number=0&amp;sourceID=14","0")</f>
        <v>0</v>
      </c>
    </row>
    <row r="957" spans="1:7">
      <c r="A957" s="3">
        <v>14</v>
      </c>
      <c r="B957" s="3">
        <v>9</v>
      </c>
      <c r="C957" s="3">
        <v>145</v>
      </c>
      <c r="D957" s="3">
        <v>16</v>
      </c>
      <c r="E957" s="3">
        <v>-269.09</v>
      </c>
      <c r="F957" s="4" t="str">
        <f>HYPERLINK("http://141.218.60.56/~jnz1568/getInfo.php?workbook=14_09.xlsx&amp;sheet=A0&amp;row=957&amp;col=6&amp;number=3600000000&amp;sourceID=14","3600000000")</f>
        <v>3600000000</v>
      </c>
      <c r="G957" s="4" t="str">
        <f>HYPERLINK("http://141.218.60.56/~jnz1568/getInfo.php?workbook=14_09.xlsx&amp;sheet=A0&amp;row=957&amp;col=7&amp;number=0&amp;sourceID=14","0")</f>
        <v>0</v>
      </c>
    </row>
    <row r="958" spans="1:7">
      <c r="A958" s="3">
        <v>14</v>
      </c>
      <c r="B958" s="3">
        <v>9</v>
      </c>
      <c r="C958" s="3">
        <v>148</v>
      </c>
      <c r="D958" s="3">
        <v>16</v>
      </c>
      <c r="E958" s="3">
        <v>-268.054</v>
      </c>
      <c r="F958" s="4" t="str">
        <f>HYPERLINK("http://141.218.60.56/~jnz1568/getInfo.php?workbook=14_09.xlsx&amp;sheet=A0&amp;row=958&amp;col=6&amp;number=5650000000&amp;sourceID=14","5650000000")</f>
        <v>5650000000</v>
      </c>
      <c r="G958" s="4" t="str">
        <f>HYPERLINK("http://141.218.60.56/~jnz1568/getInfo.php?workbook=14_09.xlsx&amp;sheet=A0&amp;row=958&amp;col=7&amp;number=0&amp;sourceID=14","0")</f>
        <v>0</v>
      </c>
    </row>
    <row r="959" spans="1:7">
      <c r="A959" s="3">
        <v>14</v>
      </c>
      <c r="B959" s="3">
        <v>9</v>
      </c>
      <c r="C959" s="3">
        <v>151</v>
      </c>
      <c r="D959" s="3">
        <v>16</v>
      </c>
      <c r="E959" s="3">
        <v>-267.288</v>
      </c>
      <c r="F959" s="4" t="str">
        <f>HYPERLINK("http://141.218.60.56/~jnz1568/getInfo.php?workbook=14_09.xlsx&amp;sheet=A0&amp;row=959&amp;col=6&amp;number=5110000000&amp;sourceID=14","5110000000")</f>
        <v>5110000000</v>
      </c>
      <c r="G959" s="4" t="str">
        <f>HYPERLINK("http://141.218.60.56/~jnz1568/getInfo.php?workbook=14_09.xlsx&amp;sheet=A0&amp;row=959&amp;col=7&amp;number=0&amp;sourceID=14","0")</f>
        <v>0</v>
      </c>
    </row>
    <row r="960" spans="1:7">
      <c r="A960" s="3">
        <v>14</v>
      </c>
      <c r="B960" s="3">
        <v>9</v>
      </c>
      <c r="C960" s="3">
        <v>152</v>
      </c>
      <c r="D960" s="3">
        <v>16</v>
      </c>
      <c r="E960" s="3">
        <v>-262.808</v>
      </c>
      <c r="F960" s="4" t="str">
        <f>HYPERLINK("http://141.218.60.56/~jnz1568/getInfo.php?workbook=14_09.xlsx&amp;sheet=A0&amp;row=960&amp;col=6&amp;number=9410000&amp;sourceID=14","9410000")</f>
        <v>9410000</v>
      </c>
      <c r="G960" s="4" t="str">
        <f>HYPERLINK("http://141.218.60.56/~jnz1568/getInfo.php?workbook=14_09.xlsx&amp;sheet=A0&amp;row=960&amp;col=7&amp;number=0&amp;sourceID=14","0")</f>
        <v>0</v>
      </c>
    </row>
    <row r="961" spans="1:7">
      <c r="A961" s="3">
        <v>14</v>
      </c>
      <c r="B961" s="3">
        <v>9</v>
      </c>
      <c r="C961" s="3">
        <v>153</v>
      </c>
      <c r="D961" s="3">
        <v>16</v>
      </c>
      <c r="E961" s="3">
        <v>-261.605</v>
      </c>
      <c r="F961" s="4" t="str">
        <f>HYPERLINK("http://141.218.60.56/~jnz1568/getInfo.php?workbook=14_09.xlsx&amp;sheet=A0&amp;row=961&amp;col=6&amp;number=22700000&amp;sourceID=14","22700000")</f>
        <v>22700000</v>
      </c>
      <c r="G961" s="4" t="str">
        <f>HYPERLINK("http://141.218.60.56/~jnz1568/getInfo.php?workbook=14_09.xlsx&amp;sheet=A0&amp;row=961&amp;col=7&amp;number=0&amp;sourceID=14","0")</f>
        <v>0</v>
      </c>
    </row>
    <row r="962" spans="1:7">
      <c r="A962" s="3">
        <v>14</v>
      </c>
      <c r="B962" s="3">
        <v>9</v>
      </c>
      <c r="C962" s="3">
        <v>154</v>
      </c>
      <c r="D962" s="3">
        <v>16</v>
      </c>
      <c r="E962" s="3">
        <v>-261.589</v>
      </c>
      <c r="F962" s="4" t="str">
        <f>HYPERLINK("http://141.218.60.56/~jnz1568/getInfo.php?workbook=14_09.xlsx&amp;sheet=A0&amp;row=962&amp;col=6&amp;number=1000000000&amp;sourceID=14","1000000000")</f>
        <v>1000000000</v>
      </c>
      <c r="G962" s="4" t="str">
        <f>HYPERLINK("http://141.218.60.56/~jnz1568/getInfo.php?workbook=14_09.xlsx&amp;sheet=A0&amp;row=962&amp;col=7&amp;number=0&amp;sourceID=14","0")</f>
        <v>0</v>
      </c>
    </row>
    <row r="963" spans="1:7">
      <c r="A963" s="3">
        <v>14</v>
      </c>
      <c r="B963" s="3">
        <v>9</v>
      </c>
      <c r="C963" s="3">
        <v>155</v>
      </c>
      <c r="D963" s="3">
        <v>16</v>
      </c>
      <c r="E963" s="3">
        <v>-261.141</v>
      </c>
      <c r="F963" s="4" t="str">
        <f>HYPERLINK("http://141.218.60.56/~jnz1568/getInfo.php?workbook=14_09.xlsx&amp;sheet=A0&amp;row=963&amp;col=6&amp;number=5620000000&amp;sourceID=14","5620000000")</f>
        <v>5620000000</v>
      </c>
      <c r="G963" s="4" t="str">
        <f>HYPERLINK("http://141.218.60.56/~jnz1568/getInfo.php?workbook=14_09.xlsx&amp;sheet=A0&amp;row=963&amp;col=7&amp;number=0&amp;sourceID=14","0")</f>
        <v>0</v>
      </c>
    </row>
    <row r="964" spans="1:7">
      <c r="A964" s="3">
        <v>14</v>
      </c>
      <c r="B964" s="3">
        <v>9</v>
      </c>
      <c r="C964" s="3">
        <v>156</v>
      </c>
      <c r="D964" s="3">
        <v>16</v>
      </c>
      <c r="E964" s="3">
        <v>-260.513</v>
      </c>
      <c r="F964" s="4" t="str">
        <f>HYPERLINK("http://141.218.60.56/~jnz1568/getInfo.php?workbook=14_09.xlsx&amp;sheet=A0&amp;row=964&amp;col=6&amp;number=1220000&amp;sourceID=14","1220000")</f>
        <v>1220000</v>
      </c>
      <c r="G964" s="4" t="str">
        <f>HYPERLINK("http://141.218.60.56/~jnz1568/getInfo.php?workbook=14_09.xlsx&amp;sheet=A0&amp;row=964&amp;col=7&amp;number=0&amp;sourceID=14","0")</f>
        <v>0</v>
      </c>
    </row>
    <row r="965" spans="1:7">
      <c r="A965" s="3">
        <v>14</v>
      </c>
      <c r="B965" s="3">
        <v>9</v>
      </c>
      <c r="C965" s="3">
        <v>157</v>
      </c>
      <c r="D965" s="3">
        <v>16</v>
      </c>
      <c r="E965" s="3">
        <v>-258.788</v>
      </c>
      <c r="F965" s="4" t="str">
        <f>HYPERLINK("http://141.218.60.56/~jnz1568/getInfo.php?workbook=14_09.xlsx&amp;sheet=A0&amp;row=965&amp;col=6&amp;number=191000000&amp;sourceID=14","191000000")</f>
        <v>191000000</v>
      </c>
      <c r="G965" s="4" t="str">
        <f>HYPERLINK("http://141.218.60.56/~jnz1568/getInfo.php?workbook=14_09.xlsx&amp;sheet=A0&amp;row=965&amp;col=7&amp;number=0&amp;sourceID=14","0")</f>
        <v>0</v>
      </c>
    </row>
    <row r="966" spans="1:7">
      <c r="A966" s="3">
        <v>14</v>
      </c>
      <c r="B966" s="3">
        <v>9</v>
      </c>
      <c r="C966" s="3">
        <v>158</v>
      </c>
      <c r="D966" s="3">
        <v>16</v>
      </c>
      <c r="E966" s="3">
        <v>-258.432</v>
      </c>
      <c r="F966" s="4" t="str">
        <f>HYPERLINK("http://141.218.60.56/~jnz1568/getInfo.php?workbook=14_09.xlsx&amp;sheet=A0&amp;row=966&amp;col=6&amp;number=44700000&amp;sourceID=14","44700000")</f>
        <v>44700000</v>
      </c>
      <c r="G966" s="4" t="str">
        <f>HYPERLINK("http://141.218.60.56/~jnz1568/getInfo.php?workbook=14_09.xlsx&amp;sheet=A0&amp;row=966&amp;col=7&amp;number=0&amp;sourceID=14","0")</f>
        <v>0</v>
      </c>
    </row>
    <row r="967" spans="1:7">
      <c r="A967" s="3">
        <v>14</v>
      </c>
      <c r="B967" s="3">
        <v>9</v>
      </c>
      <c r="C967" s="3">
        <v>161</v>
      </c>
      <c r="D967" s="3">
        <v>16</v>
      </c>
      <c r="E967" s="3">
        <v>-236.178</v>
      </c>
      <c r="F967" s="4" t="str">
        <f>HYPERLINK("http://141.218.60.56/~jnz1568/getInfo.php?workbook=14_09.xlsx&amp;sheet=A0&amp;row=967&amp;col=6&amp;number=3020000&amp;sourceID=14","3020000")</f>
        <v>3020000</v>
      </c>
      <c r="G967" s="4" t="str">
        <f>HYPERLINK("http://141.218.60.56/~jnz1568/getInfo.php?workbook=14_09.xlsx&amp;sheet=A0&amp;row=967&amp;col=7&amp;number=0&amp;sourceID=14","0")</f>
        <v>0</v>
      </c>
    </row>
    <row r="968" spans="1:7">
      <c r="A968" s="3">
        <v>14</v>
      </c>
      <c r="B968" s="3">
        <v>9</v>
      </c>
      <c r="C968" s="3">
        <v>186</v>
      </c>
      <c r="D968" s="3">
        <v>16</v>
      </c>
      <c r="E968" s="3">
        <v>-188.725</v>
      </c>
      <c r="F968" s="4" t="str">
        <f>HYPERLINK("http://141.218.60.56/~jnz1568/getInfo.php?workbook=14_09.xlsx&amp;sheet=A0&amp;row=968&amp;col=6&amp;number=3430000&amp;sourceID=14","3430000")</f>
        <v>3430000</v>
      </c>
      <c r="G968" s="4" t="str">
        <f>HYPERLINK("http://141.218.60.56/~jnz1568/getInfo.php?workbook=14_09.xlsx&amp;sheet=A0&amp;row=968&amp;col=7&amp;number=0&amp;sourceID=14","0")</f>
        <v>0</v>
      </c>
    </row>
    <row r="969" spans="1:7">
      <c r="A969" s="3">
        <v>14</v>
      </c>
      <c r="B969" s="3">
        <v>9</v>
      </c>
      <c r="C969" s="3">
        <v>187</v>
      </c>
      <c r="D969" s="3">
        <v>16</v>
      </c>
      <c r="E969" s="3">
        <v>-186.995</v>
      </c>
      <c r="F969" s="4" t="str">
        <f>HYPERLINK("http://141.218.60.56/~jnz1568/getInfo.php?workbook=14_09.xlsx&amp;sheet=A0&amp;row=969&amp;col=6&amp;number=20900000&amp;sourceID=14","20900000")</f>
        <v>20900000</v>
      </c>
      <c r="G969" s="4" t="str">
        <f>HYPERLINK("http://141.218.60.56/~jnz1568/getInfo.php?workbook=14_09.xlsx&amp;sheet=A0&amp;row=969&amp;col=7&amp;number=0&amp;sourceID=14","0")</f>
        <v>0</v>
      </c>
    </row>
    <row r="970" spans="1:7">
      <c r="A970" s="3">
        <v>14</v>
      </c>
      <c r="B970" s="3">
        <v>9</v>
      </c>
      <c r="C970" s="3">
        <v>188</v>
      </c>
      <c r="D970" s="3">
        <v>16</v>
      </c>
      <c r="E970" s="3">
        <v>-186.885</v>
      </c>
      <c r="F970" s="4" t="str">
        <f>HYPERLINK("http://141.218.60.56/~jnz1568/getInfo.php?workbook=14_09.xlsx&amp;sheet=A0&amp;row=970&amp;col=6&amp;number=2340000&amp;sourceID=14","2340000")</f>
        <v>2340000</v>
      </c>
      <c r="G970" s="4" t="str">
        <f>HYPERLINK("http://141.218.60.56/~jnz1568/getInfo.php?workbook=14_09.xlsx&amp;sheet=A0&amp;row=970&amp;col=7&amp;number=0&amp;sourceID=14","0")</f>
        <v>0</v>
      </c>
    </row>
    <row r="971" spans="1:7">
      <c r="A971" s="3">
        <v>14</v>
      </c>
      <c r="B971" s="3">
        <v>9</v>
      </c>
      <c r="C971" s="3">
        <v>33</v>
      </c>
      <c r="D971" s="3">
        <v>17</v>
      </c>
      <c r="E971" s="3">
        <v>1013.924</v>
      </c>
      <c r="F971" s="4" t="str">
        <f>HYPERLINK("http://141.218.60.56/~jnz1568/getInfo.php?workbook=14_09.xlsx&amp;sheet=A0&amp;row=971&amp;col=6&amp;number=67100000&amp;sourceID=14","67100000")</f>
        <v>67100000</v>
      </c>
      <c r="G971" s="4" t="str">
        <f>HYPERLINK("http://141.218.60.56/~jnz1568/getInfo.php?workbook=14_09.xlsx&amp;sheet=A0&amp;row=971&amp;col=7&amp;number=0&amp;sourceID=14","0")</f>
        <v>0</v>
      </c>
    </row>
    <row r="972" spans="1:7">
      <c r="A972" s="3">
        <v>14</v>
      </c>
      <c r="B972" s="3">
        <v>9</v>
      </c>
      <c r="C972" s="3">
        <v>34</v>
      </c>
      <c r="D972" s="3">
        <v>17</v>
      </c>
      <c r="E972" s="3">
        <v>1007.007</v>
      </c>
      <c r="F972" s="4" t="str">
        <f>HYPERLINK("http://141.218.60.56/~jnz1568/getInfo.php?workbook=14_09.xlsx&amp;sheet=A0&amp;row=972&amp;col=6&amp;number=143000000&amp;sourceID=14","143000000")</f>
        <v>143000000</v>
      </c>
      <c r="G972" s="4" t="str">
        <f>HYPERLINK("http://141.218.60.56/~jnz1568/getInfo.php?workbook=14_09.xlsx&amp;sheet=A0&amp;row=972&amp;col=7&amp;number=0&amp;sourceID=14","0")</f>
        <v>0</v>
      </c>
    </row>
    <row r="973" spans="1:7">
      <c r="A973" s="3">
        <v>14</v>
      </c>
      <c r="B973" s="3">
        <v>9</v>
      </c>
      <c r="C973" s="3">
        <v>38</v>
      </c>
      <c r="D973" s="3">
        <v>17</v>
      </c>
      <c r="E973" s="3">
        <v>-895.89</v>
      </c>
      <c r="F973" s="4" t="str">
        <f>HYPERLINK("http://141.218.60.56/~jnz1568/getInfo.php?workbook=14_09.xlsx&amp;sheet=A0&amp;row=973&amp;col=6&amp;number=1880000000&amp;sourceID=14","1880000000")</f>
        <v>1880000000</v>
      </c>
      <c r="G973" s="4" t="str">
        <f>HYPERLINK("http://141.218.60.56/~jnz1568/getInfo.php?workbook=14_09.xlsx&amp;sheet=A0&amp;row=973&amp;col=7&amp;number=0&amp;sourceID=14","0")</f>
        <v>0</v>
      </c>
    </row>
    <row r="974" spans="1:7">
      <c r="A974" s="3">
        <v>14</v>
      </c>
      <c r="B974" s="3">
        <v>9</v>
      </c>
      <c r="C974" s="3">
        <v>39</v>
      </c>
      <c r="D974" s="3">
        <v>17</v>
      </c>
      <c r="E974" s="3">
        <v>893.789</v>
      </c>
      <c r="F974" s="4" t="str">
        <f>HYPERLINK("http://141.218.60.56/~jnz1568/getInfo.php?workbook=14_09.xlsx&amp;sheet=A0&amp;row=974&amp;col=6&amp;number=73900000&amp;sourceID=14","73900000")</f>
        <v>73900000</v>
      </c>
      <c r="G974" s="4" t="str">
        <f>HYPERLINK("http://141.218.60.56/~jnz1568/getInfo.php?workbook=14_09.xlsx&amp;sheet=A0&amp;row=974&amp;col=7&amp;number=0&amp;sourceID=14","0")</f>
        <v>0</v>
      </c>
    </row>
    <row r="975" spans="1:7">
      <c r="A975" s="3">
        <v>14</v>
      </c>
      <c r="B975" s="3">
        <v>9</v>
      </c>
      <c r="C975" s="3">
        <v>40</v>
      </c>
      <c r="D975" s="3">
        <v>17</v>
      </c>
      <c r="E975" s="3">
        <v>885.166</v>
      </c>
      <c r="F975" s="4" t="str">
        <f>HYPERLINK("http://141.218.60.56/~jnz1568/getInfo.php?workbook=14_09.xlsx&amp;sheet=A0&amp;row=975&amp;col=6&amp;number=113000000&amp;sourceID=14","113000000")</f>
        <v>113000000</v>
      </c>
      <c r="G975" s="4" t="str">
        <f>HYPERLINK("http://141.218.60.56/~jnz1568/getInfo.php?workbook=14_09.xlsx&amp;sheet=A0&amp;row=975&amp;col=7&amp;number=0&amp;sourceID=14","0")</f>
        <v>0</v>
      </c>
    </row>
    <row r="976" spans="1:7">
      <c r="A976" s="3">
        <v>14</v>
      </c>
      <c r="B976" s="3">
        <v>9</v>
      </c>
      <c r="C976" s="3">
        <v>47</v>
      </c>
      <c r="D976" s="3">
        <v>17</v>
      </c>
      <c r="E976" s="3">
        <v>-834.044</v>
      </c>
      <c r="F976" s="4" t="str">
        <f>HYPERLINK("http://141.218.60.56/~jnz1568/getInfo.php?workbook=14_09.xlsx&amp;sheet=A0&amp;row=976&amp;col=6&amp;number=3070000&amp;sourceID=14","3070000")</f>
        <v>3070000</v>
      </c>
      <c r="G976" s="4" t="str">
        <f>HYPERLINK("http://141.218.60.56/~jnz1568/getInfo.php?workbook=14_09.xlsx&amp;sheet=A0&amp;row=976&amp;col=7&amp;number=0&amp;sourceID=14","0")</f>
        <v>0</v>
      </c>
    </row>
    <row r="977" spans="1:7">
      <c r="A977" s="3">
        <v>14</v>
      </c>
      <c r="B977" s="3">
        <v>9</v>
      </c>
      <c r="C977" s="3">
        <v>49</v>
      </c>
      <c r="D977" s="3">
        <v>17</v>
      </c>
      <c r="E977" s="3">
        <v>-810.44</v>
      </c>
      <c r="F977" s="4" t="str">
        <f>HYPERLINK("http://141.218.60.56/~jnz1568/getInfo.php?workbook=14_09.xlsx&amp;sheet=A0&amp;row=977&amp;col=6&amp;number=1460000&amp;sourceID=14","1460000")</f>
        <v>1460000</v>
      </c>
      <c r="G977" s="4" t="str">
        <f>HYPERLINK("http://141.218.60.56/~jnz1568/getInfo.php?workbook=14_09.xlsx&amp;sheet=A0&amp;row=977&amp;col=7&amp;number=0&amp;sourceID=14","0")</f>
        <v>0</v>
      </c>
    </row>
    <row r="978" spans="1:7">
      <c r="A978" s="3">
        <v>14</v>
      </c>
      <c r="B978" s="3">
        <v>9</v>
      </c>
      <c r="C978" s="3">
        <v>62</v>
      </c>
      <c r="D978" s="3">
        <v>17</v>
      </c>
      <c r="E978" s="3">
        <v>-412.651</v>
      </c>
      <c r="F978" s="4" t="str">
        <f>HYPERLINK("http://141.218.60.56/~jnz1568/getInfo.php?workbook=14_09.xlsx&amp;sheet=A0&amp;row=978&amp;col=6&amp;number=186000000&amp;sourceID=14","186000000")</f>
        <v>186000000</v>
      </c>
      <c r="G978" s="4" t="str">
        <f>HYPERLINK("http://141.218.60.56/~jnz1568/getInfo.php?workbook=14_09.xlsx&amp;sheet=A0&amp;row=978&amp;col=7&amp;number=0&amp;sourceID=14","0")</f>
        <v>0</v>
      </c>
    </row>
    <row r="979" spans="1:7">
      <c r="A979" s="3">
        <v>14</v>
      </c>
      <c r="B979" s="3">
        <v>9</v>
      </c>
      <c r="C979" s="3">
        <v>63</v>
      </c>
      <c r="D979" s="3">
        <v>17</v>
      </c>
      <c r="E979" s="3">
        <v>-408.746</v>
      </c>
      <c r="F979" s="4" t="str">
        <f>HYPERLINK("http://141.218.60.56/~jnz1568/getInfo.php?workbook=14_09.xlsx&amp;sheet=A0&amp;row=979&amp;col=6&amp;number=3110000000&amp;sourceID=14","3110000000")</f>
        <v>3110000000</v>
      </c>
      <c r="G979" s="4" t="str">
        <f>HYPERLINK("http://141.218.60.56/~jnz1568/getInfo.php?workbook=14_09.xlsx&amp;sheet=A0&amp;row=979&amp;col=7&amp;number=0&amp;sourceID=14","0")</f>
        <v>0</v>
      </c>
    </row>
    <row r="980" spans="1:7">
      <c r="A980" s="3">
        <v>14</v>
      </c>
      <c r="B980" s="3">
        <v>9</v>
      </c>
      <c r="C980" s="3">
        <v>64</v>
      </c>
      <c r="D980" s="3">
        <v>17</v>
      </c>
      <c r="E980" s="3">
        <v>-406.465</v>
      </c>
      <c r="F980" s="4" t="str">
        <f>HYPERLINK("http://141.218.60.56/~jnz1568/getInfo.php?workbook=14_09.xlsx&amp;sheet=A0&amp;row=980&amp;col=6&amp;number=32000000&amp;sourceID=14","32000000")</f>
        <v>32000000</v>
      </c>
      <c r="G980" s="4" t="str">
        <f>HYPERLINK("http://141.218.60.56/~jnz1568/getInfo.php?workbook=14_09.xlsx&amp;sheet=A0&amp;row=980&amp;col=7&amp;number=0&amp;sourceID=14","0")</f>
        <v>0</v>
      </c>
    </row>
    <row r="981" spans="1:7">
      <c r="A981" s="3">
        <v>14</v>
      </c>
      <c r="B981" s="3">
        <v>9</v>
      </c>
      <c r="C981" s="3">
        <v>65</v>
      </c>
      <c r="D981" s="3">
        <v>17</v>
      </c>
      <c r="E981" s="3">
        <v>-401.212</v>
      </c>
      <c r="F981" s="4" t="str">
        <f>HYPERLINK("http://141.218.60.56/~jnz1568/getInfo.php?workbook=14_09.xlsx&amp;sheet=A0&amp;row=981&amp;col=6&amp;number=69600000&amp;sourceID=14","69600000")</f>
        <v>69600000</v>
      </c>
      <c r="G981" s="4" t="str">
        <f>HYPERLINK("http://141.218.60.56/~jnz1568/getInfo.php?workbook=14_09.xlsx&amp;sheet=A0&amp;row=981&amp;col=7&amp;number=0&amp;sourceID=14","0")</f>
        <v>0</v>
      </c>
    </row>
    <row r="982" spans="1:7">
      <c r="A982" s="3">
        <v>14</v>
      </c>
      <c r="B982" s="3">
        <v>9</v>
      </c>
      <c r="C982" s="3">
        <v>88</v>
      </c>
      <c r="D982" s="3">
        <v>17</v>
      </c>
      <c r="E982" s="3">
        <v>-322.163</v>
      </c>
      <c r="F982" s="4" t="str">
        <f>HYPERLINK("http://141.218.60.56/~jnz1568/getInfo.php?workbook=14_09.xlsx&amp;sheet=A0&amp;row=982&amp;col=6&amp;number=133000000&amp;sourceID=14","133000000")</f>
        <v>133000000</v>
      </c>
      <c r="G982" s="4" t="str">
        <f>HYPERLINK("http://141.218.60.56/~jnz1568/getInfo.php?workbook=14_09.xlsx&amp;sheet=A0&amp;row=982&amp;col=7&amp;number=0&amp;sourceID=14","0")</f>
        <v>0</v>
      </c>
    </row>
    <row r="983" spans="1:7">
      <c r="A983" s="3">
        <v>14</v>
      </c>
      <c r="B983" s="3">
        <v>9</v>
      </c>
      <c r="C983" s="3">
        <v>89</v>
      </c>
      <c r="D983" s="3">
        <v>17</v>
      </c>
      <c r="E983" s="3">
        <v>-321.406</v>
      </c>
      <c r="F983" s="4" t="str">
        <f>HYPERLINK("http://141.218.60.56/~jnz1568/getInfo.php?workbook=14_09.xlsx&amp;sheet=A0&amp;row=983&amp;col=6&amp;number=565000000&amp;sourceID=14","565000000")</f>
        <v>565000000</v>
      </c>
      <c r="G983" s="4" t="str">
        <f>HYPERLINK("http://141.218.60.56/~jnz1568/getInfo.php?workbook=14_09.xlsx&amp;sheet=A0&amp;row=983&amp;col=7&amp;number=0&amp;sourceID=14","0")</f>
        <v>0</v>
      </c>
    </row>
    <row r="984" spans="1:7">
      <c r="A984" s="3">
        <v>14</v>
      </c>
      <c r="B984" s="3">
        <v>9</v>
      </c>
      <c r="C984" s="3">
        <v>92</v>
      </c>
      <c r="D984" s="3">
        <v>17</v>
      </c>
      <c r="E984" s="3">
        <v>-318.222</v>
      </c>
      <c r="F984" s="4" t="str">
        <f>HYPERLINK("http://141.218.60.56/~jnz1568/getInfo.php?workbook=14_09.xlsx&amp;sheet=A0&amp;row=984&amp;col=6&amp;number=91200000&amp;sourceID=14","91200000")</f>
        <v>91200000</v>
      </c>
      <c r="G984" s="4" t="str">
        <f>HYPERLINK("http://141.218.60.56/~jnz1568/getInfo.php?workbook=14_09.xlsx&amp;sheet=A0&amp;row=984&amp;col=7&amp;number=0&amp;sourceID=14","0")</f>
        <v>0</v>
      </c>
    </row>
    <row r="985" spans="1:7">
      <c r="A985" s="3">
        <v>14</v>
      </c>
      <c r="B985" s="3">
        <v>9</v>
      </c>
      <c r="C985" s="3">
        <v>94</v>
      </c>
      <c r="D985" s="3">
        <v>17</v>
      </c>
      <c r="E985" s="3">
        <v>-317.158</v>
      </c>
      <c r="F985" s="4" t="str">
        <f>HYPERLINK("http://141.218.60.56/~jnz1568/getInfo.php?workbook=14_09.xlsx&amp;sheet=A0&amp;row=985&amp;col=6&amp;number=102000000&amp;sourceID=14","102000000")</f>
        <v>102000000</v>
      </c>
      <c r="G985" s="4" t="str">
        <f>HYPERLINK("http://141.218.60.56/~jnz1568/getInfo.php?workbook=14_09.xlsx&amp;sheet=A0&amp;row=985&amp;col=7&amp;number=0&amp;sourceID=14","0")</f>
        <v>0</v>
      </c>
    </row>
    <row r="986" spans="1:7">
      <c r="A986" s="3">
        <v>14</v>
      </c>
      <c r="B986" s="3">
        <v>9</v>
      </c>
      <c r="C986" s="3">
        <v>96</v>
      </c>
      <c r="D986" s="3">
        <v>17</v>
      </c>
      <c r="E986" s="3">
        <v>-315.821</v>
      </c>
      <c r="F986" s="4" t="str">
        <f>HYPERLINK("http://141.218.60.56/~jnz1568/getInfo.php?workbook=14_09.xlsx&amp;sheet=A0&amp;row=986&amp;col=6&amp;number=3130000000&amp;sourceID=14","3130000000")</f>
        <v>3130000000</v>
      </c>
      <c r="G986" s="4" t="str">
        <f>HYPERLINK("http://141.218.60.56/~jnz1568/getInfo.php?workbook=14_09.xlsx&amp;sheet=A0&amp;row=986&amp;col=7&amp;number=0&amp;sourceID=14","0")</f>
        <v>0</v>
      </c>
    </row>
    <row r="987" spans="1:7">
      <c r="A987" s="3">
        <v>14</v>
      </c>
      <c r="B987" s="3">
        <v>9</v>
      </c>
      <c r="C987" s="3">
        <v>99</v>
      </c>
      <c r="D987" s="3">
        <v>17</v>
      </c>
      <c r="E987" s="3">
        <v>-313.069</v>
      </c>
      <c r="F987" s="4" t="str">
        <f>HYPERLINK("http://141.218.60.56/~jnz1568/getInfo.php?workbook=14_09.xlsx&amp;sheet=A0&amp;row=987&amp;col=6&amp;number=14000000&amp;sourceID=14","14000000")</f>
        <v>14000000</v>
      </c>
      <c r="G987" s="4" t="str">
        <f>HYPERLINK("http://141.218.60.56/~jnz1568/getInfo.php?workbook=14_09.xlsx&amp;sheet=A0&amp;row=987&amp;col=7&amp;number=0&amp;sourceID=14","0")</f>
        <v>0</v>
      </c>
    </row>
    <row r="988" spans="1:7">
      <c r="A988" s="3">
        <v>14</v>
      </c>
      <c r="B988" s="3">
        <v>9</v>
      </c>
      <c r="C988" s="3">
        <v>100</v>
      </c>
      <c r="D988" s="3">
        <v>17</v>
      </c>
      <c r="E988" s="3">
        <v>-312.362</v>
      </c>
      <c r="F988" s="4" t="str">
        <f>HYPERLINK("http://141.218.60.56/~jnz1568/getInfo.php?workbook=14_09.xlsx&amp;sheet=A0&amp;row=988&amp;col=6&amp;number=13000000&amp;sourceID=14","13000000")</f>
        <v>13000000</v>
      </c>
      <c r="G988" s="4" t="str">
        <f>HYPERLINK("http://141.218.60.56/~jnz1568/getInfo.php?workbook=14_09.xlsx&amp;sheet=A0&amp;row=988&amp;col=7&amp;number=0&amp;sourceID=14","0")</f>
        <v>0</v>
      </c>
    </row>
    <row r="989" spans="1:7">
      <c r="A989" s="3">
        <v>14</v>
      </c>
      <c r="B989" s="3">
        <v>9</v>
      </c>
      <c r="C989" s="3">
        <v>110</v>
      </c>
      <c r="D989" s="3">
        <v>17</v>
      </c>
      <c r="E989" s="3">
        <v>-309.114</v>
      </c>
      <c r="F989" s="4" t="str">
        <f>HYPERLINK("http://141.218.60.56/~jnz1568/getInfo.php?workbook=14_09.xlsx&amp;sheet=A0&amp;row=989&amp;col=6&amp;number=17200000&amp;sourceID=14","17200000")</f>
        <v>17200000</v>
      </c>
      <c r="G989" s="4" t="str">
        <f>HYPERLINK("http://141.218.60.56/~jnz1568/getInfo.php?workbook=14_09.xlsx&amp;sheet=A0&amp;row=989&amp;col=7&amp;number=0&amp;sourceID=14","0")</f>
        <v>0</v>
      </c>
    </row>
    <row r="990" spans="1:7">
      <c r="A990" s="3">
        <v>14</v>
      </c>
      <c r="B990" s="3">
        <v>9</v>
      </c>
      <c r="C990" s="3">
        <v>122</v>
      </c>
      <c r="D990" s="3">
        <v>17</v>
      </c>
      <c r="E990" s="3">
        <v>-305.27</v>
      </c>
      <c r="F990" s="4" t="str">
        <f>HYPERLINK("http://141.218.60.56/~jnz1568/getInfo.php?workbook=14_09.xlsx&amp;sheet=A0&amp;row=990&amp;col=6&amp;number=226000&amp;sourceID=14","226000")</f>
        <v>226000</v>
      </c>
      <c r="G990" s="4" t="str">
        <f>HYPERLINK("http://141.218.60.56/~jnz1568/getInfo.php?workbook=14_09.xlsx&amp;sheet=A0&amp;row=990&amp;col=7&amp;number=0&amp;sourceID=14","0")</f>
        <v>0</v>
      </c>
    </row>
    <row r="991" spans="1:7">
      <c r="A991" s="3">
        <v>14</v>
      </c>
      <c r="B991" s="3">
        <v>9</v>
      </c>
      <c r="C991" s="3">
        <v>124</v>
      </c>
      <c r="D991" s="3">
        <v>17</v>
      </c>
      <c r="E991" s="3">
        <v>-304.223</v>
      </c>
      <c r="F991" s="4" t="str">
        <f>HYPERLINK("http://141.218.60.56/~jnz1568/getInfo.php?workbook=14_09.xlsx&amp;sheet=A0&amp;row=991&amp;col=6&amp;number=526000&amp;sourceID=14","526000")</f>
        <v>526000</v>
      </c>
      <c r="G991" s="4" t="str">
        <f>HYPERLINK("http://141.218.60.56/~jnz1568/getInfo.php?workbook=14_09.xlsx&amp;sheet=A0&amp;row=991&amp;col=7&amp;number=0&amp;sourceID=14","0")</f>
        <v>0</v>
      </c>
    </row>
    <row r="992" spans="1:7">
      <c r="A992" s="3">
        <v>14</v>
      </c>
      <c r="B992" s="3">
        <v>9</v>
      </c>
      <c r="C992" s="3">
        <v>128</v>
      </c>
      <c r="D992" s="3">
        <v>17</v>
      </c>
      <c r="E992" s="3">
        <v>-279.931</v>
      </c>
      <c r="F992" s="4" t="str">
        <f>HYPERLINK("http://141.218.60.56/~jnz1568/getInfo.php?workbook=14_09.xlsx&amp;sheet=A0&amp;row=992&amp;col=6&amp;number=4020000&amp;sourceID=14","4020000")</f>
        <v>4020000</v>
      </c>
      <c r="G992" s="4" t="str">
        <f>HYPERLINK("http://141.218.60.56/~jnz1568/getInfo.php?workbook=14_09.xlsx&amp;sheet=A0&amp;row=992&amp;col=7&amp;number=0&amp;sourceID=14","0")</f>
        <v>0</v>
      </c>
    </row>
    <row r="993" spans="1:7">
      <c r="A993" s="3">
        <v>14</v>
      </c>
      <c r="B993" s="3">
        <v>9</v>
      </c>
      <c r="C993" s="3">
        <v>136</v>
      </c>
      <c r="D993" s="3">
        <v>17</v>
      </c>
      <c r="E993" s="3">
        <v>-274.8</v>
      </c>
      <c r="F993" s="4" t="str">
        <f>HYPERLINK("http://141.218.60.56/~jnz1568/getInfo.php?workbook=14_09.xlsx&amp;sheet=A0&amp;row=993&amp;col=6&amp;number=1630000&amp;sourceID=14","1630000")</f>
        <v>1630000</v>
      </c>
      <c r="G993" s="4" t="str">
        <f>HYPERLINK("http://141.218.60.56/~jnz1568/getInfo.php?workbook=14_09.xlsx&amp;sheet=A0&amp;row=993&amp;col=7&amp;number=0&amp;sourceID=14","0")</f>
        <v>0</v>
      </c>
    </row>
    <row r="994" spans="1:7">
      <c r="A994" s="3">
        <v>14</v>
      </c>
      <c r="B994" s="3">
        <v>9</v>
      </c>
      <c r="C994" s="3">
        <v>148</v>
      </c>
      <c r="D994" s="3">
        <v>17</v>
      </c>
      <c r="E994" s="3">
        <v>-268.636</v>
      </c>
      <c r="F994" s="4" t="str">
        <f>HYPERLINK("http://141.218.60.56/~jnz1568/getInfo.php?workbook=14_09.xlsx&amp;sheet=A0&amp;row=994&amp;col=6&amp;number=3720000000&amp;sourceID=14","3720000000")</f>
        <v>3720000000</v>
      </c>
      <c r="G994" s="4" t="str">
        <f>HYPERLINK("http://141.218.60.56/~jnz1568/getInfo.php?workbook=14_09.xlsx&amp;sheet=A0&amp;row=994&amp;col=7&amp;number=0&amp;sourceID=14","0")</f>
        <v>0</v>
      </c>
    </row>
    <row r="995" spans="1:7">
      <c r="A995" s="3">
        <v>14</v>
      </c>
      <c r="B995" s="3">
        <v>9</v>
      </c>
      <c r="C995" s="3">
        <v>151</v>
      </c>
      <c r="D995" s="3">
        <v>17</v>
      </c>
      <c r="E995" s="3">
        <v>-267.866</v>
      </c>
      <c r="F995" s="4" t="str">
        <f>HYPERLINK("http://141.218.60.56/~jnz1568/getInfo.php?workbook=14_09.xlsx&amp;sheet=A0&amp;row=995&amp;col=6&amp;number=7060000000&amp;sourceID=14","7060000000")</f>
        <v>7060000000</v>
      </c>
      <c r="G995" s="4" t="str">
        <f>HYPERLINK("http://141.218.60.56/~jnz1568/getInfo.php?workbook=14_09.xlsx&amp;sheet=A0&amp;row=995&amp;col=7&amp;number=0&amp;sourceID=14","0")</f>
        <v>0</v>
      </c>
    </row>
    <row r="996" spans="1:7">
      <c r="A996" s="3">
        <v>14</v>
      </c>
      <c r="B996" s="3">
        <v>9</v>
      </c>
      <c r="C996" s="3">
        <v>154</v>
      </c>
      <c r="D996" s="3">
        <v>17</v>
      </c>
      <c r="E996" s="3">
        <v>-262.144</v>
      </c>
      <c r="F996" s="4" t="str">
        <f>HYPERLINK("http://141.218.60.56/~jnz1568/getInfo.php?workbook=14_09.xlsx&amp;sheet=A0&amp;row=996&amp;col=6&amp;number=37500000&amp;sourceID=14","37500000")</f>
        <v>37500000</v>
      </c>
      <c r="G996" s="4" t="str">
        <f>HYPERLINK("http://141.218.60.56/~jnz1568/getInfo.php?workbook=14_09.xlsx&amp;sheet=A0&amp;row=996&amp;col=7&amp;number=0&amp;sourceID=14","0")</f>
        <v>0</v>
      </c>
    </row>
    <row r="997" spans="1:7">
      <c r="A997" s="3">
        <v>14</v>
      </c>
      <c r="B997" s="3">
        <v>9</v>
      </c>
      <c r="C997" s="3">
        <v>155</v>
      </c>
      <c r="D997" s="3">
        <v>17</v>
      </c>
      <c r="E997" s="3">
        <v>-261.693</v>
      </c>
      <c r="F997" s="4" t="str">
        <f>HYPERLINK("http://141.218.60.56/~jnz1568/getInfo.php?workbook=14_09.xlsx&amp;sheet=A0&amp;row=997&amp;col=6&amp;number=2790000000&amp;sourceID=14","2790000000")</f>
        <v>2790000000</v>
      </c>
      <c r="G997" s="4" t="str">
        <f>HYPERLINK("http://141.218.60.56/~jnz1568/getInfo.php?workbook=14_09.xlsx&amp;sheet=A0&amp;row=997&amp;col=7&amp;number=0&amp;sourceID=14","0")</f>
        <v>0</v>
      </c>
    </row>
    <row r="998" spans="1:7">
      <c r="A998" s="3">
        <v>14</v>
      </c>
      <c r="B998" s="3">
        <v>9</v>
      </c>
      <c r="C998" s="3">
        <v>156</v>
      </c>
      <c r="D998" s="3">
        <v>17</v>
      </c>
      <c r="E998" s="3">
        <v>-261.062</v>
      </c>
      <c r="F998" s="4" t="str">
        <f>HYPERLINK("http://141.218.60.56/~jnz1568/getInfo.php?workbook=14_09.xlsx&amp;sheet=A0&amp;row=998&amp;col=6&amp;number=102000000&amp;sourceID=14","102000000")</f>
        <v>102000000</v>
      </c>
      <c r="G998" s="4" t="str">
        <f>HYPERLINK("http://141.218.60.56/~jnz1568/getInfo.php?workbook=14_09.xlsx&amp;sheet=A0&amp;row=998&amp;col=7&amp;number=0&amp;sourceID=14","0")</f>
        <v>0</v>
      </c>
    </row>
    <row r="999" spans="1:7">
      <c r="A999" s="3">
        <v>14</v>
      </c>
      <c r="B999" s="3">
        <v>9</v>
      </c>
      <c r="C999" s="3">
        <v>158</v>
      </c>
      <c r="D999" s="3">
        <v>17</v>
      </c>
      <c r="E999" s="3">
        <v>-258.973</v>
      </c>
      <c r="F999" s="4" t="str">
        <f>HYPERLINK("http://141.218.60.56/~jnz1568/getInfo.php?workbook=14_09.xlsx&amp;sheet=A0&amp;row=999&amp;col=6&amp;number=104000000&amp;sourceID=14","104000000")</f>
        <v>104000000</v>
      </c>
      <c r="G999" s="4" t="str">
        <f>HYPERLINK("http://141.218.60.56/~jnz1568/getInfo.php?workbook=14_09.xlsx&amp;sheet=A0&amp;row=999&amp;col=7&amp;number=0&amp;sourceID=14","0")</f>
        <v>0</v>
      </c>
    </row>
    <row r="1000" spans="1:7">
      <c r="A1000" s="3">
        <v>14</v>
      </c>
      <c r="B1000" s="3">
        <v>9</v>
      </c>
      <c r="C1000" s="3">
        <v>161</v>
      </c>
      <c r="D1000" s="3">
        <v>17</v>
      </c>
      <c r="E1000" s="3">
        <v>-236.629</v>
      </c>
      <c r="F1000" s="4" t="str">
        <f>HYPERLINK("http://141.218.60.56/~jnz1568/getInfo.php?workbook=14_09.xlsx&amp;sheet=A0&amp;row=1000&amp;col=6&amp;number=4210000&amp;sourceID=14","4210000")</f>
        <v>4210000</v>
      </c>
      <c r="G1000" s="4" t="str">
        <f>HYPERLINK("http://141.218.60.56/~jnz1568/getInfo.php?workbook=14_09.xlsx&amp;sheet=A0&amp;row=1000&amp;col=7&amp;number=0&amp;sourceID=14","0")</f>
        <v>0</v>
      </c>
    </row>
    <row r="1001" spans="1:7">
      <c r="A1001" s="3">
        <v>14</v>
      </c>
      <c r="B1001" s="3">
        <v>9</v>
      </c>
      <c r="C1001" s="3">
        <v>185</v>
      </c>
      <c r="D1001" s="3">
        <v>17</v>
      </c>
      <c r="E1001" s="3">
        <v>-189.24</v>
      </c>
      <c r="F1001" s="4" t="str">
        <f>HYPERLINK("http://141.218.60.56/~jnz1568/getInfo.php?workbook=14_09.xlsx&amp;sheet=A0&amp;row=1001&amp;col=6&amp;number=7820000&amp;sourceID=14","7820000")</f>
        <v>7820000</v>
      </c>
      <c r="G1001" s="4" t="str">
        <f>HYPERLINK("http://141.218.60.56/~jnz1568/getInfo.php?workbook=14_09.xlsx&amp;sheet=A0&amp;row=1001&amp;col=7&amp;number=0&amp;sourceID=14","0")</f>
        <v>0</v>
      </c>
    </row>
    <row r="1002" spans="1:7">
      <c r="A1002" s="3">
        <v>14</v>
      </c>
      <c r="B1002" s="3">
        <v>9</v>
      </c>
      <c r="C1002" s="3">
        <v>187</v>
      </c>
      <c r="D1002" s="3">
        <v>17</v>
      </c>
      <c r="E1002" s="3">
        <v>-187.278</v>
      </c>
      <c r="F1002" s="4" t="str">
        <f>HYPERLINK("http://141.218.60.56/~jnz1568/getInfo.php?workbook=14_09.xlsx&amp;sheet=A0&amp;row=1002&amp;col=6&amp;number=12700000&amp;sourceID=14","12700000")</f>
        <v>12700000</v>
      </c>
      <c r="G1002" s="4" t="str">
        <f>HYPERLINK("http://141.218.60.56/~jnz1568/getInfo.php?workbook=14_09.xlsx&amp;sheet=A0&amp;row=1002&amp;col=7&amp;number=0&amp;sourceID=14","0")</f>
        <v>0</v>
      </c>
    </row>
    <row r="1003" spans="1:7">
      <c r="A1003" s="3">
        <v>14</v>
      </c>
      <c r="B1003" s="3">
        <v>9</v>
      </c>
      <c r="C1003" s="3">
        <v>188</v>
      </c>
      <c r="D1003" s="3">
        <v>17</v>
      </c>
      <c r="E1003" s="3">
        <v>-187.168</v>
      </c>
      <c r="F1003" s="4" t="str">
        <f>HYPERLINK("http://141.218.60.56/~jnz1568/getInfo.php?workbook=14_09.xlsx&amp;sheet=A0&amp;row=1003&amp;col=6&amp;number=2470000&amp;sourceID=14","2470000")</f>
        <v>2470000</v>
      </c>
      <c r="G1003" s="4" t="str">
        <f>HYPERLINK("http://141.218.60.56/~jnz1568/getInfo.php?workbook=14_09.xlsx&amp;sheet=A0&amp;row=1003&amp;col=7&amp;number=0&amp;sourceID=14","0")</f>
        <v>0</v>
      </c>
    </row>
    <row r="1004" spans="1:7">
      <c r="A1004" s="3">
        <v>14</v>
      </c>
      <c r="B1004" s="3">
        <v>9</v>
      </c>
      <c r="C1004" s="3">
        <v>189</v>
      </c>
      <c r="D1004" s="3">
        <v>17</v>
      </c>
      <c r="E1004" s="3">
        <v>-182.576</v>
      </c>
      <c r="F1004" s="4" t="str">
        <f>HYPERLINK("http://141.218.60.56/~jnz1568/getInfo.php?workbook=14_09.xlsx&amp;sheet=A0&amp;row=1004&amp;col=6&amp;number=1750000&amp;sourceID=14","1750000")</f>
        <v>1750000</v>
      </c>
      <c r="G1004" s="4" t="str">
        <f>HYPERLINK("http://141.218.60.56/~jnz1568/getInfo.php?workbook=14_09.xlsx&amp;sheet=A0&amp;row=1004&amp;col=7&amp;number=0&amp;sourceID=14","0")</f>
        <v>0</v>
      </c>
    </row>
    <row r="1005" spans="1:7">
      <c r="A1005" s="3">
        <v>14</v>
      </c>
      <c r="B1005" s="3">
        <v>9</v>
      </c>
      <c r="C1005" s="3">
        <v>31</v>
      </c>
      <c r="D1005" s="3">
        <v>18</v>
      </c>
      <c r="E1005" s="3">
        <v>1062.498</v>
      </c>
      <c r="F1005" s="4" t="str">
        <f>HYPERLINK("http://141.218.60.56/~jnz1568/getInfo.php?workbook=14_09.xlsx&amp;sheet=A0&amp;row=1005&amp;col=6&amp;number=113000&amp;sourceID=14","113000")</f>
        <v>113000</v>
      </c>
      <c r="G1005" s="4" t="str">
        <f>HYPERLINK("http://141.218.60.56/~jnz1568/getInfo.php?workbook=14_09.xlsx&amp;sheet=A0&amp;row=1005&amp;col=7&amp;number=0&amp;sourceID=14","0")</f>
        <v>0</v>
      </c>
    </row>
    <row r="1006" spans="1:7">
      <c r="A1006" s="3">
        <v>14</v>
      </c>
      <c r="B1006" s="3">
        <v>9</v>
      </c>
      <c r="C1006" s="3">
        <v>32</v>
      </c>
      <c r="D1006" s="3">
        <v>18</v>
      </c>
      <c r="E1006" s="3">
        <v>1059.502</v>
      </c>
      <c r="F1006" s="4" t="str">
        <f>HYPERLINK("http://141.218.60.56/~jnz1568/getInfo.php?workbook=14_09.xlsx&amp;sheet=A0&amp;row=1006&amp;col=6&amp;number=5740000&amp;sourceID=14","5740000")</f>
        <v>5740000</v>
      </c>
      <c r="G1006" s="4" t="str">
        <f>HYPERLINK("http://141.218.60.56/~jnz1568/getInfo.php?workbook=14_09.xlsx&amp;sheet=A0&amp;row=1006&amp;col=7&amp;number=0&amp;sourceID=14","0")</f>
        <v>0</v>
      </c>
    </row>
    <row r="1007" spans="1:7">
      <c r="A1007" s="3">
        <v>14</v>
      </c>
      <c r="B1007" s="3">
        <v>9</v>
      </c>
      <c r="C1007" s="3">
        <v>33</v>
      </c>
      <c r="D1007" s="3">
        <v>18</v>
      </c>
      <c r="E1007" s="3">
        <v>1054.35</v>
      </c>
      <c r="F1007" s="4" t="str">
        <f>HYPERLINK("http://141.218.60.56/~jnz1568/getInfo.php?workbook=14_09.xlsx&amp;sheet=A0&amp;row=1007&amp;col=6&amp;number=4020000&amp;sourceID=14","4020000")</f>
        <v>4020000</v>
      </c>
      <c r="G1007" s="4" t="str">
        <f>HYPERLINK("http://141.218.60.56/~jnz1568/getInfo.php?workbook=14_09.xlsx&amp;sheet=A0&amp;row=1007&amp;col=7&amp;number=0&amp;sourceID=14","0")</f>
        <v>0</v>
      </c>
    </row>
    <row r="1008" spans="1:7">
      <c r="A1008" s="3">
        <v>14</v>
      </c>
      <c r="B1008" s="3">
        <v>9</v>
      </c>
      <c r="C1008" s="3">
        <v>36</v>
      </c>
      <c r="D1008" s="3">
        <v>18</v>
      </c>
      <c r="E1008" s="3">
        <v>954.855</v>
      </c>
      <c r="F1008" s="4" t="str">
        <f>HYPERLINK("http://141.218.60.56/~jnz1568/getInfo.php?workbook=14_09.xlsx&amp;sheet=A0&amp;row=1008&amp;col=6&amp;number=12500000&amp;sourceID=14","12500000")</f>
        <v>12500000</v>
      </c>
      <c r="G1008" s="4" t="str">
        <f>HYPERLINK("http://141.218.60.56/~jnz1568/getInfo.php?workbook=14_09.xlsx&amp;sheet=A0&amp;row=1008&amp;col=7&amp;number=0&amp;sourceID=14","0")</f>
        <v>0</v>
      </c>
    </row>
    <row r="1009" spans="1:7">
      <c r="A1009" s="3">
        <v>14</v>
      </c>
      <c r="B1009" s="3">
        <v>9</v>
      </c>
      <c r="C1009" s="3">
        <v>37</v>
      </c>
      <c r="D1009" s="3">
        <v>18</v>
      </c>
      <c r="E1009" s="3">
        <v>939.616</v>
      </c>
      <c r="F1009" s="4" t="str">
        <f>HYPERLINK("http://141.218.60.56/~jnz1568/getInfo.php?workbook=14_09.xlsx&amp;sheet=A0&amp;row=1009&amp;col=6&amp;number=2400000&amp;sourceID=14","2400000")</f>
        <v>2400000</v>
      </c>
      <c r="G1009" s="4" t="str">
        <f>HYPERLINK("http://141.218.60.56/~jnz1568/getInfo.php?workbook=14_09.xlsx&amp;sheet=A0&amp;row=1009&amp;col=7&amp;number=0&amp;sourceID=14","0")</f>
        <v>0</v>
      </c>
    </row>
    <row r="1010" spans="1:7">
      <c r="A1010" s="3">
        <v>14</v>
      </c>
      <c r="B1010" s="3">
        <v>9</v>
      </c>
      <c r="C1010" s="3">
        <v>38</v>
      </c>
      <c r="D1010" s="3">
        <v>18</v>
      </c>
      <c r="E1010" s="3">
        <v>-929.473</v>
      </c>
      <c r="F1010" s="4" t="str">
        <f>HYPERLINK("http://141.218.60.56/~jnz1568/getInfo.php?workbook=14_09.xlsx&amp;sheet=A0&amp;row=1010&amp;col=6&amp;number=337000&amp;sourceID=14","337000")</f>
        <v>337000</v>
      </c>
      <c r="G1010" s="4" t="str">
        <f>HYPERLINK("http://141.218.60.56/~jnz1568/getInfo.php?workbook=14_09.xlsx&amp;sheet=A0&amp;row=1010&amp;col=7&amp;number=0&amp;sourceID=14","0")</f>
        <v>0</v>
      </c>
    </row>
    <row r="1011" spans="1:7">
      <c r="A1011" s="3">
        <v>14</v>
      </c>
      <c r="B1011" s="3">
        <v>9</v>
      </c>
      <c r="C1011" s="3">
        <v>40</v>
      </c>
      <c r="D1011" s="3">
        <v>18</v>
      </c>
      <c r="E1011" s="3">
        <v>915.821</v>
      </c>
      <c r="F1011" s="4" t="str">
        <f>HYPERLINK("http://141.218.60.56/~jnz1568/getInfo.php?workbook=14_09.xlsx&amp;sheet=A0&amp;row=1011&amp;col=6&amp;number=2580000&amp;sourceID=14","2580000")</f>
        <v>2580000</v>
      </c>
      <c r="G1011" s="4" t="str">
        <f>HYPERLINK("http://141.218.60.56/~jnz1568/getInfo.php?workbook=14_09.xlsx&amp;sheet=A0&amp;row=1011&amp;col=7&amp;number=0&amp;sourceID=14","0")</f>
        <v>0</v>
      </c>
    </row>
    <row r="1012" spans="1:7">
      <c r="A1012" s="3">
        <v>14</v>
      </c>
      <c r="B1012" s="3">
        <v>9</v>
      </c>
      <c r="C1012" s="3">
        <v>41</v>
      </c>
      <c r="D1012" s="3">
        <v>18</v>
      </c>
      <c r="E1012" s="3">
        <v>922.065</v>
      </c>
      <c r="F1012" s="4" t="str">
        <f>HYPERLINK("http://141.218.60.56/~jnz1568/getInfo.php?workbook=14_09.xlsx&amp;sheet=A0&amp;row=1012&amp;col=6&amp;number=2550000000&amp;sourceID=14","2550000000")</f>
        <v>2550000000</v>
      </c>
      <c r="G1012" s="4" t="str">
        <f>HYPERLINK("http://141.218.60.56/~jnz1568/getInfo.php?workbook=14_09.xlsx&amp;sheet=A0&amp;row=1012&amp;col=7&amp;number=0&amp;sourceID=14","0")</f>
        <v>0</v>
      </c>
    </row>
    <row r="1013" spans="1:7">
      <c r="A1013" s="3">
        <v>14</v>
      </c>
      <c r="B1013" s="3">
        <v>9</v>
      </c>
      <c r="C1013" s="3">
        <v>42</v>
      </c>
      <c r="D1013" s="3">
        <v>18</v>
      </c>
      <c r="E1013" s="3">
        <v>903.749</v>
      </c>
      <c r="F1013" s="4" t="str">
        <f>HYPERLINK("http://141.218.60.56/~jnz1568/getInfo.php?workbook=14_09.xlsx&amp;sheet=A0&amp;row=1013&amp;col=6&amp;number=3940000&amp;sourceID=14","3940000")</f>
        <v>3940000</v>
      </c>
      <c r="G1013" s="4" t="str">
        <f>HYPERLINK("http://141.218.60.56/~jnz1568/getInfo.php?workbook=14_09.xlsx&amp;sheet=A0&amp;row=1013&amp;col=7&amp;number=0&amp;sourceID=14","0")</f>
        <v>0</v>
      </c>
    </row>
    <row r="1014" spans="1:7">
      <c r="A1014" s="3">
        <v>14</v>
      </c>
      <c r="B1014" s="3">
        <v>9</v>
      </c>
      <c r="C1014" s="3">
        <v>43</v>
      </c>
      <c r="D1014" s="3">
        <v>18</v>
      </c>
      <c r="E1014" s="3">
        <v>901.701</v>
      </c>
      <c r="F1014" s="4" t="str">
        <f>HYPERLINK("http://141.218.60.56/~jnz1568/getInfo.php?workbook=14_09.xlsx&amp;sheet=A0&amp;row=1014&amp;col=6&amp;number=355000000&amp;sourceID=14","355000000")</f>
        <v>355000000</v>
      </c>
      <c r="G1014" s="4" t="str">
        <f>HYPERLINK("http://141.218.60.56/~jnz1568/getInfo.php?workbook=14_09.xlsx&amp;sheet=A0&amp;row=1014&amp;col=7&amp;number=0&amp;sourceID=14","0")</f>
        <v>0</v>
      </c>
    </row>
    <row r="1015" spans="1:7">
      <c r="A1015" s="3">
        <v>14</v>
      </c>
      <c r="B1015" s="3">
        <v>9</v>
      </c>
      <c r="C1015" s="3">
        <v>47</v>
      </c>
      <c r="D1015" s="3">
        <v>18</v>
      </c>
      <c r="E1015" s="3">
        <v>-863.075</v>
      </c>
      <c r="F1015" s="4" t="str">
        <f>HYPERLINK("http://141.218.60.56/~jnz1568/getInfo.php?workbook=14_09.xlsx&amp;sheet=A0&amp;row=1015&amp;col=6&amp;number=162000000&amp;sourceID=14","162000000")</f>
        <v>162000000</v>
      </c>
      <c r="G1015" s="4" t="str">
        <f>HYPERLINK("http://141.218.60.56/~jnz1568/getInfo.php?workbook=14_09.xlsx&amp;sheet=A0&amp;row=1015&amp;col=7&amp;number=0&amp;sourceID=14","0")</f>
        <v>0</v>
      </c>
    </row>
    <row r="1016" spans="1:7">
      <c r="A1016" s="3">
        <v>14</v>
      </c>
      <c r="B1016" s="3">
        <v>9</v>
      </c>
      <c r="C1016" s="3">
        <v>48</v>
      </c>
      <c r="D1016" s="3">
        <v>18</v>
      </c>
      <c r="E1016" s="3">
        <v>-848.142</v>
      </c>
      <c r="F1016" s="4" t="str">
        <f>HYPERLINK("http://141.218.60.56/~jnz1568/getInfo.php?workbook=14_09.xlsx&amp;sheet=A0&amp;row=1016&amp;col=6&amp;number=420000000&amp;sourceID=14","420000000")</f>
        <v>420000000</v>
      </c>
      <c r="G1016" s="4" t="str">
        <f>HYPERLINK("http://141.218.60.56/~jnz1568/getInfo.php?workbook=14_09.xlsx&amp;sheet=A0&amp;row=1016&amp;col=7&amp;number=0&amp;sourceID=14","0")</f>
        <v>0</v>
      </c>
    </row>
    <row r="1017" spans="1:7">
      <c r="A1017" s="3">
        <v>14</v>
      </c>
      <c r="B1017" s="3">
        <v>9</v>
      </c>
      <c r="C1017" s="3">
        <v>49</v>
      </c>
      <c r="D1017" s="3">
        <v>18</v>
      </c>
      <c r="E1017" s="3">
        <v>-837.824</v>
      </c>
      <c r="F1017" s="4" t="str">
        <f>HYPERLINK("http://141.218.60.56/~jnz1568/getInfo.php?workbook=14_09.xlsx&amp;sheet=A0&amp;row=1017&amp;col=6&amp;number=29700000&amp;sourceID=14","29700000")</f>
        <v>29700000</v>
      </c>
      <c r="G1017" s="4" t="str">
        <f>HYPERLINK("http://141.218.60.56/~jnz1568/getInfo.php?workbook=14_09.xlsx&amp;sheet=A0&amp;row=1017&amp;col=7&amp;number=0&amp;sourceID=14","0")</f>
        <v>0</v>
      </c>
    </row>
    <row r="1018" spans="1:7">
      <c r="A1018" s="3">
        <v>14</v>
      </c>
      <c r="B1018" s="3">
        <v>9</v>
      </c>
      <c r="C1018" s="3">
        <v>53</v>
      </c>
      <c r="D1018" s="3">
        <v>18</v>
      </c>
      <c r="E1018" s="3">
        <v>-638.298</v>
      </c>
      <c r="F1018" s="4" t="str">
        <f>HYPERLINK("http://141.218.60.56/~jnz1568/getInfo.php?workbook=14_09.xlsx&amp;sheet=A0&amp;row=1018&amp;col=6&amp;number=82500000&amp;sourceID=14","82500000")</f>
        <v>82500000</v>
      </c>
      <c r="G1018" s="4" t="str">
        <f>HYPERLINK("http://141.218.60.56/~jnz1568/getInfo.php?workbook=14_09.xlsx&amp;sheet=A0&amp;row=1018&amp;col=7&amp;number=0&amp;sourceID=14","0")</f>
        <v>0</v>
      </c>
    </row>
    <row r="1019" spans="1:7">
      <c r="A1019" s="3">
        <v>14</v>
      </c>
      <c r="B1019" s="3">
        <v>9</v>
      </c>
      <c r="C1019" s="3">
        <v>54</v>
      </c>
      <c r="D1019" s="3">
        <v>18</v>
      </c>
      <c r="E1019" s="3">
        <v>-633.67</v>
      </c>
      <c r="F1019" s="4" t="str">
        <f>HYPERLINK("http://141.218.60.56/~jnz1568/getInfo.php?workbook=14_09.xlsx&amp;sheet=A0&amp;row=1019&amp;col=6&amp;number=21500000&amp;sourceID=14","21500000")</f>
        <v>21500000</v>
      </c>
      <c r="G1019" s="4" t="str">
        <f>HYPERLINK("http://141.218.60.56/~jnz1568/getInfo.php?workbook=14_09.xlsx&amp;sheet=A0&amp;row=1019&amp;col=7&amp;number=0&amp;sourceID=14","0")</f>
        <v>0</v>
      </c>
    </row>
    <row r="1020" spans="1:7">
      <c r="A1020" s="3">
        <v>14</v>
      </c>
      <c r="B1020" s="3">
        <v>9</v>
      </c>
      <c r="C1020" s="3">
        <v>56</v>
      </c>
      <c r="D1020" s="3">
        <v>18</v>
      </c>
      <c r="E1020" s="3">
        <v>631.529</v>
      </c>
      <c r="F1020" s="4" t="str">
        <f>HYPERLINK("http://141.218.60.56/~jnz1568/getInfo.php?workbook=14_09.xlsx&amp;sheet=A0&amp;row=1020&amp;col=6&amp;number=128000&amp;sourceID=14","128000")</f>
        <v>128000</v>
      </c>
      <c r="G1020" s="4" t="str">
        <f>HYPERLINK("http://141.218.60.56/~jnz1568/getInfo.php?workbook=14_09.xlsx&amp;sheet=A0&amp;row=1020&amp;col=7&amp;number=0&amp;sourceID=14","0")</f>
        <v>0</v>
      </c>
    </row>
    <row r="1021" spans="1:7">
      <c r="A1021" s="3">
        <v>14</v>
      </c>
      <c r="B1021" s="3">
        <v>9</v>
      </c>
      <c r="C1021" s="3">
        <v>57</v>
      </c>
      <c r="D1021" s="3">
        <v>18</v>
      </c>
      <c r="E1021" s="3">
        <v>-627.61</v>
      </c>
      <c r="F1021" s="4" t="str">
        <f>HYPERLINK("http://141.218.60.56/~jnz1568/getInfo.php?workbook=14_09.xlsx&amp;sheet=A0&amp;row=1021&amp;col=6&amp;number=169000000&amp;sourceID=14","169000000")</f>
        <v>169000000</v>
      </c>
      <c r="G1021" s="4" t="str">
        <f>HYPERLINK("http://141.218.60.56/~jnz1568/getInfo.php?workbook=14_09.xlsx&amp;sheet=A0&amp;row=1021&amp;col=7&amp;number=0&amp;sourceID=14","0")</f>
        <v>0</v>
      </c>
    </row>
    <row r="1022" spans="1:7">
      <c r="A1022" s="3">
        <v>14</v>
      </c>
      <c r="B1022" s="3">
        <v>9</v>
      </c>
      <c r="C1022" s="3">
        <v>58</v>
      </c>
      <c r="D1022" s="3">
        <v>18</v>
      </c>
      <c r="E1022" s="3">
        <v>-623.136</v>
      </c>
      <c r="F1022" s="4" t="str">
        <f>HYPERLINK("http://141.218.60.56/~jnz1568/getInfo.php?workbook=14_09.xlsx&amp;sheet=A0&amp;row=1022&amp;col=6&amp;number=20400000&amp;sourceID=14","20400000")</f>
        <v>20400000</v>
      </c>
      <c r="G1022" s="4" t="str">
        <f>HYPERLINK("http://141.218.60.56/~jnz1568/getInfo.php?workbook=14_09.xlsx&amp;sheet=A0&amp;row=1022&amp;col=7&amp;number=0&amp;sourceID=14","0")</f>
        <v>0</v>
      </c>
    </row>
    <row r="1023" spans="1:7">
      <c r="A1023" s="3">
        <v>14</v>
      </c>
      <c r="B1023" s="3">
        <v>9</v>
      </c>
      <c r="C1023" s="3">
        <v>59</v>
      </c>
      <c r="D1023" s="3">
        <v>18</v>
      </c>
      <c r="E1023" s="3">
        <v>-448.116</v>
      </c>
      <c r="F1023" s="4" t="str">
        <f>HYPERLINK("http://141.218.60.56/~jnz1568/getInfo.php?workbook=14_09.xlsx&amp;sheet=A0&amp;row=1023&amp;col=6&amp;number=12100000&amp;sourceID=14","12100000")</f>
        <v>12100000</v>
      </c>
      <c r="G1023" s="4" t="str">
        <f>HYPERLINK("http://141.218.60.56/~jnz1568/getInfo.php?workbook=14_09.xlsx&amp;sheet=A0&amp;row=1023&amp;col=7&amp;number=0&amp;sourceID=14","0")</f>
        <v>0</v>
      </c>
    </row>
    <row r="1024" spans="1:7">
      <c r="A1024" s="3">
        <v>14</v>
      </c>
      <c r="B1024" s="3">
        <v>9</v>
      </c>
      <c r="C1024" s="3">
        <v>60</v>
      </c>
      <c r="D1024" s="3">
        <v>18</v>
      </c>
      <c r="E1024" s="3">
        <v>-447.654</v>
      </c>
      <c r="F1024" s="4" t="str">
        <f>HYPERLINK("http://141.218.60.56/~jnz1568/getInfo.php?workbook=14_09.xlsx&amp;sheet=A0&amp;row=1024&amp;col=6&amp;number=2090000&amp;sourceID=14","2090000")</f>
        <v>2090000</v>
      </c>
      <c r="G1024" s="4" t="str">
        <f>HYPERLINK("http://141.218.60.56/~jnz1568/getInfo.php?workbook=14_09.xlsx&amp;sheet=A0&amp;row=1024&amp;col=7&amp;number=0&amp;sourceID=14","0")</f>
        <v>0</v>
      </c>
    </row>
    <row r="1025" spans="1:7">
      <c r="A1025" s="3">
        <v>14</v>
      </c>
      <c r="B1025" s="3">
        <v>9</v>
      </c>
      <c r="C1025" s="3">
        <v>61</v>
      </c>
      <c r="D1025" s="3">
        <v>18</v>
      </c>
      <c r="E1025" s="3">
        <v>-424.15</v>
      </c>
      <c r="F1025" s="4" t="str">
        <f>HYPERLINK("http://141.218.60.56/~jnz1568/getInfo.php?workbook=14_09.xlsx&amp;sheet=A0&amp;row=1025&amp;col=6&amp;number=28700000&amp;sourceID=14","28700000")</f>
        <v>28700000</v>
      </c>
      <c r="G1025" s="4" t="str">
        <f>HYPERLINK("http://141.218.60.56/~jnz1568/getInfo.php?workbook=14_09.xlsx&amp;sheet=A0&amp;row=1025&amp;col=7&amp;number=0&amp;sourceID=14","0")</f>
        <v>0</v>
      </c>
    </row>
    <row r="1026" spans="1:7">
      <c r="A1026" s="3">
        <v>14</v>
      </c>
      <c r="B1026" s="3">
        <v>9</v>
      </c>
      <c r="C1026" s="3">
        <v>62</v>
      </c>
      <c r="D1026" s="3">
        <v>18</v>
      </c>
      <c r="E1026" s="3">
        <v>-419.635</v>
      </c>
      <c r="F1026" s="4" t="str">
        <f>HYPERLINK("http://141.218.60.56/~jnz1568/getInfo.php?workbook=14_09.xlsx&amp;sheet=A0&amp;row=1026&amp;col=6&amp;number=207000000&amp;sourceID=14","207000000")</f>
        <v>207000000</v>
      </c>
      <c r="G1026" s="4" t="str">
        <f>HYPERLINK("http://141.218.60.56/~jnz1568/getInfo.php?workbook=14_09.xlsx&amp;sheet=A0&amp;row=1026&amp;col=7&amp;number=0&amp;sourceID=14","0")</f>
        <v>0</v>
      </c>
    </row>
    <row r="1027" spans="1:7">
      <c r="A1027" s="3">
        <v>14</v>
      </c>
      <c r="B1027" s="3">
        <v>9</v>
      </c>
      <c r="C1027" s="3">
        <v>64</v>
      </c>
      <c r="D1027" s="3">
        <v>18</v>
      </c>
      <c r="E1027" s="3">
        <v>-413.239</v>
      </c>
      <c r="F1027" s="4" t="str">
        <f>HYPERLINK("http://141.218.60.56/~jnz1568/getInfo.php?workbook=14_09.xlsx&amp;sheet=A0&amp;row=1027&amp;col=6&amp;number=4910000000&amp;sourceID=14","4910000000")</f>
        <v>4910000000</v>
      </c>
      <c r="G1027" s="4" t="str">
        <f>HYPERLINK("http://141.218.60.56/~jnz1568/getInfo.php?workbook=14_09.xlsx&amp;sheet=A0&amp;row=1027&amp;col=7&amp;number=0&amp;sourceID=14","0")</f>
        <v>0</v>
      </c>
    </row>
    <row r="1028" spans="1:7">
      <c r="A1028" s="3">
        <v>14</v>
      </c>
      <c r="B1028" s="3">
        <v>9</v>
      </c>
      <c r="C1028" s="3">
        <v>74</v>
      </c>
      <c r="D1028" s="3">
        <v>18</v>
      </c>
      <c r="E1028" s="3">
        <v>-364.71</v>
      </c>
      <c r="F1028" s="4" t="str">
        <f>HYPERLINK("http://141.218.60.56/~jnz1568/getInfo.php?workbook=14_09.xlsx&amp;sheet=A0&amp;row=1028&amp;col=6&amp;number=168000&amp;sourceID=14","168000")</f>
        <v>168000</v>
      </c>
      <c r="G1028" s="4" t="str">
        <f>HYPERLINK("http://141.218.60.56/~jnz1568/getInfo.php?workbook=14_09.xlsx&amp;sheet=A0&amp;row=1028&amp;col=7&amp;number=0&amp;sourceID=14","0")</f>
        <v>0</v>
      </c>
    </row>
    <row r="1029" spans="1:7">
      <c r="A1029" s="3">
        <v>14</v>
      </c>
      <c r="B1029" s="3">
        <v>9</v>
      </c>
      <c r="C1029" s="3">
        <v>77</v>
      </c>
      <c r="D1029" s="3">
        <v>18</v>
      </c>
      <c r="E1029" s="3">
        <v>-354.428</v>
      </c>
      <c r="F1029" s="4" t="str">
        <f>HYPERLINK("http://141.218.60.56/~jnz1568/getInfo.php?workbook=14_09.xlsx&amp;sheet=A0&amp;row=1029&amp;col=6&amp;number=98800&amp;sourceID=14","98800")</f>
        <v>98800</v>
      </c>
      <c r="G1029" s="4" t="str">
        <f>HYPERLINK("http://141.218.60.56/~jnz1568/getInfo.php?workbook=14_09.xlsx&amp;sheet=A0&amp;row=1029&amp;col=7&amp;number=0&amp;sourceID=14","0")</f>
        <v>0</v>
      </c>
    </row>
    <row r="1030" spans="1:7">
      <c r="A1030" s="3">
        <v>14</v>
      </c>
      <c r="B1030" s="3">
        <v>9</v>
      </c>
      <c r="C1030" s="3">
        <v>79</v>
      </c>
      <c r="D1030" s="3">
        <v>18</v>
      </c>
      <c r="E1030" s="3">
        <v>-350.061</v>
      </c>
      <c r="F1030" s="4" t="str">
        <f>HYPERLINK("http://141.218.60.56/~jnz1568/getInfo.php?workbook=14_09.xlsx&amp;sheet=A0&amp;row=1030&amp;col=6&amp;number=6820000&amp;sourceID=14","6820000")</f>
        <v>6820000</v>
      </c>
      <c r="G1030" s="4" t="str">
        <f>HYPERLINK("http://141.218.60.56/~jnz1568/getInfo.php?workbook=14_09.xlsx&amp;sheet=A0&amp;row=1030&amp;col=7&amp;number=0&amp;sourceID=14","0")</f>
        <v>0</v>
      </c>
    </row>
    <row r="1031" spans="1:7">
      <c r="A1031" s="3">
        <v>14</v>
      </c>
      <c r="B1031" s="3">
        <v>9</v>
      </c>
      <c r="C1031" s="3">
        <v>80</v>
      </c>
      <c r="D1031" s="3">
        <v>18</v>
      </c>
      <c r="E1031" s="3">
        <v>-350.04</v>
      </c>
      <c r="F1031" s="4" t="str">
        <f>HYPERLINK("http://141.218.60.56/~jnz1568/getInfo.php?workbook=14_09.xlsx&amp;sheet=A0&amp;row=1031&amp;col=6&amp;number=2180000&amp;sourceID=14","2180000")</f>
        <v>2180000</v>
      </c>
      <c r="G1031" s="4" t="str">
        <f>HYPERLINK("http://141.218.60.56/~jnz1568/getInfo.php?workbook=14_09.xlsx&amp;sheet=A0&amp;row=1031&amp;col=7&amp;number=0&amp;sourceID=14","0")</f>
        <v>0</v>
      </c>
    </row>
    <row r="1032" spans="1:7">
      <c r="A1032" s="3">
        <v>14</v>
      </c>
      <c r="B1032" s="3">
        <v>9</v>
      </c>
      <c r="C1032" s="3">
        <v>86</v>
      </c>
      <c r="D1032" s="3">
        <v>18</v>
      </c>
      <c r="E1032" s="3">
        <v>-327.37</v>
      </c>
      <c r="F1032" s="4" t="str">
        <f>HYPERLINK("http://141.218.60.56/~jnz1568/getInfo.php?workbook=14_09.xlsx&amp;sheet=A0&amp;row=1032&amp;col=6&amp;number=18800000&amp;sourceID=14","18800000")</f>
        <v>18800000</v>
      </c>
      <c r="G1032" s="4" t="str">
        <f>HYPERLINK("http://141.218.60.56/~jnz1568/getInfo.php?workbook=14_09.xlsx&amp;sheet=A0&amp;row=1032&amp;col=7&amp;number=0&amp;sourceID=14","0")</f>
        <v>0</v>
      </c>
    </row>
    <row r="1033" spans="1:7">
      <c r="A1033" s="3">
        <v>14</v>
      </c>
      <c r="B1033" s="3">
        <v>9</v>
      </c>
      <c r="C1033" s="3">
        <v>87</v>
      </c>
      <c r="D1033" s="3">
        <v>18</v>
      </c>
      <c r="E1033" s="3">
        <v>-327.044</v>
      </c>
      <c r="F1033" s="4" t="str">
        <f>HYPERLINK("http://141.218.60.56/~jnz1568/getInfo.php?workbook=14_09.xlsx&amp;sheet=A0&amp;row=1033&amp;col=6&amp;number=31000000&amp;sourceID=14","31000000")</f>
        <v>31000000</v>
      </c>
      <c r="G1033" s="4" t="str">
        <f>HYPERLINK("http://141.218.60.56/~jnz1568/getInfo.php?workbook=14_09.xlsx&amp;sheet=A0&amp;row=1033&amp;col=7&amp;number=0&amp;sourceID=14","0")</f>
        <v>0</v>
      </c>
    </row>
    <row r="1034" spans="1:7">
      <c r="A1034" s="3">
        <v>14</v>
      </c>
      <c r="B1034" s="3">
        <v>9</v>
      </c>
      <c r="C1034" s="3">
        <v>88</v>
      </c>
      <c r="D1034" s="3">
        <v>18</v>
      </c>
      <c r="E1034" s="3">
        <v>-326.404</v>
      </c>
      <c r="F1034" s="4" t="str">
        <f>HYPERLINK("http://141.218.60.56/~jnz1568/getInfo.php?workbook=14_09.xlsx&amp;sheet=A0&amp;row=1034&amp;col=6&amp;number=17900000&amp;sourceID=14","17900000")</f>
        <v>17900000</v>
      </c>
      <c r="G1034" s="4" t="str">
        <f>HYPERLINK("http://141.218.60.56/~jnz1568/getInfo.php?workbook=14_09.xlsx&amp;sheet=A0&amp;row=1034&amp;col=7&amp;number=0&amp;sourceID=14","0")</f>
        <v>0</v>
      </c>
    </row>
    <row r="1035" spans="1:7">
      <c r="A1035" s="3">
        <v>14</v>
      </c>
      <c r="B1035" s="3">
        <v>9</v>
      </c>
      <c r="C1035" s="3">
        <v>91</v>
      </c>
      <c r="D1035" s="3">
        <v>18</v>
      </c>
      <c r="E1035" s="3">
        <v>-323.284</v>
      </c>
      <c r="F1035" s="4" t="str">
        <f>HYPERLINK("http://141.218.60.56/~jnz1568/getInfo.php?workbook=14_09.xlsx&amp;sheet=A0&amp;row=1035&amp;col=6&amp;number=923000000&amp;sourceID=14","923000000")</f>
        <v>923000000</v>
      </c>
      <c r="G1035" s="4" t="str">
        <f>HYPERLINK("http://141.218.60.56/~jnz1568/getInfo.php?workbook=14_09.xlsx&amp;sheet=A0&amp;row=1035&amp;col=7&amp;number=0&amp;sourceID=14","0")</f>
        <v>0</v>
      </c>
    </row>
    <row r="1036" spans="1:7">
      <c r="A1036" s="3">
        <v>14</v>
      </c>
      <c r="B1036" s="3">
        <v>9</v>
      </c>
      <c r="C1036" s="3">
        <v>93</v>
      </c>
      <c r="D1036" s="3">
        <v>18</v>
      </c>
      <c r="E1036" s="3">
        <v>-321.495</v>
      </c>
      <c r="F1036" s="4" t="str">
        <f>HYPERLINK("http://141.218.60.56/~jnz1568/getInfo.php?workbook=14_09.xlsx&amp;sheet=A0&amp;row=1036&amp;col=6&amp;number=74900000&amp;sourceID=14","74900000")</f>
        <v>74900000</v>
      </c>
      <c r="G1036" s="4" t="str">
        <f>HYPERLINK("http://141.218.60.56/~jnz1568/getInfo.php?workbook=14_09.xlsx&amp;sheet=A0&amp;row=1036&amp;col=7&amp;number=0&amp;sourceID=14","0")</f>
        <v>0</v>
      </c>
    </row>
    <row r="1037" spans="1:7">
      <c r="A1037" s="3">
        <v>14</v>
      </c>
      <c r="B1037" s="3">
        <v>9</v>
      </c>
      <c r="C1037" s="3">
        <v>95</v>
      </c>
      <c r="D1037" s="3">
        <v>18</v>
      </c>
      <c r="E1037" s="3">
        <v>-320.407</v>
      </c>
      <c r="F1037" s="4" t="str">
        <f>HYPERLINK("http://141.218.60.56/~jnz1568/getInfo.php?workbook=14_09.xlsx&amp;sheet=A0&amp;row=1037&amp;col=6&amp;number=3460000000&amp;sourceID=14","3460000000")</f>
        <v>3460000000</v>
      </c>
      <c r="G1037" s="4" t="str">
        <f>HYPERLINK("http://141.218.60.56/~jnz1568/getInfo.php?workbook=14_09.xlsx&amp;sheet=A0&amp;row=1037&amp;col=7&amp;number=0&amp;sourceID=14","0")</f>
        <v>0</v>
      </c>
    </row>
    <row r="1038" spans="1:7">
      <c r="A1038" s="3">
        <v>14</v>
      </c>
      <c r="B1038" s="3">
        <v>9</v>
      </c>
      <c r="C1038" s="3">
        <v>96</v>
      </c>
      <c r="D1038" s="3">
        <v>18</v>
      </c>
      <c r="E1038" s="3">
        <v>-319.895</v>
      </c>
      <c r="F1038" s="4" t="str">
        <f>HYPERLINK("http://141.218.60.56/~jnz1568/getInfo.php?workbook=14_09.xlsx&amp;sheet=A0&amp;row=1038&amp;col=6&amp;number=539000&amp;sourceID=14","539000")</f>
        <v>539000</v>
      </c>
      <c r="G1038" s="4" t="str">
        <f>HYPERLINK("http://141.218.60.56/~jnz1568/getInfo.php?workbook=14_09.xlsx&amp;sheet=A0&amp;row=1038&amp;col=7&amp;number=0&amp;sourceID=14","0")</f>
        <v>0</v>
      </c>
    </row>
    <row r="1039" spans="1:7">
      <c r="A1039" s="3">
        <v>14</v>
      </c>
      <c r="B1039" s="3">
        <v>9</v>
      </c>
      <c r="C1039" s="3">
        <v>97</v>
      </c>
      <c r="D1039" s="3">
        <v>18</v>
      </c>
      <c r="E1039" s="3">
        <v>-319.433</v>
      </c>
      <c r="F1039" s="4" t="str">
        <f>HYPERLINK("http://141.218.60.56/~jnz1568/getInfo.php?workbook=14_09.xlsx&amp;sheet=A0&amp;row=1039&amp;col=6&amp;number=10400000&amp;sourceID=14","10400000")</f>
        <v>10400000</v>
      </c>
      <c r="G1039" s="4" t="str">
        <f>HYPERLINK("http://141.218.60.56/~jnz1568/getInfo.php?workbook=14_09.xlsx&amp;sheet=A0&amp;row=1039&amp;col=7&amp;number=0&amp;sourceID=14","0")</f>
        <v>0</v>
      </c>
    </row>
    <row r="1040" spans="1:7">
      <c r="A1040" s="3">
        <v>14</v>
      </c>
      <c r="B1040" s="3">
        <v>9</v>
      </c>
      <c r="C1040" s="3">
        <v>98</v>
      </c>
      <c r="D1040" s="3">
        <v>18</v>
      </c>
      <c r="E1040" s="3">
        <v>-318.59</v>
      </c>
      <c r="F1040" s="4" t="str">
        <f>HYPERLINK("http://141.218.60.56/~jnz1568/getInfo.php?workbook=14_09.xlsx&amp;sheet=A0&amp;row=1040&amp;col=6&amp;number=726000000&amp;sourceID=14","726000000")</f>
        <v>726000000</v>
      </c>
      <c r="G1040" s="4" t="str">
        <f>HYPERLINK("http://141.218.60.56/~jnz1568/getInfo.php?workbook=14_09.xlsx&amp;sheet=A0&amp;row=1040&amp;col=7&amp;number=0&amp;sourceID=14","0")</f>
        <v>0</v>
      </c>
    </row>
    <row r="1041" spans="1:7">
      <c r="A1041" s="3">
        <v>14</v>
      </c>
      <c r="B1041" s="3">
        <v>9</v>
      </c>
      <c r="C1041" s="3">
        <v>100</v>
      </c>
      <c r="D1041" s="3">
        <v>18</v>
      </c>
      <c r="E1041" s="3">
        <v>-316.347</v>
      </c>
      <c r="F1041" s="4" t="str">
        <f>HYPERLINK("http://141.218.60.56/~jnz1568/getInfo.php?workbook=14_09.xlsx&amp;sheet=A0&amp;row=1041&amp;col=6&amp;number=114000000&amp;sourceID=14","114000000")</f>
        <v>114000000</v>
      </c>
      <c r="G1041" s="4" t="str">
        <f>HYPERLINK("http://141.218.60.56/~jnz1568/getInfo.php?workbook=14_09.xlsx&amp;sheet=A0&amp;row=1041&amp;col=7&amp;number=0&amp;sourceID=14","0")</f>
        <v>0</v>
      </c>
    </row>
    <row r="1042" spans="1:7">
      <c r="A1042" s="3">
        <v>14</v>
      </c>
      <c r="B1042" s="3">
        <v>9</v>
      </c>
      <c r="C1042" s="3">
        <v>103</v>
      </c>
      <c r="D1042" s="3">
        <v>18</v>
      </c>
      <c r="E1042" s="3">
        <v>-314.471</v>
      </c>
      <c r="F1042" s="4" t="str">
        <f>HYPERLINK("http://141.218.60.56/~jnz1568/getInfo.php?workbook=14_09.xlsx&amp;sheet=A0&amp;row=1042&amp;col=6&amp;number=854000000&amp;sourceID=14","854000000")</f>
        <v>854000000</v>
      </c>
      <c r="G1042" s="4" t="str">
        <f>HYPERLINK("http://141.218.60.56/~jnz1568/getInfo.php?workbook=14_09.xlsx&amp;sheet=A0&amp;row=1042&amp;col=7&amp;number=0&amp;sourceID=14","0")</f>
        <v>0</v>
      </c>
    </row>
    <row r="1043" spans="1:7">
      <c r="A1043" s="3">
        <v>14</v>
      </c>
      <c r="B1043" s="3">
        <v>9</v>
      </c>
      <c r="C1043" s="3">
        <v>107</v>
      </c>
      <c r="D1043" s="3">
        <v>18</v>
      </c>
      <c r="E1043" s="3">
        <v>-313.97</v>
      </c>
      <c r="F1043" s="4" t="str">
        <f>HYPERLINK("http://141.218.60.56/~jnz1568/getInfo.php?workbook=14_09.xlsx&amp;sheet=A0&amp;row=1043&amp;col=6&amp;number=318000&amp;sourceID=14","318000")</f>
        <v>318000</v>
      </c>
      <c r="G1043" s="4" t="str">
        <f>HYPERLINK("http://141.218.60.56/~jnz1568/getInfo.php?workbook=14_09.xlsx&amp;sheet=A0&amp;row=1043&amp;col=7&amp;number=0&amp;sourceID=14","0")</f>
        <v>0</v>
      </c>
    </row>
    <row r="1044" spans="1:7">
      <c r="A1044" s="3">
        <v>14</v>
      </c>
      <c r="B1044" s="3">
        <v>9</v>
      </c>
      <c r="C1044" s="3">
        <v>110</v>
      </c>
      <c r="D1044" s="3">
        <v>18</v>
      </c>
      <c r="E1044" s="3">
        <v>-313.016</v>
      </c>
      <c r="F1044" s="4" t="str">
        <f>HYPERLINK("http://141.218.60.56/~jnz1568/getInfo.php?workbook=14_09.xlsx&amp;sheet=A0&amp;row=1044&amp;col=6&amp;number=50500000&amp;sourceID=14","50500000")</f>
        <v>50500000</v>
      </c>
      <c r="G1044" s="4" t="str">
        <f>HYPERLINK("http://141.218.60.56/~jnz1568/getInfo.php?workbook=14_09.xlsx&amp;sheet=A0&amp;row=1044&amp;col=7&amp;number=0&amp;sourceID=14","0")</f>
        <v>0</v>
      </c>
    </row>
    <row r="1045" spans="1:7">
      <c r="A1045" s="3">
        <v>14</v>
      </c>
      <c r="B1045" s="3">
        <v>9</v>
      </c>
      <c r="C1045" s="3">
        <v>114</v>
      </c>
      <c r="D1045" s="3">
        <v>18</v>
      </c>
      <c r="E1045" s="3">
        <v>-312.891</v>
      </c>
      <c r="F1045" s="4" t="str">
        <f>HYPERLINK("http://141.218.60.56/~jnz1568/getInfo.php?workbook=14_09.xlsx&amp;sheet=A0&amp;row=1045&amp;col=6&amp;number=559000&amp;sourceID=14","559000")</f>
        <v>559000</v>
      </c>
      <c r="G1045" s="4" t="str">
        <f>HYPERLINK("http://141.218.60.56/~jnz1568/getInfo.php?workbook=14_09.xlsx&amp;sheet=A0&amp;row=1045&amp;col=7&amp;number=0&amp;sourceID=14","0")</f>
        <v>0</v>
      </c>
    </row>
    <row r="1046" spans="1:7">
      <c r="A1046" s="3">
        <v>14</v>
      </c>
      <c r="B1046" s="3">
        <v>9</v>
      </c>
      <c r="C1046" s="3">
        <v>119</v>
      </c>
      <c r="D1046" s="3">
        <v>18</v>
      </c>
      <c r="E1046" s="3">
        <v>-309.671</v>
      </c>
      <c r="F1046" s="4" t="str">
        <f>HYPERLINK("http://141.218.60.56/~jnz1568/getInfo.php?workbook=14_09.xlsx&amp;sheet=A0&amp;row=1046&amp;col=6&amp;number=521000&amp;sourceID=14","521000")</f>
        <v>521000</v>
      </c>
      <c r="G1046" s="4" t="str">
        <f>HYPERLINK("http://141.218.60.56/~jnz1568/getInfo.php?workbook=14_09.xlsx&amp;sheet=A0&amp;row=1046&amp;col=7&amp;number=0&amp;sourceID=14","0")</f>
        <v>0</v>
      </c>
    </row>
    <row r="1047" spans="1:7">
      <c r="A1047" s="3">
        <v>14</v>
      </c>
      <c r="B1047" s="3">
        <v>9</v>
      </c>
      <c r="C1047" s="3">
        <v>128</v>
      </c>
      <c r="D1047" s="3">
        <v>18</v>
      </c>
      <c r="E1047" s="3">
        <v>-283.128</v>
      </c>
      <c r="F1047" s="4" t="str">
        <f>HYPERLINK("http://141.218.60.56/~jnz1568/getInfo.php?workbook=14_09.xlsx&amp;sheet=A0&amp;row=1047&amp;col=6&amp;number=9480000&amp;sourceID=14","9480000")</f>
        <v>9480000</v>
      </c>
      <c r="G1047" s="4" t="str">
        <f>HYPERLINK("http://141.218.60.56/~jnz1568/getInfo.php?workbook=14_09.xlsx&amp;sheet=A0&amp;row=1047&amp;col=7&amp;number=0&amp;sourceID=14","0")</f>
        <v>0</v>
      </c>
    </row>
    <row r="1048" spans="1:7">
      <c r="A1048" s="3">
        <v>14</v>
      </c>
      <c r="B1048" s="3">
        <v>9</v>
      </c>
      <c r="C1048" s="3">
        <v>129</v>
      </c>
      <c r="D1048" s="3">
        <v>18</v>
      </c>
      <c r="E1048" s="3">
        <v>-281.542</v>
      </c>
      <c r="F1048" s="4" t="str">
        <f>HYPERLINK("http://141.218.60.56/~jnz1568/getInfo.php?workbook=14_09.xlsx&amp;sheet=A0&amp;row=1048&amp;col=6&amp;number=116000&amp;sourceID=14","116000")</f>
        <v>116000</v>
      </c>
      <c r="G1048" s="4" t="str">
        <f>HYPERLINK("http://141.218.60.56/~jnz1568/getInfo.php?workbook=14_09.xlsx&amp;sheet=A0&amp;row=1048&amp;col=7&amp;number=0&amp;sourceID=14","0")</f>
        <v>0</v>
      </c>
    </row>
    <row r="1049" spans="1:7">
      <c r="A1049" s="3">
        <v>14</v>
      </c>
      <c r="B1049" s="3">
        <v>9</v>
      </c>
      <c r="C1049" s="3">
        <v>131</v>
      </c>
      <c r="D1049" s="3">
        <v>18</v>
      </c>
      <c r="E1049" s="3">
        <v>-278.858</v>
      </c>
      <c r="F1049" s="4" t="str">
        <f>HYPERLINK("http://141.218.60.56/~jnz1568/getInfo.php?workbook=14_09.xlsx&amp;sheet=A0&amp;row=1049&amp;col=6&amp;number=105000&amp;sourceID=14","105000")</f>
        <v>105000</v>
      </c>
      <c r="G1049" s="4" t="str">
        <f>HYPERLINK("http://141.218.60.56/~jnz1568/getInfo.php?workbook=14_09.xlsx&amp;sheet=A0&amp;row=1049&amp;col=7&amp;number=0&amp;sourceID=14","0")</f>
        <v>0</v>
      </c>
    </row>
    <row r="1050" spans="1:7">
      <c r="A1050" s="3">
        <v>14</v>
      </c>
      <c r="B1050" s="3">
        <v>9</v>
      </c>
      <c r="C1050" s="3">
        <v>132</v>
      </c>
      <c r="D1050" s="3">
        <v>18</v>
      </c>
      <c r="E1050" s="3">
        <v>-278.827</v>
      </c>
      <c r="F1050" s="4" t="str">
        <f>HYPERLINK("http://141.218.60.56/~jnz1568/getInfo.php?workbook=14_09.xlsx&amp;sheet=A0&amp;row=1050&amp;col=6&amp;number=16200000&amp;sourceID=14","16200000")</f>
        <v>16200000</v>
      </c>
      <c r="G1050" s="4" t="str">
        <f>HYPERLINK("http://141.218.60.56/~jnz1568/getInfo.php?workbook=14_09.xlsx&amp;sheet=A0&amp;row=1050&amp;col=7&amp;number=0&amp;sourceID=14","0")</f>
        <v>0</v>
      </c>
    </row>
    <row r="1051" spans="1:7">
      <c r="A1051" s="3">
        <v>14</v>
      </c>
      <c r="B1051" s="3">
        <v>9</v>
      </c>
      <c r="C1051" s="3">
        <v>133</v>
      </c>
      <c r="D1051" s="3">
        <v>18</v>
      </c>
      <c r="E1051" s="3">
        <v>-278.759</v>
      </c>
      <c r="F1051" s="4" t="str">
        <f>HYPERLINK("http://141.218.60.56/~jnz1568/getInfo.php?workbook=14_09.xlsx&amp;sheet=A0&amp;row=1051&amp;col=6&amp;number=2500000&amp;sourceID=14","2500000")</f>
        <v>2500000</v>
      </c>
      <c r="G1051" s="4" t="str">
        <f>HYPERLINK("http://141.218.60.56/~jnz1568/getInfo.php?workbook=14_09.xlsx&amp;sheet=A0&amp;row=1051&amp;col=7&amp;number=0&amp;sourceID=14","0")</f>
        <v>0</v>
      </c>
    </row>
    <row r="1052" spans="1:7">
      <c r="A1052" s="3">
        <v>14</v>
      </c>
      <c r="B1052" s="3">
        <v>9</v>
      </c>
      <c r="C1052" s="3">
        <v>135</v>
      </c>
      <c r="D1052" s="3">
        <v>18</v>
      </c>
      <c r="E1052" s="3">
        <v>-278.244</v>
      </c>
      <c r="F1052" s="4" t="str">
        <f>HYPERLINK("http://141.218.60.56/~jnz1568/getInfo.php?workbook=14_09.xlsx&amp;sheet=A0&amp;row=1052&amp;col=6&amp;number=98600000&amp;sourceID=14","98600000")</f>
        <v>98600000</v>
      </c>
      <c r="G1052" s="4" t="str">
        <f>HYPERLINK("http://141.218.60.56/~jnz1568/getInfo.php?workbook=14_09.xlsx&amp;sheet=A0&amp;row=1052&amp;col=7&amp;number=0&amp;sourceID=14","0")</f>
        <v>0</v>
      </c>
    </row>
    <row r="1053" spans="1:7">
      <c r="A1053" s="3">
        <v>14</v>
      </c>
      <c r="B1053" s="3">
        <v>9</v>
      </c>
      <c r="C1053" s="3">
        <v>136</v>
      </c>
      <c r="D1053" s="3">
        <v>18</v>
      </c>
      <c r="E1053" s="3">
        <v>-277.879</v>
      </c>
      <c r="F1053" s="4" t="str">
        <f>HYPERLINK("http://141.218.60.56/~jnz1568/getInfo.php?workbook=14_09.xlsx&amp;sheet=A0&amp;row=1053&amp;col=6&amp;number=2690000&amp;sourceID=14","2690000")</f>
        <v>2690000</v>
      </c>
      <c r="G1053" s="4" t="str">
        <f>HYPERLINK("http://141.218.60.56/~jnz1568/getInfo.php?workbook=14_09.xlsx&amp;sheet=A0&amp;row=1053&amp;col=7&amp;number=0&amp;sourceID=14","0")</f>
        <v>0</v>
      </c>
    </row>
    <row r="1054" spans="1:7">
      <c r="A1054" s="3">
        <v>14</v>
      </c>
      <c r="B1054" s="3">
        <v>9</v>
      </c>
      <c r="C1054" s="3">
        <v>140</v>
      </c>
      <c r="D1054" s="3">
        <v>18</v>
      </c>
      <c r="E1054" s="3">
        <v>-273.692</v>
      </c>
      <c r="F1054" s="4" t="str">
        <f>HYPERLINK("http://141.218.60.56/~jnz1568/getInfo.php?workbook=14_09.xlsx&amp;sheet=A0&amp;row=1054&amp;col=6&amp;number=181000000&amp;sourceID=14","181000000")</f>
        <v>181000000</v>
      </c>
      <c r="G1054" s="4" t="str">
        <f>HYPERLINK("http://141.218.60.56/~jnz1568/getInfo.php?workbook=14_09.xlsx&amp;sheet=A0&amp;row=1054&amp;col=7&amp;number=0&amp;sourceID=14","0")</f>
        <v>0</v>
      </c>
    </row>
    <row r="1055" spans="1:7">
      <c r="A1055" s="3">
        <v>14</v>
      </c>
      <c r="B1055" s="3">
        <v>9</v>
      </c>
      <c r="C1055" s="3">
        <v>145</v>
      </c>
      <c r="D1055" s="3">
        <v>18</v>
      </c>
      <c r="E1055" s="3">
        <v>-272.642</v>
      </c>
      <c r="F1055" s="4" t="str">
        <f>HYPERLINK("http://141.218.60.56/~jnz1568/getInfo.php?workbook=14_09.xlsx&amp;sheet=A0&amp;row=1055&amp;col=6&amp;number=48000000&amp;sourceID=14","48000000")</f>
        <v>48000000</v>
      </c>
      <c r="G1055" s="4" t="str">
        <f>HYPERLINK("http://141.218.60.56/~jnz1568/getInfo.php?workbook=14_09.xlsx&amp;sheet=A0&amp;row=1055&amp;col=7&amp;number=0&amp;sourceID=14","0")</f>
        <v>0</v>
      </c>
    </row>
    <row r="1056" spans="1:7">
      <c r="A1056" s="3">
        <v>14</v>
      </c>
      <c r="B1056" s="3">
        <v>9</v>
      </c>
      <c r="C1056" s="3">
        <v>148</v>
      </c>
      <c r="D1056" s="3">
        <v>18</v>
      </c>
      <c r="E1056" s="3">
        <v>-271.578</v>
      </c>
      <c r="F1056" s="4" t="str">
        <f>HYPERLINK("http://141.218.60.56/~jnz1568/getInfo.php?workbook=14_09.xlsx&amp;sheet=A0&amp;row=1056&amp;col=6&amp;number=202000000&amp;sourceID=14","202000000")</f>
        <v>202000000</v>
      </c>
      <c r="G1056" s="4" t="str">
        <f>HYPERLINK("http://141.218.60.56/~jnz1568/getInfo.php?workbook=14_09.xlsx&amp;sheet=A0&amp;row=1056&amp;col=7&amp;number=0&amp;sourceID=14","0")</f>
        <v>0</v>
      </c>
    </row>
    <row r="1057" spans="1:7">
      <c r="A1057" s="3">
        <v>14</v>
      </c>
      <c r="B1057" s="3">
        <v>9</v>
      </c>
      <c r="C1057" s="3">
        <v>152</v>
      </c>
      <c r="D1057" s="3">
        <v>18</v>
      </c>
      <c r="E1057" s="3">
        <v>-266.195</v>
      </c>
      <c r="F1057" s="4" t="str">
        <f>HYPERLINK("http://141.218.60.56/~jnz1568/getInfo.php?workbook=14_09.xlsx&amp;sheet=A0&amp;row=1057&amp;col=6&amp;number=4050000000&amp;sourceID=14","4050000000")</f>
        <v>4050000000</v>
      </c>
      <c r="G1057" s="4" t="str">
        <f>HYPERLINK("http://141.218.60.56/~jnz1568/getInfo.php?workbook=14_09.xlsx&amp;sheet=A0&amp;row=1057&amp;col=7&amp;number=0&amp;sourceID=14","0")</f>
        <v>0</v>
      </c>
    </row>
    <row r="1058" spans="1:7">
      <c r="A1058" s="3">
        <v>14</v>
      </c>
      <c r="B1058" s="3">
        <v>9</v>
      </c>
      <c r="C1058" s="3">
        <v>153</v>
      </c>
      <c r="D1058" s="3">
        <v>18</v>
      </c>
      <c r="E1058" s="3">
        <v>-264.961</v>
      </c>
      <c r="F1058" s="4" t="str">
        <f>HYPERLINK("http://141.218.60.56/~jnz1568/getInfo.php?workbook=14_09.xlsx&amp;sheet=A0&amp;row=1058&amp;col=6&amp;number=8200000000&amp;sourceID=14","8200000000")</f>
        <v>8200000000</v>
      </c>
      <c r="G1058" s="4" t="str">
        <f>HYPERLINK("http://141.218.60.56/~jnz1568/getInfo.php?workbook=14_09.xlsx&amp;sheet=A0&amp;row=1058&amp;col=7&amp;number=0&amp;sourceID=14","0")</f>
        <v>0</v>
      </c>
    </row>
    <row r="1059" spans="1:7">
      <c r="A1059" s="3">
        <v>14</v>
      </c>
      <c r="B1059" s="3">
        <v>9</v>
      </c>
      <c r="C1059" s="3">
        <v>154</v>
      </c>
      <c r="D1059" s="3">
        <v>18</v>
      </c>
      <c r="E1059" s="3">
        <v>-264.945</v>
      </c>
      <c r="F1059" s="4" t="str">
        <f>HYPERLINK("http://141.218.60.56/~jnz1568/getInfo.php?workbook=14_09.xlsx&amp;sheet=A0&amp;row=1059&amp;col=6&amp;number=2700000&amp;sourceID=14","2700000")</f>
        <v>2700000</v>
      </c>
      <c r="G1059" s="4" t="str">
        <f>HYPERLINK("http://141.218.60.56/~jnz1568/getInfo.php?workbook=14_09.xlsx&amp;sheet=A0&amp;row=1059&amp;col=7&amp;number=0&amp;sourceID=14","0")</f>
        <v>0</v>
      </c>
    </row>
    <row r="1060" spans="1:7">
      <c r="A1060" s="3">
        <v>14</v>
      </c>
      <c r="B1060" s="3">
        <v>9</v>
      </c>
      <c r="C1060" s="3">
        <v>156</v>
      </c>
      <c r="D1060" s="3">
        <v>18</v>
      </c>
      <c r="E1060" s="3">
        <v>-263.84</v>
      </c>
      <c r="F1060" s="4" t="str">
        <f>HYPERLINK("http://141.218.60.56/~jnz1568/getInfo.php?workbook=14_09.xlsx&amp;sheet=A0&amp;row=1060&amp;col=6&amp;number=469000000&amp;sourceID=14","469000000")</f>
        <v>469000000</v>
      </c>
      <c r="G1060" s="4" t="str">
        <f>HYPERLINK("http://141.218.60.56/~jnz1568/getInfo.php?workbook=14_09.xlsx&amp;sheet=A0&amp;row=1060&amp;col=7&amp;number=0&amp;sourceID=14","0")</f>
        <v>0</v>
      </c>
    </row>
    <row r="1061" spans="1:7">
      <c r="A1061" s="3">
        <v>14</v>
      </c>
      <c r="B1061" s="3">
        <v>9</v>
      </c>
      <c r="C1061" s="3">
        <v>157</v>
      </c>
      <c r="D1061" s="3">
        <v>18</v>
      </c>
      <c r="E1061" s="3">
        <v>-262.072</v>
      </c>
      <c r="F1061" s="4" t="str">
        <f>HYPERLINK("http://141.218.60.56/~jnz1568/getInfo.php?workbook=14_09.xlsx&amp;sheet=A0&amp;row=1061&amp;col=6&amp;number=7070000000&amp;sourceID=14","7070000000")</f>
        <v>7070000000</v>
      </c>
      <c r="G1061" s="4" t="str">
        <f>HYPERLINK("http://141.218.60.56/~jnz1568/getInfo.php?workbook=14_09.xlsx&amp;sheet=A0&amp;row=1061&amp;col=7&amp;number=0&amp;sourceID=14","0")</f>
        <v>0</v>
      </c>
    </row>
    <row r="1062" spans="1:7">
      <c r="A1062" s="3">
        <v>14</v>
      </c>
      <c r="B1062" s="3">
        <v>9</v>
      </c>
      <c r="C1062" s="3">
        <v>162</v>
      </c>
      <c r="D1062" s="3">
        <v>18</v>
      </c>
      <c r="E1062" s="3">
        <v>-234.456</v>
      </c>
      <c r="F1062" s="4" t="str">
        <f>HYPERLINK("http://141.218.60.56/~jnz1568/getInfo.php?workbook=14_09.xlsx&amp;sheet=A0&amp;row=1062&amp;col=6&amp;number=7110000&amp;sourceID=14","7110000")</f>
        <v>7110000</v>
      </c>
      <c r="G1062" s="4" t="str">
        <f>HYPERLINK("http://141.218.60.56/~jnz1568/getInfo.php?workbook=14_09.xlsx&amp;sheet=A0&amp;row=1062&amp;col=7&amp;number=0&amp;sourceID=14","0")</f>
        <v>0</v>
      </c>
    </row>
    <row r="1063" spans="1:7">
      <c r="A1063" s="3">
        <v>14</v>
      </c>
      <c r="B1063" s="3">
        <v>9</v>
      </c>
      <c r="C1063" s="3">
        <v>163</v>
      </c>
      <c r="D1063" s="3">
        <v>18</v>
      </c>
      <c r="E1063" s="3">
        <v>-234.383</v>
      </c>
      <c r="F1063" s="4" t="str">
        <f>HYPERLINK("http://141.218.60.56/~jnz1568/getInfo.php?workbook=14_09.xlsx&amp;sheet=A0&amp;row=1063&amp;col=6&amp;number=2790000&amp;sourceID=14","2790000")</f>
        <v>2790000</v>
      </c>
      <c r="G1063" s="4" t="str">
        <f>HYPERLINK("http://141.218.60.56/~jnz1568/getInfo.php?workbook=14_09.xlsx&amp;sheet=A0&amp;row=1063&amp;col=7&amp;number=0&amp;sourceID=14","0")</f>
        <v>0</v>
      </c>
    </row>
    <row r="1064" spans="1:7">
      <c r="A1064" s="3">
        <v>14</v>
      </c>
      <c r="B1064" s="3">
        <v>9</v>
      </c>
      <c r="C1064" s="3">
        <v>185</v>
      </c>
      <c r="D1064" s="3">
        <v>18</v>
      </c>
      <c r="E1064" s="3">
        <v>-190.696</v>
      </c>
      <c r="F1064" s="4" t="str">
        <f>HYPERLINK("http://141.218.60.56/~jnz1568/getInfo.php?workbook=14_09.xlsx&amp;sheet=A0&amp;row=1064&amp;col=6&amp;number=72000000&amp;sourceID=14","72000000")</f>
        <v>72000000</v>
      </c>
      <c r="G1064" s="4" t="str">
        <f>HYPERLINK("http://141.218.60.56/~jnz1568/getInfo.php?workbook=14_09.xlsx&amp;sheet=A0&amp;row=1064&amp;col=7&amp;number=0&amp;sourceID=14","0")</f>
        <v>0</v>
      </c>
    </row>
    <row r="1065" spans="1:7">
      <c r="A1065" s="3">
        <v>14</v>
      </c>
      <c r="B1065" s="3">
        <v>9</v>
      </c>
      <c r="C1065" s="3">
        <v>186</v>
      </c>
      <c r="D1065" s="3">
        <v>18</v>
      </c>
      <c r="E1065" s="3">
        <v>-190.465</v>
      </c>
      <c r="F1065" s="4" t="str">
        <f>HYPERLINK("http://141.218.60.56/~jnz1568/getInfo.php?workbook=14_09.xlsx&amp;sheet=A0&amp;row=1065&amp;col=6&amp;number=73300000&amp;sourceID=14","73300000")</f>
        <v>73300000</v>
      </c>
      <c r="G1065" s="4" t="str">
        <f>HYPERLINK("http://141.218.60.56/~jnz1568/getInfo.php?workbook=14_09.xlsx&amp;sheet=A0&amp;row=1065&amp;col=7&amp;number=0&amp;sourceID=14","0")</f>
        <v>0</v>
      </c>
    </row>
    <row r="1066" spans="1:7">
      <c r="A1066" s="3">
        <v>14</v>
      </c>
      <c r="B1066" s="3">
        <v>9</v>
      </c>
      <c r="C1066" s="3">
        <v>188</v>
      </c>
      <c r="D1066" s="3">
        <v>18</v>
      </c>
      <c r="E1066" s="3">
        <v>-188.591</v>
      </c>
      <c r="F1066" s="4" t="str">
        <f>HYPERLINK("http://141.218.60.56/~jnz1568/getInfo.php?workbook=14_09.xlsx&amp;sheet=A0&amp;row=1066&amp;col=6&amp;number=279000000&amp;sourceID=14","279000000")</f>
        <v>279000000</v>
      </c>
      <c r="G1066" s="4" t="str">
        <f>HYPERLINK("http://141.218.60.56/~jnz1568/getInfo.php?workbook=14_09.xlsx&amp;sheet=A0&amp;row=1066&amp;col=7&amp;number=0&amp;sourceID=14","0")</f>
        <v>0</v>
      </c>
    </row>
    <row r="1067" spans="1:7">
      <c r="A1067" s="3">
        <v>14</v>
      </c>
      <c r="B1067" s="3">
        <v>9</v>
      </c>
      <c r="C1067" s="3">
        <v>32</v>
      </c>
      <c r="D1067" s="3">
        <v>19</v>
      </c>
      <c r="E1067" s="3">
        <v>1091.289</v>
      </c>
      <c r="F1067" s="4" t="str">
        <f>HYPERLINK("http://141.218.60.56/~jnz1568/getInfo.php?workbook=14_09.xlsx&amp;sheet=A0&amp;row=1067&amp;col=6&amp;number=90500&amp;sourceID=14","90500")</f>
        <v>90500</v>
      </c>
      <c r="G1067" s="4" t="str">
        <f>HYPERLINK("http://141.218.60.56/~jnz1568/getInfo.php?workbook=14_09.xlsx&amp;sheet=A0&amp;row=1067&amp;col=7&amp;number=0&amp;sourceID=14","0")</f>
        <v>0</v>
      </c>
    </row>
    <row r="1068" spans="1:7">
      <c r="A1068" s="3">
        <v>14</v>
      </c>
      <c r="B1068" s="3">
        <v>9</v>
      </c>
      <c r="C1068" s="3">
        <v>33</v>
      </c>
      <c r="D1068" s="3">
        <v>19</v>
      </c>
      <c r="E1068" s="3">
        <v>1085.823</v>
      </c>
      <c r="F1068" s="4" t="str">
        <f>HYPERLINK("http://141.218.60.56/~jnz1568/getInfo.php?workbook=14_09.xlsx&amp;sheet=A0&amp;row=1068&amp;col=6&amp;number=858000&amp;sourceID=14","858000")</f>
        <v>858000</v>
      </c>
      <c r="G1068" s="4" t="str">
        <f>HYPERLINK("http://141.218.60.56/~jnz1568/getInfo.php?workbook=14_09.xlsx&amp;sheet=A0&amp;row=1068&amp;col=7&amp;number=0&amp;sourceID=14","0")</f>
        <v>0</v>
      </c>
    </row>
    <row r="1069" spans="1:7">
      <c r="A1069" s="3">
        <v>14</v>
      </c>
      <c r="B1069" s="3">
        <v>9</v>
      </c>
      <c r="C1069" s="3">
        <v>34</v>
      </c>
      <c r="D1069" s="3">
        <v>19</v>
      </c>
      <c r="E1069" s="3">
        <v>1077.894</v>
      </c>
      <c r="F1069" s="4" t="str">
        <f>HYPERLINK("http://141.218.60.56/~jnz1568/getInfo.php?workbook=14_09.xlsx&amp;sheet=A0&amp;row=1069&amp;col=6&amp;number=1040000&amp;sourceID=14","1040000")</f>
        <v>1040000</v>
      </c>
      <c r="G1069" s="4" t="str">
        <f>HYPERLINK("http://141.218.60.56/~jnz1568/getInfo.php?workbook=14_09.xlsx&amp;sheet=A0&amp;row=1069&amp;col=7&amp;number=0&amp;sourceID=14","0")</f>
        <v>0</v>
      </c>
    </row>
    <row r="1070" spans="1:7">
      <c r="A1070" s="3">
        <v>14</v>
      </c>
      <c r="B1070" s="3">
        <v>9</v>
      </c>
      <c r="C1070" s="3">
        <v>37</v>
      </c>
      <c r="D1070" s="3">
        <v>19</v>
      </c>
      <c r="E1070" s="3">
        <v>964.531</v>
      </c>
      <c r="F1070" s="4" t="str">
        <f>HYPERLINK("http://141.218.60.56/~jnz1568/getInfo.php?workbook=14_09.xlsx&amp;sheet=A0&amp;row=1070&amp;col=6&amp;number=7790000&amp;sourceID=14","7790000")</f>
        <v>7790000</v>
      </c>
      <c r="G1070" s="4" t="str">
        <f>HYPERLINK("http://141.218.60.56/~jnz1568/getInfo.php?workbook=14_09.xlsx&amp;sheet=A0&amp;row=1070&amp;col=7&amp;number=0&amp;sourceID=14","0")</f>
        <v>0</v>
      </c>
    </row>
    <row r="1071" spans="1:7">
      <c r="A1071" s="3">
        <v>14</v>
      </c>
      <c r="B1071" s="3">
        <v>9</v>
      </c>
      <c r="C1071" s="3">
        <v>38</v>
      </c>
      <c r="D1071" s="3">
        <v>19</v>
      </c>
      <c r="E1071" s="3">
        <v>-956.354</v>
      </c>
      <c r="F1071" s="4" t="str">
        <f>HYPERLINK("http://141.218.60.56/~jnz1568/getInfo.php?workbook=14_09.xlsx&amp;sheet=A0&amp;row=1071&amp;col=6&amp;number=1920000&amp;sourceID=14","1920000")</f>
        <v>1920000</v>
      </c>
      <c r="G1071" s="4" t="str">
        <f>HYPERLINK("http://141.218.60.56/~jnz1568/getInfo.php?workbook=14_09.xlsx&amp;sheet=A0&amp;row=1071&amp;col=7&amp;number=0&amp;sourceID=14","0")</f>
        <v>0</v>
      </c>
    </row>
    <row r="1072" spans="1:7">
      <c r="A1072" s="3">
        <v>14</v>
      </c>
      <c r="B1072" s="3">
        <v>9</v>
      </c>
      <c r="C1072" s="3">
        <v>39</v>
      </c>
      <c r="D1072" s="3">
        <v>19</v>
      </c>
      <c r="E1072" s="3">
        <v>949.194</v>
      </c>
      <c r="F1072" s="4" t="str">
        <f>HYPERLINK("http://141.218.60.56/~jnz1568/getInfo.php?workbook=14_09.xlsx&amp;sheet=A0&amp;row=1072&amp;col=6&amp;number=659000&amp;sourceID=14","659000")</f>
        <v>659000</v>
      </c>
      <c r="G1072" s="4" t="str">
        <f>HYPERLINK("http://141.218.60.56/~jnz1568/getInfo.php?workbook=14_09.xlsx&amp;sheet=A0&amp;row=1072&amp;col=7&amp;number=0&amp;sourceID=14","0")</f>
        <v>0</v>
      </c>
    </row>
    <row r="1073" spans="1:7">
      <c r="A1073" s="3">
        <v>14</v>
      </c>
      <c r="B1073" s="3">
        <v>9</v>
      </c>
      <c r="C1073" s="3">
        <v>42</v>
      </c>
      <c r="D1073" s="3">
        <v>19</v>
      </c>
      <c r="E1073" s="3">
        <v>926.775</v>
      </c>
      <c r="F1073" s="4" t="str">
        <f>HYPERLINK("http://141.218.60.56/~jnz1568/getInfo.php?workbook=14_09.xlsx&amp;sheet=A0&amp;row=1073&amp;col=6&amp;number=32500000&amp;sourceID=14","32500000")</f>
        <v>32500000</v>
      </c>
      <c r="G1073" s="4" t="str">
        <f>HYPERLINK("http://141.218.60.56/~jnz1568/getInfo.php?workbook=14_09.xlsx&amp;sheet=A0&amp;row=1073&amp;col=7&amp;number=0&amp;sourceID=14","0")</f>
        <v>0</v>
      </c>
    </row>
    <row r="1074" spans="1:7">
      <c r="A1074" s="3">
        <v>14</v>
      </c>
      <c r="B1074" s="3">
        <v>9</v>
      </c>
      <c r="C1074" s="3">
        <v>43</v>
      </c>
      <c r="D1074" s="3">
        <v>19</v>
      </c>
      <c r="E1074" s="3">
        <v>924.622</v>
      </c>
      <c r="F1074" s="4" t="str">
        <f>HYPERLINK("http://141.218.60.56/~jnz1568/getInfo.php?workbook=14_09.xlsx&amp;sheet=A0&amp;row=1074&amp;col=6&amp;number=2140000000&amp;sourceID=14","2140000000")</f>
        <v>2140000000</v>
      </c>
      <c r="G1074" s="4" t="str">
        <f>HYPERLINK("http://141.218.60.56/~jnz1568/getInfo.php?workbook=14_09.xlsx&amp;sheet=A0&amp;row=1074&amp;col=7&amp;number=0&amp;sourceID=14","0")</f>
        <v>0</v>
      </c>
    </row>
    <row r="1075" spans="1:7">
      <c r="A1075" s="3">
        <v>14</v>
      </c>
      <c r="B1075" s="3">
        <v>9</v>
      </c>
      <c r="C1075" s="3">
        <v>46</v>
      </c>
      <c r="D1075" s="3">
        <v>19</v>
      </c>
      <c r="E1075" s="3">
        <v>-892.038</v>
      </c>
      <c r="F1075" s="4" t="str">
        <f>HYPERLINK("http://141.218.60.56/~jnz1568/getInfo.php?workbook=14_09.xlsx&amp;sheet=A0&amp;row=1075&amp;col=6&amp;number=246000000&amp;sourceID=14","246000000")</f>
        <v>246000000</v>
      </c>
      <c r="G1075" s="4" t="str">
        <f>HYPERLINK("http://141.218.60.56/~jnz1568/getInfo.php?workbook=14_09.xlsx&amp;sheet=A0&amp;row=1075&amp;col=7&amp;number=0&amp;sourceID=14","0")</f>
        <v>0</v>
      </c>
    </row>
    <row r="1076" spans="1:7">
      <c r="A1076" s="3">
        <v>14</v>
      </c>
      <c r="B1076" s="3">
        <v>9</v>
      </c>
      <c r="C1076" s="3">
        <v>47</v>
      </c>
      <c r="D1076" s="3">
        <v>19</v>
      </c>
      <c r="E1076" s="3">
        <v>-886.204</v>
      </c>
      <c r="F1076" s="4" t="str">
        <f>HYPERLINK("http://141.218.60.56/~jnz1568/getInfo.php?workbook=14_09.xlsx&amp;sheet=A0&amp;row=1076&amp;col=6&amp;number=585000000&amp;sourceID=14","585000000")</f>
        <v>585000000</v>
      </c>
      <c r="G1076" s="4" t="str">
        <f>HYPERLINK("http://141.218.60.56/~jnz1568/getInfo.php?workbook=14_09.xlsx&amp;sheet=A0&amp;row=1076&amp;col=7&amp;number=0&amp;sourceID=14","0")</f>
        <v>0</v>
      </c>
    </row>
    <row r="1077" spans="1:7">
      <c r="A1077" s="3">
        <v>14</v>
      </c>
      <c r="B1077" s="3">
        <v>9</v>
      </c>
      <c r="C1077" s="3">
        <v>48</v>
      </c>
      <c r="D1077" s="3">
        <v>19</v>
      </c>
      <c r="E1077" s="3">
        <v>-870.467</v>
      </c>
      <c r="F1077" s="4" t="str">
        <f>HYPERLINK("http://141.218.60.56/~jnz1568/getInfo.php?workbook=14_09.xlsx&amp;sheet=A0&amp;row=1077&amp;col=6&amp;number=71900000&amp;sourceID=14","71900000")</f>
        <v>71900000</v>
      </c>
      <c r="G1077" s="4" t="str">
        <f>HYPERLINK("http://141.218.60.56/~jnz1568/getInfo.php?workbook=14_09.xlsx&amp;sheet=A0&amp;row=1077&amp;col=7&amp;number=0&amp;sourceID=14","0")</f>
        <v>0</v>
      </c>
    </row>
    <row r="1078" spans="1:7">
      <c r="A1078" s="3">
        <v>14</v>
      </c>
      <c r="B1078" s="3">
        <v>9</v>
      </c>
      <c r="C1078" s="3">
        <v>49</v>
      </c>
      <c r="D1078" s="3">
        <v>19</v>
      </c>
      <c r="E1078" s="3">
        <v>-859.603</v>
      </c>
      <c r="F1078" s="4" t="str">
        <f>HYPERLINK("http://141.218.60.56/~jnz1568/getInfo.php?workbook=14_09.xlsx&amp;sheet=A0&amp;row=1078&amp;col=6&amp;number=126000000&amp;sourceID=14","126000000")</f>
        <v>126000000</v>
      </c>
      <c r="G1078" s="4" t="str">
        <f>HYPERLINK("http://141.218.60.56/~jnz1568/getInfo.php?workbook=14_09.xlsx&amp;sheet=A0&amp;row=1078&amp;col=7&amp;number=0&amp;sourceID=14","0")</f>
        <v>0</v>
      </c>
    </row>
    <row r="1079" spans="1:7">
      <c r="A1079" s="3">
        <v>14</v>
      </c>
      <c r="B1079" s="3">
        <v>9</v>
      </c>
      <c r="C1079" s="3">
        <v>52</v>
      </c>
      <c r="D1079" s="3">
        <v>19</v>
      </c>
      <c r="E1079" s="3">
        <v>-656.01</v>
      </c>
      <c r="F1079" s="4" t="str">
        <f>HYPERLINK("http://141.218.60.56/~jnz1568/getInfo.php?workbook=14_09.xlsx&amp;sheet=A0&amp;row=1079&amp;col=6&amp;number=52700000&amp;sourceID=14","52700000")</f>
        <v>52700000</v>
      </c>
      <c r="G1079" s="4" t="str">
        <f>HYPERLINK("http://141.218.60.56/~jnz1568/getInfo.php?workbook=14_09.xlsx&amp;sheet=A0&amp;row=1079&amp;col=7&amp;number=0&amp;sourceID=14","0")</f>
        <v>0</v>
      </c>
    </row>
    <row r="1080" spans="1:7">
      <c r="A1080" s="3">
        <v>14</v>
      </c>
      <c r="B1080" s="3">
        <v>9</v>
      </c>
      <c r="C1080" s="3">
        <v>53</v>
      </c>
      <c r="D1080" s="3">
        <v>19</v>
      </c>
      <c r="E1080" s="3">
        <v>-650.861</v>
      </c>
      <c r="F1080" s="4" t="str">
        <f>HYPERLINK("http://141.218.60.56/~jnz1568/getInfo.php?workbook=14_09.xlsx&amp;sheet=A0&amp;row=1080&amp;col=6&amp;number=83400000&amp;sourceID=14","83400000")</f>
        <v>83400000</v>
      </c>
      <c r="G1080" s="4" t="str">
        <f>HYPERLINK("http://141.218.60.56/~jnz1568/getInfo.php?workbook=14_09.xlsx&amp;sheet=A0&amp;row=1080&amp;col=7&amp;number=0&amp;sourceID=14","0")</f>
        <v>0</v>
      </c>
    </row>
    <row r="1081" spans="1:7">
      <c r="A1081" s="3">
        <v>14</v>
      </c>
      <c r="B1081" s="3">
        <v>9</v>
      </c>
      <c r="C1081" s="3">
        <v>54</v>
      </c>
      <c r="D1081" s="3">
        <v>19</v>
      </c>
      <c r="E1081" s="3">
        <v>-646.05</v>
      </c>
      <c r="F1081" s="4" t="str">
        <f>HYPERLINK("http://141.218.60.56/~jnz1568/getInfo.php?workbook=14_09.xlsx&amp;sheet=A0&amp;row=1081&amp;col=6&amp;number=2400000&amp;sourceID=14","2400000")</f>
        <v>2400000</v>
      </c>
      <c r="G1081" s="4" t="str">
        <f>HYPERLINK("http://141.218.60.56/~jnz1568/getInfo.php?workbook=14_09.xlsx&amp;sheet=A0&amp;row=1081&amp;col=7&amp;number=0&amp;sourceID=14","0")</f>
        <v>0</v>
      </c>
    </row>
    <row r="1082" spans="1:7">
      <c r="A1082" s="3">
        <v>14</v>
      </c>
      <c r="B1082" s="3">
        <v>9</v>
      </c>
      <c r="C1082" s="3">
        <v>55</v>
      </c>
      <c r="D1082" s="3">
        <v>19</v>
      </c>
      <c r="E1082" s="3">
        <v>-644.572</v>
      </c>
      <c r="F1082" s="4" t="str">
        <f>HYPERLINK("http://141.218.60.56/~jnz1568/getInfo.php?workbook=14_09.xlsx&amp;sheet=A0&amp;row=1082&amp;col=6&amp;number=57600000&amp;sourceID=14","57600000")</f>
        <v>57600000</v>
      </c>
      <c r="G1082" s="4" t="str">
        <f>HYPERLINK("http://141.218.60.56/~jnz1568/getInfo.php?workbook=14_09.xlsx&amp;sheet=A0&amp;row=1082&amp;col=7&amp;number=0&amp;sourceID=14","0")</f>
        <v>0</v>
      </c>
    </row>
    <row r="1083" spans="1:7">
      <c r="A1083" s="3">
        <v>14</v>
      </c>
      <c r="B1083" s="3">
        <v>9</v>
      </c>
      <c r="C1083" s="3">
        <v>57</v>
      </c>
      <c r="D1083" s="3">
        <v>19</v>
      </c>
      <c r="E1083" s="3">
        <v>-639.751</v>
      </c>
      <c r="F1083" s="4" t="str">
        <f>HYPERLINK("http://141.218.60.56/~jnz1568/getInfo.php?workbook=14_09.xlsx&amp;sheet=A0&amp;row=1083&amp;col=6&amp;number=40700000&amp;sourceID=14","40700000")</f>
        <v>40700000</v>
      </c>
      <c r="G1083" s="4" t="str">
        <f>HYPERLINK("http://141.218.60.56/~jnz1568/getInfo.php?workbook=14_09.xlsx&amp;sheet=A0&amp;row=1083&amp;col=7&amp;number=0&amp;sourceID=14","0")</f>
        <v>0</v>
      </c>
    </row>
    <row r="1084" spans="1:7">
      <c r="A1084" s="3">
        <v>14</v>
      </c>
      <c r="B1084" s="3">
        <v>9</v>
      </c>
      <c r="C1084" s="3">
        <v>58</v>
      </c>
      <c r="D1084" s="3">
        <v>19</v>
      </c>
      <c r="E1084" s="3">
        <v>-635.103</v>
      </c>
      <c r="F1084" s="4" t="str">
        <f>HYPERLINK("http://141.218.60.56/~jnz1568/getInfo.php?workbook=14_09.xlsx&amp;sheet=A0&amp;row=1084&amp;col=6&amp;number=157000000&amp;sourceID=14","157000000")</f>
        <v>157000000</v>
      </c>
      <c r="G1084" s="4" t="str">
        <f>HYPERLINK("http://141.218.60.56/~jnz1568/getInfo.php?workbook=14_09.xlsx&amp;sheet=A0&amp;row=1084&amp;col=7&amp;number=0&amp;sourceID=14","0")</f>
        <v>0</v>
      </c>
    </row>
    <row r="1085" spans="1:7">
      <c r="A1085" s="3">
        <v>14</v>
      </c>
      <c r="B1085" s="3">
        <v>9</v>
      </c>
      <c r="C1085" s="3">
        <v>59</v>
      </c>
      <c r="D1085" s="3">
        <v>19</v>
      </c>
      <c r="E1085" s="3">
        <v>-454.272</v>
      </c>
      <c r="F1085" s="4" t="str">
        <f>HYPERLINK("http://141.218.60.56/~jnz1568/getInfo.php?workbook=14_09.xlsx&amp;sheet=A0&amp;row=1085&amp;col=6&amp;number=2290000&amp;sourceID=14","2290000")</f>
        <v>2290000</v>
      </c>
      <c r="G1085" s="4" t="str">
        <f>HYPERLINK("http://141.218.60.56/~jnz1568/getInfo.php?workbook=14_09.xlsx&amp;sheet=A0&amp;row=1085&amp;col=7&amp;number=0&amp;sourceID=14","0")</f>
        <v>0</v>
      </c>
    </row>
    <row r="1086" spans="1:7">
      <c r="A1086" s="3">
        <v>14</v>
      </c>
      <c r="B1086" s="3">
        <v>9</v>
      </c>
      <c r="C1086" s="3">
        <v>60</v>
      </c>
      <c r="D1086" s="3">
        <v>19</v>
      </c>
      <c r="E1086" s="3">
        <v>-453.798</v>
      </c>
      <c r="F1086" s="4" t="str">
        <f>HYPERLINK("http://141.218.60.56/~jnz1568/getInfo.php?workbook=14_09.xlsx&amp;sheet=A0&amp;row=1086&amp;col=6&amp;number=14100000&amp;sourceID=14","14100000")</f>
        <v>14100000</v>
      </c>
      <c r="G1086" s="4" t="str">
        <f>HYPERLINK("http://141.218.60.56/~jnz1568/getInfo.php?workbook=14_09.xlsx&amp;sheet=A0&amp;row=1086&amp;col=7&amp;number=0&amp;sourceID=14","0")</f>
        <v>0</v>
      </c>
    </row>
    <row r="1087" spans="1:7">
      <c r="A1087" s="3">
        <v>14</v>
      </c>
      <c r="B1087" s="3">
        <v>9</v>
      </c>
      <c r="C1087" s="3">
        <v>61</v>
      </c>
      <c r="D1087" s="3">
        <v>19</v>
      </c>
      <c r="E1087" s="3">
        <v>-429.661</v>
      </c>
      <c r="F1087" s="4" t="str">
        <f>HYPERLINK("http://141.218.60.56/~jnz1568/getInfo.php?workbook=14_09.xlsx&amp;sheet=A0&amp;row=1087&amp;col=6&amp;number=1470000&amp;sourceID=14","1470000")</f>
        <v>1470000</v>
      </c>
      <c r="G1087" s="4" t="str">
        <f>HYPERLINK("http://141.218.60.56/~jnz1568/getInfo.php?workbook=14_09.xlsx&amp;sheet=A0&amp;row=1087&amp;col=7&amp;number=0&amp;sourceID=14","0")</f>
        <v>0</v>
      </c>
    </row>
    <row r="1088" spans="1:7">
      <c r="A1088" s="3">
        <v>14</v>
      </c>
      <c r="B1088" s="3">
        <v>9</v>
      </c>
      <c r="C1088" s="3">
        <v>62</v>
      </c>
      <c r="D1088" s="3">
        <v>19</v>
      </c>
      <c r="E1088" s="3">
        <v>-425.028</v>
      </c>
      <c r="F1088" s="4" t="str">
        <f>HYPERLINK("http://141.218.60.56/~jnz1568/getInfo.php?workbook=14_09.xlsx&amp;sheet=A0&amp;row=1088&amp;col=6&amp;number=82100000&amp;sourceID=14","82100000")</f>
        <v>82100000</v>
      </c>
      <c r="G1088" s="4" t="str">
        <f>HYPERLINK("http://141.218.60.56/~jnz1568/getInfo.php?workbook=14_09.xlsx&amp;sheet=A0&amp;row=1088&amp;col=7&amp;number=0&amp;sourceID=14","0")</f>
        <v>0</v>
      </c>
    </row>
    <row r="1089" spans="1:7">
      <c r="A1089" s="3">
        <v>14</v>
      </c>
      <c r="B1089" s="3">
        <v>9</v>
      </c>
      <c r="C1089" s="3">
        <v>63</v>
      </c>
      <c r="D1089" s="3">
        <v>19</v>
      </c>
      <c r="E1089" s="3">
        <v>-420.887</v>
      </c>
      <c r="F1089" s="4" t="str">
        <f>HYPERLINK("http://141.218.60.56/~jnz1568/getInfo.php?workbook=14_09.xlsx&amp;sheet=A0&amp;row=1089&amp;col=6&amp;number=13600000&amp;sourceID=14","13600000")</f>
        <v>13600000</v>
      </c>
      <c r="G1089" s="4" t="str">
        <f>HYPERLINK("http://141.218.60.56/~jnz1568/getInfo.php?workbook=14_09.xlsx&amp;sheet=A0&amp;row=1089&amp;col=7&amp;number=0&amp;sourceID=14","0")</f>
        <v>0</v>
      </c>
    </row>
    <row r="1090" spans="1:7">
      <c r="A1090" s="3">
        <v>14</v>
      </c>
      <c r="B1090" s="3">
        <v>9</v>
      </c>
      <c r="C1090" s="3">
        <v>64</v>
      </c>
      <c r="D1090" s="3">
        <v>19</v>
      </c>
      <c r="E1090" s="3">
        <v>-418.469</v>
      </c>
      <c r="F1090" s="4" t="str">
        <f>HYPERLINK("http://141.218.60.56/~jnz1568/getInfo.php?workbook=14_09.xlsx&amp;sheet=A0&amp;row=1090&amp;col=6&amp;number=1160000000&amp;sourceID=14","1160000000")</f>
        <v>1160000000</v>
      </c>
      <c r="G1090" s="4" t="str">
        <f>HYPERLINK("http://141.218.60.56/~jnz1568/getInfo.php?workbook=14_09.xlsx&amp;sheet=A0&amp;row=1090&amp;col=7&amp;number=0&amp;sourceID=14","0")</f>
        <v>0</v>
      </c>
    </row>
    <row r="1091" spans="1:7">
      <c r="A1091" s="3">
        <v>14</v>
      </c>
      <c r="B1091" s="3">
        <v>9</v>
      </c>
      <c r="C1091" s="3">
        <v>65</v>
      </c>
      <c r="D1091" s="3">
        <v>19</v>
      </c>
      <c r="E1091" s="3">
        <v>-412.903</v>
      </c>
      <c r="F1091" s="4" t="str">
        <f>HYPERLINK("http://141.218.60.56/~jnz1568/getInfo.php?workbook=14_09.xlsx&amp;sheet=A0&amp;row=1091&amp;col=6&amp;number=4300000000&amp;sourceID=14","4300000000")</f>
        <v>4300000000</v>
      </c>
      <c r="G1091" s="4" t="str">
        <f>HYPERLINK("http://141.218.60.56/~jnz1568/getInfo.php?workbook=14_09.xlsx&amp;sheet=A0&amp;row=1091&amp;col=7&amp;number=0&amp;sourceID=14","0")</f>
        <v>0</v>
      </c>
    </row>
    <row r="1092" spans="1:7">
      <c r="A1092" s="3">
        <v>14</v>
      </c>
      <c r="B1092" s="3">
        <v>9</v>
      </c>
      <c r="C1092" s="3">
        <v>77</v>
      </c>
      <c r="D1092" s="3">
        <v>19</v>
      </c>
      <c r="E1092" s="3">
        <v>-358.268</v>
      </c>
      <c r="F1092" s="4" t="str">
        <f>HYPERLINK("http://141.218.60.56/~jnz1568/getInfo.php?workbook=14_09.xlsx&amp;sheet=A0&amp;row=1092&amp;col=6&amp;number=79300&amp;sourceID=14","79300")</f>
        <v>79300</v>
      </c>
      <c r="G1092" s="4" t="str">
        <f>HYPERLINK("http://141.218.60.56/~jnz1568/getInfo.php?workbook=14_09.xlsx&amp;sheet=A0&amp;row=1092&amp;col=7&amp;number=0&amp;sourceID=14","0")</f>
        <v>0</v>
      </c>
    </row>
    <row r="1093" spans="1:7">
      <c r="A1093" s="3">
        <v>14</v>
      </c>
      <c r="B1093" s="3">
        <v>9</v>
      </c>
      <c r="C1093" s="3">
        <v>78</v>
      </c>
      <c r="D1093" s="3">
        <v>19</v>
      </c>
      <c r="E1093" s="3">
        <v>-357.15</v>
      </c>
      <c r="F1093" s="4" t="str">
        <f>HYPERLINK("http://141.218.60.56/~jnz1568/getInfo.php?workbook=14_09.xlsx&amp;sheet=A0&amp;row=1093&amp;col=6&amp;number=108000&amp;sourceID=14","108000")</f>
        <v>108000</v>
      </c>
      <c r="G1093" s="4" t="str">
        <f>HYPERLINK("http://141.218.60.56/~jnz1568/getInfo.php?workbook=14_09.xlsx&amp;sheet=A0&amp;row=1093&amp;col=7&amp;number=0&amp;sourceID=14","0")</f>
        <v>0</v>
      </c>
    </row>
    <row r="1094" spans="1:7">
      <c r="A1094" s="3">
        <v>14</v>
      </c>
      <c r="B1094" s="3">
        <v>9</v>
      </c>
      <c r="C1094" s="3">
        <v>79</v>
      </c>
      <c r="D1094" s="3">
        <v>19</v>
      </c>
      <c r="E1094" s="3">
        <v>-353.806</v>
      </c>
      <c r="F1094" s="4" t="str">
        <f>HYPERLINK("http://141.218.60.56/~jnz1568/getInfo.php?workbook=14_09.xlsx&amp;sheet=A0&amp;row=1094&amp;col=6&amp;number=22500000&amp;sourceID=14","22500000")</f>
        <v>22500000</v>
      </c>
      <c r="G1094" s="4" t="str">
        <f>HYPERLINK("http://141.218.60.56/~jnz1568/getInfo.php?workbook=14_09.xlsx&amp;sheet=A0&amp;row=1094&amp;col=7&amp;number=0&amp;sourceID=14","0")</f>
        <v>0</v>
      </c>
    </row>
    <row r="1095" spans="1:7">
      <c r="A1095" s="3">
        <v>14</v>
      </c>
      <c r="B1095" s="3">
        <v>9</v>
      </c>
      <c r="C1095" s="3">
        <v>80</v>
      </c>
      <c r="D1095" s="3">
        <v>19</v>
      </c>
      <c r="E1095" s="3">
        <v>-353.785</v>
      </c>
      <c r="F1095" s="4" t="str">
        <f>HYPERLINK("http://141.218.60.56/~jnz1568/getInfo.php?workbook=14_09.xlsx&amp;sheet=A0&amp;row=1095&amp;col=6&amp;number=32200000&amp;sourceID=14","32200000")</f>
        <v>32200000</v>
      </c>
      <c r="G1095" s="4" t="str">
        <f>HYPERLINK("http://141.218.60.56/~jnz1568/getInfo.php?workbook=14_09.xlsx&amp;sheet=A0&amp;row=1095&amp;col=7&amp;number=0&amp;sourceID=14","0")</f>
        <v>0</v>
      </c>
    </row>
    <row r="1096" spans="1:7">
      <c r="A1096" s="3">
        <v>14</v>
      </c>
      <c r="B1096" s="3">
        <v>9</v>
      </c>
      <c r="C1096" s="3">
        <v>87</v>
      </c>
      <c r="D1096" s="3">
        <v>19</v>
      </c>
      <c r="E1096" s="3">
        <v>-330.31</v>
      </c>
      <c r="F1096" s="4" t="str">
        <f>HYPERLINK("http://141.218.60.56/~jnz1568/getInfo.php?workbook=14_09.xlsx&amp;sheet=A0&amp;row=1096&amp;col=6&amp;number=109000&amp;sourceID=14","109000")</f>
        <v>109000</v>
      </c>
      <c r="G1096" s="4" t="str">
        <f>HYPERLINK("http://141.218.60.56/~jnz1568/getInfo.php?workbook=14_09.xlsx&amp;sheet=A0&amp;row=1096&amp;col=7&amp;number=0&amp;sourceID=14","0")</f>
        <v>0</v>
      </c>
    </row>
    <row r="1097" spans="1:7">
      <c r="A1097" s="3">
        <v>14</v>
      </c>
      <c r="B1097" s="3">
        <v>9</v>
      </c>
      <c r="C1097" s="3">
        <v>88</v>
      </c>
      <c r="D1097" s="3">
        <v>19</v>
      </c>
      <c r="E1097" s="3">
        <v>-329.658</v>
      </c>
      <c r="F1097" s="4" t="str">
        <f>HYPERLINK("http://141.218.60.56/~jnz1568/getInfo.php?workbook=14_09.xlsx&amp;sheet=A0&amp;row=1097&amp;col=6&amp;number=640000&amp;sourceID=14","640000")</f>
        <v>640000</v>
      </c>
      <c r="G1097" s="4" t="str">
        <f>HYPERLINK("http://141.218.60.56/~jnz1568/getInfo.php?workbook=14_09.xlsx&amp;sheet=A0&amp;row=1097&amp;col=7&amp;number=0&amp;sourceID=14","0")</f>
        <v>0</v>
      </c>
    </row>
    <row r="1098" spans="1:7">
      <c r="A1098" s="3">
        <v>14</v>
      </c>
      <c r="B1098" s="3">
        <v>9</v>
      </c>
      <c r="C1098" s="3">
        <v>89</v>
      </c>
      <c r="D1098" s="3">
        <v>19</v>
      </c>
      <c r="E1098" s="3">
        <v>-328.865</v>
      </c>
      <c r="F1098" s="4" t="str">
        <f>HYPERLINK("http://141.218.60.56/~jnz1568/getInfo.php?workbook=14_09.xlsx&amp;sheet=A0&amp;row=1098&amp;col=6&amp;number=5670000&amp;sourceID=14","5670000")</f>
        <v>5670000</v>
      </c>
      <c r="G1098" s="4" t="str">
        <f>HYPERLINK("http://141.218.60.56/~jnz1568/getInfo.php?workbook=14_09.xlsx&amp;sheet=A0&amp;row=1098&amp;col=7&amp;number=0&amp;sourceID=14","0")</f>
        <v>0</v>
      </c>
    </row>
    <row r="1099" spans="1:7">
      <c r="A1099" s="3">
        <v>14</v>
      </c>
      <c r="B1099" s="3">
        <v>9</v>
      </c>
      <c r="C1099" s="3">
        <v>93</v>
      </c>
      <c r="D1099" s="3">
        <v>19</v>
      </c>
      <c r="E1099" s="3">
        <v>-324.652</v>
      </c>
      <c r="F1099" s="4" t="str">
        <f>HYPERLINK("http://141.218.60.56/~jnz1568/getInfo.php?workbook=14_09.xlsx&amp;sheet=A0&amp;row=1099&amp;col=6&amp;number=373000000&amp;sourceID=14","373000000")</f>
        <v>373000000</v>
      </c>
      <c r="G1099" s="4" t="str">
        <f>HYPERLINK("http://141.218.60.56/~jnz1568/getInfo.php?workbook=14_09.xlsx&amp;sheet=A0&amp;row=1099&amp;col=7&amp;number=0&amp;sourceID=14","0")</f>
        <v>0</v>
      </c>
    </row>
    <row r="1100" spans="1:7">
      <c r="A1100" s="3">
        <v>14</v>
      </c>
      <c r="B1100" s="3">
        <v>9</v>
      </c>
      <c r="C1100" s="3">
        <v>94</v>
      </c>
      <c r="D1100" s="3">
        <v>19</v>
      </c>
      <c r="E1100" s="3">
        <v>-324.419</v>
      </c>
      <c r="F1100" s="4" t="str">
        <f>HYPERLINK("http://141.218.60.56/~jnz1568/getInfo.php?workbook=14_09.xlsx&amp;sheet=A0&amp;row=1100&amp;col=6&amp;number=24500000&amp;sourceID=14","24500000")</f>
        <v>24500000</v>
      </c>
      <c r="G1100" s="4" t="str">
        <f>HYPERLINK("http://141.218.60.56/~jnz1568/getInfo.php?workbook=14_09.xlsx&amp;sheet=A0&amp;row=1100&amp;col=7&amp;number=0&amp;sourceID=14","0")</f>
        <v>0</v>
      </c>
    </row>
    <row r="1101" spans="1:7">
      <c r="A1101" s="3">
        <v>14</v>
      </c>
      <c r="B1101" s="3">
        <v>9</v>
      </c>
      <c r="C1101" s="3">
        <v>96</v>
      </c>
      <c r="D1101" s="3">
        <v>19</v>
      </c>
      <c r="E1101" s="3">
        <v>-323.02</v>
      </c>
      <c r="F1101" s="4" t="str">
        <f>HYPERLINK("http://141.218.60.56/~jnz1568/getInfo.php?workbook=14_09.xlsx&amp;sheet=A0&amp;row=1101&amp;col=6&amp;number=901000&amp;sourceID=14","901000")</f>
        <v>901000</v>
      </c>
      <c r="G1101" s="4" t="str">
        <f>HYPERLINK("http://141.218.60.56/~jnz1568/getInfo.php?workbook=14_09.xlsx&amp;sheet=A0&amp;row=1101&amp;col=7&amp;number=0&amp;sourceID=14","0")</f>
        <v>0</v>
      </c>
    </row>
    <row r="1102" spans="1:7">
      <c r="A1102" s="3">
        <v>14</v>
      </c>
      <c r="B1102" s="3">
        <v>9</v>
      </c>
      <c r="C1102" s="3">
        <v>97</v>
      </c>
      <c r="D1102" s="3">
        <v>19</v>
      </c>
      <c r="E1102" s="3">
        <v>-322.549</v>
      </c>
      <c r="F1102" s="4" t="str">
        <f>HYPERLINK("http://141.218.60.56/~jnz1568/getInfo.php?workbook=14_09.xlsx&amp;sheet=A0&amp;row=1102&amp;col=6&amp;number=1010000&amp;sourceID=14","1010000")</f>
        <v>1010000</v>
      </c>
      <c r="G1102" s="4" t="str">
        <f>HYPERLINK("http://141.218.60.56/~jnz1568/getInfo.php?workbook=14_09.xlsx&amp;sheet=A0&amp;row=1102&amp;col=7&amp;number=0&amp;sourceID=14","0")</f>
        <v>0</v>
      </c>
    </row>
    <row r="1103" spans="1:7">
      <c r="A1103" s="3">
        <v>14</v>
      </c>
      <c r="B1103" s="3">
        <v>9</v>
      </c>
      <c r="C1103" s="3">
        <v>98</v>
      </c>
      <c r="D1103" s="3">
        <v>19</v>
      </c>
      <c r="E1103" s="3">
        <v>-321.689</v>
      </c>
      <c r="F1103" s="4" t="str">
        <f>HYPERLINK("http://141.218.60.56/~jnz1568/getInfo.php?workbook=14_09.xlsx&amp;sheet=A0&amp;row=1103&amp;col=6&amp;number=3250000000&amp;sourceID=14","3250000000")</f>
        <v>3250000000</v>
      </c>
      <c r="G1103" s="4" t="str">
        <f>HYPERLINK("http://141.218.60.56/~jnz1568/getInfo.php?workbook=14_09.xlsx&amp;sheet=A0&amp;row=1103&amp;col=7&amp;number=0&amp;sourceID=14","0")</f>
        <v>0</v>
      </c>
    </row>
    <row r="1104" spans="1:7">
      <c r="A1104" s="3">
        <v>14</v>
      </c>
      <c r="B1104" s="3">
        <v>9</v>
      </c>
      <c r="C1104" s="3">
        <v>99</v>
      </c>
      <c r="D1104" s="3">
        <v>19</v>
      </c>
      <c r="E1104" s="3">
        <v>-320.142</v>
      </c>
      <c r="F1104" s="4" t="str">
        <f>HYPERLINK("http://141.218.60.56/~jnz1568/getInfo.php?workbook=14_09.xlsx&amp;sheet=A0&amp;row=1104&amp;col=6&amp;number=98600000&amp;sourceID=14","98600000")</f>
        <v>98600000</v>
      </c>
      <c r="G1104" s="4" t="str">
        <f>HYPERLINK("http://141.218.60.56/~jnz1568/getInfo.php?workbook=14_09.xlsx&amp;sheet=A0&amp;row=1104&amp;col=7&amp;number=0&amp;sourceID=14","0")</f>
        <v>0</v>
      </c>
    </row>
    <row r="1105" spans="1:7">
      <c r="A1105" s="3">
        <v>14</v>
      </c>
      <c r="B1105" s="3">
        <v>9</v>
      </c>
      <c r="C1105" s="3">
        <v>100</v>
      </c>
      <c r="D1105" s="3">
        <v>19</v>
      </c>
      <c r="E1105" s="3">
        <v>-319.403</v>
      </c>
      <c r="F1105" s="4" t="str">
        <f>HYPERLINK("http://141.218.60.56/~jnz1568/getInfo.php?workbook=14_09.xlsx&amp;sheet=A0&amp;row=1105&amp;col=6&amp;number=1250000000&amp;sourceID=14","1250000000")</f>
        <v>1250000000</v>
      </c>
      <c r="G1105" s="4" t="str">
        <f>HYPERLINK("http://141.218.60.56/~jnz1568/getInfo.php?workbook=14_09.xlsx&amp;sheet=A0&amp;row=1105&amp;col=7&amp;number=0&amp;sourceID=14","0")</f>
        <v>0</v>
      </c>
    </row>
    <row r="1106" spans="1:7">
      <c r="A1106" s="3">
        <v>14</v>
      </c>
      <c r="B1106" s="3">
        <v>9</v>
      </c>
      <c r="C1106" s="3">
        <v>103</v>
      </c>
      <c r="D1106" s="3">
        <v>19</v>
      </c>
      <c r="E1106" s="3">
        <v>-317.49</v>
      </c>
      <c r="F1106" s="4" t="str">
        <f>HYPERLINK("http://141.218.60.56/~jnz1568/getInfo.php?workbook=14_09.xlsx&amp;sheet=A0&amp;row=1106&amp;col=6&amp;number=288000000&amp;sourceID=14","288000000")</f>
        <v>288000000</v>
      </c>
      <c r="G1106" s="4" t="str">
        <f>HYPERLINK("http://141.218.60.56/~jnz1568/getInfo.php?workbook=14_09.xlsx&amp;sheet=A0&amp;row=1106&amp;col=7&amp;number=0&amp;sourceID=14","0")</f>
        <v>0</v>
      </c>
    </row>
    <row r="1107" spans="1:7">
      <c r="A1107" s="3">
        <v>14</v>
      </c>
      <c r="B1107" s="3">
        <v>9</v>
      </c>
      <c r="C1107" s="3">
        <v>109</v>
      </c>
      <c r="D1107" s="3">
        <v>19</v>
      </c>
      <c r="E1107" s="3">
        <v>-316.579</v>
      </c>
      <c r="F1107" s="4" t="str">
        <f>HYPERLINK("http://141.218.60.56/~jnz1568/getInfo.php?workbook=14_09.xlsx&amp;sheet=A0&amp;row=1107&amp;col=6&amp;number=186000&amp;sourceID=14","186000")</f>
        <v>186000</v>
      </c>
      <c r="G1107" s="4" t="str">
        <f>HYPERLINK("http://141.218.60.56/~jnz1568/getInfo.php?workbook=14_09.xlsx&amp;sheet=A0&amp;row=1107&amp;col=7&amp;number=0&amp;sourceID=14","0")</f>
        <v>0</v>
      </c>
    </row>
    <row r="1108" spans="1:7">
      <c r="A1108" s="3">
        <v>14</v>
      </c>
      <c r="B1108" s="3">
        <v>9</v>
      </c>
      <c r="C1108" s="3">
        <v>110</v>
      </c>
      <c r="D1108" s="3">
        <v>19</v>
      </c>
      <c r="E1108" s="3">
        <v>-316.007</v>
      </c>
      <c r="F1108" s="4" t="str">
        <f>HYPERLINK("http://141.218.60.56/~jnz1568/getInfo.php?workbook=14_09.xlsx&amp;sheet=A0&amp;row=1108&amp;col=6&amp;number=527000000&amp;sourceID=14","527000000")</f>
        <v>527000000</v>
      </c>
      <c r="G1108" s="4" t="str">
        <f>HYPERLINK("http://141.218.60.56/~jnz1568/getInfo.php?workbook=14_09.xlsx&amp;sheet=A0&amp;row=1108&amp;col=7&amp;number=0&amp;sourceID=14","0")</f>
        <v>0</v>
      </c>
    </row>
    <row r="1109" spans="1:7">
      <c r="A1109" s="3">
        <v>14</v>
      </c>
      <c r="B1109" s="3">
        <v>9</v>
      </c>
      <c r="C1109" s="3">
        <v>121</v>
      </c>
      <c r="D1109" s="3">
        <v>19</v>
      </c>
      <c r="E1109" s="3">
        <v>-312.103</v>
      </c>
      <c r="F1109" s="4" t="str">
        <f>HYPERLINK("http://141.218.60.56/~jnz1568/getInfo.php?workbook=14_09.xlsx&amp;sheet=A0&amp;row=1109&amp;col=6&amp;number=208000&amp;sourceID=14","208000")</f>
        <v>208000</v>
      </c>
      <c r="G1109" s="4" t="str">
        <f>HYPERLINK("http://141.218.60.56/~jnz1568/getInfo.php?workbook=14_09.xlsx&amp;sheet=A0&amp;row=1109&amp;col=7&amp;number=0&amp;sourceID=14","0")</f>
        <v>0</v>
      </c>
    </row>
    <row r="1110" spans="1:7">
      <c r="A1110" s="3">
        <v>14</v>
      </c>
      <c r="B1110" s="3">
        <v>9</v>
      </c>
      <c r="C1110" s="3">
        <v>123</v>
      </c>
      <c r="D1110" s="3">
        <v>19</v>
      </c>
      <c r="E1110" s="3">
        <v>-310.916</v>
      </c>
      <c r="F1110" s="4" t="str">
        <f>HYPERLINK("http://141.218.60.56/~jnz1568/getInfo.php?workbook=14_09.xlsx&amp;sheet=A0&amp;row=1110&amp;col=6&amp;number=468000&amp;sourceID=14","468000")</f>
        <v>468000</v>
      </c>
      <c r="G1110" s="4" t="str">
        <f>HYPERLINK("http://141.218.60.56/~jnz1568/getInfo.php?workbook=14_09.xlsx&amp;sheet=A0&amp;row=1110&amp;col=7&amp;number=0&amp;sourceID=14","0")</f>
        <v>0</v>
      </c>
    </row>
    <row r="1111" spans="1:7">
      <c r="A1111" s="3">
        <v>14</v>
      </c>
      <c r="B1111" s="3">
        <v>9</v>
      </c>
      <c r="C1111" s="3">
        <v>127</v>
      </c>
      <c r="D1111" s="3">
        <v>19</v>
      </c>
      <c r="E1111" s="3">
        <v>-286.317</v>
      </c>
      <c r="F1111" s="4" t="str">
        <f>HYPERLINK("http://141.218.60.56/~jnz1568/getInfo.php?workbook=14_09.xlsx&amp;sheet=A0&amp;row=1111&amp;col=6&amp;number=21800000&amp;sourceID=14","21800000")</f>
        <v>21800000</v>
      </c>
      <c r="G1111" s="4" t="str">
        <f>HYPERLINK("http://141.218.60.56/~jnz1568/getInfo.php?workbook=14_09.xlsx&amp;sheet=A0&amp;row=1111&amp;col=7&amp;number=0&amp;sourceID=14","0")</f>
        <v>0</v>
      </c>
    </row>
    <row r="1112" spans="1:7">
      <c r="A1112" s="3">
        <v>14</v>
      </c>
      <c r="B1112" s="3">
        <v>9</v>
      </c>
      <c r="C1112" s="3">
        <v>128</v>
      </c>
      <c r="D1112" s="3">
        <v>19</v>
      </c>
      <c r="E1112" s="3">
        <v>-285.573</v>
      </c>
      <c r="F1112" s="4" t="str">
        <f>HYPERLINK("http://141.218.60.56/~jnz1568/getInfo.php?workbook=14_09.xlsx&amp;sheet=A0&amp;row=1112&amp;col=6&amp;number=3260000&amp;sourceID=14","3260000")</f>
        <v>3260000</v>
      </c>
      <c r="G1112" s="4" t="str">
        <f>HYPERLINK("http://141.218.60.56/~jnz1568/getInfo.php?workbook=14_09.xlsx&amp;sheet=A0&amp;row=1112&amp;col=7&amp;number=0&amp;sourceID=14","0")</f>
        <v>0</v>
      </c>
    </row>
    <row r="1113" spans="1:7">
      <c r="A1113" s="3">
        <v>14</v>
      </c>
      <c r="B1113" s="3">
        <v>9</v>
      </c>
      <c r="C1113" s="3">
        <v>131</v>
      </c>
      <c r="D1113" s="3">
        <v>19</v>
      </c>
      <c r="E1113" s="3">
        <v>-281.23</v>
      </c>
      <c r="F1113" s="4" t="str">
        <f>HYPERLINK("http://141.218.60.56/~jnz1568/getInfo.php?workbook=14_09.xlsx&amp;sheet=A0&amp;row=1113&amp;col=6&amp;number=4080000&amp;sourceID=14","4080000")</f>
        <v>4080000</v>
      </c>
      <c r="G1113" s="4" t="str">
        <f>HYPERLINK("http://141.218.60.56/~jnz1568/getInfo.php?workbook=14_09.xlsx&amp;sheet=A0&amp;row=1113&amp;col=7&amp;number=0&amp;sourceID=14","0")</f>
        <v>0</v>
      </c>
    </row>
    <row r="1114" spans="1:7">
      <c r="A1114" s="3">
        <v>14</v>
      </c>
      <c r="B1114" s="3">
        <v>9</v>
      </c>
      <c r="C1114" s="3">
        <v>132</v>
      </c>
      <c r="D1114" s="3">
        <v>19</v>
      </c>
      <c r="E1114" s="3">
        <v>-281.198</v>
      </c>
      <c r="F1114" s="4" t="str">
        <f>HYPERLINK("http://141.218.60.56/~jnz1568/getInfo.php?workbook=14_09.xlsx&amp;sheet=A0&amp;row=1114&amp;col=6&amp;number=3120000&amp;sourceID=14","3120000")</f>
        <v>3120000</v>
      </c>
      <c r="G1114" s="4" t="str">
        <f>HYPERLINK("http://141.218.60.56/~jnz1568/getInfo.php?workbook=14_09.xlsx&amp;sheet=A0&amp;row=1114&amp;col=7&amp;number=0&amp;sourceID=14","0")</f>
        <v>0</v>
      </c>
    </row>
    <row r="1115" spans="1:7">
      <c r="A1115" s="3">
        <v>14</v>
      </c>
      <c r="B1115" s="3">
        <v>9</v>
      </c>
      <c r="C1115" s="3">
        <v>134</v>
      </c>
      <c r="D1115" s="3">
        <v>19</v>
      </c>
      <c r="E1115" s="3">
        <v>-280.719</v>
      </c>
      <c r="F1115" s="4" t="str">
        <f>HYPERLINK("http://141.218.60.56/~jnz1568/getInfo.php?workbook=14_09.xlsx&amp;sheet=A0&amp;row=1115&amp;col=6&amp;number=52400000&amp;sourceID=14","52400000")</f>
        <v>52400000</v>
      </c>
      <c r="G1115" s="4" t="str">
        <f>HYPERLINK("http://141.218.60.56/~jnz1568/getInfo.php?workbook=14_09.xlsx&amp;sheet=A0&amp;row=1115&amp;col=7&amp;number=0&amp;sourceID=14","0")</f>
        <v>0</v>
      </c>
    </row>
    <row r="1116" spans="1:7">
      <c r="A1116" s="3">
        <v>14</v>
      </c>
      <c r="B1116" s="3">
        <v>9</v>
      </c>
      <c r="C1116" s="3">
        <v>135</v>
      </c>
      <c r="D1116" s="3">
        <v>19</v>
      </c>
      <c r="E1116" s="3">
        <v>-280.605</v>
      </c>
      <c r="F1116" s="4" t="str">
        <f>HYPERLINK("http://141.218.60.56/~jnz1568/getInfo.php?workbook=14_09.xlsx&amp;sheet=A0&amp;row=1116&amp;col=6&amp;number=14700000&amp;sourceID=14","14700000")</f>
        <v>14700000</v>
      </c>
      <c r="G1116" s="4" t="str">
        <f>HYPERLINK("http://141.218.60.56/~jnz1568/getInfo.php?workbook=14_09.xlsx&amp;sheet=A0&amp;row=1116&amp;col=7&amp;number=0&amp;sourceID=14","0")</f>
        <v>0</v>
      </c>
    </row>
    <row r="1117" spans="1:7">
      <c r="A1117" s="3">
        <v>14</v>
      </c>
      <c r="B1117" s="3">
        <v>9</v>
      </c>
      <c r="C1117" s="3">
        <v>136</v>
      </c>
      <c r="D1117" s="3">
        <v>19</v>
      </c>
      <c r="E1117" s="3">
        <v>-280.234</v>
      </c>
      <c r="F1117" s="4" t="str">
        <f>HYPERLINK("http://141.218.60.56/~jnz1568/getInfo.php?workbook=14_09.xlsx&amp;sheet=A0&amp;row=1117&amp;col=6&amp;number=102000000&amp;sourceID=14","102000000")</f>
        <v>102000000</v>
      </c>
      <c r="G1117" s="4" t="str">
        <f>HYPERLINK("http://141.218.60.56/~jnz1568/getInfo.php?workbook=14_09.xlsx&amp;sheet=A0&amp;row=1117&amp;col=7&amp;number=0&amp;sourceID=14","0")</f>
        <v>0</v>
      </c>
    </row>
    <row r="1118" spans="1:7">
      <c r="A1118" s="3">
        <v>14</v>
      </c>
      <c r="B1118" s="3">
        <v>9</v>
      </c>
      <c r="C1118" s="3">
        <v>137</v>
      </c>
      <c r="D1118" s="3">
        <v>19</v>
      </c>
      <c r="E1118" s="3">
        <v>-279.545</v>
      </c>
      <c r="F1118" s="4" t="str">
        <f>HYPERLINK("http://141.218.60.56/~jnz1568/getInfo.php?workbook=14_09.xlsx&amp;sheet=A0&amp;row=1118&amp;col=6&amp;number=18300000&amp;sourceID=14","18300000")</f>
        <v>18300000</v>
      </c>
      <c r="G1118" s="4" t="str">
        <f>HYPERLINK("http://141.218.60.56/~jnz1568/getInfo.php?workbook=14_09.xlsx&amp;sheet=A0&amp;row=1118&amp;col=7&amp;number=0&amp;sourceID=14","0")</f>
        <v>0</v>
      </c>
    </row>
    <row r="1119" spans="1:7">
      <c r="A1119" s="3">
        <v>14</v>
      </c>
      <c r="B1119" s="3">
        <v>9</v>
      </c>
      <c r="C1119" s="3">
        <v>145</v>
      </c>
      <c r="D1119" s="3">
        <v>19</v>
      </c>
      <c r="E1119" s="3">
        <v>-274.909</v>
      </c>
      <c r="F1119" s="4" t="str">
        <f>HYPERLINK("http://141.218.60.56/~jnz1568/getInfo.php?workbook=14_09.xlsx&amp;sheet=A0&amp;row=1119&amp;col=6&amp;number=33600000&amp;sourceID=14","33600000")</f>
        <v>33600000</v>
      </c>
      <c r="G1119" s="4" t="str">
        <f>HYPERLINK("http://141.218.60.56/~jnz1568/getInfo.php?workbook=14_09.xlsx&amp;sheet=A0&amp;row=1119&amp;col=7&amp;number=0&amp;sourceID=14","0")</f>
        <v>0</v>
      </c>
    </row>
    <row r="1120" spans="1:7">
      <c r="A1120" s="3">
        <v>14</v>
      </c>
      <c r="B1120" s="3">
        <v>9</v>
      </c>
      <c r="C1120" s="3">
        <v>148</v>
      </c>
      <c r="D1120" s="3">
        <v>19</v>
      </c>
      <c r="E1120" s="3">
        <v>-273.827</v>
      </c>
      <c r="F1120" s="4" t="str">
        <f>HYPERLINK("http://141.218.60.56/~jnz1568/getInfo.php?workbook=14_09.xlsx&amp;sheet=A0&amp;row=1120&amp;col=6&amp;number=3310000&amp;sourceID=14","3310000")</f>
        <v>3310000</v>
      </c>
      <c r="G1120" s="4" t="str">
        <f>HYPERLINK("http://141.218.60.56/~jnz1568/getInfo.php?workbook=14_09.xlsx&amp;sheet=A0&amp;row=1120&amp;col=7&amp;number=0&amp;sourceID=14","0")</f>
        <v>0</v>
      </c>
    </row>
    <row r="1121" spans="1:7">
      <c r="A1121" s="3">
        <v>14</v>
      </c>
      <c r="B1121" s="3">
        <v>9</v>
      </c>
      <c r="C1121" s="3">
        <v>151</v>
      </c>
      <c r="D1121" s="3">
        <v>19</v>
      </c>
      <c r="E1121" s="3">
        <v>-273.028</v>
      </c>
      <c r="F1121" s="4" t="str">
        <f>HYPERLINK("http://141.218.60.56/~jnz1568/getInfo.php?workbook=14_09.xlsx&amp;sheet=A0&amp;row=1121&amp;col=6&amp;number=226000000&amp;sourceID=14","226000000")</f>
        <v>226000000</v>
      </c>
      <c r="G1121" s="4" t="str">
        <f>HYPERLINK("http://141.218.60.56/~jnz1568/getInfo.php?workbook=14_09.xlsx&amp;sheet=A0&amp;row=1121&amp;col=7&amp;number=0&amp;sourceID=14","0")</f>
        <v>0</v>
      </c>
    </row>
    <row r="1122" spans="1:7">
      <c r="A1122" s="3">
        <v>14</v>
      </c>
      <c r="B1122" s="3">
        <v>9</v>
      </c>
      <c r="C1122" s="3">
        <v>152</v>
      </c>
      <c r="D1122" s="3">
        <v>19</v>
      </c>
      <c r="E1122" s="3">
        <v>-268.355</v>
      </c>
      <c r="F1122" s="4" t="str">
        <f>HYPERLINK("http://141.218.60.56/~jnz1568/getInfo.php?workbook=14_09.xlsx&amp;sheet=A0&amp;row=1122&amp;col=6&amp;number=107000000&amp;sourceID=14","107000000")</f>
        <v>107000000</v>
      </c>
      <c r="G1122" s="4" t="str">
        <f>HYPERLINK("http://141.218.60.56/~jnz1568/getInfo.php?workbook=14_09.xlsx&amp;sheet=A0&amp;row=1122&amp;col=7&amp;number=0&amp;sourceID=14","0")</f>
        <v>0</v>
      </c>
    </row>
    <row r="1123" spans="1:7">
      <c r="A1123" s="3">
        <v>14</v>
      </c>
      <c r="B1123" s="3">
        <v>9</v>
      </c>
      <c r="C1123" s="3">
        <v>153</v>
      </c>
      <c r="D1123" s="3">
        <v>19</v>
      </c>
      <c r="E1123" s="3">
        <v>-267.101</v>
      </c>
      <c r="F1123" s="4" t="str">
        <f>HYPERLINK("http://141.218.60.56/~jnz1568/getInfo.php?workbook=14_09.xlsx&amp;sheet=A0&amp;row=1123&amp;col=6&amp;number=178000000&amp;sourceID=14","178000000")</f>
        <v>178000000</v>
      </c>
      <c r="G1123" s="4" t="str">
        <f>HYPERLINK("http://141.218.60.56/~jnz1568/getInfo.php?workbook=14_09.xlsx&amp;sheet=A0&amp;row=1123&amp;col=7&amp;number=0&amp;sourceID=14","0")</f>
        <v>0</v>
      </c>
    </row>
    <row r="1124" spans="1:7">
      <c r="A1124" s="3">
        <v>14</v>
      </c>
      <c r="B1124" s="3">
        <v>9</v>
      </c>
      <c r="C1124" s="3">
        <v>154</v>
      </c>
      <c r="D1124" s="3">
        <v>19</v>
      </c>
      <c r="E1124" s="3">
        <v>-267.084</v>
      </c>
      <c r="F1124" s="4" t="str">
        <f>HYPERLINK("http://141.218.60.56/~jnz1568/getInfo.php?workbook=14_09.xlsx&amp;sheet=A0&amp;row=1124&amp;col=6&amp;number=9220000&amp;sourceID=14","9220000")</f>
        <v>9220000</v>
      </c>
      <c r="G1124" s="4" t="str">
        <f>HYPERLINK("http://141.218.60.56/~jnz1568/getInfo.php?workbook=14_09.xlsx&amp;sheet=A0&amp;row=1124&amp;col=7&amp;number=0&amp;sourceID=14","0")</f>
        <v>0</v>
      </c>
    </row>
    <row r="1125" spans="1:7">
      <c r="A1125" s="3">
        <v>14</v>
      </c>
      <c r="B1125" s="3">
        <v>9</v>
      </c>
      <c r="C1125" s="3">
        <v>155</v>
      </c>
      <c r="D1125" s="3">
        <v>19</v>
      </c>
      <c r="E1125" s="3">
        <v>-266.617</v>
      </c>
      <c r="F1125" s="4" t="str">
        <f>HYPERLINK("http://141.218.60.56/~jnz1568/getInfo.php?workbook=14_09.xlsx&amp;sheet=A0&amp;row=1125&amp;col=6&amp;number=1940000&amp;sourceID=14","1940000")</f>
        <v>1940000</v>
      </c>
      <c r="G1125" s="4" t="str">
        <f>HYPERLINK("http://141.218.60.56/~jnz1568/getInfo.php?workbook=14_09.xlsx&amp;sheet=A0&amp;row=1125&amp;col=7&amp;number=0&amp;sourceID=14","0")</f>
        <v>0</v>
      </c>
    </row>
    <row r="1126" spans="1:7">
      <c r="A1126" s="3">
        <v>14</v>
      </c>
      <c r="B1126" s="3">
        <v>9</v>
      </c>
      <c r="C1126" s="3">
        <v>156</v>
      </c>
      <c r="D1126" s="3">
        <v>19</v>
      </c>
      <c r="E1126" s="3">
        <v>-265.962</v>
      </c>
      <c r="F1126" s="4" t="str">
        <f>HYPERLINK("http://141.218.60.56/~jnz1568/getInfo.php?workbook=14_09.xlsx&amp;sheet=A0&amp;row=1126&amp;col=6&amp;number=11700000000&amp;sourceID=14","11700000000")</f>
        <v>11700000000</v>
      </c>
      <c r="G1126" s="4" t="str">
        <f>HYPERLINK("http://141.218.60.56/~jnz1568/getInfo.php?workbook=14_09.xlsx&amp;sheet=A0&amp;row=1126&amp;col=7&amp;number=0&amp;sourceID=14","0")</f>
        <v>0</v>
      </c>
    </row>
    <row r="1127" spans="1:7">
      <c r="A1127" s="3">
        <v>14</v>
      </c>
      <c r="B1127" s="3">
        <v>9</v>
      </c>
      <c r="C1127" s="3">
        <v>157</v>
      </c>
      <c r="D1127" s="3">
        <v>19</v>
      </c>
      <c r="E1127" s="3">
        <v>-264.165</v>
      </c>
      <c r="F1127" s="4" t="str">
        <f>HYPERLINK("http://141.218.60.56/~jnz1568/getInfo.php?workbook=14_09.xlsx&amp;sheet=A0&amp;row=1127&amp;col=6&amp;number=2130000000&amp;sourceID=14","2130000000")</f>
        <v>2130000000</v>
      </c>
      <c r="G1127" s="4" t="str">
        <f>HYPERLINK("http://141.218.60.56/~jnz1568/getInfo.php?workbook=14_09.xlsx&amp;sheet=A0&amp;row=1127&amp;col=7&amp;number=0&amp;sourceID=14","0")</f>
        <v>0</v>
      </c>
    </row>
    <row r="1128" spans="1:7">
      <c r="A1128" s="3">
        <v>14</v>
      </c>
      <c r="B1128" s="3">
        <v>9</v>
      </c>
      <c r="C1128" s="3">
        <v>158</v>
      </c>
      <c r="D1128" s="3">
        <v>19</v>
      </c>
      <c r="E1128" s="3">
        <v>-263.793</v>
      </c>
      <c r="F1128" s="4" t="str">
        <f>HYPERLINK("http://141.218.60.56/~jnz1568/getInfo.php?workbook=14_09.xlsx&amp;sheet=A0&amp;row=1128&amp;col=6&amp;number=5300000000&amp;sourceID=14","5300000000")</f>
        <v>5300000000</v>
      </c>
      <c r="G1128" s="4" t="str">
        <f>HYPERLINK("http://141.218.60.56/~jnz1568/getInfo.php?workbook=14_09.xlsx&amp;sheet=A0&amp;row=1128&amp;col=7&amp;number=0&amp;sourceID=14","0")</f>
        <v>0</v>
      </c>
    </row>
    <row r="1129" spans="1:7">
      <c r="A1129" s="3">
        <v>14</v>
      </c>
      <c r="B1129" s="3">
        <v>9</v>
      </c>
      <c r="C1129" s="3">
        <v>161</v>
      </c>
      <c r="D1129" s="3">
        <v>19</v>
      </c>
      <c r="E1129" s="3">
        <v>-240.648</v>
      </c>
      <c r="F1129" s="4" t="str">
        <f>HYPERLINK("http://141.218.60.56/~jnz1568/getInfo.php?workbook=14_09.xlsx&amp;sheet=A0&amp;row=1129&amp;col=6&amp;number=752000000&amp;sourceID=14","752000000")</f>
        <v>752000000</v>
      </c>
      <c r="G1129" s="4" t="str">
        <f>HYPERLINK("http://141.218.60.56/~jnz1568/getInfo.php?workbook=14_09.xlsx&amp;sheet=A0&amp;row=1129&amp;col=7&amp;number=0&amp;sourceID=14","0")</f>
        <v>0</v>
      </c>
    </row>
    <row r="1130" spans="1:7">
      <c r="A1130" s="3">
        <v>14</v>
      </c>
      <c r="B1130" s="3">
        <v>9</v>
      </c>
      <c r="C1130" s="3">
        <v>163</v>
      </c>
      <c r="D1130" s="3">
        <v>19</v>
      </c>
      <c r="E1130" s="3">
        <v>-236.057</v>
      </c>
      <c r="F1130" s="4" t="str">
        <f>HYPERLINK("http://141.218.60.56/~jnz1568/getInfo.php?workbook=14_09.xlsx&amp;sheet=A0&amp;row=1130&amp;col=6&amp;number=12600000&amp;sourceID=14","12600000")</f>
        <v>12600000</v>
      </c>
      <c r="G1130" s="4" t="str">
        <f>HYPERLINK("http://141.218.60.56/~jnz1568/getInfo.php?workbook=14_09.xlsx&amp;sheet=A0&amp;row=1130&amp;col=7&amp;number=0&amp;sourceID=14","0")</f>
        <v>0</v>
      </c>
    </row>
    <row r="1131" spans="1:7">
      <c r="A1131" s="3">
        <v>14</v>
      </c>
      <c r="B1131" s="3">
        <v>9</v>
      </c>
      <c r="C1131" s="3">
        <v>185</v>
      </c>
      <c r="D1131" s="3">
        <v>19</v>
      </c>
      <c r="E1131" s="3">
        <v>-191.802</v>
      </c>
      <c r="F1131" s="4" t="str">
        <f>HYPERLINK("http://141.218.60.56/~jnz1568/getInfo.php?workbook=14_09.xlsx&amp;sheet=A0&amp;row=1131&amp;col=6&amp;number=2780000&amp;sourceID=14","2780000")</f>
        <v>2780000</v>
      </c>
      <c r="G1131" s="4" t="str">
        <f>HYPERLINK("http://141.218.60.56/~jnz1568/getInfo.php?workbook=14_09.xlsx&amp;sheet=A0&amp;row=1131&amp;col=7&amp;number=0&amp;sourceID=14","0")</f>
        <v>0</v>
      </c>
    </row>
    <row r="1132" spans="1:7">
      <c r="A1132" s="3">
        <v>14</v>
      </c>
      <c r="B1132" s="3">
        <v>9</v>
      </c>
      <c r="C1132" s="3">
        <v>186</v>
      </c>
      <c r="D1132" s="3">
        <v>19</v>
      </c>
      <c r="E1132" s="3">
        <v>-191.568</v>
      </c>
      <c r="F1132" s="4" t="str">
        <f>HYPERLINK("http://141.218.60.56/~jnz1568/getInfo.php?workbook=14_09.xlsx&amp;sheet=A0&amp;row=1132&amp;col=6&amp;number=36100000&amp;sourceID=14","36100000")</f>
        <v>36100000</v>
      </c>
      <c r="G1132" s="4" t="str">
        <f>HYPERLINK("http://141.218.60.56/~jnz1568/getInfo.php?workbook=14_09.xlsx&amp;sheet=A0&amp;row=1132&amp;col=7&amp;number=0&amp;sourceID=14","0")</f>
        <v>0</v>
      </c>
    </row>
    <row r="1133" spans="1:7">
      <c r="A1133" s="3">
        <v>14</v>
      </c>
      <c r="B1133" s="3">
        <v>9</v>
      </c>
      <c r="C1133" s="3">
        <v>187</v>
      </c>
      <c r="D1133" s="3">
        <v>19</v>
      </c>
      <c r="E1133" s="3">
        <v>-189.786</v>
      </c>
      <c r="F1133" s="4" t="str">
        <f>HYPERLINK("http://141.218.60.56/~jnz1568/getInfo.php?workbook=14_09.xlsx&amp;sheet=A0&amp;row=1133&amp;col=6&amp;number=4060000&amp;sourceID=14","4060000")</f>
        <v>4060000</v>
      </c>
      <c r="G1133" s="4" t="str">
        <f>HYPERLINK("http://141.218.60.56/~jnz1568/getInfo.php?workbook=14_09.xlsx&amp;sheet=A0&amp;row=1133&amp;col=7&amp;number=0&amp;sourceID=14","0")</f>
        <v>0</v>
      </c>
    </row>
    <row r="1134" spans="1:7">
      <c r="A1134" s="3">
        <v>14</v>
      </c>
      <c r="B1134" s="3">
        <v>9</v>
      </c>
      <c r="C1134" s="3">
        <v>188</v>
      </c>
      <c r="D1134" s="3">
        <v>19</v>
      </c>
      <c r="E1134" s="3">
        <v>-189.673</v>
      </c>
      <c r="F1134" s="4" t="str">
        <f>HYPERLINK("http://141.218.60.56/~jnz1568/getInfo.php?workbook=14_09.xlsx&amp;sheet=A0&amp;row=1134&amp;col=6&amp;number=140000000&amp;sourceID=14","140000000")</f>
        <v>140000000</v>
      </c>
      <c r="G1134" s="4" t="str">
        <f>HYPERLINK("http://141.218.60.56/~jnz1568/getInfo.php?workbook=14_09.xlsx&amp;sheet=A0&amp;row=1134&amp;col=7&amp;number=0&amp;sourceID=14","0")</f>
        <v>0</v>
      </c>
    </row>
    <row r="1135" spans="1:7">
      <c r="A1135" s="3">
        <v>14</v>
      </c>
      <c r="B1135" s="3">
        <v>9</v>
      </c>
      <c r="C1135" s="3">
        <v>189</v>
      </c>
      <c r="D1135" s="3">
        <v>19</v>
      </c>
      <c r="E1135" s="3">
        <v>-184.959</v>
      </c>
      <c r="F1135" s="4" t="str">
        <f>HYPERLINK("http://141.218.60.56/~jnz1568/getInfo.php?workbook=14_09.xlsx&amp;sheet=A0&amp;row=1135&amp;col=6&amp;number=358000000&amp;sourceID=14","358000000")</f>
        <v>358000000</v>
      </c>
      <c r="G1135" s="4" t="str">
        <f>HYPERLINK("http://141.218.60.56/~jnz1568/getInfo.php?workbook=14_09.xlsx&amp;sheet=A0&amp;row=1135&amp;col=7&amp;number=0&amp;sourceID=14","0")</f>
        <v>0</v>
      </c>
    </row>
    <row r="1136" spans="1:7">
      <c r="A1136" s="3">
        <v>14</v>
      </c>
      <c r="B1136" s="3">
        <v>9</v>
      </c>
      <c r="C1136" s="3">
        <v>33</v>
      </c>
      <c r="D1136" s="3">
        <v>20</v>
      </c>
      <c r="E1136" s="3">
        <v>-1095.376</v>
      </c>
      <c r="F1136" s="4" t="str">
        <f>HYPERLINK("http://141.218.60.56/~jnz1568/getInfo.php?workbook=14_09.xlsx&amp;sheet=A0&amp;row=1136&amp;col=6&amp;number=63200&amp;sourceID=14","63200")</f>
        <v>63200</v>
      </c>
      <c r="G1136" s="4" t="str">
        <f>HYPERLINK("http://141.218.60.56/~jnz1568/getInfo.php?workbook=14_09.xlsx&amp;sheet=A0&amp;row=1136&amp;col=7&amp;number=0&amp;sourceID=14","0")</f>
        <v>0</v>
      </c>
    </row>
    <row r="1137" spans="1:7">
      <c r="A1137" s="3">
        <v>14</v>
      </c>
      <c r="B1137" s="3">
        <v>9</v>
      </c>
      <c r="C1137" s="3">
        <v>34</v>
      </c>
      <c r="D1137" s="3">
        <v>20</v>
      </c>
      <c r="E1137" s="3">
        <v>-1088.947</v>
      </c>
      <c r="F1137" s="4" t="str">
        <f>HYPERLINK("http://141.218.60.56/~jnz1568/getInfo.php?workbook=14_09.xlsx&amp;sheet=A0&amp;row=1137&amp;col=6&amp;number=109000&amp;sourceID=14","109000")</f>
        <v>109000</v>
      </c>
      <c r="G1137" s="4" t="str">
        <f>HYPERLINK("http://141.218.60.56/~jnz1568/getInfo.php?workbook=14_09.xlsx&amp;sheet=A0&amp;row=1137&amp;col=7&amp;number=0&amp;sourceID=14","0")</f>
        <v>0</v>
      </c>
    </row>
    <row r="1138" spans="1:7">
      <c r="A1138" s="3">
        <v>14</v>
      </c>
      <c r="B1138" s="3">
        <v>9</v>
      </c>
      <c r="C1138" s="3">
        <v>38</v>
      </c>
      <c r="D1138" s="3">
        <v>20</v>
      </c>
      <c r="E1138" s="3">
        <v>-965.076</v>
      </c>
      <c r="F1138" s="4" t="str">
        <f>HYPERLINK("http://141.218.60.56/~jnz1568/getInfo.php?workbook=14_09.xlsx&amp;sheet=A0&amp;row=1138&amp;col=6&amp;number=1520000&amp;sourceID=14","1520000")</f>
        <v>1520000</v>
      </c>
      <c r="G1138" s="4" t="str">
        <f>HYPERLINK("http://141.218.60.56/~jnz1568/getInfo.php?workbook=14_09.xlsx&amp;sheet=A0&amp;row=1138&amp;col=7&amp;number=0&amp;sourceID=14","0")</f>
        <v>0</v>
      </c>
    </row>
    <row r="1139" spans="1:7">
      <c r="A1139" s="3">
        <v>14</v>
      </c>
      <c r="B1139" s="3">
        <v>9</v>
      </c>
      <c r="C1139" s="3">
        <v>40</v>
      </c>
      <c r="D1139" s="3">
        <v>20</v>
      </c>
      <c r="E1139" s="3">
        <v>-952.891</v>
      </c>
      <c r="F1139" s="4" t="str">
        <f>HYPERLINK("http://141.218.60.56/~jnz1568/getInfo.php?workbook=14_09.xlsx&amp;sheet=A0&amp;row=1139&amp;col=6&amp;number=482000&amp;sourceID=14","482000")</f>
        <v>482000</v>
      </c>
      <c r="G1139" s="4" t="str">
        <f>HYPERLINK("http://141.218.60.56/~jnz1568/getInfo.php?workbook=14_09.xlsx&amp;sheet=A0&amp;row=1139&amp;col=7&amp;number=0&amp;sourceID=14","0")</f>
        <v>0</v>
      </c>
    </row>
    <row r="1140" spans="1:7">
      <c r="A1140" s="3">
        <v>14</v>
      </c>
      <c r="B1140" s="3">
        <v>9</v>
      </c>
      <c r="C1140" s="3">
        <v>46</v>
      </c>
      <c r="D1140" s="3">
        <v>20</v>
      </c>
      <c r="E1140" s="3">
        <v>-899.622</v>
      </c>
      <c r="F1140" s="4" t="str">
        <f>HYPERLINK("http://141.218.60.56/~jnz1568/getInfo.php?workbook=14_09.xlsx&amp;sheet=A0&amp;row=1140&amp;col=6&amp;number=2030000000&amp;sourceID=14","2030000000")</f>
        <v>2030000000</v>
      </c>
      <c r="G1140" s="4" t="str">
        <f>HYPERLINK("http://141.218.60.56/~jnz1568/getInfo.php?workbook=14_09.xlsx&amp;sheet=A0&amp;row=1140&amp;col=7&amp;number=0&amp;sourceID=14","0")</f>
        <v>0</v>
      </c>
    </row>
    <row r="1141" spans="1:7">
      <c r="A1141" s="3">
        <v>14</v>
      </c>
      <c r="B1141" s="3">
        <v>9</v>
      </c>
      <c r="C1141" s="3">
        <v>47</v>
      </c>
      <c r="D1141" s="3">
        <v>20</v>
      </c>
      <c r="E1141" s="3">
        <v>-893.689</v>
      </c>
      <c r="F1141" s="4" t="str">
        <f>HYPERLINK("http://141.218.60.56/~jnz1568/getInfo.php?workbook=14_09.xlsx&amp;sheet=A0&amp;row=1141&amp;col=6&amp;number=989000000&amp;sourceID=14","989000000")</f>
        <v>989000000</v>
      </c>
      <c r="G1141" s="4" t="str">
        <f>HYPERLINK("http://141.218.60.56/~jnz1568/getInfo.php?workbook=14_09.xlsx&amp;sheet=A0&amp;row=1141&amp;col=7&amp;number=0&amp;sourceID=14","0")</f>
        <v>0</v>
      </c>
    </row>
    <row r="1142" spans="1:7">
      <c r="A1142" s="3">
        <v>14</v>
      </c>
      <c r="B1142" s="3">
        <v>9</v>
      </c>
      <c r="C1142" s="3">
        <v>49</v>
      </c>
      <c r="D1142" s="3">
        <v>20</v>
      </c>
      <c r="E1142" s="3">
        <v>-866.643</v>
      </c>
      <c r="F1142" s="4" t="str">
        <f>HYPERLINK("http://141.218.60.56/~jnz1568/getInfo.php?workbook=14_09.xlsx&amp;sheet=A0&amp;row=1142&amp;col=6&amp;number=1850000&amp;sourceID=14","1850000")</f>
        <v>1850000</v>
      </c>
      <c r="G1142" s="4" t="str">
        <f>HYPERLINK("http://141.218.60.56/~jnz1568/getInfo.php?workbook=14_09.xlsx&amp;sheet=A0&amp;row=1142&amp;col=7&amp;number=0&amp;sourceID=14","0")</f>
        <v>0</v>
      </c>
    </row>
    <row r="1143" spans="1:7">
      <c r="A1143" s="3">
        <v>14</v>
      </c>
      <c r="B1143" s="3">
        <v>9</v>
      </c>
      <c r="C1143" s="3">
        <v>52</v>
      </c>
      <c r="D1143" s="3">
        <v>20</v>
      </c>
      <c r="E1143" s="3">
        <v>-660.102</v>
      </c>
      <c r="F1143" s="4" t="str">
        <f>HYPERLINK("http://141.218.60.56/~jnz1568/getInfo.php?workbook=14_09.xlsx&amp;sheet=A0&amp;row=1143&amp;col=6&amp;number=283000000&amp;sourceID=14","283000000")</f>
        <v>283000000</v>
      </c>
      <c r="G1143" s="4" t="str">
        <f>HYPERLINK("http://141.218.60.56/~jnz1568/getInfo.php?workbook=14_09.xlsx&amp;sheet=A0&amp;row=1143&amp;col=7&amp;number=0&amp;sourceID=14","0")</f>
        <v>0</v>
      </c>
    </row>
    <row r="1144" spans="1:7">
      <c r="A1144" s="3">
        <v>14</v>
      </c>
      <c r="B1144" s="3">
        <v>9</v>
      </c>
      <c r="C1144" s="3">
        <v>53</v>
      </c>
      <c r="D1144" s="3">
        <v>20</v>
      </c>
      <c r="E1144" s="3">
        <v>-654.889</v>
      </c>
      <c r="F1144" s="4" t="str">
        <f>HYPERLINK("http://141.218.60.56/~jnz1568/getInfo.php?workbook=14_09.xlsx&amp;sheet=A0&amp;row=1144&amp;col=6&amp;number=449000000&amp;sourceID=14","449000000")</f>
        <v>449000000</v>
      </c>
      <c r="G1144" s="4" t="str">
        <f>HYPERLINK("http://141.218.60.56/~jnz1568/getInfo.php?workbook=14_09.xlsx&amp;sheet=A0&amp;row=1144&amp;col=7&amp;number=0&amp;sourceID=14","0")</f>
        <v>0</v>
      </c>
    </row>
    <row r="1145" spans="1:7">
      <c r="A1145" s="3">
        <v>14</v>
      </c>
      <c r="B1145" s="3">
        <v>9</v>
      </c>
      <c r="C1145" s="3">
        <v>55</v>
      </c>
      <c r="D1145" s="3">
        <v>20</v>
      </c>
      <c r="E1145" s="3">
        <v>-648.522</v>
      </c>
      <c r="F1145" s="4" t="str">
        <f>HYPERLINK("http://141.218.60.56/~jnz1568/getInfo.php?workbook=14_09.xlsx&amp;sheet=A0&amp;row=1145&amp;col=6&amp;number=28500000&amp;sourceID=14","28500000")</f>
        <v>28500000</v>
      </c>
      <c r="G1145" s="4" t="str">
        <f>HYPERLINK("http://141.218.60.56/~jnz1568/getInfo.php?workbook=14_09.xlsx&amp;sheet=A0&amp;row=1145&amp;col=7&amp;number=0&amp;sourceID=14","0")</f>
        <v>0</v>
      </c>
    </row>
    <row r="1146" spans="1:7">
      <c r="A1146" s="3">
        <v>14</v>
      </c>
      <c r="B1146" s="3">
        <v>9</v>
      </c>
      <c r="C1146" s="3">
        <v>58</v>
      </c>
      <c r="D1146" s="3">
        <v>20</v>
      </c>
      <c r="E1146" s="3">
        <v>-638.938</v>
      </c>
      <c r="F1146" s="4" t="str">
        <f>HYPERLINK("http://141.218.60.56/~jnz1568/getInfo.php?workbook=14_09.xlsx&amp;sheet=A0&amp;row=1146&amp;col=6&amp;number=56600000&amp;sourceID=14","56600000")</f>
        <v>56600000</v>
      </c>
      <c r="G1146" s="4" t="str">
        <f>HYPERLINK("http://141.218.60.56/~jnz1568/getInfo.php?workbook=14_09.xlsx&amp;sheet=A0&amp;row=1146&amp;col=7&amp;number=0&amp;sourceID=14","0")</f>
        <v>0</v>
      </c>
    </row>
    <row r="1147" spans="1:7">
      <c r="A1147" s="3">
        <v>14</v>
      </c>
      <c r="B1147" s="3">
        <v>9</v>
      </c>
      <c r="C1147" s="3">
        <v>60</v>
      </c>
      <c r="D1147" s="3">
        <v>20</v>
      </c>
      <c r="E1147" s="3">
        <v>-455.752</v>
      </c>
      <c r="F1147" s="4" t="str">
        <f>HYPERLINK("http://141.218.60.56/~jnz1568/getInfo.php?workbook=14_09.xlsx&amp;sheet=A0&amp;row=1147&amp;col=6&amp;number=2270000&amp;sourceID=14","2270000")</f>
        <v>2270000</v>
      </c>
      <c r="G1147" s="4" t="str">
        <f>HYPERLINK("http://141.218.60.56/~jnz1568/getInfo.php?workbook=14_09.xlsx&amp;sheet=A0&amp;row=1147&amp;col=7&amp;number=0&amp;sourceID=14","0")</f>
        <v>0</v>
      </c>
    </row>
    <row r="1148" spans="1:7">
      <c r="A1148" s="3">
        <v>14</v>
      </c>
      <c r="B1148" s="3">
        <v>9</v>
      </c>
      <c r="C1148" s="3">
        <v>62</v>
      </c>
      <c r="D1148" s="3">
        <v>20</v>
      </c>
      <c r="E1148" s="3">
        <v>-426.742</v>
      </c>
      <c r="F1148" s="4" t="str">
        <f>HYPERLINK("http://141.218.60.56/~jnz1568/getInfo.php?workbook=14_09.xlsx&amp;sheet=A0&amp;row=1148&amp;col=6&amp;number=154000000&amp;sourceID=14","154000000")</f>
        <v>154000000</v>
      </c>
      <c r="G1148" s="4" t="str">
        <f>HYPERLINK("http://141.218.60.56/~jnz1568/getInfo.php?workbook=14_09.xlsx&amp;sheet=A0&amp;row=1148&amp;col=7&amp;number=0&amp;sourceID=14","0")</f>
        <v>0</v>
      </c>
    </row>
    <row r="1149" spans="1:7">
      <c r="A1149" s="3">
        <v>14</v>
      </c>
      <c r="B1149" s="3">
        <v>9</v>
      </c>
      <c r="C1149" s="3">
        <v>63</v>
      </c>
      <c r="D1149" s="3">
        <v>20</v>
      </c>
      <c r="E1149" s="3">
        <v>-422.567</v>
      </c>
      <c r="F1149" s="4" t="str">
        <f>HYPERLINK("http://141.218.60.56/~jnz1568/getInfo.php?workbook=14_09.xlsx&amp;sheet=A0&amp;row=1149&amp;col=6&amp;number=5090000&amp;sourceID=14","5090000")</f>
        <v>5090000</v>
      </c>
      <c r="G1149" s="4" t="str">
        <f>HYPERLINK("http://141.218.60.56/~jnz1568/getInfo.php?workbook=14_09.xlsx&amp;sheet=A0&amp;row=1149&amp;col=7&amp;number=0&amp;sourceID=14","0")</f>
        <v>0</v>
      </c>
    </row>
    <row r="1150" spans="1:7">
      <c r="A1150" s="3">
        <v>14</v>
      </c>
      <c r="B1150" s="3">
        <v>9</v>
      </c>
      <c r="C1150" s="3">
        <v>64</v>
      </c>
      <c r="D1150" s="3">
        <v>20</v>
      </c>
      <c r="E1150" s="3">
        <v>-420.13</v>
      </c>
      <c r="F1150" s="4" t="str">
        <f>HYPERLINK("http://141.218.60.56/~jnz1568/getInfo.php?workbook=14_09.xlsx&amp;sheet=A0&amp;row=1150&amp;col=6&amp;number=1050000000&amp;sourceID=14","1050000000")</f>
        <v>1050000000</v>
      </c>
      <c r="G1150" s="4" t="str">
        <f>HYPERLINK("http://141.218.60.56/~jnz1568/getInfo.php?workbook=14_09.xlsx&amp;sheet=A0&amp;row=1150&amp;col=7&amp;number=0&amp;sourceID=14","0")</f>
        <v>0</v>
      </c>
    </row>
    <row r="1151" spans="1:7">
      <c r="A1151" s="3">
        <v>14</v>
      </c>
      <c r="B1151" s="3">
        <v>9</v>
      </c>
      <c r="C1151" s="3">
        <v>65</v>
      </c>
      <c r="D1151" s="3">
        <v>20</v>
      </c>
      <c r="E1151" s="3">
        <v>-414.521</v>
      </c>
      <c r="F1151" s="4" t="str">
        <f>HYPERLINK("http://141.218.60.56/~jnz1568/getInfo.php?workbook=14_09.xlsx&amp;sheet=A0&amp;row=1151&amp;col=6&amp;number=169000000&amp;sourceID=14","169000000")</f>
        <v>169000000</v>
      </c>
      <c r="G1151" s="4" t="str">
        <f>HYPERLINK("http://141.218.60.56/~jnz1568/getInfo.php?workbook=14_09.xlsx&amp;sheet=A0&amp;row=1151&amp;col=7&amp;number=0&amp;sourceID=14","0")</f>
        <v>0</v>
      </c>
    </row>
    <row r="1152" spans="1:7">
      <c r="A1152" s="3">
        <v>14</v>
      </c>
      <c r="B1152" s="3">
        <v>9</v>
      </c>
      <c r="C1152" s="3">
        <v>80</v>
      </c>
      <c r="D1152" s="3">
        <v>20</v>
      </c>
      <c r="E1152" s="3">
        <v>-354.972</v>
      </c>
      <c r="F1152" s="4" t="str">
        <f>HYPERLINK("http://141.218.60.56/~jnz1568/getInfo.php?workbook=14_09.xlsx&amp;sheet=A0&amp;row=1152&amp;col=6&amp;number=245000000&amp;sourceID=14","245000000")</f>
        <v>245000000</v>
      </c>
      <c r="G1152" s="4" t="str">
        <f>HYPERLINK("http://141.218.60.56/~jnz1568/getInfo.php?workbook=14_09.xlsx&amp;sheet=A0&amp;row=1152&amp;col=7&amp;number=0&amp;sourceID=14","0")</f>
        <v>0</v>
      </c>
    </row>
    <row r="1153" spans="1:7">
      <c r="A1153" s="3">
        <v>14</v>
      </c>
      <c r="B1153" s="3">
        <v>9</v>
      </c>
      <c r="C1153" s="3">
        <v>88</v>
      </c>
      <c r="D1153" s="3">
        <v>20</v>
      </c>
      <c r="E1153" s="3">
        <v>-330.688</v>
      </c>
      <c r="F1153" s="4" t="str">
        <f>HYPERLINK("http://141.218.60.56/~jnz1568/getInfo.php?workbook=14_09.xlsx&amp;sheet=A0&amp;row=1153&amp;col=6&amp;number=6110000&amp;sourceID=14","6110000")</f>
        <v>6110000</v>
      </c>
      <c r="G1153" s="4" t="str">
        <f>HYPERLINK("http://141.218.60.56/~jnz1568/getInfo.php?workbook=14_09.xlsx&amp;sheet=A0&amp;row=1153&amp;col=7&amp;number=0&amp;sourceID=14","0")</f>
        <v>0</v>
      </c>
    </row>
    <row r="1154" spans="1:7">
      <c r="A1154" s="3">
        <v>14</v>
      </c>
      <c r="B1154" s="3">
        <v>9</v>
      </c>
      <c r="C1154" s="3">
        <v>89</v>
      </c>
      <c r="D1154" s="3">
        <v>20</v>
      </c>
      <c r="E1154" s="3">
        <v>-329.89</v>
      </c>
      <c r="F1154" s="4" t="str">
        <f>HYPERLINK("http://141.218.60.56/~jnz1568/getInfo.php?workbook=14_09.xlsx&amp;sheet=A0&amp;row=1154&amp;col=6&amp;number=36200000&amp;sourceID=14","36200000")</f>
        <v>36200000</v>
      </c>
      <c r="G1154" s="4" t="str">
        <f>HYPERLINK("http://141.218.60.56/~jnz1568/getInfo.php?workbook=14_09.xlsx&amp;sheet=A0&amp;row=1154&amp;col=7&amp;number=0&amp;sourceID=14","0")</f>
        <v>0</v>
      </c>
    </row>
    <row r="1155" spans="1:7">
      <c r="A1155" s="3">
        <v>14</v>
      </c>
      <c r="B1155" s="3">
        <v>9</v>
      </c>
      <c r="C1155" s="3">
        <v>92</v>
      </c>
      <c r="D1155" s="3">
        <v>20</v>
      </c>
      <c r="E1155" s="3">
        <v>-326.536</v>
      </c>
      <c r="F1155" s="4" t="str">
        <f>HYPERLINK("http://141.218.60.56/~jnz1568/getInfo.php?workbook=14_09.xlsx&amp;sheet=A0&amp;row=1155&amp;col=6&amp;number=38200000&amp;sourceID=14","38200000")</f>
        <v>38200000</v>
      </c>
      <c r="G1155" s="4" t="str">
        <f>HYPERLINK("http://141.218.60.56/~jnz1568/getInfo.php?workbook=14_09.xlsx&amp;sheet=A0&amp;row=1155&amp;col=7&amp;number=0&amp;sourceID=14","0")</f>
        <v>0</v>
      </c>
    </row>
    <row r="1156" spans="1:7">
      <c r="A1156" s="3">
        <v>14</v>
      </c>
      <c r="B1156" s="3">
        <v>9</v>
      </c>
      <c r="C1156" s="3">
        <v>94</v>
      </c>
      <c r="D1156" s="3">
        <v>20</v>
      </c>
      <c r="E1156" s="3">
        <v>-325.417</v>
      </c>
      <c r="F1156" s="4" t="str">
        <f>HYPERLINK("http://141.218.60.56/~jnz1568/getInfo.php?workbook=14_09.xlsx&amp;sheet=A0&amp;row=1156&amp;col=6&amp;number=49000000&amp;sourceID=14","49000000")</f>
        <v>49000000</v>
      </c>
      <c r="G1156" s="4" t="str">
        <f>HYPERLINK("http://141.218.60.56/~jnz1568/getInfo.php?workbook=14_09.xlsx&amp;sheet=A0&amp;row=1156&amp;col=7&amp;number=0&amp;sourceID=14","0")</f>
        <v>0</v>
      </c>
    </row>
    <row r="1157" spans="1:7">
      <c r="A1157" s="3">
        <v>14</v>
      </c>
      <c r="B1157" s="3">
        <v>9</v>
      </c>
      <c r="C1157" s="3">
        <v>96</v>
      </c>
      <c r="D1157" s="3">
        <v>20</v>
      </c>
      <c r="E1157" s="3">
        <v>-324.009</v>
      </c>
      <c r="F1157" s="4" t="str">
        <f>HYPERLINK("http://141.218.60.56/~jnz1568/getInfo.php?workbook=14_09.xlsx&amp;sheet=A0&amp;row=1157&amp;col=6&amp;number=10600000&amp;sourceID=14","10600000")</f>
        <v>10600000</v>
      </c>
      <c r="G1157" s="4" t="str">
        <f>HYPERLINK("http://141.218.60.56/~jnz1568/getInfo.php?workbook=14_09.xlsx&amp;sheet=A0&amp;row=1157&amp;col=7&amp;number=0&amp;sourceID=14","0")</f>
        <v>0</v>
      </c>
    </row>
    <row r="1158" spans="1:7">
      <c r="A1158" s="3">
        <v>14</v>
      </c>
      <c r="B1158" s="3">
        <v>9</v>
      </c>
      <c r="C1158" s="3">
        <v>99</v>
      </c>
      <c r="D1158" s="3">
        <v>20</v>
      </c>
      <c r="E1158" s="3">
        <v>-321.113</v>
      </c>
      <c r="F1158" s="4" t="str">
        <f>HYPERLINK("http://141.218.60.56/~jnz1568/getInfo.php?workbook=14_09.xlsx&amp;sheet=A0&amp;row=1158&amp;col=6&amp;number=3510000000&amp;sourceID=14","3510000000")</f>
        <v>3510000000</v>
      </c>
      <c r="G1158" s="4" t="str">
        <f>HYPERLINK("http://141.218.60.56/~jnz1568/getInfo.php?workbook=14_09.xlsx&amp;sheet=A0&amp;row=1158&amp;col=7&amp;number=0&amp;sourceID=14","0")</f>
        <v>0</v>
      </c>
    </row>
    <row r="1159" spans="1:7">
      <c r="A1159" s="3">
        <v>14</v>
      </c>
      <c r="B1159" s="3">
        <v>9</v>
      </c>
      <c r="C1159" s="3">
        <v>100</v>
      </c>
      <c r="D1159" s="3">
        <v>20</v>
      </c>
      <c r="E1159" s="3">
        <v>-320.37</v>
      </c>
      <c r="F1159" s="4" t="str">
        <f>HYPERLINK("http://141.218.60.56/~jnz1568/getInfo.php?workbook=14_09.xlsx&amp;sheet=A0&amp;row=1159&amp;col=6&amp;number=1550000000&amp;sourceID=14","1550000000")</f>
        <v>1550000000</v>
      </c>
      <c r="G1159" s="4" t="str">
        <f>HYPERLINK("http://141.218.60.56/~jnz1568/getInfo.php?workbook=14_09.xlsx&amp;sheet=A0&amp;row=1159&amp;col=7&amp;number=0&amp;sourceID=14","0")</f>
        <v>0</v>
      </c>
    </row>
    <row r="1160" spans="1:7">
      <c r="A1160" s="3">
        <v>14</v>
      </c>
      <c r="B1160" s="3">
        <v>9</v>
      </c>
      <c r="C1160" s="3">
        <v>109</v>
      </c>
      <c r="D1160" s="3">
        <v>20</v>
      </c>
      <c r="E1160" s="3">
        <v>-317.529</v>
      </c>
      <c r="F1160" s="4" t="str">
        <f>HYPERLINK("http://141.218.60.56/~jnz1568/getInfo.php?workbook=14_09.xlsx&amp;sheet=A0&amp;row=1160&amp;col=6&amp;number=191000&amp;sourceID=14","191000")</f>
        <v>191000</v>
      </c>
      <c r="G1160" s="4" t="str">
        <f>HYPERLINK("http://141.218.60.56/~jnz1568/getInfo.php?workbook=14_09.xlsx&amp;sheet=A0&amp;row=1160&amp;col=7&amp;number=0&amp;sourceID=14","0")</f>
        <v>0</v>
      </c>
    </row>
    <row r="1161" spans="1:7">
      <c r="A1161" s="3">
        <v>14</v>
      </c>
      <c r="B1161" s="3">
        <v>9</v>
      </c>
      <c r="C1161" s="3">
        <v>110</v>
      </c>
      <c r="D1161" s="3">
        <v>20</v>
      </c>
      <c r="E1161" s="3">
        <v>-316.954</v>
      </c>
      <c r="F1161" s="4" t="str">
        <f>HYPERLINK("http://141.218.60.56/~jnz1568/getInfo.php?workbook=14_09.xlsx&amp;sheet=A0&amp;row=1161&amp;col=6&amp;number=158000000&amp;sourceID=14","158000000")</f>
        <v>158000000</v>
      </c>
      <c r="G1161" s="4" t="str">
        <f>HYPERLINK("http://141.218.60.56/~jnz1568/getInfo.php?workbook=14_09.xlsx&amp;sheet=A0&amp;row=1161&amp;col=7&amp;number=0&amp;sourceID=14","0")</f>
        <v>0</v>
      </c>
    </row>
    <row r="1162" spans="1:7">
      <c r="A1162" s="3">
        <v>14</v>
      </c>
      <c r="B1162" s="3">
        <v>9</v>
      </c>
      <c r="C1162" s="3">
        <v>116</v>
      </c>
      <c r="D1162" s="3">
        <v>20</v>
      </c>
      <c r="E1162" s="3">
        <v>-316.663</v>
      </c>
      <c r="F1162" s="4" t="str">
        <f>HYPERLINK("http://141.218.60.56/~jnz1568/getInfo.php?workbook=14_09.xlsx&amp;sheet=A0&amp;row=1162&amp;col=6&amp;number=279000&amp;sourceID=14","279000")</f>
        <v>279000</v>
      </c>
      <c r="G1162" s="4" t="str">
        <f>HYPERLINK("http://141.218.60.56/~jnz1568/getInfo.php?workbook=14_09.xlsx&amp;sheet=A0&amp;row=1162&amp;col=7&amp;number=0&amp;sourceID=14","0")</f>
        <v>0</v>
      </c>
    </row>
    <row r="1163" spans="1:7">
      <c r="A1163" s="3">
        <v>14</v>
      </c>
      <c r="B1163" s="3">
        <v>9</v>
      </c>
      <c r="C1163" s="3">
        <v>117</v>
      </c>
      <c r="D1163" s="3">
        <v>20</v>
      </c>
      <c r="E1163" s="3">
        <v>-313.976</v>
      </c>
      <c r="F1163" s="4" t="str">
        <f>HYPERLINK("http://141.218.60.56/~jnz1568/getInfo.php?workbook=14_09.xlsx&amp;sheet=A0&amp;row=1163&amp;col=6&amp;number=267000&amp;sourceID=14","267000")</f>
        <v>267000</v>
      </c>
      <c r="G1163" s="4" t="str">
        <f>HYPERLINK("http://141.218.60.56/~jnz1568/getInfo.php?workbook=14_09.xlsx&amp;sheet=A0&amp;row=1163&amp;col=7&amp;number=0&amp;sourceID=14","0")</f>
        <v>0</v>
      </c>
    </row>
    <row r="1164" spans="1:7">
      <c r="A1164" s="3">
        <v>14</v>
      </c>
      <c r="B1164" s="3">
        <v>9</v>
      </c>
      <c r="C1164" s="3">
        <v>127</v>
      </c>
      <c r="D1164" s="3">
        <v>20</v>
      </c>
      <c r="E1164" s="3">
        <v>-287.094</v>
      </c>
      <c r="F1164" s="4" t="str">
        <f>HYPERLINK("http://141.218.60.56/~jnz1568/getInfo.php?workbook=14_09.xlsx&amp;sheet=A0&amp;row=1164&amp;col=6&amp;number=108000000&amp;sourceID=14","108000000")</f>
        <v>108000000</v>
      </c>
      <c r="G1164" s="4" t="str">
        <f>HYPERLINK("http://141.218.60.56/~jnz1568/getInfo.php?workbook=14_09.xlsx&amp;sheet=A0&amp;row=1164&amp;col=7&amp;number=0&amp;sourceID=14","0")</f>
        <v>0</v>
      </c>
    </row>
    <row r="1165" spans="1:7">
      <c r="A1165" s="3">
        <v>14</v>
      </c>
      <c r="B1165" s="3">
        <v>9</v>
      </c>
      <c r="C1165" s="3">
        <v>128</v>
      </c>
      <c r="D1165" s="3">
        <v>20</v>
      </c>
      <c r="E1165" s="3">
        <v>-286.346</v>
      </c>
      <c r="F1165" s="4" t="str">
        <f>HYPERLINK("http://141.218.60.56/~jnz1568/getInfo.php?workbook=14_09.xlsx&amp;sheet=A0&amp;row=1165&amp;col=6&amp;number=14300000&amp;sourceID=14","14300000")</f>
        <v>14300000</v>
      </c>
      <c r="G1165" s="4" t="str">
        <f>HYPERLINK("http://141.218.60.56/~jnz1568/getInfo.php?workbook=14_09.xlsx&amp;sheet=A0&amp;row=1165&amp;col=7&amp;number=0&amp;sourceID=14","0")</f>
        <v>0</v>
      </c>
    </row>
    <row r="1166" spans="1:7">
      <c r="A1166" s="3">
        <v>14</v>
      </c>
      <c r="B1166" s="3">
        <v>9</v>
      </c>
      <c r="C1166" s="3">
        <v>132</v>
      </c>
      <c r="D1166" s="3">
        <v>20</v>
      </c>
      <c r="E1166" s="3">
        <v>-281.947</v>
      </c>
      <c r="F1166" s="4" t="str">
        <f>HYPERLINK("http://141.218.60.56/~jnz1568/getInfo.php?workbook=14_09.xlsx&amp;sheet=A0&amp;row=1166&amp;col=6&amp;number=39200000&amp;sourceID=14","39200000")</f>
        <v>39200000</v>
      </c>
      <c r="G1166" s="4" t="str">
        <f>HYPERLINK("http://141.218.60.56/~jnz1568/getInfo.php?workbook=14_09.xlsx&amp;sheet=A0&amp;row=1166&amp;col=7&amp;number=0&amp;sourceID=14","0")</f>
        <v>0</v>
      </c>
    </row>
    <row r="1167" spans="1:7">
      <c r="A1167" s="3">
        <v>14</v>
      </c>
      <c r="B1167" s="3">
        <v>9</v>
      </c>
      <c r="C1167" s="3">
        <v>134</v>
      </c>
      <c r="D1167" s="3">
        <v>20</v>
      </c>
      <c r="E1167" s="3">
        <v>-281.466</v>
      </c>
      <c r="F1167" s="4" t="str">
        <f>HYPERLINK("http://141.218.60.56/~jnz1568/getInfo.php?workbook=14_09.xlsx&amp;sheet=A0&amp;row=1167&amp;col=6&amp;number=10800000&amp;sourceID=14","10800000")</f>
        <v>10800000</v>
      </c>
      <c r="G1167" s="4" t="str">
        <f>HYPERLINK("http://141.218.60.56/~jnz1568/getInfo.php?workbook=14_09.xlsx&amp;sheet=A0&amp;row=1167&amp;col=7&amp;number=0&amp;sourceID=14","0")</f>
        <v>0</v>
      </c>
    </row>
    <row r="1168" spans="1:7">
      <c r="A1168" s="3">
        <v>14</v>
      </c>
      <c r="B1168" s="3">
        <v>9</v>
      </c>
      <c r="C1168" s="3">
        <v>136</v>
      </c>
      <c r="D1168" s="3">
        <v>20</v>
      </c>
      <c r="E1168" s="3">
        <v>-280.978</v>
      </c>
      <c r="F1168" s="4" t="str">
        <f>HYPERLINK("http://141.218.60.56/~jnz1568/getInfo.php?workbook=14_09.xlsx&amp;sheet=A0&amp;row=1168&amp;col=6&amp;number=13600000&amp;sourceID=14","13600000")</f>
        <v>13600000</v>
      </c>
      <c r="G1168" s="4" t="str">
        <f>HYPERLINK("http://141.218.60.56/~jnz1568/getInfo.php?workbook=14_09.xlsx&amp;sheet=A0&amp;row=1168&amp;col=7&amp;number=0&amp;sourceID=14","0")</f>
        <v>0</v>
      </c>
    </row>
    <row r="1169" spans="1:7">
      <c r="A1169" s="3">
        <v>14</v>
      </c>
      <c r="B1169" s="3">
        <v>9</v>
      </c>
      <c r="C1169" s="3">
        <v>137</v>
      </c>
      <c r="D1169" s="3">
        <v>20</v>
      </c>
      <c r="E1169" s="3">
        <v>-280.285</v>
      </c>
      <c r="F1169" s="4" t="str">
        <f>HYPERLINK("http://141.218.60.56/~jnz1568/getInfo.php?workbook=14_09.xlsx&amp;sheet=A0&amp;row=1169&amp;col=6&amp;number=137000000&amp;sourceID=14","137000000")</f>
        <v>137000000</v>
      </c>
      <c r="G1169" s="4" t="str">
        <f>HYPERLINK("http://141.218.60.56/~jnz1568/getInfo.php?workbook=14_09.xlsx&amp;sheet=A0&amp;row=1169&amp;col=7&amp;number=0&amp;sourceID=14","0")</f>
        <v>0</v>
      </c>
    </row>
    <row r="1170" spans="1:7">
      <c r="A1170" s="3">
        <v>14</v>
      </c>
      <c r="B1170" s="3">
        <v>9</v>
      </c>
      <c r="C1170" s="3">
        <v>148</v>
      </c>
      <c r="D1170" s="3">
        <v>20</v>
      </c>
      <c r="E1170" s="3">
        <v>-274.537</v>
      </c>
      <c r="F1170" s="4" t="str">
        <f>HYPERLINK("http://141.218.60.56/~jnz1568/getInfo.php?workbook=14_09.xlsx&amp;sheet=A0&amp;row=1170&amp;col=6&amp;number=27400000&amp;sourceID=14","27400000")</f>
        <v>27400000</v>
      </c>
      <c r="G1170" s="4" t="str">
        <f>HYPERLINK("http://141.218.60.56/~jnz1568/getInfo.php?workbook=14_09.xlsx&amp;sheet=A0&amp;row=1170&amp;col=7&amp;number=0&amp;sourceID=14","0")</f>
        <v>0</v>
      </c>
    </row>
    <row r="1171" spans="1:7">
      <c r="A1171" s="3">
        <v>14</v>
      </c>
      <c r="B1171" s="3">
        <v>9</v>
      </c>
      <c r="C1171" s="3">
        <v>151</v>
      </c>
      <c r="D1171" s="3">
        <v>20</v>
      </c>
      <c r="E1171" s="3">
        <v>-273.734</v>
      </c>
      <c r="F1171" s="4" t="str">
        <f>HYPERLINK("http://141.218.60.56/~jnz1568/getInfo.php?workbook=14_09.xlsx&amp;sheet=A0&amp;row=1171&amp;col=6&amp;number=187000&amp;sourceID=14","187000")</f>
        <v>187000</v>
      </c>
      <c r="G1171" s="4" t="str">
        <f>HYPERLINK("http://141.218.60.56/~jnz1568/getInfo.php?workbook=14_09.xlsx&amp;sheet=A0&amp;row=1171&amp;col=7&amp;number=0&amp;sourceID=14","0")</f>
        <v>0</v>
      </c>
    </row>
    <row r="1172" spans="1:7">
      <c r="A1172" s="3">
        <v>14</v>
      </c>
      <c r="B1172" s="3">
        <v>9</v>
      </c>
      <c r="C1172" s="3">
        <v>154</v>
      </c>
      <c r="D1172" s="3">
        <v>20</v>
      </c>
      <c r="E1172" s="3">
        <v>-267.76</v>
      </c>
      <c r="F1172" s="4" t="str">
        <f>HYPERLINK("http://141.218.60.56/~jnz1568/getInfo.php?workbook=14_09.xlsx&amp;sheet=A0&amp;row=1172&amp;col=6&amp;number=150000000&amp;sourceID=14","150000000")</f>
        <v>150000000</v>
      </c>
      <c r="G1172" s="4" t="str">
        <f>HYPERLINK("http://141.218.60.56/~jnz1568/getInfo.php?workbook=14_09.xlsx&amp;sheet=A0&amp;row=1172&amp;col=7&amp;number=0&amp;sourceID=14","0")</f>
        <v>0</v>
      </c>
    </row>
    <row r="1173" spans="1:7">
      <c r="A1173" s="3">
        <v>14</v>
      </c>
      <c r="B1173" s="3">
        <v>9</v>
      </c>
      <c r="C1173" s="3">
        <v>155</v>
      </c>
      <c r="D1173" s="3">
        <v>20</v>
      </c>
      <c r="E1173" s="3">
        <v>-267.29</v>
      </c>
      <c r="F1173" s="4" t="str">
        <f>HYPERLINK("http://141.218.60.56/~jnz1568/getInfo.php?workbook=14_09.xlsx&amp;sheet=A0&amp;row=1173&amp;col=6&amp;number=108000000&amp;sourceID=14","108000000")</f>
        <v>108000000</v>
      </c>
      <c r="G1173" s="4" t="str">
        <f>HYPERLINK("http://141.218.60.56/~jnz1568/getInfo.php?workbook=14_09.xlsx&amp;sheet=A0&amp;row=1173&amp;col=7&amp;number=0&amp;sourceID=14","0")</f>
        <v>0</v>
      </c>
    </row>
    <row r="1174" spans="1:7">
      <c r="A1174" s="3">
        <v>14</v>
      </c>
      <c r="B1174" s="3">
        <v>9</v>
      </c>
      <c r="C1174" s="3">
        <v>156</v>
      </c>
      <c r="D1174" s="3">
        <v>20</v>
      </c>
      <c r="E1174" s="3">
        <v>-266.632</v>
      </c>
      <c r="F1174" s="4" t="str">
        <f>HYPERLINK("http://141.218.60.56/~jnz1568/getInfo.php?workbook=14_09.xlsx&amp;sheet=A0&amp;row=1174&amp;col=6&amp;number=2420000000&amp;sourceID=14","2420000000")</f>
        <v>2420000000</v>
      </c>
      <c r="G1174" s="4" t="str">
        <f>HYPERLINK("http://141.218.60.56/~jnz1568/getInfo.php?workbook=14_09.xlsx&amp;sheet=A0&amp;row=1174&amp;col=7&amp;number=0&amp;sourceID=14","0")</f>
        <v>0</v>
      </c>
    </row>
    <row r="1175" spans="1:7">
      <c r="A1175" s="3">
        <v>14</v>
      </c>
      <c r="B1175" s="3">
        <v>9</v>
      </c>
      <c r="C1175" s="3">
        <v>157</v>
      </c>
      <c r="D1175" s="3">
        <v>20</v>
      </c>
      <c r="E1175" s="3">
        <v>-264.826</v>
      </c>
      <c r="F1175" s="4" t="str">
        <f>HYPERLINK("http://141.218.60.56/~jnz1568/getInfo.php?workbook=14_09.xlsx&amp;sheet=A0&amp;row=1175&amp;col=6&amp;number=27800000&amp;sourceID=14","27800000")</f>
        <v>27800000</v>
      </c>
      <c r="G1175" s="4" t="str">
        <f>HYPERLINK("http://141.218.60.56/~jnz1568/getInfo.php?workbook=14_09.xlsx&amp;sheet=A0&amp;row=1175&amp;col=7&amp;number=0&amp;sourceID=14","0")</f>
        <v>0</v>
      </c>
    </row>
    <row r="1176" spans="1:7">
      <c r="A1176" s="3">
        <v>14</v>
      </c>
      <c r="B1176" s="3">
        <v>9</v>
      </c>
      <c r="C1176" s="3">
        <v>158</v>
      </c>
      <c r="D1176" s="3">
        <v>20</v>
      </c>
      <c r="E1176" s="3">
        <v>-264.453</v>
      </c>
      <c r="F1176" s="4" t="str">
        <f>HYPERLINK("http://141.218.60.56/~jnz1568/getInfo.php?workbook=14_09.xlsx&amp;sheet=A0&amp;row=1176&amp;col=6&amp;number=7270000000&amp;sourceID=14","7270000000")</f>
        <v>7270000000</v>
      </c>
      <c r="G1176" s="4" t="str">
        <f>HYPERLINK("http://141.218.60.56/~jnz1568/getInfo.php?workbook=14_09.xlsx&amp;sheet=A0&amp;row=1176&amp;col=7&amp;number=0&amp;sourceID=14","0")</f>
        <v>0</v>
      </c>
    </row>
    <row r="1177" spans="1:7">
      <c r="A1177" s="3">
        <v>14</v>
      </c>
      <c r="B1177" s="3">
        <v>9</v>
      </c>
      <c r="C1177" s="3">
        <v>161</v>
      </c>
      <c r="D1177" s="3">
        <v>20</v>
      </c>
      <c r="E1177" s="3">
        <v>-241.196</v>
      </c>
      <c r="F1177" s="4" t="str">
        <f>HYPERLINK("http://141.218.60.56/~jnz1568/getInfo.php?workbook=14_09.xlsx&amp;sheet=A0&amp;row=1177&amp;col=6&amp;number=4040000000&amp;sourceID=14","4040000000")</f>
        <v>4040000000</v>
      </c>
      <c r="G1177" s="4" t="str">
        <f>HYPERLINK("http://141.218.60.56/~jnz1568/getInfo.php?workbook=14_09.xlsx&amp;sheet=A0&amp;row=1177&amp;col=7&amp;number=0&amp;sourceID=14","0")</f>
        <v>0</v>
      </c>
    </row>
    <row r="1178" spans="1:7">
      <c r="A1178" s="3">
        <v>14</v>
      </c>
      <c r="B1178" s="3">
        <v>9</v>
      </c>
      <c r="C1178" s="3">
        <v>163</v>
      </c>
      <c r="D1178" s="3">
        <v>20</v>
      </c>
      <c r="E1178" s="3">
        <v>-236.584</v>
      </c>
      <c r="F1178" s="4" t="str">
        <f>HYPERLINK("http://141.218.60.56/~jnz1568/getInfo.php?workbook=14_09.xlsx&amp;sheet=A0&amp;row=1178&amp;col=6&amp;number=1830000&amp;sourceID=14","1830000")</f>
        <v>1830000</v>
      </c>
      <c r="G1178" s="4" t="str">
        <f>HYPERLINK("http://141.218.60.56/~jnz1568/getInfo.php?workbook=14_09.xlsx&amp;sheet=A0&amp;row=1178&amp;col=7&amp;number=0&amp;sourceID=14","0")</f>
        <v>0</v>
      </c>
    </row>
    <row r="1179" spans="1:7">
      <c r="A1179" s="3">
        <v>14</v>
      </c>
      <c r="B1179" s="3">
        <v>9</v>
      </c>
      <c r="C1179" s="3">
        <v>185</v>
      </c>
      <c r="D1179" s="3">
        <v>20</v>
      </c>
      <c r="E1179" s="3">
        <v>-192.15</v>
      </c>
      <c r="F1179" s="4" t="str">
        <f>HYPERLINK("http://141.218.60.56/~jnz1568/getInfo.php?workbook=14_09.xlsx&amp;sheet=A0&amp;row=1179&amp;col=6&amp;number=50400000&amp;sourceID=14","50400000")</f>
        <v>50400000</v>
      </c>
      <c r="G1179" s="4" t="str">
        <f>HYPERLINK("http://141.218.60.56/~jnz1568/getInfo.php?workbook=14_09.xlsx&amp;sheet=A0&amp;row=1179&amp;col=7&amp;number=0&amp;sourceID=14","0")</f>
        <v>0</v>
      </c>
    </row>
    <row r="1180" spans="1:7">
      <c r="A1180" s="3">
        <v>14</v>
      </c>
      <c r="B1180" s="3">
        <v>9</v>
      </c>
      <c r="C1180" s="3">
        <v>187</v>
      </c>
      <c r="D1180" s="3">
        <v>20</v>
      </c>
      <c r="E1180" s="3">
        <v>-190.127</v>
      </c>
      <c r="F1180" s="4" t="str">
        <f>HYPERLINK("http://141.218.60.56/~jnz1568/getInfo.php?workbook=14_09.xlsx&amp;sheet=A0&amp;row=1180&amp;col=6&amp;number=1120000000&amp;sourceID=14","1120000000")</f>
        <v>1120000000</v>
      </c>
      <c r="G1180" s="4" t="str">
        <f>HYPERLINK("http://141.218.60.56/~jnz1568/getInfo.php?workbook=14_09.xlsx&amp;sheet=A0&amp;row=1180&amp;col=7&amp;number=0&amp;sourceID=14","0")</f>
        <v>0</v>
      </c>
    </row>
    <row r="1181" spans="1:7">
      <c r="A1181" s="3">
        <v>14</v>
      </c>
      <c r="B1181" s="3">
        <v>9</v>
      </c>
      <c r="C1181" s="3">
        <v>188</v>
      </c>
      <c r="D1181" s="3">
        <v>20</v>
      </c>
      <c r="E1181" s="3">
        <v>-190.014</v>
      </c>
      <c r="F1181" s="4" t="str">
        <f>HYPERLINK("http://141.218.60.56/~jnz1568/getInfo.php?workbook=14_09.xlsx&amp;sheet=A0&amp;row=1181&amp;col=6&amp;number=428000000&amp;sourceID=14","428000000")</f>
        <v>428000000</v>
      </c>
      <c r="G1181" s="4" t="str">
        <f>HYPERLINK("http://141.218.60.56/~jnz1568/getInfo.php?workbook=14_09.xlsx&amp;sheet=A0&amp;row=1181&amp;col=7&amp;number=0&amp;sourceID=14","0")</f>
        <v>0</v>
      </c>
    </row>
    <row r="1182" spans="1:7">
      <c r="A1182" s="3">
        <v>14</v>
      </c>
      <c r="B1182" s="3">
        <v>9</v>
      </c>
      <c r="C1182" s="3">
        <v>189</v>
      </c>
      <c r="D1182" s="3">
        <v>20</v>
      </c>
      <c r="E1182" s="3">
        <v>-185.283</v>
      </c>
      <c r="F1182" s="4" t="str">
        <f>HYPERLINK("http://141.218.60.56/~jnz1568/getInfo.php?workbook=14_09.xlsx&amp;sheet=A0&amp;row=1182&amp;col=6&amp;number=2280000000&amp;sourceID=14","2280000000")</f>
        <v>2280000000</v>
      </c>
      <c r="G1182" s="4" t="str">
        <f>HYPERLINK("http://141.218.60.56/~jnz1568/getInfo.php?workbook=14_09.xlsx&amp;sheet=A0&amp;row=1182&amp;col=7&amp;number=0&amp;sourceID=14","0")</f>
        <v>0</v>
      </c>
    </row>
    <row r="1183" spans="1:7">
      <c r="A1183" s="3">
        <v>14</v>
      </c>
      <c r="B1183" s="3">
        <v>9</v>
      </c>
      <c r="C1183" s="3">
        <v>32</v>
      </c>
      <c r="D1183" s="3">
        <v>21</v>
      </c>
      <c r="E1183" s="3">
        <v>1143.98</v>
      </c>
      <c r="F1183" s="4" t="str">
        <f>HYPERLINK("http://141.218.60.56/~jnz1568/getInfo.php?workbook=14_09.xlsx&amp;sheet=A0&amp;row=1183&amp;col=6&amp;number=622000&amp;sourceID=14","622000")</f>
        <v>622000</v>
      </c>
      <c r="G1183" s="4" t="str">
        <f>HYPERLINK("http://141.218.60.56/~jnz1568/getInfo.php?workbook=14_09.xlsx&amp;sheet=A0&amp;row=1183&amp;col=7&amp;number=0&amp;sourceID=14","0")</f>
        <v>0</v>
      </c>
    </row>
    <row r="1184" spans="1:7">
      <c r="A1184" s="3">
        <v>14</v>
      </c>
      <c r="B1184" s="3">
        <v>9</v>
      </c>
      <c r="C1184" s="3">
        <v>33</v>
      </c>
      <c r="D1184" s="3">
        <v>21</v>
      </c>
      <c r="E1184" s="3">
        <v>1137.976</v>
      </c>
      <c r="F1184" s="4" t="str">
        <f>HYPERLINK("http://141.218.60.56/~jnz1568/getInfo.php?workbook=14_09.xlsx&amp;sheet=A0&amp;row=1184&amp;col=6&amp;number=1470000&amp;sourceID=14","1470000")</f>
        <v>1470000</v>
      </c>
      <c r="G1184" s="4" t="str">
        <f>HYPERLINK("http://141.218.60.56/~jnz1568/getInfo.php?workbook=14_09.xlsx&amp;sheet=A0&amp;row=1184&amp;col=7&amp;number=0&amp;sourceID=14","0")</f>
        <v>0</v>
      </c>
    </row>
    <row r="1185" spans="1:7">
      <c r="A1185" s="3">
        <v>14</v>
      </c>
      <c r="B1185" s="3">
        <v>9</v>
      </c>
      <c r="C1185" s="3">
        <v>34</v>
      </c>
      <c r="D1185" s="3">
        <v>21</v>
      </c>
      <c r="E1185" s="3">
        <v>1129.269</v>
      </c>
      <c r="F1185" s="4" t="str">
        <f>HYPERLINK("http://141.218.60.56/~jnz1568/getInfo.php?workbook=14_09.xlsx&amp;sheet=A0&amp;row=1185&amp;col=6&amp;number=889000&amp;sourceID=14","889000")</f>
        <v>889000</v>
      </c>
      <c r="G1185" s="4" t="str">
        <f>HYPERLINK("http://141.218.60.56/~jnz1568/getInfo.php?workbook=14_09.xlsx&amp;sheet=A0&amp;row=1185&amp;col=7&amp;number=0&amp;sourceID=14","0")</f>
        <v>0</v>
      </c>
    </row>
    <row r="1186" spans="1:7">
      <c r="A1186" s="3">
        <v>14</v>
      </c>
      <c r="B1186" s="3">
        <v>9</v>
      </c>
      <c r="C1186" s="3">
        <v>37</v>
      </c>
      <c r="D1186" s="3">
        <v>21</v>
      </c>
      <c r="E1186" s="3">
        <v>1005.463</v>
      </c>
      <c r="F1186" s="4" t="str">
        <f>HYPERLINK("http://141.218.60.56/~jnz1568/getInfo.php?workbook=14_09.xlsx&amp;sheet=A0&amp;row=1186&amp;col=6&amp;number=1590000&amp;sourceID=14","1590000")</f>
        <v>1590000</v>
      </c>
      <c r="G1186" s="4" t="str">
        <f>HYPERLINK("http://141.218.60.56/~jnz1568/getInfo.php?workbook=14_09.xlsx&amp;sheet=A0&amp;row=1186&amp;col=7&amp;number=0&amp;sourceID=14","0")</f>
        <v>0</v>
      </c>
    </row>
    <row r="1187" spans="1:7">
      <c r="A1187" s="3">
        <v>14</v>
      </c>
      <c r="B1187" s="3">
        <v>9</v>
      </c>
      <c r="C1187" s="3">
        <v>38</v>
      </c>
      <c r="D1187" s="3">
        <v>21</v>
      </c>
      <c r="E1187" s="3">
        <v>-989.376</v>
      </c>
      <c r="F1187" s="4" t="str">
        <f>HYPERLINK("http://141.218.60.56/~jnz1568/getInfo.php?workbook=14_09.xlsx&amp;sheet=A0&amp;row=1187&amp;col=6&amp;number=7560000&amp;sourceID=14","7560000")</f>
        <v>7560000</v>
      </c>
      <c r="G1187" s="4" t="str">
        <f>HYPERLINK("http://141.218.60.56/~jnz1568/getInfo.php?workbook=14_09.xlsx&amp;sheet=A0&amp;row=1187&amp;col=7&amp;number=0&amp;sourceID=14","0")</f>
        <v>0</v>
      </c>
    </row>
    <row r="1188" spans="1:7">
      <c r="A1188" s="3">
        <v>14</v>
      </c>
      <c r="B1188" s="3">
        <v>9</v>
      </c>
      <c r="C1188" s="3">
        <v>39</v>
      </c>
      <c r="D1188" s="3">
        <v>21</v>
      </c>
      <c r="E1188" s="3">
        <v>988.808</v>
      </c>
      <c r="F1188" s="4" t="str">
        <f>HYPERLINK("http://141.218.60.56/~jnz1568/getInfo.php?workbook=14_09.xlsx&amp;sheet=A0&amp;row=1188&amp;col=6&amp;number=863000000&amp;sourceID=14","863000000")</f>
        <v>863000000</v>
      </c>
      <c r="G1188" s="4" t="str">
        <f>HYPERLINK("http://141.218.60.56/~jnz1568/getInfo.php?workbook=14_09.xlsx&amp;sheet=A0&amp;row=1188&amp;col=7&amp;number=0&amp;sourceID=14","0")</f>
        <v>0</v>
      </c>
    </row>
    <row r="1189" spans="1:7">
      <c r="A1189" s="3">
        <v>14</v>
      </c>
      <c r="B1189" s="3">
        <v>9</v>
      </c>
      <c r="C1189" s="3">
        <v>40</v>
      </c>
      <c r="D1189" s="3">
        <v>21</v>
      </c>
      <c r="E1189" s="3">
        <v>978.265</v>
      </c>
      <c r="F1189" s="4" t="str">
        <f>HYPERLINK("http://141.218.60.56/~jnz1568/getInfo.php?workbook=14_09.xlsx&amp;sheet=A0&amp;row=1189&amp;col=6&amp;number=964000000&amp;sourceID=14","964000000")</f>
        <v>964000000</v>
      </c>
      <c r="G1189" s="4" t="str">
        <f>HYPERLINK("http://141.218.60.56/~jnz1568/getInfo.php?workbook=14_09.xlsx&amp;sheet=A0&amp;row=1189&amp;col=7&amp;number=0&amp;sourceID=14","0")</f>
        <v>0</v>
      </c>
    </row>
    <row r="1190" spans="1:7">
      <c r="A1190" s="3">
        <v>14</v>
      </c>
      <c r="B1190" s="3">
        <v>9</v>
      </c>
      <c r="C1190" s="3">
        <v>42</v>
      </c>
      <c r="D1190" s="3">
        <v>21</v>
      </c>
      <c r="E1190" s="3">
        <v>964.502</v>
      </c>
      <c r="F1190" s="4" t="str">
        <f>HYPERLINK("http://141.218.60.56/~jnz1568/getInfo.php?workbook=14_09.xlsx&amp;sheet=A0&amp;row=1190&amp;col=6&amp;number=1120000000&amp;sourceID=14","1120000000")</f>
        <v>1120000000</v>
      </c>
      <c r="G1190" s="4" t="str">
        <f>HYPERLINK("http://141.218.60.56/~jnz1568/getInfo.php?workbook=14_09.xlsx&amp;sheet=A0&amp;row=1190&amp;col=7&amp;number=0&amp;sourceID=14","0")</f>
        <v>0</v>
      </c>
    </row>
    <row r="1191" spans="1:7">
      <c r="A1191" s="3">
        <v>14</v>
      </c>
      <c r="B1191" s="3">
        <v>9</v>
      </c>
      <c r="C1191" s="3">
        <v>43</v>
      </c>
      <c r="D1191" s="3">
        <v>21</v>
      </c>
      <c r="E1191" s="3">
        <v>962.171</v>
      </c>
      <c r="F1191" s="4" t="str">
        <f>HYPERLINK("http://141.218.60.56/~jnz1568/getInfo.php?workbook=14_09.xlsx&amp;sheet=A0&amp;row=1191&amp;col=6&amp;number=14500000&amp;sourceID=14","14500000")</f>
        <v>14500000</v>
      </c>
      <c r="G1191" s="4" t="str">
        <f>HYPERLINK("http://141.218.60.56/~jnz1568/getInfo.php?workbook=14_09.xlsx&amp;sheet=A0&amp;row=1191&amp;col=7&amp;number=0&amp;sourceID=14","0")</f>
        <v>0</v>
      </c>
    </row>
    <row r="1192" spans="1:7">
      <c r="A1192" s="3">
        <v>14</v>
      </c>
      <c r="B1192" s="3">
        <v>9</v>
      </c>
      <c r="C1192" s="3">
        <v>46</v>
      </c>
      <c r="D1192" s="3">
        <v>21</v>
      </c>
      <c r="E1192" s="3">
        <v>-920.702</v>
      </c>
      <c r="F1192" s="4" t="str">
        <f>HYPERLINK("http://141.218.60.56/~jnz1568/getInfo.php?workbook=14_09.xlsx&amp;sheet=A0&amp;row=1192&amp;col=6&amp;number=29000000&amp;sourceID=14","29000000")</f>
        <v>29000000</v>
      </c>
      <c r="G1192" s="4" t="str">
        <f>HYPERLINK("http://141.218.60.56/~jnz1568/getInfo.php?workbook=14_09.xlsx&amp;sheet=A0&amp;row=1192&amp;col=7&amp;number=0&amp;sourceID=14","0")</f>
        <v>0</v>
      </c>
    </row>
    <row r="1193" spans="1:7">
      <c r="A1193" s="3">
        <v>14</v>
      </c>
      <c r="B1193" s="3">
        <v>9</v>
      </c>
      <c r="C1193" s="3">
        <v>47</v>
      </c>
      <c r="D1193" s="3">
        <v>21</v>
      </c>
      <c r="E1193" s="3">
        <v>-914.488</v>
      </c>
      <c r="F1193" s="4" t="str">
        <f>HYPERLINK("http://141.218.60.56/~jnz1568/getInfo.php?workbook=14_09.xlsx&amp;sheet=A0&amp;row=1193&amp;col=6&amp;number=96600000&amp;sourceID=14","96600000")</f>
        <v>96600000</v>
      </c>
      <c r="G1193" s="4" t="str">
        <f>HYPERLINK("http://141.218.60.56/~jnz1568/getInfo.php?workbook=14_09.xlsx&amp;sheet=A0&amp;row=1193&amp;col=7&amp;number=0&amp;sourceID=14","0")</f>
        <v>0</v>
      </c>
    </row>
    <row r="1194" spans="1:7">
      <c r="A1194" s="3">
        <v>14</v>
      </c>
      <c r="B1194" s="3">
        <v>9</v>
      </c>
      <c r="C1194" s="3">
        <v>48</v>
      </c>
      <c r="D1194" s="3">
        <v>21</v>
      </c>
      <c r="E1194" s="3">
        <v>-897.74</v>
      </c>
      <c r="F1194" s="4" t="str">
        <f>HYPERLINK("http://141.218.60.56/~jnz1568/getInfo.php?workbook=14_09.xlsx&amp;sheet=A0&amp;row=1194&amp;col=6&amp;number=332000000&amp;sourceID=14","332000000")</f>
        <v>332000000</v>
      </c>
      <c r="G1194" s="4" t="str">
        <f>HYPERLINK("http://141.218.60.56/~jnz1568/getInfo.php?workbook=14_09.xlsx&amp;sheet=A0&amp;row=1194&amp;col=7&amp;number=0&amp;sourceID=14","0")</f>
        <v>0</v>
      </c>
    </row>
    <row r="1195" spans="1:7">
      <c r="A1195" s="3">
        <v>14</v>
      </c>
      <c r="B1195" s="3">
        <v>9</v>
      </c>
      <c r="C1195" s="3">
        <v>49</v>
      </c>
      <c r="D1195" s="3">
        <v>21</v>
      </c>
      <c r="E1195" s="3">
        <v>-886.189</v>
      </c>
      <c r="F1195" s="4" t="str">
        <f>HYPERLINK("http://141.218.60.56/~jnz1568/getInfo.php?workbook=14_09.xlsx&amp;sheet=A0&amp;row=1195&amp;col=6&amp;number=41400000&amp;sourceID=14","41400000")</f>
        <v>41400000</v>
      </c>
      <c r="G1195" s="4" t="str">
        <f>HYPERLINK("http://141.218.60.56/~jnz1568/getInfo.php?workbook=14_09.xlsx&amp;sheet=A0&amp;row=1195&amp;col=7&amp;number=0&amp;sourceID=14","0")</f>
        <v>0</v>
      </c>
    </row>
    <row r="1196" spans="1:7">
      <c r="A1196" s="3">
        <v>14</v>
      </c>
      <c r="B1196" s="3">
        <v>9</v>
      </c>
      <c r="C1196" s="3">
        <v>52</v>
      </c>
      <c r="D1196" s="3">
        <v>21</v>
      </c>
      <c r="E1196" s="3">
        <v>-671.381</v>
      </c>
      <c r="F1196" s="4" t="str">
        <f>HYPERLINK("http://141.218.60.56/~jnz1568/getInfo.php?workbook=14_09.xlsx&amp;sheet=A0&amp;row=1196&amp;col=6&amp;number=160000000&amp;sourceID=14","160000000")</f>
        <v>160000000</v>
      </c>
      <c r="G1196" s="4" t="str">
        <f>HYPERLINK("http://141.218.60.56/~jnz1568/getInfo.php?workbook=14_09.xlsx&amp;sheet=A0&amp;row=1196&amp;col=7&amp;number=0&amp;sourceID=14","0")</f>
        <v>0</v>
      </c>
    </row>
    <row r="1197" spans="1:7">
      <c r="A1197" s="3">
        <v>14</v>
      </c>
      <c r="B1197" s="3">
        <v>9</v>
      </c>
      <c r="C1197" s="3">
        <v>53</v>
      </c>
      <c r="D1197" s="3">
        <v>21</v>
      </c>
      <c r="E1197" s="3">
        <v>-665.989</v>
      </c>
      <c r="F1197" s="4" t="str">
        <f>HYPERLINK("http://141.218.60.56/~jnz1568/getInfo.php?workbook=14_09.xlsx&amp;sheet=A0&amp;row=1197&amp;col=6&amp;number=57200000&amp;sourceID=14","57200000")</f>
        <v>57200000</v>
      </c>
      <c r="G1197" s="4" t="str">
        <f>HYPERLINK("http://141.218.60.56/~jnz1568/getInfo.php?workbook=14_09.xlsx&amp;sheet=A0&amp;row=1197&amp;col=7&amp;number=0&amp;sourceID=14","0")</f>
        <v>0</v>
      </c>
    </row>
    <row r="1198" spans="1:7">
      <c r="A1198" s="3">
        <v>14</v>
      </c>
      <c r="B1198" s="3">
        <v>9</v>
      </c>
      <c r="C1198" s="3">
        <v>54</v>
      </c>
      <c r="D1198" s="3">
        <v>21</v>
      </c>
      <c r="E1198" s="3">
        <v>-660.953</v>
      </c>
      <c r="F1198" s="4" t="str">
        <f>HYPERLINK("http://141.218.60.56/~jnz1568/getInfo.php?workbook=14_09.xlsx&amp;sheet=A0&amp;row=1198&amp;col=6&amp;number=1140000&amp;sourceID=14","1140000")</f>
        <v>1140000</v>
      </c>
      <c r="G1198" s="4" t="str">
        <f>HYPERLINK("http://141.218.60.56/~jnz1568/getInfo.php?workbook=14_09.xlsx&amp;sheet=A0&amp;row=1198&amp;col=7&amp;number=0&amp;sourceID=14","0")</f>
        <v>0</v>
      </c>
    </row>
    <row r="1199" spans="1:7">
      <c r="A1199" s="3">
        <v>14</v>
      </c>
      <c r="B1199" s="3">
        <v>9</v>
      </c>
      <c r="C1199" s="3">
        <v>55</v>
      </c>
      <c r="D1199" s="3">
        <v>21</v>
      </c>
      <c r="E1199" s="3">
        <v>-659.406</v>
      </c>
      <c r="F1199" s="4" t="str">
        <f>HYPERLINK("http://141.218.60.56/~jnz1568/getInfo.php?workbook=14_09.xlsx&amp;sheet=A0&amp;row=1199&amp;col=6&amp;number=11800000&amp;sourceID=14","11800000")</f>
        <v>11800000</v>
      </c>
      <c r="G1199" s="4" t="str">
        <f>HYPERLINK("http://141.218.60.56/~jnz1568/getInfo.php?workbook=14_09.xlsx&amp;sheet=A0&amp;row=1199&amp;col=7&amp;number=0&amp;sourceID=14","0")</f>
        <v>0</v>
      </c>
    </row>
    <row r="1200" spans="1:7">
      <c r="A1200" s="3">
        <v>14</v>
      </c>
      <c r="B1200" s="3">
        <v>9</v>
      </c>
      <c r="C1200" s="3">
        <v>57</v>
      </c>
      <c r="D1200" s="3">
        <v>21</v>
      </c>
      <c r="E1200" s="3">
        <v>-654.361</v>
      </c>
      <c r="F1200" s="4" t="str">
        <f>HYPERLINK("http://141.218.60.56/~jnz1568/getInfo.php?workbook=14_09.xlsx&amp;sheet=A0&amp;row=1200&amp;col=6&amp;number=10200000&amp;sourceID=14","10200000")</f>
        <v>10200000</v>
      </c>
      <c r="G1200" s="4" t="str">
        <f>HYPERLINK("http://141.218.60.56/~jnz1568/getInfo.php?workbook=14_09.xlsx&amp;sheet=A0&amp;row=1200&amp;col=7&amp;number=0&amp;sourceID=14","0")</f>
        <v>0</v>
      </c>
    </row>
    <row r="1201" spans="1:7">
      <c r="A1201" s="3">
        <v>14</v>
      </c>
      <c r="B1201" s="3">
        <v>9</v>
      </c>
      <c r="C1201" s="3">
        <v>58</v>
      </c>
      <c r="D1201" s="3">
        <v>21</v>
      </c>
      <c r="E1201" s="3">
        <v>-649.5</v>
      </c>
      <c r="F1201" s="4" t="str">
        <f>HYPERLINK("http://141.218.60.56/~jnz1568/getInfo.php?workbook=14_09.xlsx&amp;sheet=A0&amp;row=1201&amp;col=6&amp;number=8230000&amp;sourceID=14","8230000")</f>
        <v>8230000</v>
      </c>
      <c r="G1201" s="4" t="str">
        <f>HYPERLINK("http://141.218.60.56/~jnz1568/getInfo.php?workbook=14_09.xlsx&amp;sheet=A0&amp;row=1201&amp;col=7&amp;number=0&amp;sourceID=14","0")</f>
        <v>0</v>
      </c>
    </row>
    <row r="1202" spans="1:7">
      <c r="A1202" s="3">
        <v>14</v>
      </c>
      <c r="B1202" s="3">
        <v>9</v>
      </c>
      <c r="C1202" s="3">
        <v>61</v>
      </c>
      <c r="D1202" s="3">
        <v>21</v>
      </c>
      <c r="E1202" s="3">
        <v>-436.202</v>
      </c>
      <c r="F1202" s="4" t="str">
        <f>HYPERLINK("http://141.218.60.56/~jnz1568/getInfo.php?workbook=14_09.xlsx&amp;sheet=A0&amp;row=1202&amp;col=6&amp;number=575000000&amp;sourceID=14","575000000")</f>
        <v>575000000</v>
      </c>
      <c r="G1202" s="4" t="str">
        <f>HYPERLINK("http://141.218.60.56/~jnz1568/getInfo.php?workbook=14_09.xlsx&amp;sheet=A0&amp;row=1202&amp;col=7&amp;number=0&amp;sourceID=14","0")</f>
        <v>0</v>
      </c>
    </row>
    <row r="1203" spans="1:7">
      <c r="A1203" s="3">
        <v>14</v>
      </c>
      <c r="B1203" s="3">
        <v>9</v>
      </c>
      <c r="C1203" s="3">
        <v>62</v>
      </c>
      <c r="D1203" s="3">
        <v>21</v>
      </c>
      <c r="E1203" s="3">
        <v>-431.428</v>
      </c>
      <c r="F1203" s="4" t="str">
        <f>HYPERLINK("http://141.218.60.56/~jnz1568/getInfo.php?workbook=14_09.xlsx&amp;sheet=A0&amp;row=1203&amp;col=6&amp;number=448000000&amp;sourceID=14","448000000")</f>
        <v>448000000</v>
      </c>
      <c r="G1203" s="4" t="str">
        <f>HYPERLINK("http://141.218.60.56/~jnz1568/getInfo.php?workbook=14_09.xlsx&amp;sheet=A0&amp;row=1203&amp;col=7&amp;number=0&amp;sourceID=14","0")</f>
        <v>0</v>
      </c>
    </row>
    <row r="1204" spans="1:7">
      <c r="A1204" s="3">
        <v>14</v>
      </c>
      <c r="B1204" s="3">
        <v>9</v>
      </c>
      <c r="C1204" s="3">
        <v>63</v>
      </c>
      <c r="D1204" s="3">
        <v>21</v>
      </c>
      <c r="E1204" s="3">
        <v>-427.161</v>
      </c>
      <c r="F1204" s="4" t="str">
        <f>HYPERLINK("http://141.218.60.56/~jnz1568/getInfo.php?workbook=14_09.xlsx&amp;sheet=A0&amp;row=1204&amp;col=6&amp;number=959000000&amp;sourceID=14","959000000")</f>
        <v>959000000</v>
      </c>
      <c r="G1204" s="4" t="str">
        <f>HYPERLINK("http://141.218.60.56/~jnz1568/getInfo.php?workbook=14_09.xlsx&amp;sheet=A0&amp;row=1204&amp;col=7&amp;number=0&amp;sourceID=14","0")</f>
        <v>0</v>
      </c>
    </row>
    <row r="1205" spans="1:7">
      <c r="A1205" s="3">
        <v>14</v>
      </c>
      <c r="B1205" s="3">
        <v>9</v>
      </c>
      <c r="C1205" s="3">
        <v>64</v>
      </c>
      <c r="D1205" s="3">
        <v>21</v>
      </c>
      <c r="E1205" s="3">
        <v>-424.671</v>
      </c>
      <c r="F1205" s="4" t="str">
        <f>HYPERLINK("http://141.218.60.56/~jnz1568/getInfo.php?workbook=14_09.xlsx&amp;sheet=A0&amp;row=1205&amp;col=6&amp;number=578000000&amp;sourceID=14","578000000")</f>
        <v>578000000</v>
      </c>
      <c r="G1205" s="4" t="str">
        <f>HYPERLINK("http://141.218.60.56/~jnz1568/getInfo.php?workbook=14_09.xlsx&amp;sheet=A0&amp;row=1205&amp;col=7&amp;number=0&amp;sourceID=14","0")</f>
        <v>0</v>
      </c>
    </row>
    <row r="1206" spans="1:7">
      <c r="A1206" s="3">
        <v>14</v>
      </c>
      <c r="B1206" s="3">
        <v>9</v>
      </c>
      <c r="C1206" s="3">
        <v>65</v>
      </c>
      <c r="D1206" s="3">
        <v>21</v>
      </c>
      <c r="E1206" s="3">
        <v>-418.94</v>
      </c>
      <c r="F1206" s="4" t="str">
        <f>HYPERLINK("http://141.218.60.56/~jnz1568/getInfo.php?workbook=14_09.xlsx&amp;sheet=A0&amp;row=1206&amp;col=6&amp;number=472000000&amp;sourceID=14","472000000")</f>
        <v>472000000</v>
      </c>
      <c r="G1206" s="4" t="str">
        <f>HYPERLINK("http://141.218.60.56/~jnz1568/getInfo.php?workbook=14_09.xlsx&amp;sheet=A0&amp;row=1206&amp;col=7&amp;number=0&amp;sourceID=14","0")</f>
        <v>0</v>
      </c>
    </row>
    <row r="1207" spans="1:7">
      <c r="A1207" s="3">
        <v>14</v>
      </c>
      <c r="B1207" s="3">
        <v>9</v>
      </c>
      <c r="C1207" s="3">
        <v>73</v>
      </c>
      <c r="D1207" s="3">
        <v>21</v>
      </c>
      <c r="E1207" s="3">
        <v>-375.282</v>
      </c>
      <c r="F1207" s="4" t="str">
        <f>HYPERLINK("http://141.218.60.56/~jnz1568/getInfo.php?workbook=14_09.xlsx&amp;sheet=A0&amp;row=1207&amp;col=6&amp;number=56100&amp;sourceID=14","56100")</f>
        <v>56100</v>
      </c>
      <c r="G1207" s="4" t="str">
        <f>HYPERLINK("http://141.218.60.56/~jnz1568/getInfo.php?workbook=14_09.xlsx&amp;sheet=A0&amp;row=1207&amp;col=7&amp;number=0&amp;sourceID=14","0")</f>
        <v>0</v>
      </c>
    </row>
    <row r="1208" spans="1:7">
      <c r="A1208" s="3">
        <v>14</v>
      </c>
      <c r="B1208" s="3">
        <v>9</v>
      </c>
      <c r="C1208" s="3">
        <v>79</v>
      </c>
      <c r="D1208" s="3">
        <v>21</v>
      </c>
      <c r="E1208" s="3">
        <v>-358.23</v>
      </c>
      <c r="F1208" s="4" t="str">
        <f>HYPERLINK("http://141.218.60.56/~jnz1568/getInfo.php?workbook=14_09.xlsx&amp;sheet=A0&amp;row=1208&amp;col=6&amp;number=74500000&amp;sourceID=14","74500000")</f>
        <v>74500000</v>
      </c>
      <c r="G1208" s="4" t="str">
        <f>HYPERLINK("http://141.218.60.56/~jnz1568/getInfo.php?workbook=14_09.xlsx&amp;sheet=A0&amp;row=1208&amp;col=7&amp;number=0&amp;sourceID=14","0")</f>
        <v>0</v>
      </c>
    </row>
    <row r="1209" spans="1:7">
      <c r="A1209" s="3">
        <v>14</v>
      </c>
      <c r="B1209" s="3">
        <v>9</v>
      </c>
      <c r="C1209" s="3">
        <v>80</v>
      </c>
      <c r="D1209" s="3">
        <v>21</v>
      </c>
      <c r="E1209" s="3">
        <v>-358.208</v>
      </c>
      <c r="F1209" s="4" t="str">
        <f>HYPERLINK("http://141.218.60.56/~jnz1568/getInfo.php?workbook=14_09.xlsx&amp;sheet=A0&amp;row=1209&amp;col=6&amp;number=10400000&amp;sourceID=14","10400000")</f>
        <v>10400000</v>
      </c>
      <c r="G1209" s="4" t="str">
        <f>HYPERLINK("http://141.218.60.56/~jnz1568/getInfo.php?workbook=14_09.xlsx&amp;sheet=A0&amp;row=1209&amp;col=7&amp;number=0&amp;sourceID=14","0")</f>
        <v>0</v>
      </c>
    </row>
    <row r="1210" spans="1:7">
      <c r="A1210" s="3">
        <v>14</v>
      </c>
      <c r="B1210" s="3">
        <v>9</v>
      </c>
      <c r="C1210" s="3">
        <v>87</v>
      </c>
      <c r="D1210" s="3">
        <v>21</v>
      </c>
      <c r="E1210" s="3">
        <v>-334.163</v>
      </c>
      <c r="F1210" s="4" t="str">
        <f>HYPERLINK("http://141.218.60.56/~jnz1568/getInfo.php?workbook=14_09.xlsx&amp;sheet=A0&amp;row=1210&amp;col=6&amp;number=93200000&amp;sourceID=14","93200000")</f>
        <v>93200000</v>
      </c>
      <c r="G1210" s="4" t="str">
        <f>HYPERLINK("http://141.218.60.56/~jnz1568/getInfo.php?workbook=14_09.xlsx&amp;sheet=A0&amp;row=1210&amp;col=7&amp;number=0&amp;sourceID=14","0")</f>
        <v>0</v>
      </c>
    </row>
    <row r="1211" spans="1:7">
      <c r="A1211" s="3">
        <v>14</v>
      </c>
      <c r="B1211" s="3">
        <v>9</v>
      </c>
      <c r="C1211" s="3">
        <v>88</v>
      </c>
      <c r="D1211" s="3">
        <v>21</v>
      </c>
      <c r="E1211" s="3">
        <v>-333.495</v>
      </c>
      <c r="F1211" s="4" t="str">
        <f>HYPERLINK("http://141.218.60.56/~jnz1568/getInfo.php?workbook=14_09.xlsx&amp;sheet=A0&amp;row=1211&amp;col=6&amp;number=188000000&amp;sourceID=14","188000000")</f>
        <v>188000000</v>
      </c>
      <c r="G1211" s="4" t="str">
        <f>HYPERLINK("http://141.218.60.56/~jnz1568/getInfo.php?workbook=14_09.xlsx&amp;sheet=A0&amp;row=1211&amp;col=7&amp;number=0&amp;sourceID=14","0")</f>
        <v>0</v>
      </c>
    </row>
    <row r="1212" spans="1:7">
      <c r="A1212" s="3">
        <v>14</v>
      </c>
      <c r="B1212" s="3">
        <v>9</v>
      </c>
      <c r="C1212" s="3">
        <v>89</v>
      </c>
      <c r="D1212" s="3">
        <v>21</v>
      </c>
      <c r="E1212" s="3">
        <v>-332.683</v>
      </c>
      <c r="F1212" s="4" t="str">
        <f>HYPERLINK("http://141.218.60.56/~jnz1568/getInfo.php?workbook=14_09.xlsx&amp;sheet=A0&amp;row=1212&amp;col=6&amp;number=179000000&amp;sourceID=14","179000000")</f>
        <v>179000000</v>
      </c>
      <c r="G1212" s="4" t="str">
        <f>HYPERLINK("http://141.218.60.56/~jnz1568/getInfo.php?workbook=14_09.xlsx&amp;sheet=A0&amp;row=1212&amp;col=7&amp;number=0&amp;sourceID=14","0")</f>
        <v>0</v>
      </c>
    </row>
    <row r="1213" spans="1:7">
      <c r="A1213" s="3">
        <v>14</v>
      </c>
      <c r="B1213" s="3">
        <v>9</v>
      </c>
      <c r="C1213" s="3">
        <v>92</v>
      </c>
      <c r="D1213" s="3">
        <v>21</v>
      </c>
      <c r="E1213" s="3">
        <v>-329.273</v>
      </c>
      <c r="F1213" s="4" t="str">
        <f>HYPERLINK("http://141.218.60.56/~jnz1568/getInfo.php?workbook=14_09.xlsx&amp;sheet=A0&amp;row=1213&amp;col=6&amp;number=1990000000&amp;sourceID=14","1990000000")</f>
        <v>1990000000</v>
      </c>
      <c r="G1213" s="4" t="str">
        <f>HYPERLINK("http://141.218.60.56/~jnz1568/getInfo.php?workbook=14_09.xlsx&amp;sheet=A0&amp;row=1213&amp;col=7&amp;number=0&amp;sourceID=14","0")</f>
        <v>0</v>
      </c>
    </row>
    <row r="1214" spans="1:7">
      <c r="A1214" s="3">
        <v>14</v>
      </c>
      <c r="B1214" s="3">
        <v>9</v>
      </c>
      <c r="C1214" s="3">
        <v>93</v>
      </c>
      <c r="D1214" s="3">
        <v>21</v>
      </c>
      <c r="E1214" s="3">
        <v>-328.372</v>
      </c>
      <c r="F1214" s="4" t="str">
        <f>HYPERLINK("http://141.218.60.56/~jnz1568/getInfo.php?workbook=14_09.xlsx&amp;sheet=A0&amp;row=1214&amp;col=6&amp;number=188000000&amp;sourceID=14","188000000")</f>
        <v>188000000</v>
      </c>
      <c r="G1214" s="4" t="str">
        <f>HYPERLINK("http://141.218.60.56/~jnz1568/getInfo.php?workbook=14_09.xlsx&amp;sheet=A0&amp;row=1214&amp;col=7&amp;number=0&amp;sourceID=14","0")</f>
        <v>0</v>
      </c>
    </row>
    <row r="1215" spans="1:7">
      <c r="A1215" s="3">
        <v>14</v>
      </c>
      <c r="B1215" s="3">
        <v>9</v>
      </c>
      <c r="C1215" s="3">
        <v>94</v>
      </c>
      <c r="D1215" s="3">
        <v>21</v>
      </c>
      <c r="E1215" s="3">
        <v>-328.134</v>
      </c>
      <c r="F1215" s="4" t="str">
        <f>HYPERLINK("http://141.218.60.56/~jnz1568/getInfo.php?workbook=14_09.xlsx&amp;sheet=A0&amp;row=1215&amp;col=6&amp;number=1790000000&amp;sourceID=14","1790000000")</f>
        <v>1790000000</v>
      </c>
      <c r="G1215" s="4" t="str">
        <f>HYPERLINK("http://141.218.60.56/~jnz1568/getInfo.php?workbook=14_09.xlsx&amp;sheet=A0&amp;row=1215&amp;col=7&amp;number=0&amp;sourceID=14","0")</f>
        <v>0</v>
      </c>
    </row>
    <row r="1216" spans="1:7">
      <c r="A1216" s="3">
        <v>14</v>
      </c>
      <c r="B1216" s="3">
        <v>9</v>
      </c>
      <c r="C1216" s="3">
        <v>96</v>
      </c>
      <c r="D1216" s="3">
        <v>21</v>
      </c>
      <c r="E1216" s="3">
        <v>-326.703</v>
      </c>
      <c r="F1216" s="4" t="str">
        <f>HYPERLINK("http://141.218.60.56/~jnz1568/getInfo.php?workbook=14_09.xlsx&amp;sheet=A0&amp;row=1216&amp;col=6&amp;number=251000000&amp;sourceID=14","251000000")</f>
        <v>251000000</v>
      </c>
      <c r="G1216" s="4" t="str">
        <f>HYPERLINK("http://141.218.60.56/~jnz1568/getInfo.php?workbook=14_09.xlsx&amp;sheet=A0&amp;row=1216&amp;col=7&amp;number=0&amp;sourceID=14","0")</f>
        <v>0</v>
      </c>
    </row>
    <row r="1217" spans="1:7">
      <c r="A1217" s="3">
        <v>14</v>
      </c>
      <c r="B1217" s="3">
        <v>9</v>
      </c>
      <c r="C1217" s="3">
        <v>97</v>
      </c>
      <c r="D1217" s="3">
        <v>21</v>
      </c>
      <c r="E1217" s="3">
        <v>-326.221</v>
      </c>
      <c r="F1217" s="4" t="str">
        <f>HYPERLINK("http://141.218.60.56/~jnz1568/getInfo.php?workbook=14_09.xlsx&amp;sheet=A0&amp;row=1217&amp;col=6&amp;number=2130000000&amp;sourceID=14","2130000000")</f>
        <v>2130000000</v>
      </c>
      <c r="G1217" s="4" t="str">
        <f>HYPERLINK("http://141.218.60.56/~jnz1568/getInfo.php?workbook=14_09.xlsx&amp;sheet=A0&amp;row=1217&amp;col=7&amp;number=0&amp;sourceID=14","0")</f>
        <v>0</v>
      </c>
    </row>
    <row r="1218" spans="1:7">
      <c r="A1218" s="3">
        <v>14</v>
      </c>
      <c r="B1218" s="3">
        <v>9</v>
      </c>
      <c r="C1218" s="3">
        <v>98</v>
      </c>
      <c r="D1218" s="3">
        <v>21</v>
      </c>
      <c r="E1218" s="3">
        <v>-325.341</v>
      </c>
      <c r="F1218" s="4" t="str">
        <f>HYPERLINK("http://141.218.60.56/~jnz1568/getInfo.php?workbook=14_09.xlsx&amp;sheet=A0&amp;row=1218&amp;col=6&amp;number=51900000&amp;sourceID=14","51900000")</f>
        <v>51900000</v>
      </c>
      <c r="G1218" s="4" t="str">
        <f>HYPERLINK("http://141.218.60.56/~jnz1568/getInfo.php?workbook=14_09.xlsx&amp;sheet=A0&amp;row=1218&amp;col=7&amp;number=0&amp;sourceID=14","0")</f>
        <v>0</v>
      </c>
    </row>
    <row r="1219" spans="1:7">
      <c r="A1219" s="3">
        <v>14</v>
      </c>
      <c r="B1219" s="3">
        <v>9</v>
      </c>
      <c r="C1219" s="3">
        <v>99</v>
      </c>
      <c r="D1219" s="3">
        <v>21</v>
      </c>
      <c r="E1219" s="3">
        <v>-323.759</v>
      </c>
      <c r="F1219" s="4" t="str">
        <f>HYPERLINK("http://141.218.60.56/~jnz1568/getInfo.php?workbook=14_09.xlsx&amp;sheet=A0&amp;row=1219&amp;col=6&amp;number=144000000&amp;sourceID=14","144000000")</f>
        <v>144000000</v>
      </c>
      <c r="G1219" s="4" t="str">
        <f>HYPERLINK("http://141.218.60.56/~jnz1568/getInfo.php?workbook=14_09.xlsx&amp;sheet=A0&amp;row=1219&amp;col=7&amp;number=0&amp;sourceID=14","0")</f>
        <v>0</v>
      </c>
    </row>
    <row r="1220" spans="1:7">
      <c r="A1220" s="3">
        <v>14</v>
      </c>
      <c r="B1220" s="3">
        <v>9</v>
      </c>
      <c r="C1220" s="3">
        <v>100</v>
      </c>
      <c r="D1220" s="3">
        <v>21</v>
      </c>
      <c r="E1220" s="3">
        <v>-323.003</v>
      </c>
      <c r="F1220" s="4" t="str">
        <f>HYPERLINK("http://141.218.60.56/~jnz1568/getInfo.php?workbook=14_09.xlsx&amp;sheet=A0&amp;row=1220&amp;col=6&amp;number=380000000&amp;sourceID=14","380000000")</f>
        <v>380000000</v>
      </c>
      <c r="G1220" s="4" t="str">
        <f>HYPERLINK("http://141.218.60.56/~jnz1568/getInfo.php?workbook=14_09.xlsx&amp;sheet=A0&amp;row=1220&amp;col=7&amp;number=0&amp;sourceID=14","0")</f>
        <v>0</v>
      </c>
    </row>
    <row r="1221" spans="1:7">
      <c r="A1221" s="3">
        <v>14</v>
      </c>
      <c r="B1221" s="3">
        <v>9</v>
      </c>
      <c r="C1221" s="3">
        <v>103</v>
      </c>
      <c r="D1221" s="3">
        <v>21</v>
      </c>
      <c r="E1221" s="3">
        <v>-321.048</v>
      </c>
      <c r="F1221" s="4" t="str">
        <f>HYPERLINK("http://141.218.60.56/~jnz1568/getInfo.php?workbook=14_09.xlsx&amp;sheet=A0&amp;row=1221&amp;col=6&amp;number=808000000&amp;sourceID=14","808000000")</f>
        <v>808000000</v>
      </c>
      <c r="G1221" s="4" t="str">
        <f>HYPERLINK("http://141.218.60.56/~jnz1568/getInfo.php?workbook=14_09.xlsx&amp;sheet=A0&amp;row=1221&amp;col=7&amp;number=0&amp;sourceID=14","0")</f>
        <v>0</v>
      </c>
    </row>
    <row r="1222" spans="1:7">
      <c r="A1222" s="3">
        <v>14</v>
      </c>
      <c r="B1222" s="3">
        <v>9</v>
      </c>
      <c r="C1222" s="3">
        <v>110</v>
      </c>
      <c r="D1222" s="3">
        <v>21</v>
      </c>
      <c r="E1222" s="3">
        <v>-319.531</v>
      </c>
      <c r="F1222" s="4" t="str">
        <f>HYPERLINK("http://141.218.60.56/~jnz1568/getInfo.php?workbook=14_09.xlsx&amp;sheet=A0&amp;row=1222&amp;col=6&amp;number=48200000&amp;sourceID=14","48200000")</f>
        <v>48200000</v>
      </c>
      <c r="G1222" s="4" t="str">
        <f>HYPERLINK("http://141.218.60.56/~jnz1568/getInfo.php?workbook=14_09.xlsx&amp;sheet=A0&amp;row=1222&amp;col=7&amp;number=0&amp;sourceID=14","0")</f>
        <v>0</v>
      </c>
    </row>
    <row r="1223" spans="1:7">
      <c r="A1223" s="3">
        <v>14</v>
      </c>
      <c r="B1223" s="3">
        <v>9</v>
      </c>
      <c r="C1223" s="3">
        <v>112</v>
      </c>
      <c r="D1223" s="3">
        <v>21</v>
      </c>
      <c r="E1223" s="3">
        <v>-319.417</v>
      </c>
      <c r="F1223" s="4" t="str">
        <f>HYPERLINK("http://141.218.60.56/~jnz1568/getInfo.php?workbook=14_09.xlsx&amp;sheet=A0&amp;row=1223&amp;col=6&amp;number=346000&amp;sourceID=14","346000")</f>
        <v>346000</v>
      </c>
      <c r="G1223" s="4" t="str">
        <f>HYPERLINK("http://141.218.60.56/~jnz1568/getInfo.php?workbook=14_09.xlsx&amp;sheet=A0&amp;row=1223&amp;col=7&amp;number=0&amp;sourceID=14","0")</f>
        <v>0</v>
      </c>
    </row>
    <row r="1224" spans="1:7">
      <c r="A1224" s="3">
        <v>14</v>
      </c>
      <c r="B1224" s="3">
        <v>9</v>
      </c>
      <c r="C1224" s="3">
        <v>118</v>
      </c>
      <c r="D1224" s="3">
        <v>21</v>
      </c>
      <c r="E1224" s="3">
        <v>-316.431</v>
      </c>
      <c r="F1224" s="4" t="str">
        <f>HYPERLINK("http://141.218.60.56/~jnz1568/getInfo.php?workbook=14_09.xlsx&amp;sheet=A0&amp;row=1224&amp;col=6&amp;number=235000&amp;sourceID=14","235000")</f>
        <v>235000</v>
      </c>
      <c r="G1224" s="4" t="str">
        <f>HYPERLINK("http://141.218.60.56/~jnz1568/getInfo.php?workbook=14_09.xlsx&amp;sheet=A0&amp;row=1224&amp;col=7&amp;number=0&amp;sourceID=14","0")</f>
        <v>0</v>
      </c>
    </row>
    <row r="1225" spans="1:7">
      <c r="A1225" s="3">
        <v>14</v>
      </c>
      <c r="B1225" s="3">
        <v>9</v>
      </c>
      <c r="C1225" s="3">
        <v>121</v>
      </c>
      <c r="D1225" s="3">
        <v>21</v>
      </c>
      <c r="E1225" s="3">
        <v>-315.54</v>
      </c>
      <c r="F1225" s="4" t="str">
        <f>HYPERLINK("http://141.218.60.56/~jnz1568/getInfo.php?workbook=14_09.xlsx&amp;sheet=A0&amp;row=1225&amp;col=6&amp;number=326000&amp;sourceID=14","326000")</f>
        <v>326000</v>
      </c>
      <c r="G1225" s="4" t="str">
        <f>HYPERLINK("http://141.218.60.56/~jnz1568/getInfo.php?workbook=14_09.xlsx&amp;sheet=A0&amp;row=1225&amp;col=7&amp;number=0&amp;sourceID=14","0")</f>
        <v>0</v>
      </c>
    </row>
    <row r="1226" spans="1:7">
      <c r="A1226" s="3">
        <v>14</v>
      </c>
      <c r="B1226" s="3">
        <v>9</v>
      </c>
      <c r="C1226" s="3">
        <v>123</v>
      </c>
      <c r="D1226" s="3">
        <v>21</v>
      </c>
      <c r="E1226" s="3">
        <v>-314.327</v>
      </c>
      <c r="F1226" s="4" t="str">
        <f>HYPERLINK("http://141.218.60.56/~jnz1568/getInfo.php?workbook=14_09.xlsx&amp;sheet=A0&amp;row=1226&amp;col=6&amp;number=215000&amp;sourceID=14","215000")</f>
        <v>215000</v>
      </c>
      <c r="G1226" s="4" t="str">
        <f>HYPERLINK("http://141.218.60.56/~jnz1568/getInfo.php?workbook=14_09.xlsx&amp;sheet=A0&amp;row=1226&amp;col=7&amp;number=0&amp;sourceID=14","0")</f>
        <v>0</v>
      </c>
    </row>
    <row r="1227" spans="1:7">
      <c r="A1227" s="3">
        <v>14</v>
      </c>
      <c r="B1227" s="3">
        <v>9</v>
      </c>
      <c r="C1227" s="3">
        <v>127</v>
      </c>
      <c r="D1227" s="3">
        <v>21</v>
      </c>
      <c r="E1227" s="3">
        <v>-289.207</v>
      </c>
      <c r="F1227" s="4" t="str">
        <f>HYPERLINK("http://141.218.60.56/~jnz1568/getInfo.php?workbook=14_09.xlsx&amp;sheet=A0&amp;row=1227&amp;col=6&amp;number=43900000&amp;sourceID=14","43900000")</f>
        <v>43900000</v>
      </c>
      <c r="G1227" s="4" t="str">
        <f>HYPERLINK("http://141.218.60.56/~jnz1568/getInfo.php?workbook=14_09.xlsx&amp;sheet=A0&amp;row=1227&amp;col=7&amp;number=0&amp;sourceID=14","0")</f>
        <v>0</v>
      </c>
    </row>
    <row r="1228" spans="1:7">
      <c r="A1228" s="3">
        <v>14</v>
      </c>
      <c r="B1228" s="3">
        <v>9</v>
      </c>
      <c r="C1228" s="3">
        <v>128</v>
      </c>
      <c r="D1228" s="3">
        <v>21</v>
      </c>
      <c r="E1228" s="3">
        <v>-288.448</v>
      </c>
      <c r="F1228" s="4" t="str">
        <f>HYPERLINK("http://141.218.60.56/~jnz1568/getInfo.php?workbook=14_09.xlsx&amp;sheet=A0&amp;row=1228&amp;col=6&amp;number=13700000&amp;sourceID=14","13700000")</f>
        <v>13700000</v>
      </c>
      <c r="G1228" s="4" t="str">
        <f>HYPERLINK("http://141.218.60.56/~jnz1568/getInfo.php?workbook=14_09.xlsx&amp;sheet=A0&amp;row=1228&amp;col=7&amp;number=0&amp;sourceID=14","0")</f>
        <v>0</v>
      </c>
    </row>
    <row r="1229" spans="1:7">
      <c r="A1229" s="3">
        <v>14</v>
      </c>
      <c r="B1229" s="3">
        <v>9</v>
      </c>
      <c r="C1229" s="3">
        <v>131</v>
      </c>
      <c r="D1229" s="3">
        <v>21</v>
      </c>
      <c r="E1229" s="3">
        <v>-284.017</v>
      </c>
      <c r="F1229" s="4" t="str">
        <f>HYPERLINK("http://141.218.60.56/~jnz1568/getInfo.php?workbook=14_09.xlsx&amp;sheet=A0&amp;row=1229&amp;col=6&amp;number=297000&amp;sourceID=14","297000")</f>
        <v>297000</v>
      </c>
      <c r="G1229" s="4" t="str">
        <f>HYPERLINK("http://141.218.60.56/~jnz1568/getInfo.php?workbook=14_09.xlsx&amp;sheet=A0&amp;row=1229&amp;col=7&amp;number=0&amp;sourceID=14","0")</f>
        <v>0</v>
      </c>
    </row>
    <row r="1230" spans="1:7">
      <c r="A1230" s="3">
        <v>14</v>
      </c>
      <c r="B1230" s="3">
        <v>9</v>
      </c>
      <c r="C1230" s="3">
        <v>132</v>
      </c>
      <c r="D1230" s="3">
        <v>21</v>
      </c>
      <c r="E1230" s="3">
        <v>-283.985</v>
      </c>
      <c r="F1230" s="4" t="str">
        <f>HYPERLINK("http://141.218.60.56/~jnz1568/getInfo.php?workbook=14_09.xlsx&amp;sheet=A0&amp;row=1230&amp;col=6&amp;number=18700000&amp;sourceID=14","18700000")</f>
        <v>18700000</v>
      </c>
      <c r="G1230" s="4" t="str">
        <f>HYPERLINK("http://141.218.60.56/~jnz1568/getInfo.php?workbook=14_09.xlsx&amp;sheet=A0&amp;row=1230&amp;col=7&amp;number=0&amp;sourceID=14","0")</f>
        <v>0</v>
      </c>
    </row>
    <row r="1231" spans="1:7">
      <c r="A1231" s="3">
        <v>14</v>
      </c>
      <c r="B1231" s="3">
        <v>9</v>
      </c>
      <c r="C1231" s="3">
        <v>134</v>
      </c>
      <c r="D1231" s="3">
        <v>21</v>
      </c>
      <c r="E1231" s="3">
        <v>-283.496</v>
      </c>
      <c r="F1231" s="4" t="str">
        <f>HYPERLINK("http://141.218.60.56/~jnz1568/getInfo.php?workbook=14_09.xlsx&amp;sheet=A0&amp;row=1231&amp;col=6&amp;number=11300000&amp;sourceID=14","11300000")</f>
        <v>11300000</v>
      </c>
      <c r="G1231" s="4" t="str">
        <f>HYPERLINK("http://141.218.60.56/~jnz1568/getInfo.php?workbook=14_09.xlsx&amp;sheet=A0&amp;row=1231&amp;col=7&amp;number=0&amp;sourceID=14","0")</f>
        <v>0</v>
      </c>
    </row>
    <row r="1232" spans="1:7">
      <c r="A1232" s="3">
        <v>14</v>
      </c>
      <c r="B1232" s="3">
        <v>9</v>
      </c>
      <c r="C1232" s="3">
        <v>135</v>
      </c>
      <c r="D1232" s="3">
        <v>21</v>
      </c>
      <c r="E1232" s="3">
        <v>-283.38</v>
      </c>
      <c r="F1232" s="4" t="str">
        <f>HYPERLINK("http://141.218.60.56/~jnz1568/getInfo.php?workbook=14_09.xlsx&amp;sheet=A0&amp;row=1232&amp;col=6&amp;number=3130000&amp;sourceID=14","3130000")</f>
        <v>3130000</v>
      </c>
      <c r="G1232" s="4" t="str">
        <f>HYPERLINK("http://141.218.60.56/~jnz1568/getInfo.php?workbook=14_09.xlsx&amp;sheet=A0&amp;row=1232&amp;col=7&amp;number=0&amp;sourceID=14","0")</f>
        <v>0</v>
      </c>
    </row>
    <row r="1233" spans="1:7">
      <c r="A1233" s="3">
        <v>14</v>
      </c>
      <c r="B1233" s="3">
        <v>9</v>
      </c>
      <c r="C1233" s="3">
        <v>136</v>
      </c>
      <c r="D1233" s="3">
        <v>21</v>
      </c>
      <c r="E1233" s="3">
        <v>-283.002</v>
      </c>
      <c r="F1233" s="4" t="str">
        <f>HYPERLINK("http://141.218.60.56/~jnz1568/getInfo.php?workbook=14_09.xlsx&amp;sheet=A0&amp;row=1233&amp;col=6&amp;number=2780000&amp;sourceID=14","2780000")</f>
        <v>2780000</v>
      </c>
      <c r="G1233" s="4" t="str">
        <f>HYPERLINK("http://141.218.60.56/~jnz1568/getInfo.php?workbook=14_09.xlsx&amp;sheet=A0&amp;row=1233&amp;col=7&amp;number=0&amp;sourceID=14","0")</f>
        <v>0</v>
      </c>
    </row>
    <row r="1234" spans="1:7">
      <c r="A1234" s="3">
        <v>14</v>
      </c>
      <c r="B1234" s="3">
        <v>9</v>
      </c>
      <c r="C1234" s="3">
        <v>137</v>
      </c>
      <c r="D1234" s="3">
        <v>21</v>
      </c>
      <c r="E1234" s="3">
        <v>-282.299</v>
      </c>
      <c r="F1234" s="4" t="str">
        <f>HYPERLINK("http://141.218.60.56/~jnz1568/getInfo.php?workbook=14_09.xlsx&amp;sheet=A0&amp;row=1234&amp;col=6&amp;number=42200000&amp;sourceID=14","42200000")</f>
        <v>42200000</v>
      </c>
      <c r="G1234" s="4" t="str">
        <f>HYPERLINK("http://141.218.60.56/~jnz1568/getInfo.php?workbook=14_09.xlsx&amp;sheet=A0&amp;row=1234&amp;col=7&amp;number=0&amp;sourceID=14","0")</f>
        <v>0</v>
      </c>
    </row>
    <row r="1235" spans="1:7">
      <c r="A1235" s="3">
        <v>14</v>
      </c>
      <c r="B1235" s="3">
        <v>9</v>
      </c>
      <c r="C1235" s="3">
        <v>145</v>
      </c>
      <c r="D1235" s="3">
        <v>21</v>
      </c>
      <c r="E1235" s="3">
        <v>-277.572</v>
      </c>
      <c r="F1235" s="4" t="str">
        <f>HYPERLINK("http://141.218.60.56/~jnz1568/getInfo.php?workbook=14_09.xlsx&amp;sheet=A0&amp;row=1235&amp;col=6&amp;number=83300000&amp;sourceID=14","83300000")</f>
        <v>83300000</v>
      </c>
      <c r="G1235" s="4" t="str">
        <f>HYPERLINK("http://141.218.60.56/~jnz1568/getInfo.php?workbook=14_09.xlsx&amp;sheet=A0&amp;row=1235&amp;col=7&amp;number=0&amp;sourceID=14","0")</f>
        <v>0</v>
      </c>
    </row>
    <row r="1236" spans="1:7">
      <c r="A1236" s="3">
        <v>14</v>
      </c>
      <c r="B1236" s="3">
        <v>9</v>
      </c>
      <c r="C1236" s="3">
        <v>148</v>
      </c>
      <c r="D1236" s="3">
        <v>21</v>
      </c>
      <c r="E1236" s="3">
        <v>-276.469</v>
      </c>
      <c r="F1236" s="4" t="str">
        <f>HYPERLINK("http://141.218.60.56/~jnz1568/getInfo.php?workbook=14_09.xlsx&amp;sheet=A0&amp;row=1236&amp;col=6&amp;number=59400000&amp;sourceID=14","59400000")</f>
        <v>59400000</v>
      </c>
      <c r="G1236" s="4" t="str">
        <f>HYPERLINK("http://141.218.60.56/~jnz1568/getInfo.php?workbook=14_09.xlsx&amp;sheet=A0&amp;row=1236&amp;col=7&amp;number=0&amp;sourceID=14","0")</f>
        <v>0</v>
      </c>
    </row>
    <row r="1237" spans="1:7">
      <c r="A1237" s="3">
        <v>14</v>
      </c>
      <c r="B1237" s="3">
        <v>9</v>
      </c>
      <c r="C1237" s="3">
        <v>151</v>
      </c>
      <c r="D1237" s="3">
        <v>21</v>
      </c>
      <c r="E1237" s="3">
        <v>-275.654</v>
      </c>
      <c r="F1237" s="4" t="str">
        <f>HYPERLINK("http://141.218.60.56/~jnz1568/getInfo.php?workbook=14_09.xlsx&amp;sheet=A0&amp;row=1237&amp;col=6&amp;number=31400000&amp;sourceID=14","31400000")</f>
        <v>31400000</v>
      </c>
      <c r="G1237" s="4" t="str">
        <f>HYPERLINK("http://141.218.60.56/~jnz1568/getInfo.php?workbook=14_09.xlsx&amp;sheet=A0&amp;row=1237&amp;col=7&amp;number=0&amp;sourceID=14","0")</f>
        <v>0</v>
      </c>
    </row>
    <row r="1238" spans="1:7">
      <c r="A1238" s="3">
        <v>14</v>
      </c>
      <c r="B1238" s="3">
        <v>9</v>
      </c>
      <c r="C1238" s="3">
        <v>152</v>
      </c>
      <c r="D1238" s="3">
        <v>21</v>
      </c>
      <c r="E1238" s="3">
        <v>-270.892</v>
      </c>
      <c r="F1238" s="4" t="str">
        <f>HYPERLINK("http://141.218.60.56/~jnz1568/getInfo.php?workbook=14_09.xlsx&amp;sheet=A0&amp;row=1238&amp;col=6&amp;number=2800000000&amp;sourceID=14","2800000000")</f>
        <v>2800000000</v>
      </c>
      <c r="G1238" s="4" t="str">
        <f>HYPERLINK("http://141.218.60.56/~jnz1568/getInfo.php?workbook=14_09.xlsx&amp;sheet=A0&amp;row=1238&amp;col=7&amp;number=0&amp;sourceID=14","0")</f>
        <v>0</v>
      </c>
    </row>
    <row r="1239" spans="1:7">
      <c r="A1239" s="3">
        <v>14</v>
      </c>
      <c r="B1239" s="3">
        <v>9</v>
      </c>
      <c r="C1239" s="3">
        <v>153</v>
      </c>
      <c r="D1239" s="3">
        <v>21</v>
      </c>
      <c r="E1239" s="3">
        <v>-269.614</v>
      </c>
      <c r="F1239" s="4" t="str">
        <f>HYPERLINK("http://141.218.60.56/~jnz1568/getInfo.php?workbook=14_09.xlsx&amp;sheet=A0&amp;row=1239&amp;col=6&amp;number=3150000000&amp;sourceID=14","3150000000")</f>
        <v>3150000000</v>
      </c>
      <c r="G1239" s="4" t="str">
        <f>HYPERLINK("http://141.218.60.56/~jnz1568/getInfo.php?workbook=14_09.xlsx&amp;sheet=A0&amp;row=1239&amp;col=7&amp;number=0&amp;sourceID=14","0")</f>
        <v>0</v>
      </c>
    </row>
    <row r="1240" spans="1:7">
      <c r="A1240" s="3">
        <v>14</v>
      </c>
      <c r="B1240" s="3">
        <v>9</v>
      </c>
      <c r="C1240" s="3">
        <v>154</v>
      </c>
      <c r="D1240" s="3">
        <v>21</v>
      </c>
      <c r="E1240" s="3">
        <v>-269.598</v>
      </c>
      <c r="F1240" s="4" t="str">
        <f>HYPERLINK("http://141.218.60.56/~jnz1568/getInfo.php?workbook=14_09.xlsx&amp;sheet=A0&amp;row=1240&amp;col=6&amp;number=5140000000&amp;sourceID=14","5140000000")</f>
        <v>5140000000</v>
      </c>
      <c r="G1240" s="4" t="str">
        <f>HYPERLINK("http://141.218.60.56/~jnz1568/getInfo.php?workbook=14_09.xlsx&amp;sheet=A0&amp;row=1240&amp;col=7&amp;number=0&amp;sourceID=14","0")</f>
        <v>0</v>
      </c>
    </row>
    <row r="1241" spans="1:7">
      <c r="A1241" s="3">
        <v>14</v>
      </c>
      <c r="B1241" s="3">
        <v>9</v>
      </c>
      <c r="C1241" s="3">
        <v>155</v>
      </c>
      <c r="D1241" s="3">
        <v>21</v>
      </c>
      <c r="E1241" s="3">
        <v>-269.121</v>
      </c>
      <c r="F1241" s="4" t="str">
        <f>HYPERLINK("http://141.218.60.56/~jnz1568/getInfo.php?workbook=14_09.xlsx&amp;sheet=A0&amp;row=1241&amp;col=6&amp;number=4720000000&amp;sourceID=14","4720000000")</f>
        <v>4720000000</v>
      </c>
      <c r="G1241" s="4" t="str">
        <f>HYPERLINK("http://141.218.60.56/~jnz1568/getInfo.php?workbook=14_09.xlsx&amp;sheet=A0&amp;row=1241&amp;col=7&amp;number=0&amp;sourceID=14","0")</f>
        <v>0</v>
      </c>
    </row>
    <row r="1242" spans="1:7">
      <c r="A1242" s="3">
        <v>14</v>
      </c>
      <c r="B1242" s="3">
        <v>9</v>
      </c>
      <c r="C1242" s="3">
        <v>156</v>
      </c>
      <c r="D1242" s="3">
        <v>21</v>
      </c>
      <c r="E1242" s="3">
        <v>-268.454</v>
      </c>
      <c r="F1242" s="4" t="str">
        <f>HYPERLINK("http://141.218.60.56/~jnz1568/getInfo.php?workbook=14_09.xlsx&amp;sheet=A0&amp;row=1242&amp;col=6&amp;number=77200000&amp;sourceID=14","77200000")</f>
        <v>77200000</v>
      </c>
      <c r="G1242" s="4" t="str">
        <f>HYPERLINK("http://141.218.60.56/~jnz1568/getInfo.php?workbook=14_09.xlsx&amp;sheet=A0&amp;row=1242&amp;col=7&amp;number=0&amp;sourceID=14","0")</f>
        <v>0</v>
      </c>
    </row>
    <row r="1243" spans="1:7">
      <c r="A1243" s="3">
        <v>14</v>
      </c>
      <c r="B1243" s="3">
        <v>9</v>
      </c>
      <c r="C1243" s="3">
        <v>157</v>
      </c>
      <c r="D1243" s="3">
        <v>21</v>
      </c>
      <c r="E1243" s="3">
        <v>-266.623</v>
      </c>
      <c r="F1243" s="4" t="str">
        <f>HYPERLINK("http://141.218.60.56/~jnz1568/getInfo.php?workbook=14_09.xlsx&amp;sheet=A0&amp;row=1243&amp;col=6&amp;number=40000000&amp;sourceID=14","40000000")</f>
        <v>40000000</v>
      </c>
      <c r="G1243" s="4" t="str">
        <f>HYPERLINK("http://141.218.60.56/~jnz1568/getInfo.php?workbook=14_09.xlsx&amp;sheet=A0&amp;row=1243&amp;col=7&amp;number=0&amp;sourceID=14","0")</f>
        <v>0</v>
      </c>
    </row>
    <row r="1244" spans="1:7">
      <c r="A1244" s="3">
        <v>14</v>
      </c>
      <c r="B1244" s="3">
        <v>9</v>
      </c>
      <c r="C1244" s="3">
        <v>158</v>
      </c>
      <c r="D1244" s="3">
        <v>21</v>
      </c>
      <c r="E1244" s="3">
        <v>-266.245</v>
      </c>
      <c r="F1244" s="4" t="str">
        <f>HYPERLINK("http://141.218.60.56/~jnz1568/getInfo.php?workbook=14_09.xlsx&amp;sheet=A0&amp;row=1244&amp;col=6&amp;number=28400000&amp;sourceID=14","28400000")</f>
        <v>28400000</v>
      </c>
      <c r="G1244" s="4" t="str">
        <f>HYPERLINK("http://141.218.60.56/~jnz1568/getInfo.php?workbook=14_09.xlsx&amp;sheet=A0&amp;row=1244&amp;col=7&amp;number=0&amp;sourceID=14","0")</f>
        <v>0</v>
      </c>
    </row>
    <row r="1245" spans="1:7">
      <c r="A1245" s="3">
        <v>14</v>
      </c>
      <c r="B1245" s="3">
        <v>9</v>
      </c>
      <c r="C1245" s="3">
        <v>161</v>
      </c>
      <c r="D1245" s="3">
        <v>21</v>
      </c>
      <c r="E1245" s="3">
        <v>-242.686</v>
      </c>
      <c r="F1245" s="4" t="str">
        <f>HYPERLINK("http://141.218.60.56/~jnz1568/getInfo.php?workbook=14_09.xlsx&amp;sheet=A0&amp;row=1245&amp;col=6&amp;number=1960000000&amp;sourceID=14","1960000000")</f>
        <v>1960000000</v>
      </c>
      <c r="G1245" s="4" t="str">
        <f>HYPERLINK("http://141.218.60.56/~jnz1568/getInfo.php?workbook=14_09.xlsx&amp;sheet=A0&amp;row=1245&amp;col=7&amp;number=0&amp;sourceID=14","0")</f>
        <v>0</v>
      </c>
    </row>
    <row r="1246" spans="1:7">
      <c r="A1246" s="3">
        <v>14</v>
      </c>
      <c r="B1246" s="3">
        <v>9</v>
      </c>
      <c r="C1246" s="3">
        <v>162</v>
      </c>
      <c r="D1246" s="3">
        <v>21</v>
      </c>
      <c r="E1246" s="3">
        <v>-238.092</v>
      </c>
      <c r="F1246" s="4" t="str">
        <f>HYPERLINK("http://141.218.60.56/~jnz1568/getInfo.php?workbook=14_09.xlsx&amp;sheet=A0&amp;row=1246&amp;col=6&amp;number=642000&amp;sourceID=14","642000")</f>
        <v>642000</v>
      </c>
      <c r="G1246" s="4" t="str">
        <f>HYPERLINK("http://141.218.60.56/~jnz1568/getInfo.php?workbook=14_09.xlsx&amp;sheet=A0&amp;row=1246&amp;col=7&amp;number=0&amp;sourceID=14","0")</f>
        <v>0</v>
      </c>
    </row>
    <row r="1247" spans="1:7">
      <c r="A1247" s="3">
        <v>14</v>
      </c>
      <c r="B1247" s="3">
        <v>9</v>
      </c>
      <c r="C1247" s="3">
        <v>185</v>
      </c>
      <c r="D1247" s="3">
        <v>21</v>
      </c>
      <c r="E1247" s="3">
        <v>-193.094</v>
      </c>
      <c r="F1247" s="4" t="str">
        <f>HYPERLINK("http://141.218.60.56/~jnz1568/getInfo.php?workbook=14_09.xlsx&amp;sheet=A0&amp;row=1247&amp;col=6&amp;number=16500000&amp;sourceID=14","16500000")</f>
        <v>16500000</v>
      </c>
      <c r="G1247" s="4" t="str">
        <f>HYPERLINK("http://141.218.60.56/~jnz1568/getInfo.php?workbook=14_09.xlsx&amp;sheet=A0&amp;row=1247&amp;col=7&amp;number=0&amp;sourceID=14","0")</f>
        <v>0</v>
      </c>
    </row>
    <row r="1248" spans="1:7">
      <c r="A1248" s="3">
        <v>14</v>
      </c>
      <c r="B1248" s="3">
        <v>9</v>
      </c>
      <c r="C1248" s="3">
        <v>186</v>
      </c>
      <c r="D1248" s="3">
        <v>21</v>
      </c>
      <c r="E1248" s="3">
        <v>-192.858</v>
      </c>
      <c r="F1248" s="4" t="str">
        <f>HYPERLINK("http://141.218.60.56/~jnz1568/getInfo.php?workbook=14_09.xlsx&amp;sheet=A0&amp;row=1248&amp;col=6&amp;number=6110000&amp;sourceID=14","6110000")</f>
        <v>6110000</v>
      </c>
      <c r="G1248" s="4" t="str">
        <f>HYPERLINK("http://141.218.60.56/~jnz1568/getInfo.php?workbook=14_09.xlsx&amp;sheet=A0&amp;row=1248&amp;col=7&amp;number=0&amp;sourceID=14","0")</f>
        <v>0</v>
      </c>
    </row>
    <row r="1249" spans="1:7">
      <c r="A1249" s="3">
        <v>14</v>
      </c>
      <c r="B1249" s="3">
        <v>9</v>
      </c>
      <c r="C1249" s="3">
        <v>187</v>
      </c>
      <c r="D1249" s="3">
        <v>21</v>
      </c>
      <c r="E1249" s="3">
        <v>-191.052</v>
      </c>
      <c r="F1249" s="4" t="str">
        <f>HYPERLINK("http://141.218.60.56/~jnz1568/getInfo.php?workbook=14_09.xlsx&amp;sheet=A0&amp;row=1249&amp;col=6&amp;number=294000000&amp;sourceID=14","294000000")</f>
        <v>294000000</v>
      </c>
      <c r="G1249" s="4" t="str">
        <f>HYPERLINK("http://141.218.60.56/~jnz1568/getInfo.php?workbook=14_09.xlsx&amp;sheet=A0&amp;row=1249&amp;col=7&amp;number=0&amp;sourceID=14","0")</f>
        <v>0</v>
      </c>
    </row>
    <row r="1250" spans="1:7">
      <c r="A1250" s="3">
        <v>14</v>
      </c>
      <c r="B1250" s="3">
        <v>9</v>
      </c>
      <c r="C1250" s="3">
        <v>188</v>
      </c>
      <c r="D1250" s="3">
        <v>21</v>
      </c>
      <c r="E1250" s="3">
        <v>-190.937</v>
      </c>
      <c r="F1250" s="4" t="str">
        <f>HYPERLINK("http://141.218.60.56/~jnz1568/getInfo.php?workbook=14_09.xlsx&amp;sheet=A0&amp;row=1250&amp;col=6&amp;number=443000000&amp;sourceID=14","443000000")</f>
        <v>443000000</v>
      </c>
      <c r="G1250" s="4" t="str">
        <f>HYPERLINK("http://141.218.60.56/~jnz1568/getInfo.php?workbook=14_09.xlsx&amp;sheet=A0&amp;row=1250&amp;col=7&amp;number=0&amp;sourceID=14","0")</f>
        <v>0</v>
      </c>
    </row>
    <row r="1251" spans="1:7">
      <c r="A1251" s="3">
        <v>14</v>
      </c>
      <c r="B1251" s="3">
        <v>9</v>
      </c>
      <c r="C1251" s="3">
        <v>189</v>
      </c>
      <c r="D1251" s="3">
        <v>21</v>
      </c>
      <c r="E1251" s="3">
        <v>-186.16</v>
      </c>
      <c r="F1251" s="4" t="str">
        <f>HYPERLINK("http://141.218.60.56/~jnz1568/getInfo.php?workbook=14_09.xlsx&amp;sheet=A0&amp;row=1251&amp;col=6&amp;number=1000000000&amp;sourceID=14","1000000000")</f>
        <v>1000000000</v>
      </c>
      <c r="G1251" s="4" t="str">
        <f>HYPERLINK("http://141.218.60.56/~jnz1568/getInfo.php?workbook=14_09.xlsx&amp;sheet=A0&amp;row=1251&amp;col=7&amp;number=0&amp;sourceID=14","0")</f>
        <v>0</v>
      </c>
    </row>
    <row r="1252" spans="1:7">
      <c r="A1252" s="3">
        <v>14</v>
      </c>
      <c r="B1252" s="3">
        <v>9</v>
      </c>
      <c r="C1252" s="3">
        <v>32</v>
      </c>
      <c r="D1252" s="3">
        <v>22</v>
      </c>
      <c r="E1252" s="3">
        <v>1154.065</v>
      </c>
      <c r="F1252" s="4" t="str">
        <f>HYPERLINK("http://141.218.60.56/~jnz1568/getInfo.php?workbook=14_09.xlsx&amp;sheet=A0&amp;row=1252&amp;col=6&amp;number=682000&amp;sourceID=14","682000")</f>
        <v>682000</v>
      </c>
      <c r="G1252" s="4" t="str">
        <f>HYPERLINK("http://141.218.60.56/~jnz1568/getInfo.php?workbook=14_09.xlsx&amp;sheet=A0&amp;row=1252&amp;col=7&amp;number=0&amp;sourceID=14","0")</f>
        <v>0</v>
      </c>
    </row>
    <row r="1253" spans="1:7">
      <c r="A1253" s="3">
        <v>14</v>
      </c>
      <c r="B1253" s="3">
        <v>9</v>
      </c>
      <c r="C1253" s="3">
        <v>33</v>
      </c>
      <c r="D1253" s="3">
        <v>22</v>
      </c>
      <c r="E1253" s="3">
        <v>1147.954</v>
      </c>
      <c r="F1253" s="4" t="str">
        <f>HYPERLINK("http://141.218.60.56/~jnz1568/getInfo.php?workbook=14_09.xlsx&amp;sheet=A0&amp;row=1253&amp;col=6&amp;number=465000&amp;sourceID=14","465000")</f>
        <v>465000</v>
      </c>
      <c r="G1253" s="4" t="str">
        <f>HYPERLINK("http://141.218.60.56/~jnz1568/getInfo.php?workbook=14_09.xlsx&amp;sheet=A0&amp;row=1253&amp;col=7&amp;number=0&amp;sourceID=14","0")</f>
        <v>0</v>
      </c>
    </row>
    <row r="1254" spans="1:7">
      <c r="A1254" s="3">
        <v>14</v>
      </c>
      <c r="B1254" s="3">
        <v>9</v>
      </c>
      <c r="C1254" s="3">
        <v>34</v>
      </c>
      <c r="D1254" s="3">
        <v>22</v>
      </c>
      <c r="E1254" s="3">
        <v>1139.095</v>
      </c>
      <c r="F1254" s="4" t="str">
        <f>HYPERLINK("http://141.218.60.56/~jnz1568/getInfo.php?workbook=14_09.xlsx&amp;sheet=A0&amp;row=1254&amp;col=6&amp;number=152000&amp;sourceID=14","152000")</f>
        <v>152000</v>
      </c>
      <c r="G1254" s="4" t="str">
        <f>HYPERLINK("http://141.218.60.56/~jnz1568/getInfo.php?workbook=14_09.xlsx&amp;sheet=A0&amp;row=1254&amp;col=7&amp;number=0&amp;sourceID=14","0")</f>
        <v>0</v>
      </c>
    </row>
    <row r="1255" spans="1:7">
      <c r="A1255" s="3">
        <v>14</v>
      </c>
      <c r="B1255" s="3">
        <v>9</v>
      </c>
      <c r="C1255" s="3">
        <v>37</v>
      </c>
      <c r="D1255" s="3">
        <v>22</v>
      </c>
      <c r="E1255" s="3">
        <v>1013.245</v>
      </c>
      <c r="F1255" s="4" t="str">
        <f>HYPERLINK("http://141.218.60.56/~jnz1568/getInfo.php?workbook=14_09.xlsx&amp;sheet=A0&amp;row=1255&amp;col=6&amp;number=2350000&amp;sourceID=14","2350000")</f>
        <v>2350000</v>
      </c>
      <c r="G1255" s="4" t="str">
        <f>HYPERLINK("http://141.218.60.56/~jnz1568/getInfo.php?workbook=14_09.xlsx&amp;sheet=A0&amp;row=1255&amp;col=7&amp;number=0&amp;sourceID=14","0")</f>
        <v>0</v>
      </c>
    </row>
    <row r="1256" spans="1:7">
      <c r="A1256" s="3">
        <v>14</v>
      </c>
      <c r="B1256" s="3">
        <v>9</v>
      </c>
      <c r="C1256" s="3">
        <v>38</v>
      </c>
      <c r="D1256" s="3">
        <v>22</v>
      </c>
      <c r="E1256" s="3">
        <v>-999.212</v>
      </c>
      <c r="F1256" s="4" t="str">
        <f>HYPERLINK("http://141.218.60.56/~jnz1568/getInfo.php?workbook=14_09.xlsx&amp;sheet=A0&amp;row=1256&amp;col=6&amp;number=6040000&amp;sourceID=14","6040000")</f>
        <v>6040000</v>
      </c>
      <c r="G1256" s="4" t="str">
        <f>HYPERLINK("http://141.218.60.56/~jnz1568/getInfo.php?workbook=14_09.xlsx&amp;sheet=A0&amp;row=1256&amp;col=7&amp;number=0&amp;sourceID=14","0")</f>
        <v>0</v>
      </c>
    </row>
    <row r="1257" spans="1:7">
      <c r="A1257" s="3">
        <v>14</v>
      </c>
      <c r="B1257" s="3">
        <v>9</v>
      </c>
      <c r="C1257" s="3">
        <v>39</v>
      </c>
      <c r="D1257" s="3">
        <v>22</v>
      </c>
      <c r="E1257" s="3">
        <v>996.333</v>
      </c>
      <c r="F1257" s="4" t="str">
        <f>HYPERLINK("http://141.218.60.56/~jnz1568/getInfo.php?workbook=14_09.xlsx&amp;sheet=A0&amp;row=1257&amp;col=6&amp;number=151000000&amp;sourceID=14","151000000")</f>
        <v>151000000</v>
      </c>
      <c r="G1257" s="4" t="str">
        <f>HYPERLINK("http://141.218.60.56/~jnz1568/getInfo.php?workbook=14_09.xlsx&amp;sheet=A0&amp;row=1257&amp;col=7&amp;number=0&amp;sourceID=14","0")</f>
        <v>0</v>
      </c>
    </row>
    <row r="1258" spans="1:7">
      <c r="A1258" s="3">
        <v>14</v>
      </c>
      <c r="B1258" s="3">
        <v>9</v>
      </c>
      <c r="C1258" s="3">
        <v>40</v>
      </c>
      <c r="D1258" s="3">
        <v>22</v>
      </c>
      <c r="E1258" s="3">
        <v>985.63</v>
      </c>
      <c r="F1258" s="4" t="str">
        <f>HYPERLINK("http://141.218.60.56/~jnz1568/getInfo.php?workbook=14_09.xlsx&amp;sheet=A0&amp;row=1258&amp;col=6&amp;number=162000000&amp;sourceID=14","162000000")</f>
        <v>162000000</v>
      </c>
      <c r="G1258" s="4" t="str">
        <f>HYPERLINK("http://141.218.60.56/~jnz1568/getInfo.php?workbook=14_09.xlsx&amp;sheet=A0&amp;row=1258&amp;col=7&amp;number=0&amp;sourceID=14","0")</f>
        <v>0</v>
      </c>
    </row>
    <row r="1259" spans="1:7">
      <c r="A1259" s="3">
        <v>14</v>
      </c>
      <c r="B1259" s="3">
        <v>9</v>
      </c>
      <c r="C1259" s="3">
        <v>42</v>
      </c>
      <c r="D1259" s="3">
        <v>22</v>
      </c>
      <c r="E1259" s="3">
        <v>971.661</v>
      </c>
      <c r="F1259" s="4" t="str">
        <f>HYPERLINK("http://141.218.60.56/~jnz1568/getInfo.php?workbook=14_09.xlsx&amp;sheet=A0&amp;row=1259&amp;col=6&amp;number=220000000&amp;sourceID=14","220000000")</f>
        <v>220000000</v>
      </c>
      <c r="G1259" s="4" t="str">
        <f>HYPERLINK("http://141.218.60.56/~jnz1568/getInfo.php?workbook=14_09.xlsx&amp;sheet=A0&amp;row=1259&amp;col=7&amp;number=0&amp;sourceID=14","0")</f>
        <v>0</v>
      </c>
    </row>
    <row r="1260" spans="1:7">
      <c r="A1260" s="3">
        <v>14</v>
      </c>
      <c r="B1260" s="3">
        <v>9</v>
      </c>
      <c r="C1260" s="3">
        <v>43</v>
      </c>
      <c r="D1260" s="3">
        <v>22</v>
      </c>
      <c r="E1260" s="3">
        <v>969.295</v>
      </c>
      <c r="F1260" s="4" t="str">
        <f>HYPERLINK("http://141.218.60.56/~jnz1568/getInfo.php?workbook=14_09.xlsx&amp;sheet=A0&amp;row=1260&amp;col=6&amp;number=18800000&amp;sourceID=14","18800000")</f>
        <v>18800000</v>
      </c>
      <c r="G1260" s="4" t="str">
        <f>HYPERLINK("http://141.218.60.56/~jnz1568/getInfo.php?workbook=14_09.xlsx&amp;sheet=A0&amp;row=1260&amp;col=7&amp;number=0&amp;sourceID=14","0")</f>
        <v>0</v>
      </c>
    </row>
    <row r="1261" spans="1:7">
      <c r="A1261" s="3">
        <v>14</v>
      </c>
      <c r="B1261" s="3">
        <v>9</v>
      </c>
      <c r="C1261" s="3">
        <v>46</v>
      </c>
      <c r="D1261" s="3">
        <v>22</v>
      </c>
      <c r="E1261" s="3">
        <v>-929.214</v>
      </c>
      <c r="F1261" s="4" t="str">
        <f>HYPERLINK("http://141.218.60.56/~jnz1568/getInfo.php?workbook=14_09.xlsx&amp;sheet=A0&amp;row=1261&amp;col=6&amp;number=177000000&amp;sourceID=14","177000000")</f>
        <v>177000000</v>
      </c>
      <c r="G1261" s="4" t="str">
        <f>HYPERLINK("http://141.218.60.56/~jnz1568/getInfo.php?workbook=14_09.xlsx&amp;sheet=A0&amp;row=1261&amp;col=7&amp;number=0&amp;sourceID=14","0")</f>
        <v>0</v>
      </c>
    </row>
    <row r="1262" spans="1:7">
      <c r="A1262" s="3">
        <v>14</v>
      </c>
      <c r="B1262" s="3">
        <v>9</v>
      </c>
      <c r="C1262" s="3">
        <v>47</v>
      </c>
      <c r="D1262" s="3">
        <v>22</v>
      </c>
      <c r="E1262" s="3">
        <v>-922.885</v>
      </c>
      <c r="F1262" s="4" t="str">
        <f>HYPERLINK("http://141.218.60.56/~jnz1568/getInfo.php?workbook=14_09.xlsx&amp;sheet=A0&amp;row=1262&amp;col=6&amp;number=431000000&amp;sourceID=14","431000000")</f>
        <v>431000000</v>
      </c>
      <c r="G1262" s="4" t="str">
        <f>HYPERLINK("http://141.218.60.56/~jnz1568/getInfo.php?workbook=14_09.xlsx&amp;sheet=A0&amp;row=1262&amp;col=7&amp;number=0&amp;sourceID=14","0")</f>
        <v>0</v>
      </c>
    </row>
    <row r="1263" spans="1:7">
      <c r="A1263" s="3">
        <v>14</v>
      </c>
      <c r="B1263" s="3">
        <v>9</v>
      </c>
      <c r="C1263" s="3">
        <v>48</v>
      </c>
      <c r="D1263" s="3">
        <v>22</v>
      </c>
      <c r="E1263" s="3">
        <v>-905.832</v>
      </c>
      <c r="F1263" s="4" t="str">
        <f>HYPERLINK("http://141.218.60.56/~jnz1568/getInfo.php?workbook=14_09.xlsx&amp;sheet=A0&amp;row=1263&amp;col=6&amp;number=1310000000&amp;sourceID=14","1310000000")</f>
        <v>1310000000</v>
      </c>
      <c r="G1263" s="4" t="str">
        <f>HYPERLINK("http://141.218.60.56/~jnz1568/getInfo.php?workbook=14_09.xlsx&amp;sheet=A0&amp;row=1263&amp;col=7&amp;number=0&amp;sourceID=14","0")</f>
        <v>0</v>
      </c>
    </row>
    <row r="1264" spans="1:7">
      <c r="A1264" s="3">
        <v>14</v>
      </c>
      <c r="B1264" s="3">
        <v>9</v>
      </c>
      <c r="C1264" s="3">
        <v>49</v>
      </c>
      <c r="D1264" s="3">
        <v>22</v>
      </c>
      <c r="E1264" s="3">
        <v>-894.072</v>
      </c>
      <c r="F1264" s="4" t="str">
        <f>HYPERLINK("http://141.218.60.56/~jnz1568/getInfo.php?workbook=14_09.xlsx&amp;sheet=A0&amp;row=1264&amp;col=6&amp;number=345000000&amp;sourceID=14","345000000")</f>
        <v>345000000</v>
      </c>
      <c r="G1264" s="4" t="str">
        <f>HYPERLINK("http://141.218.60.56/~jnz1568/getInfo.php?workbook=14_09.xlsx&amp;sheet=A0&amp;row=1264&amp;col=7&amp;number=0&amp;sourceID=14","0")</f>
        <v>0</v>
      </c>
    </row>
    <row r="1265" spans="1:7">
      <c r="A1265" s="3">
        <v>14</v>
      </c>
      <c r="B1265" s="3">
        <v>9</v>
      </c>
      <c r="C1265" s="3">
        <v>52</v>
      </c>
      <c r="D1265" s="3">
        <v>22</v>
      </c>
      <c r="E1265" s="3">
        <v>-675.896</v>
      </c>
      <c r="F1265" s="4" t="str">
        <f>HYPERLINK("http://141.218.60.56/~jnz1568/getInfo.php?workbook=14_09.xlsx&amp;sheet=A0&amp;row=1265&amp;col=6&amp;number=1290000000&amp;sourceID=14","1290000000")</f>
        <v>1290000000</v>
      </c>
      <c r="G1265" s="4" t="str">
        <f>HYPERLINK("http://141.218.60.56/~jnz1568/getInfo.php?workbook=14_09.xlsx&amp;sheet=A0&amp;row=1265&amp;col=7&amp;number=0&amp;sourceID=14","0")</f>
        <v>0</v>
      </c>
    </row>
    <row r="1266" spans="1:7">
      <c r="A1266" s="3">
        <v>14</v>
      </c>
      <c r="B1266" s="3">
        <v>9</v>
      </c>
      <c r="C1266" s="3">
        <v>53</v>
      </c>
      <c r="D1266" s="3">
        <v>22</v>
      </c>
      <c r="E1266" s="3">
        <v>-670.431</v>
      </c>
      <c r="F1266" s="4" t="str">
        <f>HYPERLINK("http://141.218.60.56/~jnz1568/getInfo.php?workbook=14_09.xlsx&amp;sheet=A0&amp;row=1266&amp;col=6&amp;number=512000000&amp;sourceID=14","512000000")</f>
        <v>512000000</v>
      </c>
      <c r="G1266" s="4" t="str">
        <f>HYPERLINK("http://141.218.60.56/~jnz1568/getInfo.php?workbook=14_09.xlsx&amp;sheet=A0&amp;row=1266&amp;col=7&amp;number=0&amp;sourceID=14","0")</f>
        <v>0</v>
      </c>
    </row>
    <row r="1267" spans="1:7">
      <c r="A1267" s="3">
        <v>14</v>
      </c>
      <c r="B1267" s="3">
        <v>9</v>
      </c>
      <c r="C1267" s="3">
        <v>54</v>
      </c>
      <c r="D1267" s="3">
        <v>22</v>
      </c>
      <c r="E1267" s="3">
        <v>-665.328</v>
      </c>
      <c r="F1267" s="4" t="str">
        <f>HYPERLINK("http://141.218.60.56/~jnz1568/getInfo.php?workbook=14_09.xlsx&amp;sheet=A0&amp;row=1267&amp;col=6&amp;number=9500000&amp;sourceID=14","9500000")</f>
        <v>9500000</v>
      </c>
      <c r="G1267" s="4" t="str">
        <f>HYPERLINK("http://141.218.60.56/~jnz1568/getInfo.php?workbook=14_09.xlsx&amp;sheet=A0&amp;row=1267&amp;col=7&amp;number=0&amp;sourceID=14","0")</f>
        <v>0</v>
      </c>
    </row>
    <row r="1268" spans="1:7">
      <c r="A1268" s="3">
        <v>14</v>
      </c>
      <c r="B1268" s="3">
        <v>9</v>
      </c>
      <c r="C1268" s="3">
        <v>55</v>
      </c>
      <c r="D1268" s="3">
        <v>22</v>
      </c>
      <c r="E1268" s="3">
        <v>-663.761</v>
      </c>
      <c r="F1268" s="4" t="str">
        <f>HYPERLINK("http://141.218.60.56/~jnz1568/getInfo.php?workbook=14_09.xlsx&amp;sheet=A0&amp;row=1268&amp;col=6&amp;number=99600000&amp;sourceID=14","99600000")</f>
        <v>99600000</v>
      </c>
      <c r="G1268" s="4" t="str">
        <f>HYPERLINK("http://141.218.60.56/~jnz1568/getInfo.php?workbook=14_09.xlsx&amp;sheet=A0&amp;row=1268&amp;col=7&amp;number=0&amp;sourceID=14","0")</f>
        <v>0</v>
      </c>
    </row>
    <row r="1269" spans="1:7">
      <c r="A1269" s="3">
        <v>14</v>
      </c>
      <c r="B1269" s="3">
        <v>9</v>
      </c>
      <c r="C1269" s="3">
        <v>57</v>
      </c>
      <c r="D1269" s="3">
        <v>22</v>
      </c>
      <c r="E1269" s="3">
        <v>-658.65</v>
      </c>
      <c r="F1269" s="4" t="str">
        <f>HYPERLINK("http://141.218.60.56/~jnz1568/getInfo.php?workbook=14_09.xlsx&amp;sheet=A0&amp;row=1269&amp;col=6&amp;number=97900000&amp;sourceID=14","97900000")</f>
        <v>97900000</v>
      </c>
      <c r="G1269" s="4" t="str">
        <f>HYPERLINK("http://141.218.60.56/~jnz1568/getInfo.php?workbook=14_09.xlsx&amp;sheet=A0&amp;row=1269&amp;col=7&amp;number=0&amp;sourceID=14","0")</f>
        <v>0</v>
      </c>
    </row>
    <row r="1270" spans="1:7">
      <c r="A1270" s="3">
        <v>14</v>
      </c>
      <c r="B1270" s="3">
        <v>9</v>
      </c>
      <c r="C1270" s="3">
        <v>58</v>
      </c>
      <c r="D1270" s="3">
        <v>22</v>
      </c>
      <c r="E1270" s="3">
        <v>-653.724</v>
      </c>
      <c r="F1270" s="4" t="str">
        <f>HYPERLINK("http://141.218.60.56/~jnz1568/getInfo.php?workbook=14_09.xlsx&amp;sheet=A0&amp;row=1270&amp;col=6&amp;number=62600000&amp;sourceID=14","62600000")</f>
        <v>62600000</v>
      </c>
      <c r="G1270" s="4" t="str">
        <f>HYPERLINK("http://141.218.60.56/~jnz1568/getInfo.php?workbook=14_09.xlsx&amp;sheet=A0&amp;row=1270&amp;col=7&amp;number=0&amp;sourceID=14","0")</f>
        <v>0</v>
      </c>
    </row>
    <row r="1271" spans="1:7">
      <c r="A1271" s="3">
        <v>14</v>
      </c>
      <c r="B1271" s="3">
        <v>9</v>
      </c>
      <c r="C1271" s="3">
        <v>59</v>
      </c>
      <c r="D1271" s="3">
        <v>22</v>
      </c>
      <c r="E1271" s="3">
        <v>-463.719</v>
      </c>
      <c r="F1271" s="4" t="str">
        <f>HYPERLINK("http://141.218.60.56/~jnz1568/getInfo.php?workbook=14_09.xlsx&amp;sheet=A0&amp;row=1271&amp;col=6&amp;number=3230000&amp;sourceID=14","3230000")</f>
        <v>3230000</v>
      </c>
      <c r="G1271" s="4" t="str">
        <f>HYPERLINK("http://141.218.60.56/~jnz1568/getInfo.php?workbook=14_09.xlsx&amp;sheet=A0&amp;row=1271&amp;col=7&amp;number=0&amp;sourceID=14","0")</f>
        <v>0</v>
      </c>
    </row>
    <row r="1272" spans="1:7">
      <c r="A1272" s="3">
        <v>14</v>
      </c>
      <c r="B1272" s="3">
        <v>9</v>
      </c>
      <c r="C1272" s="3">
        <v>60</v>
      </c>
      <c r="D1272" s="3">
        <v>22</v>
      </c>
      <c r="E1272" s="3">
        <v>-463.225</v>
      </c>
      <c r="F1272" s="4" t="str">
        <f>HYPERLINK("http://141.218.60.56/~jnz1568/getInfo.php?workbook=14_09.xlsx&amp;sheet=A0&amp;row=1272&amp;col=6&amp;number=1780000&amp;sourceID=14","1780000")</f>
        <v>1780000</v>
      </c>
      <c r="G1272" s="4" t="str">
        <f>HYPERLINK("http://141.218.60.56/~jnz1568/getInfo.php?workbook=14_09.xlsx&amp;sheet=A0&amp;row=1272&amp;col=7&amp;number=0&amp;sourceID=14","0")</f>
        <v>0</v>
      </c>
    </row>
    <row r="1273" spans="1:7">
      <c r="A1273" s="3">
        <v>14</v>
      </c>
      <c r="B1273" s="3">
        <v>9</v>
      </c>
      <c r="C1273" s="3">
        <v>61</v>
      </c>
      <c r="D1273" s="3">
        <v>22</v>
      </c>
      <c r="E1273" s="3">
        <v>-438.103</v>
      </c>
      <c r="F1273" s="4" t="str">
        <f>HYPERLINK("http://141.218.60.56/~jnz1568/getInfo.php?workbook=14_09.xlsx&amp;sheet=A0&amp;row=1273&amp;col=6&amp;number=116000000&amp;sourceID=14","116000000")</f>
        <v>116000000</v>
      </c>
      <c r="G1273" s="4" t="str">
        <f>HYPERLINK("http://141.218.60.56/~jnz1568/getInfo.php?workbook=14_09.xlsx&amp;sheet=A0&amp;row=1273&amp;col=7&amp;number=0&amp;sourceID=14","0")</f>
        <v>0</v>
      </c>
    </row>
    <row r="1274" spans="1:7">
      <c r="A1274" s="3">
        <v>14</v>
      </c>
      <c r="B1274" s="3">
        <v>9</v>
      </c>
      <c r="C1274" s="3">
        <v>62</v>
      </c>
      <c r="D1274" s="3">
        <v>22</v>
      </c>
      <c r="E1274" s="3">
        <v>-433.288</v>
      </c>
      <c r="F1274" s="4" t="str">
        <f>HYPERLINK("http://141.218.60.56/~jnz1568/getInfo.php?workbook=14_09.xlsx&amp;sheet=A0&amp;row=1274&amp;col=6&amp;number=617000000&amp;sourceID=14","617000000")</f>
        <v>617000000</v>
      </c>
      <c r="G1274" s="4" t="str">
        <f>HYPERLINK("http://141.218.60.56/~jnz1568/getInfo.php?workbook=14_09.xlsx&amp;sheet=A0&amp;row=1274&amp;col=7&amp;number=0&amp;sourceID=14","0")</f>
        <v>0</v>
      </c>
    </row>
    <row r="1275" spans="1:7">
      <c r="A1275" s="3">
        <v>14</v>
      </c>
      <c r="B1275" s="3">
        <v>9</v>
      </c>
      <c r="C1275" s="3">
        <v>63</v>
      </c>
      <c r="D1275" s="3">
        <v>22</v>
      </c>
      <c r="E1275" s="3">
        <v>-428.985</v>
      </c>
      <c r="F1275" s="4" t="str">
        <f>HYPERLINK("http://141.218.60.56/~jnz1568/getInfo.php?workbook=14_09.xlsx&amp;sheet=A0&amp;row=1275&amp;col=6&amp;number=246000000&amp;sourceID=14","246000000")</f>
        <v>246000000</v>
      </c>
      <c r="G1275" s="4" t="str">
        <f>HYPERLINK("http://141.218.60.56/~jnz1568/getInfo.php?workbook=14_09.xlsx&amp;sheet=A0&amp;row=1275&amp;col=7&amp;number=0&amp;sourceID=14","0")</f>
        <v>0</v>
      </c>
    </row>
    <row r="1276" spans="1:7">
      <c r="A1276" s="3">
        <v>14</v>
      </c>
      <c r="B1276" s="3">
        <v>9</v>
      </c>
      <c r="C1276" s="3">
        <v>64</v>
      </c>
      <c r="D1276" s="3">
        <v>22</v>
      </c>
      <c r="E1276" s="3">
        <v>-426.473</v>
      </c>
      <c r="F1276" s="4" t="str">
        <f>HYPERLINK("http://141.218.60.56/~jnz1568/getInfo.php?workbook=14_09.xlsx&amp;sheet=A0&amp;row=1276&amp;col=6&amp;number=861000000&amp;sourceID=14","861000000")</f>
        <v>861000000</v>
      </c>
      <c r="G1276" s="4" t="str">
        <f>HYPERLINK("http://141.218.60.56/~jnz1568/getInfo.php?workbook=14_09.xlsx&amp;sheet=A0&amp;row=1276&amp;col=7&amp;number=0&amp;sourceID=14","0")</f>
        <v>0</v>
      </c>
    </row>
    <row r="1277" spans="1:7">
      <c r="A1277" s="3">
        <v>14</v>
      </c>
      <c r="B1277" s="3">
        <v>9</v>
      </c>
      <c r="C1277" s="3">
        <v>65</v>
      </c>
      <c r="D1277" s="3">
        <v>22</v>
      </c>
      <c r="E1277" s="3">
        <v>-420.694</v>
      </c>
      <c r="F1277" s="4" t="str">
        <f>HYPERLINK("http://141.218.60.56/~jnz1568/getInfo.php?workbook=14_09.xlsx&amp;sheet=A0&amp;row=1277&amp;col=6&amp;number=1740000000&amp;sourceID=14","1740000000")</f>
        <v>1740000000</v>
      </c>
      <c r="G1277" s="4" t="str">
        <f>HYPERLINK("http://141.218.60.56/~jnz1568/getInfo.php?workbook=14_09.xlsx&amp;sheet=A0&amp;row=1277&amp;col=7&amp;number=0&amp;sourceID=14","0")</f>
        <v>0</v>
      </c>
    </row>
    <row r="1278" spans="1:7">
      <c r="A1278" s="3">
        <v>14</v>
      </c>
      <c r="B1278" s="3">
        <v>9</v>
      </c>
      <c r="C1278" s="3">
        <v>78</v>
      </c>
      <c r="D1278" s="3">
        <v>22</v>
      </c>
      <c r="E1278" s="3">
        <v>-362.964</v>
      </c>
      <c r="F1278" s="4" t="str">
        <f>HYPERLINK("http://141.218.60.56/~jnz1568/getInfo.php?workbook=14_09.xlsx&amp;sheet=A0&amp;row=1278&amp;col=6&amp;number=58200&amp;sourceID=14","58200")</f>
        <v>58200</v>
      </c>
      <c r="G1278" s="4" t="str">
        <f>HYPERLINK("http://141.218.60.56/~jnz1568/getInfo.php?workbook=14_09.xlsx&amp;sheet=A0&amp;row=1278&amp;col=7&amp;number=0&amp;sourceID=14","0")</f>
        <v>0</v>
      </c>
    </row>
    <row r="1279" spans="1:7">
      <c r="A1279" s="3">
        <v>14</v>
      </c>
      <c r="B1279" s="3">
        <v>9</v>
      </c>
      <c r="C1279" s="3">
        <v>79</v>
      </c>
      <c r="D1279" s="3">
        <v>22</v>
      </c>
      <c r="E1279" s="3">
        <v>-359.511</v>
      </c>
      <c r="F1279" s="4" t="str">
        <f>HYPERLINK("http://141.218.60.56/~jnz1568/getInfo.php?workbook=14_09.xlsx&amp;sheet=A0&amp;row=1279&amp;col=6&amp;number=508000000&amp;sourceID=14","508000000")</f>
        <v>508000000</v>
      </c>
      <c r="G1279" s="4" t="str">
        <f>HYPERLINK("http://141.218.60.56/~jnz1568/getInfo.php?workbook=14_09.xlsx&amp;sheet=A0&amp;row=1279&amp;col=7&amp;number=0&amp;sourceID=14","0")</f>
        <v>0</v>
      </c>
    </row>
    <row r="1280" spans="1:7">
      <c r="A1280" s="3">
        <v>14</v>
      </c>
      <c r="B1280" s="3">
        <v>9</v>
      </c>
      <c r="C1280" s="3">
        <v>80</v>
      </c>
      <c r="D1280" s="3">
        <v>22</v>
      </c>
      <c r="E1280" s="3">
        <v>-359.489</v>
      </c>
      <c r="F1280" s="4" t="str">
        <f>HYPERLINK("http://141.218.60.56/~jnz1568/getInfo.php?workbook=14_09.xlsx&amp;sheet=A0&amp;row=1280&amp;col=6&amp;number=72900000&amp;sourceID=14","72900000")</f>
        <v>72900000</v>
      </c>
      <c r="G1280" s="4" t="str">
        <f>HYPERLINK("http://141.218.60.56/~jnz1568/getInfo.php?workbook=14_09.xlsx&amp;sheet=A0&amp;row=1280&amp;col=7&amp;number=0&amp;sourceID=14","0")</f>
        <v>0</v>
      </c>
    </row>
    <row r="1281" spans="1:7">
      <c r="A1281" s="3">
        <v>14</v>
      </c>
      <c r="B1281" s="3">
        <v>9</v>
      </c>
      <c r="C1281" s="3">
        <v>87</v>
      </c>
      <c r="D1281" s="3">
        <v>22</v>
      </c>
      <c r="E1281" s="3">
        <v>-335.277</v>
      </c>
      <c r="F1281" s="4" t="str">
        <f>HYPERLINK("http://141.218.60.56/~jnz1568/getInfo.php?workbook=14_09.xlsx&amp;sheet=A0&amp;row=1281&amp;col=6&amp;number=15100000&amp;sourceID=14","15100000")</f>
        <v>15100000</v>
      </c>
      <c r="G1281" s="4" t="str">
        <f>HYPERLINK("http://141.218.60.56/~jnz1568/getInfo.php?workbook=14_09.xlsx&amp;sheet=A0&amp;row=1281&amp;col=7&amp;number=0&amp;sourceID=14","0")</f>
        <v>0</v>
      </c>
    </row>
    <row r="1282" spans="1:7">
      <c r="A1282" s="3">
        <v>14</v>
      </c>
      <c r="B1282" s="3">
        <v>9</v>
      </c>
      <c r="C1282" s="3">
        <v>88</v>
      </c>
      <c r="D1282" s="3">
        <v>22</v>
      </c>
      <c r="E1282" s="3">
        <v>-334.605</v>
      </c>
      <c r="F1282" s="4" t="str">
        <f>HYPERLINK("http://141.218.60.56/~jnz1568/getInfo.php?workbook=14_09.xlsx&amp;sheet=A0&amp;row=1282&amp;col=6&amp;number=16100000&amp;sourceID=14","16100000")</f>
        <v>16100000</v>
      </c>
      <c r="G1282" s="4" t="str">
        <f>HYPERLINK("http://141.218.60.56/~jnz1568/getInfo.php?workbook=14_09.xlsx&amp;sheet=A0&amp;row=1282&amp;col=7&amp;number=0&amp;sourceID=14","0")</f>
        <v>0</v>
      </c>
    </row>
    <row r="1283" spans="1:7">
      <c r="A1283" s="3">
        <v>14</v>
      </c>
      <c r="B1283" s="3">
        <v>9</v>
      </c>
      <c r="C1283" s="3">
        <v>89</v>
      </c>
      <c r="D1283" s="3">
        <v>22</v>
      </c>
      <c r="E1283" s="3">
        <v>-333.788</v>
      </c>
      <c r="F1283" s="4" t="str">
        <f>HYPERLINK("http://141.218.60.56/~jnz1568/getInfo.php?workbook=14_09.xlsx&amp;sheet=A0&amp;row=1283&amp;col=6&amp;number=9550000&amp;sourceID=14","9550000")</f>
        <v>9550000</v>
      </c>
      <c r="G1283" s="4" t="str">
        <f>HYPERLINK("http://141.218.60.56/~jnz1568/getInfo.php?workbook=14_09.xlsx&amp;sheet=A0&amp;row=1283&amp;col=7&amp;number=0&amp;sourceID=14","0")</f>
        <v>0</v>
      </c>
    </row>
    <row r="1284" spans="1:7">
      <c r="A1284" s="3">
        <v>14</v>
      </c>
      <c r="B1284" s="3">
        <v>9</v>
      </c>
      <c r="C1284" s="3">
        <v>92</v>
      </c>
      <c r="D1284" s="3">
        <v>22</v>
      </c>
      <c r="E1284" s="3">
        <v>-330.355</v>
      </c>
      <c r="F1284" s="4" t="str">
        <f>HYPERLINK("http://141.218.60.56/~jnz1568/getInfo.php?workbook=14_09.xlsx&amp;sheet=A0&amp;row=1284&amp;col=6&amp;number=473000000&amp;sourceID=14","473000000")</f>
        <v>473000000</v>
      </c>
      <c r="G1284" s="4" t="str">
        <f>HYPERLINK("http://141.218.60.56/~jnz1568/getInfo.php?workbook=14_09.xlsx&amp;sheet=A0&amp;row=1284&amp;col=7&amp;number=0&amp;sourceID=14","0")</f>
        <v>0</v>
      </c>
    </row>
    <row r="1285" spans="1:7">
      <c r="A1285" s="3">
        <v>14</v>
      </c>
      <c r="B1285" s="3">
        <v>9</v>
      </c>
      <c r="C1285" s="3">
        <v>93</v>
      </c>
      <c r="D1285" s="3">
        <v>22</v>
      </c>
      <c r="E1285" s="3">
        <v>-329.449</v>
      </c>
      <c r="F1285" s="4" t="str">
        <f>HYPERLINK("http://141.218.60.56/~jnz1568/getInfo.php?workbook=14_09.xlsx&amp;sheet=A0&amp;row=1285&amp;col=6&amp;number=153000000&amp;sourceID=14","153000000")</f>
        <v>153000000</v>
      </c>
      <c r="G1285" s="4" t="str">
        <f>HYPERLINK("http://141.218.60.56/~jnz1568/getInfo.php?workbook=14_09.xlsx&amp;sheet=A0&amp;row=1285&amp;col=7&amp;number=0&amp;sourceID=14","0")</f>
        <v>0</v>
      </c>
    </row>
    <row r="1286" spans="1:7">
      <c r="A1286" s="3">
        <v>14</v>
      </c>
      <c r="B1286" s="3">
        <v>9</v>
      </c>
      <c r="C1286" s="3">
        <v>94</v>
      </c>
      <c r="D1286" s="3">
        <v>22</v>
      </c>
      <c r="E1286" s="3">
        <v>-329.209</v>
      </c>
      <c r="F1286" s="4" t="str">
        <f>HYPERLINK("http://141.218.60.56/~jnz1568/getInfo.php?workbook=14_09.xlsx&amp;sheet=A0&amp;row=1286&amp;col=6&amp;number=609000000&amp;sourceID=14","609000000")</f>
        <v>609000000</v>
      </c>
      <c r="G1286" s="4" t="str">
        <f>HYPERLINK("http://141.218.60.56/~jnz1568/getInfo.php?workbook=14_09.xlsx&amp;sheet=A0&amp;row=1286&amp;col=7&amp;number=0&amp;sourceID=14","0")</f>
        <v>0</v>
      </c>
    </row>
    <row r="1287" spans="1:7">
      <c r="A1287" s="3">
        <v>14</v>
      </c>
      <c r="B1287" s="3">
        <v>9</v>
      </c>
      <c r="C1287" s="3">
        <v>96</v>
      </c>
      <c r="D1287" s="3">
        <v>22</v>
      </c>
      <c r="E1287" s="3">
        <v>-327.768</v>
      </c>
      <c r="F1287" s="4" t="str">
        <f>HYPERLINK("http://141.218.60.56/~jnz1568/getInfo.php?workbook=14_09.xlsx&amp;sheet=A0&amp;row=1287&amp;col=6&amp;number=20600000&amp;sourceID=14","20600000")</f>
        <v>20600000</v>
      </c>
      <c r="G1287" s="4" t="str">
        <f>HYPERLINK("http://141.218.60.56/~jnz1568/getInfo.php?workbook=14_09.xlsx&amp;sheet=A0&amp;row=1287&amp;col=7&amp;number=0&amp;sourceID=14","0")</f>
        <v>0</v>
      </c>
    </row>
    <row r="1288" spans="1:7">
      <c r="A1288" s="3">
        <v>14</v>
      </c>
      <c r="B1288" s="3">
        <v>9</v>
      </c>
      <c r="C1288" s="3">
        <v>97</v>
      </c>
      <c r="D1288" s="3">
        <v>22</v>
      </c>
      <c r="E1288" s="3">
        <v>-327.284</v>
      </c>
      <c r="F1288" s="4" t="str">
        <f>HYPERLINK("http://141.218.60.56/~jnz1568/getInfo.php?workbook=14_09.xlsx&amp;sheet=A0&amp;row=1288&amp;col=6&amp;number=651000000&amp;sourceID=14","651000000")</f>
        <v>651000000</v>
      </c>
      <c r="G1288" s="4" t="str">
        <f>HYPERLINK("http://141.218.60.56/~jnz1568/getInfo.php?workbook=14_09.xlsx&amp;sheet=A0&amp;row=1288&amp;col=7&amp;number=0&amp;sourceID=14","0")</f>
        <v>0</v>
      </c>
    </row>
    <row r="1289" spans="1:7">
      <c r="A1289" s="3">
        <v>14</v>
      </c>
      <c r="B1289" s="3">
        <v>9</v>
      </c>
      <c r="C1289" s="3">
        <v>98</v>
      </c>
      <c r="D1289" s="3">
        <v>22</v>
      </c>
      <c r="E1289" s="3">
        <v>-326.398</v>
      </c>
      <c r="F1289" s="4" t="str">
        <f>HYPERLINK("http://141.218.60.56/~jnz1568/getInfo.php?workbook=14_09.xlsx&amp;sheet=A0&amp;row=1289&amp;col=6&amp;number=1190000&amp;sourceID=14","1190000")</f>
        <v>1190000</v>
      </c>
      <c r="G1289" s="4" t="str">
        <f>HYPERLINK("http://141.218.60.56/~jnz1568/getInfo.php?workbook=14_09.xlsx&amp;sheet=A0&amp;row=1289&amp;col=7&amp;number=0&amp;sourceID=14","0")</f>
        <v>0</v>
      </c>
    </row>
    <row r="1290" spans="1:7">
      <c r="A1290" s="3">
        <v>14</v>
      </c>
      <c r="B1290" s="3">
        <v>9</v>
      </c>
      <c r="C1290" s="3">
        <v>99</v>
      </c>
      <c r="D1290" s="3">
        <v>22</v>
      </c>
      <c r="E1290" s="3">
        <v>-324.806</v>
      </c>
      <c r="F1290" s="4" t="str">
        <f>HYPERLINK("http://141.218.60.56/~jnz1568/getInfo.php?workbook=14_09.xlsx&amp;sheet=A0&amp;row=1290&amp;col=6&amp;number=404000000&amp;sourceID=14","404000000")</f>
        <v>404000000</v>
      </c>
      <c r="G1290" s="4" t="str">
        <f>HYPERLINK("http://141.218.60.56/~jnz1568/getInfo.php?workbook=14_09.xlsx&amp;sheet=A0&amp;row=1290&amp;col=7&amp;number=0&amp;sourceID=14","0")</f>
        <v>0</v>
      </c>
    </row>
    <row r="1291" spans="1:7">
      <c r="A1291" s="3">
        <v>14</v>
      </c>
      <c r="B1291" s="3">
        <v>9</v>
      </c>
      <c r="C1291" s="3">
        <v>100</v>
      </c>
      <c r="D1291" s="3">
        <v>22</v>
      </c>
      <c r="E1291" s="3">
        <v>-324.045</v>
      </c>
      <c r="F1291" s="4" t="str">
        <f>HYPERLINK("http://141.218.60.56/~jnz1568/getInfo.php?workbook=14_09.xlsx&amp;sheet=A0&amp;row=1291&amp;col=6&amp;number=951000000&amp;sourceID=14","951000000")</f>
        <v>951000000</v>
      </c>
      <c r="G1291" s="4" t="str">
        <f>HYPERLINK("http://141.218.60.56/~jnz1568/getInfo.php?workbook=14_09.xlsx&amp;sheet=A0&amp;row=1291&amp;col=7&amp;number=0&amp;sourceID=14","0")</f>
        <v>0</v>
      </c>
    </row>
    <row r="1292" spans="1:7">
      <c r="A1292" s="3">
        <v>14</v>
      </c>
      <c r="B1292" s="3">
        <v>9</v>
      </c>
      <c r="C1292" s="3">
        <v>103</v>
      </c>
      <c r="D1292" s="3">
        <v>22</v>
      </c>
      <c r="E1292" s="3">
        <v>-322.076</v>
      </c>
      <c r="F1292" s="4" t="str">
        <f>HYPERLINK("http://141.218.60.56/~jnz1568/getInfo.php?workbook=14_09.xlsx&amp;sheet=A0&amp;row=1292&amp;col=6&amp;number=2470000000&amp;sourceID=14","2470000000")</f>
        <v>2470000000</v>
      </c>
      <c r="G1292" s="4" t="str">
        <f>HYPERLINK("http://141.218.60.56/~jnz1568/getInfo.php?workbook=14_09.xlsx&amp;sheet=A0&amp;row=1292&amp;col=7&amp;number=0&amp;sourceID=14","0")</f>
        <v>0</v>
      </c>
    </row>
    <row r="1293" spans="1:7">
      <c r="A1293" s="3">
        <v>14</v>
      </c>
      <c r="B1293" s="3">
        <v>9</v>
      </c>
      <c r="C1293" s="3">
        <v>107</v>
      </c>
      <c r="D1293" s="3">
        <v>22</v>
      </c>
      <c r="E1293" s="3">
        <v>-321.551</v>
      </c>
      <c r="F1293" s="4" t="str">
        <f>HYPERLINK("http://141.218.60.56/~jnz1568/getInfo.php?workbook=14_09.xlsx&amp;sheet=A0&amp;row=1293&amp;col=6&amp;number=314000&amp;sourceID=14","314000")</f>
        <v>314000</v>
      </c>
      <c r="G1293" s="4" t="str">
        <f>HYPERLINK("http://141.218.60.56/~jnz1568/getInfo.php?workbook=14_09.xlsx&amp;sheet=A0&amp;row=1293&amp;col=7&amp;number=0&amp;sourceID=14","0")</f>
        <v>0</v>
      </c>
    </row>
    <row r="1294" spans="1:7">
      <c r="A1294" s="3">
        <v>14</v>
      </c>
      <c r="B1294" s="3">
        <v>9</v>
      </c>
      <c r="C1294" s="3">
        <v>109</v>
      </c>
      <c r="D1294" s="3">
        <v>22</v>
      </c>
      <c r="E1294" s="3">
        <v>-321.139</v>
      </c>
      <c r="F1294" s="4" t="str">
        <f>HYPERLINK("http://141.218.60.56/~jnz1568/getInfo.php?workbook=14_09.xlsx&amp;sheet=A0&amp;row=1294&amp;col=6&amp;number=195000&amp;sourceID=14","195000")</f>
        <v>195000</v>
      </c>
      <c r="G1294" s="4" t="str">
        <f>HYPERLINK("http://141.218.60.56/~jnz1568/getInfo.php?workbook=14_09.xlsx&amp;sheet=A0&amp;row=1294&amp;col=7&amp;number=0&amp;sourceID=14","0")</f>
        <v>0</v>
      </c>
    </row>
    <row r="1295" spans="1:7">
      <c r="A1295" s="3">
        <v>14</v>
      </c>
      <c r="B1295" s="3">
        <v>9</v>
      </c>
      <c r="C1295" s="3">
        <v>110</v>
      </c>
      <c r="D1295" s="3">
        <v>22</v>
      </c>
      <c r="E1295" s="3">
        <v>-320.55</v>
      </c>
      <c r="F1295" s="4" t="str">
        <f>HYPERLINK("http://141.218.60.56/~jnz1568/getInfo.php?workbook=14_09.xlsx&amp;sheet=A0&amp;row=1295&amp;col=6&amp;number=289000000&amp;sourceID=14","289000000")</f>
        <v>289000000</v>
      </c>
      <c r="G1295" s="4" t="str">
        <f>HYPERLINK("http://141.218.60.56/~jnz1568/getInfo.php?workbook=14_09.xlsx&amp;sheet=A0&amp;row=1295&amp;col=7&amp;number=0&amp;sourceID=14","0")</f>
        <v>0</v>
      </c>
    </row>
    <row r="1296" spans="1:7">
      <c r="A1296" s="3">
        <v>14</v>
      </c>
      <c r="B1296" s="3">
        <v>9</v>
      </c>
      <c r="C1296" s="3">
        <v>127</v>
      </c>
      <c r="D1296" s="3">
        <v>22</v>
      </c>
      <c r="E1296" s="3">
        <v>-290.041</v>
      </c>
      <c r="F1296" s="4" t="str">
        <f>HYPERLINK("http://141.218.60.56/~jnz1568/getInfo.php?workbook=14_09.xlsx&amp;sheet=A0&amp;row=1296&amp;col=6&amp;number=425000000&amp;sourceID=14","425000000")</f>
        <v>425000000</v>
      </c>
      <c r="G1296" s="4" t="str">
        <f>HYPERLINK("http://141.218.60.56/~jnz1568/getInfo.php?workbook=14_09.xlsx&amp;sheet=A0&amp;row=1296&amp;col=7&amp;number=0&amp;sourceID=14","0")</f>
        <v>0</v>
      </c>
    </row>
    <row r="1297" spans="1:7">
      <c r="A1297" s="3">
        <v>14</v>
      </c>
      <c r="B1297" s="3">
        <v>9</v>
      </c>
      <c r="C1297" s="3">
        <v>128</v>
      </c>
      <c r="D1297" s="3">
        <v>22</v>
      </c>
      <c r="E1297" s="3">
        <v>-289.278</v>
      </c>
      <c r="F1297" s="4" t="str">
        <f>HYPERLINK("http://141.218.60.56/~jnz1568/getInfo.php?workbook=14_09.xlsx&amp;sheet=A0&amp;row=1297&amp;col=6&amp;number=42800000&amp;sourceID=14","42800000")</f>
        <v>42800000</v>
      </c>
      <c r="G1297" s="4" t="str">
        <f>HYPERLINK("http://141.218.60.56/~jnz1568/getInfo.php?workbook=14_09.xlsx&amp;sheet=A0&amp;row=1297&amp;col=7&amp;number=0&amp;sourceID=14","0")</f>
        <v>0</v>
      </c>
    </row>
    <row r="1298" spans="1:7">
      <c r="A1298" s="3">
        <v>14</v>
      </c>
      <c r="B1298" s="3">
        <v>9</v>
      </c>
      <c r="C1298" s="3">
        <v>131</v>
      </c>
      <c r="D1298" s="3">
        <v>22</v>
      </c>
      <c r="E1298" s="3">
        <v>-284.822</v>
      </c>
      <c r="F1298" s="4" t="str">
        <f>HYPERLINK("http://141.218.60.56/~jnz1568/getInfo.php?workbook=14_09.xlsx&amp;sheet=A0&amp;row=1298&amp;col=6&amp;number=3740000&amp;sourceID=14","3740000")</f>
        <v>3740000</v>
      </c>
      <c r="G1298" s="4" t="str">
        <f>HYPERLINK("http://141.218.60.56/~jnz1568/getInfo.php?workbook=14_09.xlsx&amp;sheet=A0&amp;row=1298&amp;col=7&amp;number=0&amp;sourceID=14","0")</f>
        <v>0</v>
      </c>
    </row>
    <row r="1299" spans="1:7">
      <c r="A1299" s="3">
        <v>14</v>
      </c>
      <c r="B1299" s="3">
        <v>9</v>
      </c>
      <c r="C1299" s="3">
        <v>132</v>
      </c>
      <c r="D1299" s="3">
        <v>22</v>
      </c>
      <c r="E1299" s="3">
        <v>-284.79</v>
      </c>
      <c r="F1299" s="4" t="str">
        <f>HYPERLINK("http://141.218.60.56/~jnz1568/getInfo.php?workbook=14_09.xlsx&amp;sheet=A0&amp;row=1299&amp;col=6&amp;number=181000000&amp;sourceID=14","181000000")</f>
        <v>181000000</v>
      </c>
      <c r="G1299" s="4" t="str">
        <f>HYPERLINK("http://141.218.60.56/~jnz1568/getInfo.php?workbook=14_09.xlsx&amp;sheet=A0&amp;row=1299&amp;col=7&amp;number=0&amp;sourceID=14","0")</f>
        <v>0</v>
      </c>
    </row>
    <row r="1300" spans="1:7">
      <c r="A1300" s="3">
        <v>14</v>
      </c>
      <c r="B1300" s="3">
        <v>9</v>
      </c>
      <c r="C1300" s="3">
        <v>134</v>
      </c>
      <c r="D1300" s="3">
        <v>22</v>
      </c>
      <c r="E1300" s="3">
        <v>-284.298</v>
      </c>
      <c r="F1300" s="4" t="str">
        <f>HYPERLINK("http://141.218.60.56/~jnz1568/getInfo.php?workbook=14_09.xlsx&amp;sheet=A0&amp;row=1300&amp;col=6&amp;number=110000000&amp;sourceID=14","110000000")</f>
        <v>110000000</v>
      </c>
      <c r="G1300" s="4" t="str">
        <f>HYPERLINK("http://141.218.60.56/~jnz1568/getInfo.php?workbook=14_09.xlsx&amp;sheet=A0&amp;row=1300&amp;col=7&amp;number=0&amp;sourceID=14","0")</f>
        <v>0</v>
      </c>
    </row>
    <row r="1301" spans="1:7">
      <c r="A1301" s="3">
        <v>14</v>
      </c>
      <c r="B1301" s="3">
        <v>9</v>
      </c>
      <c r="C1301" s="3">
        <v>135</v>
      </c>
      <c r="D1301" s="3">
        <v>22</v>
      </c>
      <c r="E1301" s="3">
        <v>-284.181</v>
      </c>
      <c r="F1301" s="4" t="str">
        <f>HYPERLINK("http://141.218.60.56/~jnz1568/getInfo.php?workbook=14_09.xlsx&amp;sheet=A0&amp;row=1301&amp;col=6&amp;number=43200000&amp;sourceID=14","43200000")</f>
        <v>43200000</v>
      </c>
      <c r="G1301" s="4" t="str">
        <f>HYPERLINK("http://141.218.60.56/~jnz1568/getInfo.php?workbook=14_09.xlsx&amp;sheet=A0&amp;row=1301&amp;col=7&amp;number=0&amp;sourceID=14","0")</f>
        <v>0</v>
      </c>
    </row>
    <row r="1302" spans="1:7">
      <c r="A1302" s="3">
        <v>14</v>
      </c>
      <c r="B1302" s="3">
        <v>9</v>
      </c>
      <c r="C1302" s="3">
        <v>136</v>
      </c>
      <c r="D1302" s="3">
        <v>22</v>
      </c>
      <c r="E1302" s="3">
        <v>-283.801</v>
      </c>
      <c r="F1302" s="4" t="str">
        <f>HYPERLINK("http://141.218.60.56/~jnz1568/getInfo.php?workbook=14_09.xlsx&amp;sheet=A0&amp;row=1302&amp;col=6&amp;number=25400000&amp;sourceID=14","25400000")</f>
        <v>25400000</v>
      </c>
      <c r="G1302" s="4" t="str">
        <f>HYPERLINK("http://141.218.60.56/~jnz1568/getInfo.php?workbook=14_09.xlsx&amp;sheet=A0&amp;row=1302&amp;col=7&amp;number=0&amp;sourceID=14","0")</f>
        <v>0</v>
      </c>
    </row>
    <row r="1303" spans="1:7">
      <c r="A1303" s="3">
        <v>14</v>
      </c>
      <c r="B1303" s="3">
        <v>9</v>
      </c>
      <c r="C1303" s="3">
        <v>137</v>
      </c>
      <c r="D1303" s="3">
        <v>22</v>
      </c>
      <c r="E1303" s="3">
        <v>-283.094</v>
      </c>
      <c r="F1303" s="4" t="str">
        <f>HYPERLINK("http://141.218.60.56/~jnz1568/getInfo.php?workbook=14_09.xlsx&amp;sheet=A0&amp;row=1303&amp;col=6&amp;number=339000000&amp;sourceID=14","339000000")</f>
        <v>339000000</v>
      </c>
      <c r="G1303" s="4" t="str">
        <f>HYPERLINK("http://141.218.60.56/~jnz1568/getInfo.php?workbook=14_09.xlsx&amp;sheet=A0&amp;row=1303&amp;col=7&amp;number=0&amp;sourceID=14","0")</f>
        <v>0</v>
      </c>
    </row>
    <row r="1304" spans="1:7">
      <c r="A1304" s="3">
        <v>14</v>
      </c>
      <c r="B1304" s="3">
        <v>9</v>
      </c>
      <c r="C1304" s="3">
        <v>138</v>
      </c>
      <c r="D1304" s="3">
        <v>22</v>
      </c>
      <c r="E1304" s="3">
        <v>-279.579</v>
      </c>
      <c r="F1304" s="4" t="str">
        <f>HYPERLINK("http://141.218.60.56/~jnz1568/getInfo.php?workbook=14_09.xlsx&amp;sheet=A0&amp;row=1304&amp;col=6&amp;number=338000&amp;sourceID=14","338000")</f>
        <v>338000</v>
      </c>
      <c r="G1304" s="4" t="str">
        <f>HYPERLINK("http://141.218.60.56/~jnz1568/getInfo.php?workbook=14_09.xlsx&amp;sheet=A0&amp;row=1304&amp;col=7&amp;number=0&amp;sourceID=14","0")</f>
        <v>0</v>
      </c>
    </row>
    <row r="1305" spans="1:7">
      <c r="A1305" s="3">
        <v>14</v>
      </c>
      <c r="B1305" s="3">
        <v>9</v>
      </c>
      <c r="C1305" s="3">
        <v>145</v>
      </c>
      <c r="D1305" s="3">
        <v>22</v>
      </c>
      <c r="E1305" s="3">
        <v>-278.34</v>
      </c>
      <c r="F1305" s="4" t="str">
        <f>HYPERLINK("http://141.218.60.56/~jnz1568/getInfo.php?workbook=14_09.xlsx&amp;sheet=A0&amp;row=1305&amp;col=6&amp;number=413000&amp;sourceID=14","413000")</f>
        <v>413000</v>
      </c>
      <c r="G1305" s="4" t="str">
        <f>HYPERLINK("http://141.218.60.56/~jnz1568/getInfo.php?workbook=14_09.xlsx&amp;sheet=A0&amp;row=1305&amp;col=7&amp;number=0&amp;sourceID=14","0")</f>
        <v>0</v>
      </c>
    </row>
    <row r="1306" spans="1:7">
      <c r="A1306" s="3">
        <v>14</v>
      </c>
      <c r="B1306" s="3">
        <v>9</v>
      </c>
      <c r="C1306" s="3">
        <v>148</v>
      </c>
      <c r="D1306" s="3">
        <v>22</v>
      </c>
      <c r="E1306" s="3">
        <v>-277.231</v>
      </c>
      <c r="F1306" s="4" t="str">
        <f>HYPERLINK("http://141.218.60.56/~jnz1568/getInfo.php?workbook=14_09.xlsx&amp;sheet=A0&amp;row=1306&amp;col=6&amp;number=14100000&amp;sourceID=14","14100000")</f>
        <v>14100000</v>
      </c>
      <c r="G1306" s="4" t="str">
        <f>HYPERLINK("http://141.218.60.56/~jnz1568/getInfo.php?workbook=14_09.xlsx&amp;sheet=A0&amp;row=1306&amp;col=7&amp;number=0&amp;sourceID=14","0")</f>
        <v>0</v>
      </c>
    </row>
    <row r="1307" spans="1:7">
      <c r="A1307" s="3">
        <v>14</v>
      </c>
      <c r="B1307" s="3">
        <v>9</v>
      </c>
      <c r="C1307" s="3">
        <v>151</v>
      </c>
      <c r="D1307" s="3">
        <v>22</v>
      </c>
      <c r="E1307" s="3">
        <v>-276.412</v>
      </c>
      <c r="F1307" s="4" t="str">
        <f>HYPERLINK("http://141.218.60.56/~jnz1568/getInfo.php?workbook=14_09.xlsx&amp;sheet=A0&amp;row=1307&amp;col=6&amp;number=663000&amp;sourceID=14","663000")</f>
        <v>663000</v>
      </c>
      <c r="G1307" s="4" t="str">
        <f>HYPERLINK("http://141.218.60.56/~jnz1568/getInfo.php?workbook=14_09.xlsx&amp;sheet=A0&amp;row=1307&amp;col=7&amp;number=0&amp;sourceID=14","0")</f>
        <v>0</v>
      </c>
    </row>
    <row r="1308" spans="1:7">
      <c r="A1308" s="3">
        <v>14</v>
      </c>
      <c r="B1308" s="3">
        <v>9</v>
      </c>
      <c r="C1308" s="3">
        <v>152</v>
      </c>
      <c r="D1308" s="3">
        <v>22</v>
      </c>
      <c r="E1308" s="3">
        <v>-271.625</v>
      </c>
      <c r="F1308" s="4" t="str">
        <f>HYPERLINK("http://141.218.60.56/~jnz1568/getInfo.php?workbook=14_09.xlsx&amp;sheet=A0&amp;row=1308&amp;col=6&amp;number=2530000000&amp;sourceID=14","2530000000")</f>
        <v>2530000000</v>
      </c>
      <c r="G1308" s="4" t="str">
        <f>HYPERLINK("http://141.218.60.56/~jnz1568/getInfo.php?workbook=14_09.xlsx&amp;sheet=A0&amp;row=1308&amp;col=7&amp;number=0&amp;sourceID=14","0")</f>
        <v>0</v>
      </c>
    </row>
    <row r="1309" spans="1:7">
      <c r="A1309" s="3">
        <v>14</v>
      </c>
      <c r="B1309" s="3">
        <v>9</v>
      </c>
      <c r="C1309" s="3">
        <v>153</v>
      </c>
      <c r="D1309" s="3">
        <v>22</v>
      </c>
      <c r="E1309" s="3">
        <v>-270.339</v>
      </c>
      <c r="F1309" s="4" t="str">
        <f>HYPERLINK("http://141.218.60.56/~jnz1568/getInfo.php?workbook=14_09.xlsx&amp;sheet=A0&amp;row=1309&amp;col=6&amp;number=820000000&amp;sourceID=14","820000000")</f>
        <v>820000000</v>
      </c>
      <c r="G1309" s="4" t="str">
        <f>HYPERLINK("http://141.218.60.56/~jnz1568/getInfo.php?workbook=14_09.xlsx&amp;sheet=A0&amp;row=1309&amp;col=7&amp;number=0&amp;sourceID=14","0")</f>
        <v>0</v>
      </c>
    </row>
    <row r="1310" spans="1:7">
      <c r="A1310" s="3">
        <v>14</v>
      </c>
      <c r="B1310" s="3">
        <v>9</v>
      </c>
      <c r="C1310" s="3">
        <v>154</v>
      </c>
      <c r="D1310" s="3">
        <v>22</v>
      </c>
      <c r="E1310" s="3">
        <v>-270.323</v>
      </c>
      <c r="F1310" s="4" t="str">
        <f>HYPERLINK("http://141.218.60.56/~jnz1568/getInfo.php?workbook=14_09.xlsx&amp;sheet=A0&amp;row=1310&amp;col=6&amp;number=276000000&amp;sourceID=14","276000000")</f>
        <v>276000000</v>
      </c>
      <c r="G1310" s="4" t="str">
        <f>HYPERLINK("http://141.218.60.56/~jnz1568/getInfo.php?workbook=14_09.xlsx&amp;sheet=A0&amp;row=1310&amp;col=7&amp;number=0&amp;sourceID=14","0")</f>
        <v>0</v>
      </c>
    </row>
    <row r="1311" spans="1:7">
      <c r="A1311" s="3">
        <v>14</v>
      </c>
      <c r="B1311" s="3">
        <v>9</v>
      </c>
      <c r="C1311" s="3">
        <v>155</v>
      </c>
      <c r="D1311" s="3">
        <v>22</v>
      </c>
      <c r="E1311" s="3">
        <v>-269.843</v>
      </c>
      <c r="F1311" s="4" t="str">
        <f>HYPERLINK("http://141.218.60.56/~jnz1568/getInfo.php?workbook=14_09.xlsx&amp;sheet=A0&amp;row=1311&amp;col=6&amp;number=591000000&amp;sourceID=14","591000000")</f>
        <v>591000000</v>
      </c>
      <c r="G1311" s="4" t="str">
        <f>HYPERLINK("http://141.218.60.56/~jnz1568/getInfo.php?workbook=14_09.xlsx&amp;sheet=A0&amp;row=1311&amp;col=7&amp;number=0&amp;sourceID=14","0")</f>
        <v>0</v>
      </c>
    </row>
    <row r="1312" spans="1:7">
      <c r="A1312" s="3">
        <v>14</v>
      </c>
      <c r="B1312" s="3">
        <v>9</v>
      </c>
      <c r="C1312" s="3">
        <v>156</v>
      </c>
      <c r="D1312" s="3">
        <v>22</v>
      </c>
      <c r="E1312" s="3">
        <v>-269.173</v>
      </c>
      <c r="F1312" s="4" t="str">
        <f>HYPERLINK("http://141.218.60.56/~jnz1568/getInfo.php?workbook=14_09.xlsx&amp;sheet=A0&amp;row=1312&amp;col=6&amp;number=485000000&amp;sourceID=14","485000000")</f>
        <v>485000000</v>
      </c>
      <c r="G1312" s="4" t="str">
        <f>HYPERLINK("http://141.218.60.56/~jnz1568/getInfo.php?workbook=14_09.xlsx&amp;sheet=A0&amp;row=1312&amp;col=7&amp;number=0&amp;sourceID=14","0")</f>
        <v>0</v>
      </c>
    </row>
    <row r="1313" spans="1:7">
      <c r="A1313" s="3">
        <v>14</v>
      </c>
      <c r="B1313" s="3">
        <v>9</v>
      </c>
      <c r="C1313" s="3">
        <v>157</v>
      </c>
      <c r="D1313" s="3">
        <v>22</v>
      </c>
      <c r="E1313" s="3">
        <v>-267.332</v>
      </c>
      <c r="F1313" s="4" t="str">
        <f>HYPERLINK("http://141.218.60.56/~jnz1568/getInfo.php?workbook=14_09.xlsx&amp;sheet=A0&amp;row=1313&amp;col=6&amp;number=1220000000&amp;sourceID=14","1220000000")</f>
        <v>1220000000</v>
      </c>
      <c r="G1313" s="4" t="str">
        <f>HYPERLINK("http://141.218.60.56/~jnz1568/getInfo.php?workbook=14_09.xlsx&amp;sheet=A0&amp;row=1313&amp;col=7&amp;number=0&amp;sourceID=14","0")</f>
        <v>0</v>
      </c>
    </row>
    <row r="1314" spans="1:7">
      <c r="A1314" s="3">
        <v>14</v>
      </c>
      <c r="B1314" s="3">
        <v>9</v>
      </c>
      <c r="C1314" s="3">
        <v>158</v>
      </c>
      <c r="D1314" s="3">
        <v>22</v>
      </c>
      <c r="E1314" s="3">
        <v>-266.952</v>
      </c>
      <c r="F1314" s="4" t="str">
        <f>HYPERLINK("http://141.218.60.56/~jnz1568/getInfo.php?workbook=14_09.xlsx&amp;sheet=A0&amp;row=1314&amp;col=6&amp;number=1730000000&amp;sourceID=14","1730000000")</f>
        <v>1730000000</v>
      </c>
      <c r="G1314" s="4" t="str">
        <f>HYPERLINK("http://141.218.60.56/~jnz1568/getInfo.php?workbook=14_09.xlsx&amp;sheet=A0&amp;row=1314&amp;col=7&amp;number=0&amp;sourceID=14","0")</f>
        <v>0</v>
      </c>
    </row>
    <row r="1315" spans="1:7">
      <c r="A1315" s="3">
        <v>14</v>
      </c>
      <c r="B1315" s="3">
        <v>9</v>
      </c>
      <c r="C1315" s="3">
        <v>161</v>
      </c>
      <c r="D1315" s="3">
        <v>22</v>
      </c>
      <c r="E1315" s="3">
        <v>-243.273</v>
      </c>
      <c r="F1315" s="4" t="str">
        <f>HYPERLINK("http://141.218.60.56/~jnz1568/getInfo.php?workbook=14_09.xlsx&amp;sheet=A0&amp;row=1315&amp;col=6&amp;number=14100000000&amp;sourceID=14","14100000000")</f>
        <v>14100000000</v>
      </c>
      <c r="G1315" s="4" t="str">
        <f>HYPERLINK("http://141.218.60.56/~jnz1568/getInfo.php?workbook=14_09.xlsx&amp;sheet=A0&amp;row=1315&amp;col=7&amp;number=0&amp;sourceID=14","0")</f>
        <v>0</v>
      </c>
    </row>
    <row r="1316" spans="1:7">
      <c r="A1316" s="3">
        <v>14</v>
      </c>
      <c r="B1316" s="3">
        <v>9</v>
      </c>
      <c r="C1316" s="3">
        <v>162</v>
      </c>
      <c r="D1316" s="3">
        <v>22</v>
      </c>
      <c r="E1316" s="3">
        <v>-238.657</v>
      </c>
      <c r="F1316" s="4" t="str">
        <f>HYPERLINK("http://141.218.60.56/~jnz1568/getInfo.php?workbook=14_09.xlsx&amp;sheet=A0&amp;row=1316&amp;col=6&amp;number=4300000&amp;sourceID=14","4300000")</f>
        <v>4300000</v>
      </c>
      <c r="G1316" s="4" t="str">
        <f>HYPERLINK("http://141.218.60.56/~jnz1568/getInfo.php?workbook=14_09.xlsx&amp;sheet=A0&amp;row=1316&amp;col=7&amp;number=0&amp;sourceID=14","0")</f>
        <v>0</v>
      </c>
    </row>
    <row r="1317" spans="1:7">
      <c r="A1317" s="3">
        <v>14</v>
      </c>
      <c r="B1317" s="3">
        <v>9</v>
      </c>
      <c r="C1317" s="3">
        <v>185</v>
      </c>
      <c r="D1317" s="3">
        <v>22</v>
      </c>
      <c r="E1317" s="3">
        <v>-193.466</v>
      </c>
      <c r="F1317" s="4" t="str">
        <f>HYPERLINK("http://141.218.60.56/~jnz1568/getInfo.php?workbook=14_09.xlsx&amp;sheet=A0&amp;row=1317&amp;col=6&amp;number=130000000&amp;sourceID=14","130000000")</f>
        <v>130000000</v>
      </c>
      <c r="G1317" s="4" t="str">
        <f>HYPERLINK("http://141.218.60.56/~jnz1568/getInfo.php?workbook=14_09.xlsx&amp;sheet=A0&amp;row=1317&amp;col=7&amp;number=0&amp;sourceID=14","0")</f>
        <v>0</v>
      </c>
    </row>
    <row r="1318" spans="1:7">
      <c r="A1318" s="3">
        <v>14</v>
      </c>
      <c r="B1318" s="3">
        <v>9</v>
      </c>
      <c r="C1318" s="3">
        <v>186</v>
      </c>
      <c r="D1318" s="3">
        <v>22</v>
      </c>
      <c r="E1318" s="3">
        <v>-193.228</v>
      </c>
      <c r="F1318" s="4" t="str">
        <f>HYPERLINK("http://141.218.60.56/~jnz1568/getInfo.php?workbook=14_09.xlsx&amp;sheet=A0&amp;row=1318&amp;col=6&amp;number=59700000&amp;sourceID=14","59700000")</f>
        <v>59700000</v>
      </c>
      <c r="G1318" s="4" t="str">
        <f>HYPERLINK("http://141.218.60.56/~jnz1568/getInfo.php?workbook=14_09.xlsx&amp;sheet=A0&amp;row=1318&amp;col=7&amp;number=0&amp;sourceID=14","0")</f>
        <v>0</v>
      </c>
    </row>
    <row r="1319" spans="1:7">
      <c r="A1319" s="3">
        <v>14</v>
      </c>
      <c r="B1319" s="3">
        <v>9</v>
      </c>
      <c r="C1319" s="3">
        <v>187</v>
      </c>
      <c r="D1319" s="3">
        <v>22</v>
      </c>
      <c r="E1319" s="3">
        <v>-191.415</v>
      </c>
      <c r="F1319" s="4" t="str">
        <f>HYPERLINK("http://141.218.60.56/~jnz1568/getInfo.php?workbook=14_09.xlsx&amp;sheet=A0&amp;row=1319&amp;col=6&amp;number=1480000000&amp;sourceID=14","1480000000")</f>
        <v>1480000000</v>
      </c>
      <c r="G1319" s="4" t="str">
        <f>HYPERLINK("http://141.218.60.56/~jnz1568/getInfo.php?workbook=14_09.xlsx&amp;sheet=A0&amp;row=1319&amp;col=7&amp;number=0&amp;sourceID=14","0")</f>
        <v>0</v>
      </c>
    </row>
    <row r="1320" spans="1:7">
      <c r="A1320" s="3">
        <v>14</v>
      </c>
      <c r="B1320" s="3">
        <v>9</v>
      </c>
      <c r="C1320" s="3">
        <v>188</v>
      </c>
      <c r="D1320" s="3">
        <v>22</v>
      </c>
      <c r="E1320" s="3">
        <v>-191.3</v>
      </c>
      <c r="F1320" s="4" t="str">
        <f>HYPERLINK("http://141.218.60.56/~jnz1568/getInfo.php?workbook=14_09.xlsx&amp;sheet=A0&amp;row=1320&amp;col=6&amp;number=1750000000&amp;sourceID=14","1750000000")</f>
        <v>1750000000</v>
      </c>
      <c r="G1320" s="4" t="str">
        <f>HYPERLINK("http://141.218.60.56/~jnz1568/getInfo.php?workbook=14_09.xlsx&amp;sheet=A0&amp;row=1320&amp;col=7&amp;number=0&amp;sourceID=14","0")</f>
        <v>0</v>
      </c>
    </row>
    <row r="1321" spans="1:7">
      <c r="A1321" s="3">
        <v>14</v>
      </c>
      <c r="B1321" s="3">
        <v>9</v>
      </c>
      <c r="C1321" s="3">
        <v>189</v>
      </c>
      <c r="D1321" s="3">
        <v>22</v>
      </c>
      <c r="E1321" s="3">
        <v>-186.506</v>
      </c>
      <c r="F1321" s="4" t="str">
        <f>HYPERLINK("http://141.218.60.56/~jnz1568/getInfo.php?workbook=14_09.xlsx&amp;sheet=A0&amp;row=1321&amp;col=6&amp;number=5820000000&amp;sourceID=14","5820000000")</f>
        <v>5820000000</v>
      </c>
      <c r="G1321" s="4" t="str">
        <f>HYPERLINK("http://141.218.60.56/~jnz1568/getInfo.php?workbook=14_09.xlsx&amp;sheet=A0&amp;row=1321&amp;col=7&amp;number=0&amp;sourceID=14","0")</f>
        <v>0</v>
      </c>
    </row>
    <row r="1322" spans="1:7">
      <c r="A1322" s="3">
        <v>14</v>
      </c>
      <c r="B1322" s="3">
        <v>9</v>
      </c>
      <c r="C1322" s="3">
        <v>33</v>
      </c>
      <c r="D1322" s="3">
        <v>23</v>
      </c>
      <c r="E1322" s="3">
        <v>-1151.625</v>
      </c>
      <c r="F1322" s="4" t="str">
        <f>HYPERLINK("http://141.218.60.56/~jnz1568/getInfo.php?workbook=14_09.xlsx&amp;sheet=A0&amp;row=1322&amp;col=6&amp;number=261000&amp;sourceID=14","261000")</f>
        <v>261000</v>
      </c>
      <c r="G1322" s="4" t="str">
        <f>HYPERLINK("http://141.218.60.56/~jnz1568/getInfo.php?workbook=14_09.xlsx&amp;sheet=A0&amp;row=1322&amp;col=7&amp;number=0&amp;sourceID=14","0")</f>
        <v>0</v>
      </c>
    </row>
    <row r="1323" spans="1:7">
      <c r="A1323" s="3">
        <v>14</v>
      </c>
      <c r="B1323" s="3">
        <v>9</v>
      </c>
      <c r="C1323" s="3">
        <v>34</v>
      </c>
      <c r="D1323" s="3">
        <v>23</v>
      </c>
      <c r="E1323" s="3">
        <v>-1144.52</v>
      </c>
      <c r="F1323" s="4" t="str">
        <f>HYPERLINK("http://141.218.60.56/~jnz1568/getInfo.php?workbook=14_09.xlsx&amp;sheet=A0&amp;row=1323&amp;col=6&amp;number=642000&amp;sourceID=14","642000")</f>
        <v>642000</v>
      </c>
      <c r="G1323" s="4" t="str">
        <f>HYPERLINK("http://141.218.60.56/~jnz1568/getInfo.php?workbook=14_09.xlsx&amp;sheet=A0&amp;row=1323&amp;col=7&amp;number=0&amp;sourceID=14","0")</f>
        <v>0</v>
      </c>
    </row>
    <row r="1324" spans="1:7">
      <c r="A1324" s="3">
        <v>14</v>
      </c>
      <c r="B1324" s="3">
        <v>9</v>
      </c>
      <c r="C1324" s="3">
        <v>38</v>
      </c>
      <c r="D1324" s="3">
        <v>23</v>
      </c>
      <c r="E1324" s="3">
        <v>-1008.473</v>
      </c>
      <c r="F1324" s="4" t="str">
        <f>HYPERLINK("http://141.218.60.56/~jnz1568/getInfo.php?workbook=14_09.xlsx&amp;sheet=A0&amp;row=1324&amp;col=6&amp;number=755000&amp;sourceID=14","755000")</f>
        <v>755000</v>
      </c>
      <c r="G1324" s="4" t="str">
        <f>HYPERLINK("http://141.218.60.56/~jnz1568/getInfo.php?workbook=14_09.xlsx&amp;sheet=A0&amp;row=1324&amp;col=7&amp;number=0&amp;sourceID=14","0")</f>
        <v>0</v>
      </c>
    </row>
    <row r="1325" spans="1:7">
      <c r="A1325" s="3">
        <v>14</v>
      </c>
      <c r="B1325" s="3">
        <v>9</v>
      </c>
      <c r="C1325" s="3">
        <v>39</v>
      </c>
      <c r="D1325" s="3">
        <v>23</v>
      </c>
      <c r="E1325" s="3">
        <v>-1006.463</v>
      </c>
      <c r="F1325" s="4" t="str">
        <f>HYPERLINK("http://141.218.60.56/~jnz1568/getInfo.php?workbook=14_09.xlsx&amp;sheet=A0&amp;row=1325&amp;col=6&amp;number=154000&amp;sourceID=14","154000")</f>
        <v>154000</v>
      </c>
      <c r="G1325" s="4" t="str">
        <f>HYPERLINK("http://141.218.60.56/~jnz1568/getInfo.php?workbook=14_09.xlsx&amp;sheet=A0&amp;row=1325&amp;col=7&amp;number=0&amp;sourceID=14","0")</f>
        <v>0</v>
      </c>
    </row>
    <row r="1326" spans="1:7">
      <c r="A1326" s="3">
        <v>14</v>
      </c>
      <c r="B1326" s="3">
        <v>9</v>
      </c>
      <c r="C1326" s="3">
        <v>40</v>
      </c>
      <c r="D1326" s="3">
        <v>23</v>
      </c>
      <c r="E1326" s="3">
        <v>-995.175</v>
      </c>
      <c r="F1326" s="4" t="str">
        <f>HYPERLINK("http://141.218.60.56/~jnz1568/getInfo.php?workbook=14_09.xlsx&amp;sheet=A0&amp;row=1326&amp;col=6&amp;number=60200&amp;sourceID=14","60200")</f>
        <v>60200</v>
      </c>
      <c r="G1326" s="4" t="str">
        <f>HYPERLINK("http://141.218.60.56/~jnz1568/getInfo.php?workbook=14_09.xlsx&amp;sheet=A0&amp;row=1326&amp;col=7&amp;number=0&amp;sourceID=14","0")</f>
        <v>0</v>
      </c>
    </row>
    <row r="1327" spans="1:7">
      <c r="A1327" s="3">
        <v>14</v>
      </c>
      <c r="B1327" s="3">
        <v>9</v>
      </c>
      <c r="C1327" s="3">
        <v>46</v>
      </c>
      <c r="D1327" s="3">
        <v>23</v>
      </c>
      <c r="E1327" s="3">
        <v>-937.218</v>
      </c>
      <c r="F1327" s="4" t="str">
        <f>HYPERLINK("http://141.218.60.56/~jnz1568/getInfo.php?workbook=14_09.xlsx&amp;sheet=A0&amp;row=1327&amp;col=6&amp;number=101000000&amp;sourceID=14","101000000")</f>
        <v>101000000</v>
      </c>
      <c r="G1327" s="4" t="str">
        <f>HYPERLINK("http://141.218.60.56/~jnz1568/getInfo.php?workbook=14_09.xlsx&amp;sheet=A0&amp;row=1327&amp;col=7&amp;number=0&amp;sourceID=14","0")</f>
        <v>0</v>
      </c>
    </row>
    <row r="1328" spans="1:7">
      <c r="A1328" s="3">
        <v>14</v>
      </c>
      <c r="B1328" s="3">
        <v>9</v>
      </c>
      <c r="C1328" s="3">
        <v>49</v>
      </c>
      <c r="D1328" s="3">
        <v>23</v>
      </c>
      <c r="E1328" s="3">
        <v>-901.479</v>
      </c>
      <c r="F1328" s="4" t="str">
        <f>HYPERLINK("http://141.218.60.56/~jnz1568/getInfo.php?workbook=14_09.xlsx&amp;sheet=A0&amp;row=1328&amp;col=6&amp;number=1910000000&amp;sourceID=14","1910000000")</f>
        <v>1910000000</v>
      </c>
      <c r="G1328" s="4" t="str">
        <f>HYPERLINK("http://141.218.60.56/~jnz1568/getInfo.php?workbook=14_09.xlsx&amp;sheet=A0&amp;row=1328&amp;col=7&amp;number=0&amp;sourceID=14","0")</f>
        <v>0</v>
      </c>
    </row>
    <row r="1329" spans="1:7">
      <c r="A1329" s="3">
        <v>14</v>
      </c>
      <c r="B1329" s="3">
        <v>9</v>
      </c>
      <c r="C1329" s="3">
        <v>52</v>
      </c>
      <c r="D1329" s="3">
        <v>23</v>
      </c>
      <c r="E1329" s="3">
        <v>-680.121</v>
      </c>
      <c r="F1329" s="4" t="str">
        <f>HYPERLINK("http://141.218.60.56/~jnz1568/getInfo.php?workbook=14_09.xlsx&amp;sheet=A0&amp;row=1329&amp;col=6&amp;number=101000000&amp;sourceID=14","101000000")</f>
        <v>101000000</v>
      </c>
      <c r="G1329" s="4" t="str">
        <f>HYPERLINK("http://141.218.60.56/~jnz1568/getInfo.php?workbook=14_09.xlsx&amp;sheet=A0&amp;row=1329&amp;col=7&amp;number=0&amp;sourceID=14","0")</f>
        <v>0</v>
      </c>
    </row>
    <row r="1330" spans="1:7">
      <c r="A1330" s="3">
        <v>14</v>
      </c>
      <c r="B1330" s="3">
        <v>9</v>
      </c>
      <c r="C1330" s="3">
        <v>53</v>
      </c>
      <c r="D1330" s="3">
        <v>23</v>
      </c>
      <c r="E1330" s="3">
        <v>-674.587</v>
      </c>
      <c r="F1330" s="4" t="str">
        <f>HYPERLINK("http://141.218.60.56/~jnz1568/getInfo.php?workbook=14_09.xlsx&amp;sheet=A0&amp;row=1330&amp;col=6&amp;number=86300000&amp;sourceID=14","86300000")</f>
        <v>86300000</v>
      </c>
      <c r="G1330" s="4" t="str">
        <f>HYPERLINK("http://141.218.60.56/~jnz1568/getInfo.php?workbook=14_09.xlsx&amp;sheet=A0&amp;row=1330&amp;col=7&amp;number=0&amp;sourceID=14","0")</f>
        <v>0</v>
      </c>
    </row>
    <row r="1331" spans="1:7">
      <c r="A1331" s="3">
        <v>14</v>
      </c>
      <c r="B1331" s="3">
        <v>9</v>
      </c>
      <c r="C1331" s="3">
        <v>55</v>
      </c>
      <c r="D1331" s="3">
        <v>23</v>
      </c>
      <c r="E1331" s="3">
        <v>-667.834</v>
      </c>
      <c r="F1331" s="4" t="str">
        <f>HYPERLINK("http://141.218.60.56/~jnz1568/getInfo.php?workbook=14_09.xlsx&amp;sheet=A0&amp;row=1331&amp;col=6&amp;number=1130000000&amp;sourceID=14","1130000000")</f>
        <v>1130000000</v>
      </c>
      <c r="G1331" s="4" t="str">
        <f>HYPERLINK("http://141.218.60.56/~jnz1568/getInfo.php?workbook=14_09.xlsx&amp;sheet=A0&amp;row=1331&amp;col=7&amp;number=0&amp;sourceID=14","0")</f>
        <v>0</v>
      </c>
    </row>
    <row r="1332" spans="1:7">
      <c r="A1332" s="3">
        <v>14</v>
      </c>
      <c r="B1332" s="3">
        <v>9</v>
      </c>
      <c r="C1332" s="3">
        <v>58</v>
      </c>
      <c r="D1332" s="3">
        <v>23</v>
      </c>
      <c r="E1332" s="3">
        <v>-657.675</v>
      </c>
      <c r="F1332" s="4" t="str">
        <f>HYPERLINK("http://141.218.60.56/~jnz1568/getInfo.php?workbook=14_09.xlsx&amp;sheet=A0&amp;row=1332&amp;col=6&amp;number=43500000&amp;sourceID=14","43500000")</f>
        <v>43500000</v>
      </c>
      <c r="G1332" s="4" t="str">
        <f>HYPERLINK("http://141.218.60.56/~jnz1568/getInfo.php?workbook=14_09.xlsx&amp;sheet=A0&amp;row=1332&amp;col=7&amp;number=0&amp;sourceID=14","0")</f>
        <v>0</v>
      </c>
    </row>
    <row r="1333" spans="1:7">
      <c r="A1333" s="3">
        <v>14</v>
      </c>
      <c r="B1333" s="3">
        <v>9</v>
      </c>
      <c r="C1333" s="3">
        <v>60</v>
      </c>
      <c r="D1333" s="3">
        <v>23</v>
      </c>
      <c r="E1333" s="3">
        <v>-465.206</v>
      </c>
      <c r="F1333" s="4" t="str">
        <f>HYPERLINK("http://141.218.60.56/~jnz1568/getInfo.php?workbook=14_09.xlsx&amp;sheet=A0&amp;row=1333&amp;col=6&amp;number=1280000&amp;sourceID=14","1280000")</f>
        <v>1280000</v>
      </c>
      <c r="G1333" s="4" t="str">
        <f>HYPERLINK("http://141.218.60.56/~jnz1568/getInfo.php?workbook=14_09.xlsx&amp;sheet=A0&amp;row=1333&amp;col=7&amp;number=0&amp;sourceID=14","0")</f>
        <v>0</v>
      </c>
    </row>
    <row r="1334" spans="1:7">
      <c r="A1334" s="3">
        <v>14</v>
      </c>
      <c r="B1334" s="3">
        <v>9</v>
      </c>
      <c r="C1334" s="3">
        <v>62</v>
      </c>
      <c r="D1334" s="3">
        <v>23</v>
      </c>
      <c r="E1334" s="3">
        <v>-435.02</v>
      </c>
      <c r="F1334" s="4" t="str">
        <f>HYPERLINK("http://141.218.60.56/~jnz1568/getInfo.php?workbook=14_09.xlsx&amp;sheet=A0&amp;row=1334&amp;col=6&amp;number=9470000&amp;sourceID=14","9470000")</f>
        <v>9470000</v>
      </c>
      <c r="G1334" s="4" t="str">
        <f>HYPERLINK("http://141.218.60.56/~jnz1568/getInfo.php?workbook=14_09.xlsx&amp;sheet=A0&amp;row=1334&amp;col=7&amp;number=0&amp;sourceID=14","0")</f>
        <v>0</v>
      </c>
    </row>
    <row r="1335" spans="1:7">
      <c r="A1335" s="3">
        <v>14</v>
      </c>
      <c r="B1335" s="3">
        <v>9</v>
      </c>
      <c r="C1335" s="3">
        <v>63</v>
      </c>
      <c r="D1335" s="3">
        <v>23</v>
      </c>
      <c r="E1335" s="3">
        <v>-430.683</v>
      </c>
      <c r="F1335" s="4" t="str">
        <f>HYPERLINK("http://141.218.60.56/~jnz1568/getInfo.php?workbook=14_09.xlsx&amp;sheet=A0&amp;row=1335&amp;col=6&amp;number=56700000&amp;sourceID=14","56700000")</f>
        <v>56700000</v>
      </c>
      <c r="G1335" s="4" t="str">
        <f>HYPERLINK("http://141.218.60.56/~jnz1568/getInfo.php?workbook=14_09.xlsx&amp;sheet=A0&amp;row=1335&amp;col=7&amp;number=0&amp;sourceID=14","0")</f>
        <v>0</v>
      </c>
    </row>
    <row r="1336" spans="1:7">
      <c r="A1336" s="3">
        <v>14</v>
      </c>
      <c r="B1336" s="3">
        <v>9</v>
      </c>
      <c r="C1336" s="3">
        <v>64</v>
      </c>
      <c r="D1336" s="3">
        <v>23</v>
      </c>
      <c r="E1336" s="3">
        <v>-428.151</v>
      </c>
      <c r="F1336" s="4" t="str">
        <f>HYPERLINK("http://141.218.60.56/~jnz1568/getInfo.php?workbook=14_09.xlsx&amp;sheet=A0&amp;row=1336&amp;col=6&amp;number=34000000&amp;sourceID=14","34000000")</f>
        <v>34000000</v>
      </c>
      <c r="G1336" s="4" t="str">
        <f>HYPERLINK("http://141.218.60.56/~jnz1568/getInfo.php?workbook=14_09.xlsx&amp;sheet=A0&amp;row=1336&amp;col=7&amp;number=0&amp;sourceID=14","0")</f>
        <v>0</v>
      </c>
    </row>
    <row r="1337" spans="1:7">
      <c r="A1337" s="3">
        <v>14</v>
      </c>
      <c r="B1337" s="3">
        <v>9</v>
      </c>
      <c r="C1337" s="3">
        <v>65</v>
      </c>
      <c r="D1337" s="3">
        <v>23</v>
      </c>
      <c r="E1337" s="3">
        <v>-422.327</v>
      </c>
      <c r="F1337" s="4" t="str">
        <f>HYPERLINK("http://141.218.60.56/~jnz1568/getInfo.php?workbook=14_09.xlsx&amp;sheet=A0&amp;row=1337&amp;col=6&amp;number=2280000000&amp;sourceID=14","2280000000")</f>
        <v>2280000000</v>
      </c>
      <c r="G1337" s="4" t="str">
        <f>HYPERLINK("http://141.218.60.56/~jnz1568/getInfo.php?workbook=14_09.xlsx&amp;sheet=A0&amp;row=1337&amp;col=7&amp;number=0&amp;sourceID=14","0")</f>
        <v>0</v>
      </c>
    </row>
    <row r="1338" spans="1:7">
      <c r="A1338" s="3">
        <v>14</v>
      </c>
      <c r="B1338" s="3">
        <v>9</v>
      </c>
      <c r="C1338" s="3">
        <v>76</v>
      </c>
      <c r="D1338" s="3">
        <v>23</v>
      </c>
      <c r="E1338" s="3">
        <v>-375.086</v>
      </c>
      <c r="F1338" s="4" t="str">
        <f>HYPERLINK("http://141.218.60.56/~jnz1568/getInfo.php?workbook=14_09.xlsx&amp;sheet=A0&amp;row=1338&amp;col=6&amp;number=63700&amp;sourceID=14","63700")</f>
        <v>63700</v>
      </c>
      <c r="G1338" s="4" t="str">
        <f>HYPERLINK("http://141.218.60.56/~jnz1568/getInfo.php?workbook=14_09.xlsx&amp;sheet=A0&amp;row=1338&amp;col=7&amp;number=0&amp;sourceID=14","0")</f>
        <v>0</v>
      </c>
    </row>
    <row r="1339" spans="1:7">
      <c r="A1339" s="3">
        <v>14</v>
      </c>
      <c r="B1339" s="3">
        <v>9</v>
      </c>
      <c r="C1339" s="3">
        <v>80</v>
      </c>
      <c r="D1339" s="3">
        <v>23</v>
      </c>
      <c r="E1339" s="3">
        <v>-360.681</v>
      </c>
      <c r="F1339" s="4" t="str">
        <f>HYPERLINK("http://141.218.60.56/~jnz1568/getInfo.php?workbook=14_09.xlsx&amp;sheet=A0&amp;row=1339&amp;col=6&amp;number=222000000&amp;sourceID=14","222000000")</f>
        <v>222000000</v>
      </c>
      <c r="G1339" s="4" t="str">
        <f>HYPERLINK("http://141.218.60.56/~jnz1568/getInfo.php?workbook=14_09.xlsx&amp;sheet=A0&amp;row=1339&amp;col=7&amp;number=0&amp;sourceID=14","0")</f>
        <v>0</v>
      </c>
    </row>
    <row r="1340" spans="1:7">
      <c r="A1340" s="3">
        <v>14</v>
      </c>
      <c r="B1340" s="3">
        <v>9</v>
      </c>
      <c r="C1340" s="3">
        <v>88</v>
      </c>
      <c r="D1340" s="3">
        <v>23</v>
      </c>
      <c r="E1340" s="3">
        <v>-335.637</v>
      </c>
      <c r="F1340" s="4" t="str">
        <f>HYPERLINK("http://141.218.60.56/~jnz1568/getInfo.php?workbook=14_09.xlsx&amp;sheet=A0&amp;row=1340&amp;col=6&amp;number=4040000&amp;sourceID=14","4040000")</f>
        <v>4040000</v>
      </c>
      <c r="G1340" s="4" t="str">
        <f>HYPERLINK("http://141.218.60.56/~jnz1568/getInfo.php?workbook=14_09.xlsx&amp;sheet=A0&amp;row=1340&amp;col=7&amp;number=0&amp;sourceID=14","0")</f>
        <v>0</v>
      </c>
    </row>
    <row r="1341" spans="1:7">
      <c r="A1341" s="3">
        <v>14</v>
      </c>
      <c r="B1341" s="3">
        <v>9</v>
      </c>
      <c r="C1341" s="3">
        <v>89</v>
      </c>
      <c r="D1341" s="3">
        <v>23</v>
      </c>
      <c r="E1341" s="3">
        <v>-334.815</v>
      </c>
      <c r="F1341" s="4" t="str">
        <f>HYPERLINK("http://141.218.60.56/~jnz1568/getInfo.php?workbook=14_09.xlsx&amp;sheet=A0&amp;row=1341&amp;col=6&amp;number=8250000&amp;sourceID=14","8250000")</f>
        <v>8250000</v>
      </c>
      <c r="G1341" s="4" t="str">
        <f>HYPERLINK("http://141.218.60.56/~jnz1568/getInfo.php?workbook=14_09.xlsx&amp;sheet=A0&amp;row=1341&amp;col=7&amp;number=0&amp;sourceID=14","0")</f>
        <v>0</v>
      </c>
    </row>
    <row r="1342" spans="1:7">
      <c r="A1342" s="3">
        <v>14</v>
      </c>
      <c r="B1342" s="3">
        <v>9</v>
      </c>
      <c r="C1342" s="3">
        <v>92</v>
      </c>
      <c r="D1342" s="3">
        <v>23</v>
      </c>
      <c r="E1342" s="3">
        <v>-331.361</v>
      </c>
      <c r="F1342" s="4" t="str">
        <f>HYPERLINK("http://141.218.60.56/~jnz1568/getInfo.php?workbook=14_09.xlsx&amp;sheet=A0&amp;row=1342&amp;col=6&amp;number=4070000&amp;sourceID=14","4070000")</f>
        <v>4070000</v>
      </c>
      <c r="G1342" s="4" t="str">
        <f>HYPERLINK("http://141.218.60.56/~jnz1568/getInfo.php?workbook=14_09.xlsx&amp;sheet=A0&amp;row=1342&amp;col=7&amp;number=0&amp;sourceID=14","0")</f>
        <v>0</v>
      </c>
    </row>
    <row r="1343" spans="1:7">
      <c r="A1343" s="3">
        <v>14</v>
      </c>
      <c r="B1343" s="3">
        <v>9</v>
      </c>
      <c r="C1343" s="3">
        <v>94</v>
      </c>
      <c r="D1343" s="3">
        <v>23</v>
      </c>
      <c r="E1343" s="3">
        <v>-330.208</v>
      </c>
      <c r="F1343" s="4" t="str">
        <f>HYPERLINK("http://141.218.60.56/~jnz1568/getInfo.php?workbook=14_09.xlsx&amp;sheet=A0&amp;row=1343&amp;col=6&amp;number=2930000&amp;sourceID=14","2930000")</f>
        <v>2930000</v>
      </c>
      <c r="G1343" s="4" t="str">
        <f>HYPERLINK("http://141.218.60.56/~jnz1568/getInfo.php?workbook=14_09.xlsx&amp;sheet=A0&amp;row=1343&amp;col=7&amp;number=0&amp;sourceID=14","0")</f>
        <v>0</v>
      </c>
    </row>
    <row r="1344" spans="1:7">
      <c r="A1344" s="3">
        <v>14</v>
      </c>
      <c r="B1344" s="3">
        <v>9</v>
      </c>
      <c r="C1344" s="3">
        <v>96</v>
      </c>
      <c r="D1344" s="3">
        <v>23</v>
      </c>
      <c r="E1344" s="3">
        <v>-328.759</v>
      </c>
      <c r="F1344" s="4" t="str">
        <f>HYPERLINK("http://141.218.60.56/~jnz1568/getInfo.php?workbook=14_09.xlsx&amp;sheet=A0&amp;row=1344&amp;col=6&amp;number=17100000&amp;sourceID=14","17100000")</f>
        <v>17100000</v>
      </c>
      <c r="G1344" s="4" t="str">
        <f>HYPERLINK("http://141.218.60.56/~jnz1568/getInfo.php?workbook=14_09.xlsx&amp;sheet=A0&amp;row=1344&amp;col=7&amp;number=0&amp;sourceID=14","0")</f>
        <v>0</v>
      </c>
    </row>
    <row r="1345" spans="1:7">
      <c r="A1345" s="3">
        <v>14</v>
      </c>
      <c r="B1345" s="3">
        <v>9</v>
      </c>
      <c r="C1345" s="3">
        <v>99</v>
      </c>
      <c r="D1345" s="3">
        <v>23</v>
      </c>
      <c r="E1345" s="3">
        <v>-325.778</v>
      </c>
      <c r="F1345" s="4" t="str">
        <f>HYPERLINK("http://141.218.60.56/~jnz1568/getInfo.php?workbook=14_09.xlsx&amp;sheet=A0&amp;row=1345&amp;col=6&amp;number=167000000&amp;sourceID=14","167000000")</f>
        <v>167000000</v>
      </c>
      <c r="G1345" s="4" t="str">
        <f>HYPERLINK("http://141.218.60.56/~jnz1568/getInfo.php?workbook=14_09.xlsx&amp;sheet=A0&amp;row=1345&amp;col=7&amp;number=0&amp;sourceID=14","0")</f>
        <v>0</v>
      </c>
    </row>
    <row r="1346" spans="1:7">
      <c r="A1346" s="3">
        <v>14</v>
      </c>
      <c r="B1346" s="3">
        <v>9</v>
      </c>
      <c r="C1346" s="3">
        <v>100</v>
      </c>
      <c r="D1346" s="3">
        <v>23</v>
      </c>
      <c r="E1346" s="3">
        <v>-325.012</v>
      </c>
      <c r="F1346" s="4" t="str">
        <f>HYPERLINK("http://141.218.60.56/~jnz1568/getInfo.php?workbook=14_09.xlsx&amp;sheet=A0&amp;row=1346&amp;col=6&amp;number=131000000&amp;sourceID=14","131000000")</f>
        <v>131000000</v>
      </c>
      <c r="G1346" s="4" t="str">
        <f>HYPERLINK("http://141.218.60.56/~jnz1568/getInfo.php?workbook=14_09.xlsx&amp;sheet=A0&amp;row=1346&amp;col=7&amp;number=0&amp;sourceID=14","0")</f>
        <v>0</v>
      </c>
    </row>
    <row r="1347" spans="1:7">
      <c r="A1347" s="3">
        <v>14</v>
      </c>
      <c r="B1347" s="3">
        <v>9</v>
      </c>
      <c r="C1347" s="3">
        <v>110</v>
      </c>
      <c r="D1347" s="3">
        <v>23</v>
      </c>
      <c r="E1347" s="3">
        <v>-321.498</v>
      </c>
      <c r="F1347" s="4" t="str">
        <f>HYPERLINK("http://141.218.60.56/~jnz1568/getInfo.php?workbook=14_09.xlsx&amp;sheet=A0&amp;row=1347&amp;col=6&amp;number=3310000000&amp;sourceID=14","3310000000")</f>
        <v>3310000000</v>
      </c>
      <c r="G1347" s="4" t="str">
        <f>HYPERLINK("http://141.218.60.56/~jnz1568/getInfo.php?workbook=14_09.xlsx&amp;sheet=A0&amp;row=1347&amp;col=7&amp;number=0&amp;sourceID=14","0")</f>
        <v>0</v>
      </c>
    </row>
    <row r="1348" spans="1:7">
      <c r="A1348" s="3">
        <v>14</v>
      </c>
      <c r="B1348" s="3">
        <v>9</v>
      </c>
      <c r="C1348" s="3">
        <v>122</v>
      </c>
      <c r="D1348" s="3">
        <v>23</v>
      </c>
      <c r="E1348" s="3">
        <v>-317.342</v>
      </c>
      <c r="F1348" s="4" t="str">
        <f>HYPERLINK("http://141.218.60.56/~jnz1568/getInfo.php?workbook=14_09.xlsx&amp;sheet=A0&amp;row=1348&amp;col=6&amp;number=301000&amp;sourceID=14","301000")</f>
        <v>301000</v>
      </c>
      <c r="G1348" s="4" t="str">
        <f>HYPERLINK("http://141.218.60.56/~jnz1568/getInfo.php?workbook=14_09.xlsx&amp;sheet=A0&amp;row=1348&amp;col=7&amp;number=0&amp;sourceID=14","0")</f>
        <v>0</v>
      </c>
    </row>
    <row r="1349" spans="1:7">
      <c r="A1349" s="3">
        <v>14</v>
      </c>
      <c r="B1349" s="3">
        <v>9</v>
      </c>
      <c r="C1349" s="3">
        <v>124</v>
      </c>
      <c r="D1349" s="3">
        <v>23</v>
      </c>
      <c r="E1349" s="3">
        <v>-316.21</v>
      </c>
      <c r="F1349" s="4" t="str">
        <f>HYPERLINK("http://141.218.60.56/~jnz1568/getInfo.php?workbook=14_09.xlsx&amp;sheet=A0&amp;row=1349&amp;col=6&amp;number=233000&amp;sourceID=14","233000")</f>
        <v>233000</v>
      </c>
      <c r="G1349" s="4" t="str">
        <f>HYPERLINK("http://141.218.60.56/~jnz1568/getInfo.php?workbook=14_09.xlsx&amp;sheet=A0&amp;row=1349&amp;col=7&amp;number=0&amp;sourceID=14","0")</f>
        <v>0</v>
      </c>
    </row>
    <row r="1350" spans="1:7">
      <c r="A1350" s="3">
        <v>14</v>
      </c>
      <c r="B1350" s="3">
        <v>9</v>
      </c>
      <c r="C1350" s="3">
        <v>127</v>
      </c>
      <c r="D1350" s="3">
        <v>23</v>
      </c>
      <c r="E1350" s="3">
        <v>-290.817</v>
      </c>
      <c r="F1350" s="4" t="str">
        <f>HYPERLINK("http://141.218.60.56/~jnz1568/getInfo.php?workbook=14_09.xlsx&amp;sheet=A0&amp;row=1350&amp;col=6&amp;number=108000000&amp;sourceID=14","108000000")</f>
        <v>108000000</v>
      </c>
      <c r="G1350" s="4" t="str">
        <f>HYPERLINK("http://141.218.60.56/~jnz1568/getInfo.php?workbook=14_09.xlsx&amp;sheet=A0&amp;row=1350&amp;col=7&amp;number=0&amp;sourceID=14","0")</f>
        <v>0</v>
      </c>
    </row>
    <row r="1351" spans="1:7">
      <c r="A1351" s="3">
        <v>14</v>
      </c>
      <c r="B1351" s="3">
        <v>9</v>
      </c>
      <c r="C1351" s="3">
        <v>128</v>
      </c>
      <c r="D1351" s="3">
        <v>23</v>
      </c>
      <c r="E1351" s="3">
        <v>-290.049</v>
      </c>
      <c r="F1351" s="4" t="str">
        <f>HYPERLINK("http://141.218.60.56/~jnz1568/getInfo.php?workbook=14_09.xlsx&amp;sheet=A0&amp;row=1351&amp;col=6&amp;number=3150000&amp;sourceID=14","3150000")</f>
        <v>3150000</v>
      </c>
      <c r="G1351" s="4" t="str">
        <f>HYPERLINK("http://141.218.60.56/~jnz1568/getInfo.php?workbook=14_09.xlsx&amp;sheet=A0&amp;row=1351&amp;col=7&amp;number=0&amp;sourceID=14","0")</f>
        <v>0</v>
      </c>
    </row>
    <row r="1352" spans="1:7">
      <c r="A1352" s="3">
        <v>14</v>
      </c>
      <c r="B1352" s="3">
        <v>9</v>
      </c>
      <c r="C1352" s="3">
        <v>134</v>
      </c>
      <c r="D1352" s="3">
        <v>23</v>
      </c>
      <c r="E1352" s="3">
        <v>-285.043</v>
      </c>
      <c r="F1352" s="4" t="str">
        <f>HYPERLINK("http://141.218.60.56/~jnz1568/getInfo.php?workbook=14_09.xlsx&amp;sheet=A0&amp;row=1352&amp;col=6&amp;number=94400000&amp;sourceID=14","94400000")</f>
        <v>94400000</v>
      </c>
      <c r="G1352" s="4" t="str">
        <f>HYPERLINK("http://141.218.60.56/~jnz1568/getInfo.php?workbook=14_09.xlsx&amp;sheet=A0&amp;row=1352&amp;col=7&amp;number=0&amp;sourceID=14","0")</f>
        <v>0</v>
      </c>
    </row>
    <row r="1353" spans="1:7">
      <c r="A1353" s="3">
        <v>14</v>
      </c>
      <c r="B1353" s="3">
        <v>9</v>
      </c>
      <c r="C1353" s="3">
        <v>136</v>
      </c>
      <c r="D1353" s="3">
        <v>23</v>
      </c>
      <c r="E1353" s="3">
        <v>-284.543</v>
      </c>
      <c r="F1353" s="4" t="str">
        <f>HYPERLINK("http://141.218.60.56/~jnz1568/getInfo.php?workbook=14_09.xlsx&amp;sheet=A0&amp;row=1353&amp;col=6&amp;number=32900000&amp;sourceID=14","32900000")</f>
        <v>32900000</v>
      </c>
      <c r="G1353" s="4" t="str">
        <f>HYPERLINK("http://141.218.60.56/~jnz1568/getInfo.php?workbook=14_09.xlsx&amp;sheet=A0&amp;row=1353&amp;col=7&amp;number=0&amp;sourceID=14","0")</f>
        <v>0</v>
      </c>
    </row>
    <row r="1354" spans="1:7">
      <c r="A1354" s="3">
        <v>14</v>
      </c>
      <c r="B1354" s="3">
        <v>9</v>
      </c>
      <c r="C1354" s="3">
        <v>137</v>
      </c>
      <c r="D1354" s="3">
        <v>23</v>
      </c>
      <c r="E1354" s="3">
        <v>-283.833</v>
      </c>
      <c r="F1354" s="4" t="str">
        <f>HYPERLINK("http://141.218.60.56/~jnz1568/getInfo.php?workbook=14_09.xlsx&amp;sheet=A0&amp;row=1354&amp;col=6&amp;number=136000000&amp;sourceID=14","136000000")</f>
        <v>136000000</v>
      </c>
      <c r="G1354" s="4" t="str">
        <f>HYPERLINK("http://141.218.60.56/~jnz1568/getInfo.php?workbook=14_09.xlsx&amp;sheet=A0&amp;row=1354&amp;col=7&amp;number=0&amp;sourceID=14","0")</f>
        <v>0</v>
      </c>
    </row>
    <row r="1355" spans="1:7">
      <c r="A1355" s="3">
        <v>14</v>
      </c>
      <c r="B1355" s="3">
        <v>9</v>
      </c>
      <c r="C1355" s="3">
        <v>148</v>
      </c>
      <c r="D1355" s="3">
        <v>23</v>
      </c>
      <c r="E1355" s="3">
        <v>-277.94</v>
      </c>
      <c r="F1355" s="4" t="str">
        <f>HYPERLINK("http://141.218.60.56/~jnz1568/getInfo.php?workbook=14_09.xlsx&amp;sheet=A0&amp;row=1355&amp;col=6&amp;number=1470000&amp;sourceID=14","1470000")</f>
        <v>1470000</v>
      </c>
      <c r="G1355" s="4" t="str">
        <f>HYPERLINK("http://141.218.60.56/~jnz1568/getInfo.php?workbook=14_09.xlsx&amp;sheet=A0&amp;row=1355&amp;col=7&amp;number=0&amp;sourceID=14","0")</f>
        <v>0</v>
      </c>
    </row>
    <row r="1356" spans="1:7">
      <c r="A1356" s="3">
        <v>14</v>
      </c>
      <c r="B1356" s="3">
        <v>9</v>
      </c>
      <c r="C1356" s="3">
        <v>151</v>
      </c>
      <c r="D1356" s="3">
        <v>23</v>
      </c>
      <c r="E1356" s="3">
        <v>-277.116</v>
      </c>
      <c r="F1356" s="4" t="str">
        <f>HYPERLINK("http://141.218.60.56/~jnz1568/getInfo.php?workbook=14_09.xlsx&amp;sheet=A0&amp;row=1356&amp;col=6&amp;number=10100000&amp;sourceID=14","10100000")</f>
        <v>10100000</v>
      </c>
      <c r="G1356" s="4" t="str">
        <f>HYPERLINK("http://141.218.60.56/~jnz1568/getInfo.php?workbook=14_09.xlsx&amp;sheet=A0&amp;row=1356&amp;col=7&amp;number=0&amp;sourceID=14","0")</f>
        <v>0</v>
      </c>
    </row>
    <row r="1357" spans="1:7">
      <c r="A1357" s="3">
        <v>14</v>
      </c>
      <c r="B1357" s="3">
        <v>9</v>
      </c>
      <c r="C1357" s="3">
        <v>154</v>
      </c>
      <c r="D1357" s="3">
        <v>23</v>
      </c>
      <c r="E1357" s="3">
        <v>-270.996</v>
      </c>
      <c r="F1357" s="4" t="str">
        <f>HYPERLINK("http://141.218.60.56/~jnz1568/getInfo.php?workbook=14_09.xlsx&amp;sheet=A0&amp;row=1357&amp;col=6&amp;number=438000000&amp;sourceID=14","438000000")</f>
        <v>438000000</v>
      </c>
      <c r="G1357" s="4" t="str">
        <f>HYPERLINK("http://141.218.60.56/~jnz1568/getInfo.php?workbook=14_09.xlsx&amp;sheet=A0&amp;row=1357&amp;col=7&amp;number=0&amp;sourceID=14","0")</f>
        <v>0</v>
      </c>
    </row>
    <row r="1358" spans="1:7">
      <c r="A1358" s="3">
        <v>14</v>
      </c>
      <c r="B1358" s="3">
        <v>9</v>
      </c>
      <c r="C1358" s="3">
        <v>155</v>
      </c>
      <c r="D1358" s="3">
        <v>23</v>
      </c>
      <c r="E1358" s="3">
        <v>-270.514</v>
      </c>
      <c r="F1358" s="4" t="str">
        <f>HYPERLINK("http://141.218.60.56/~jnz1568/getInfo.php?workbook=14_09.xlsx&amp;sheet=A0&amp;row=1358&amp;col=6&amp;number=20500000&amp;sourceID=14","20500000")</f>
        <v>20500000</v>
      </c>
      <c r="G1358" s="4" t="str">
        <f>HYPERLINK("http://141.218.60.56/~jnz1568/getInfo.php?workbook=14_09.xlsx&amp;sheet=A0&amp;row=1358&amp;col=7&amp;number=0&amp;sourceID=14","0")</f>
        <v>0</v>
      </c>
    </row>
    <row r="1359" spans="1:7">
      <c r="A1359" s="3">
        <v>14</v>
      </c>
      <c r="B1359" s="3">
        <v>9</v>
      </c>
      <c r="C1359" s="3">
        <v>156</v>
      </c>
      <c r="D1359" s="3">
        <v>23</v>
      </c>
      <c r="E1359" s="3">
        <v>-269.841</v>
      </c>
      <c r="F1359" s="4" t="str">
        <f>HYPERLINK("http://141.218.60.56/~jnz1568/getInfo.php?workbook=14_09.xlsx&amp;sheet=A0&amp;row=1359&amp;col=6&amp;number=537000000&amp;sourceID=14","537000000")</f>
        <v>537000000</v>
      </c>
      <c r="G1359" s="4" t="str">
        <f>HYPERLINK("http://141.218.60.56/~jnz1568/getInfo.php?workbook=14_09.xlsx&amp;sheet=A0&amp;row=1359&amp;col=7&amp;number=0&amp;sourceID=14","0")</f>
        <v>0</v>
      </c>
    </row>
    <row r="1360" spans="1:7">
      <c r="A1360" s="3">
        <v>14</v>
      </c>
      <c r="B1360" s="3">
        <v>9</v>
      </c>
      <c r="C1360" s="3">
        <v>157</v>
      </c>
      <c r="D1360" s="3">
        <v>23</v>
      </c>
      <c r="E1360" s="3">
        <v>-267.991</v>
      </c>
      <c r="F1360" s="4" t="str">
        <f>HYPERLINK("http://141.218.60.56/~jnz1568/getInfo.php?workbook=14_09.xlsx&amp;sheet=A0&amp;row=1360&amp;col=6&amp;number=5160000000&amp;sourceID=14","5160000000")</f>
        <v>5160000000</v>
      </c>
      <c r="G1360" s="4" t="str">
        <f>HYPERLINK("http://141.218.60.56/~jnz1568/getInfo.php?workbook=14_09.xlsx&amp;sheet=A0&amp;row=1360&amp;col=7&amp;number=0&amp;sourceID=14","0")</f>
        <v>0</v>
      </c>
    </row>
    <row r="1361" spans="1:7">
      <c r="A1361" s="3">
        <v>14</v>
      </c>
      <c r="B1361" s="3">
        <v>9</v>
      </c>
      <c r="C1361" s="3">
        <v>158</v>
      </c>
      <c r="D1361" s="3">
        <v>23</v>
      </c>
      <c r="E1361" s="3">
        <v>-267.608</v>
      </c>
      <c r="F1361" s="4" t="str">
        <f>HYPERLINK("http://141.218.60.56/~jnz1568/getInfo.php?workbook=14_09.xlsx&amp;sheet=A0&amp;row=1361&amp;col=6&amp;number=1030000000&amp;sourceID=14","1030000000")</f>
        <v>1030000000</v>
      </c>
      <c r="G1361" s="4" t="str">
        <f>HYPERLINK("http://141.218.60.56/~jnz1568/getInfo.php?workbook=14_09.xlsx&amp;sheet=A0&amp;row=1361&amp;col=7&amp;number=0&amp;sourceID=14","0")</f>
        <v>0</v>
      </c>
    </row>
    <row r="1362" spans="1:7">
      <c r="A1362" s="3">
        <v>14</v>
      </c>
      <c r="B1362" s="3">
        <v>9</v>
      </c>
      <c r="C1362" s="3">
        <v>161</v>
      </c>
      <c r="D1362" s="3">
        <v>23</v>
      </c>
      <c r="E1362" s="3">
        <v>-243.818</v>
      </c>
      <c r="F1362" s="4" t="str">
        <f>HYPERLINK("http://141.218.60.56/~jnz1568/getInfo.php?workbook=14_09.xlsx&amp;sheet=A0&amp;row=1362&amp;col=6&amp;number=3740000000&amp;sourceID=14","3740000000")</f>
        <v>3740000000</v>
      </c>
      <c r="G1362" s="4" t="str">
        <f>HYPERLINK("http://141.218.60.56/~jnz1568/getInfo.php?workbook=14_09.xlsx&amp;sheet=A0&amp;row=1362&amp;col=7&amp;number=0&amp;sourceID=14","0")</f>
        <v>0</v>
      </c>
    </row>
    <row r="1363" spans="1:7">
      <c r="A1363" s="3">
        <v>14</v>
      </c>
      <c r="B1363" s="3">
        <v>9</v>
      </c>
      <c r="C1363" s="3">
        <v>163</v>
      </c>
      <c r="D1363" s="3">
        <v>23</v>
      </c>
      <c r="E1363" s="3">
        <v>-239.107</v>
      </c>
      <c r="F1363" s="4" t="str">
        <f>HYPERLINK("http://141.218.60.56/~jnz1568/getInfo.php?workbook=14_09.xlsx&amp;sheet=A0&amp;row=1363&amp;col=6&amp;number=2940000&amp;sourceID=14","2940000")</f>
        <v>2940000</v>
      </c>
      <c r="G1363" s="4" t="str">
        <f>HYPERLINK("http://141.218.60.56/~jnz1568/getInfo.php?workbook=14_09.xlsx&amp;sheet=A0&amp;row=1363&amp;col=7&amp;number=0&amp;sourceID=14","0")</f>
        <v>0</v>
      </c>
    </row>
    <row r="1364" spans="1:7">
      <c r="A1364" s="3">
        <v>14</v>
      </c>
      <c r="B1364" s="3">
        <v>9</v>
      </c>
      <c r="C1364" s="3">
        <v>185</v>
      </c>
      <c r="D1364" s="3">
        <v>23</v>
      </c>
      <c r="E1364" s="3">
        <v>-193.81</v>
      </c>
      <c r="F1364" s="4" t="str">
        <f>HYPERLINK("http://141.218.60.56/~jnz1568/getInfo.php?workbook=14_09.xlsx&amp;sheet=A0&amp;row=1364&amp;col=6&amp;number=56300000&amp;sourceID=14","56300000")</f>
        <v>56300000</v>
      </c>
      <c r="G1364" s="4" t="str">
        <f>HYPERLINK("http://141.218.60.56/~jnz1568/getInfo.php?workbook=14_09.xlsx&amp;sheet=A0&amp;row=1364&amp;col=7&amp;number=0&amp;sourceID=14","0")</f>
        <v>0</v>
      </c>
    </row>
    <row r="1365" spans="1:7">
      <c r="A1365" s="3">
        <v>14</v>
      </c>
      <c r="B1365" s="3">
        <v>9</v>
      </c>
      <c r="C1365" s="3">
        <v>187</v>
      </c>
      <c r="D1365" s="3">
        <v>23</v>
      </c>
      <c r="E1365" s="3">
        <v>-191.753</v>
      </c>
      <c r="F1365" s="4" t="str">
        <f>HYPERLINK("http://141.218.60.56/~jnz1568/getInfo.php?workbook=14_09.xlsx&amp;sheet=A0&amp;row=1365&amp;col=6&amp;number=1010000000&amp;sourceID=14","1010000000")</f>
        <v>1010000000</v>
      </c>
      <c r="G1365" s="4" t="str">
        <f>HYPERLINK("http://141.218.60.56/~jnz1568/getInfo.php?workbook=14_09.xlsx&amp;sheet=A0&amp;row=1365&amp;col=7&amp;number=0&amp;sourceID=14","0")</f>
        <v>0</v>
      </c>
    </row>
    <row r="1366" spans="1:7">
      <c r="A1366" s="3">
        <v>14</v>
      </c>
      <c r="B1366" s="3">
        <v>9</v>
      </c>
      <c r="C1366" s="3">
        <v>188</v>
      </c>
      <c r="D1366" s="3">
        <v>23</v>
      </c>
      <c r="E1366" s="3">
        <v>-191.637</v>
      </c>
      <c r="F1366" s="4" t="str">
        <f>HYPERLINK("http://141.218.60.56/~jnz1568/getInfo.php?workbook=14_09.xlsx&amp;sheet=A0&amp;row=1366&amp;col=6&amp;number=105000000&amp;sourceID=14","105000000")</f>
        <v>105000000</v>
      </c>
      <c r="G1366" s="4" t="str">
        <f>HYPERLINK("http://141.218.60.56/~jnz1568/getInfo.php?workbook=14_09.xlsx&amp;sheet=A0&amp;row=1366&amp;col=7&amp;number=0&amp;sourceID=14","0")</f>
        <v>0</v>
      </c>
    </row>
    <row r="1367" spans="1:7">
      <c r="A1367" s="3">
        <v>14</v>
      </c>
      <c r="B1367" s="3">
        <v>9</v>
      </c>
      <c r="C1367" s="3">
        <v>189</v>
      </c>
      <c r="D1367" s="3">
        <v>23</v>
      </c>
      <c r="E1367" s="3">
        <v>-186.826</v>
      </c>
      <c r="F1367" s="4" t="str">
        <f>HYPERLINK("http://141.218.60.56/~jnz1568/getInfo.php?workbook=14_09.xlsx&amp;sheet=A0&amp;row=1367&amp;col=6&amp;number=1740000000&amp;sourceID=14","1740000000")</f>
        <v>1740000000</v>
      </c>
      <c r="G1367" s="4" t="str">
        <f>HYPERLINK("http://141.218.60.56/~jnz1568/getInfo.php?workbook=14_09.xlsx&amp;sheet=A0&amp;row=1367&amp;col=7&amp;number=0&amp;sourceID=14","0")</f>
        <v>0</v>
      </c>
    </row>
    <row r="1368" spans="1:7">
      <c r="A1368" s="3">
        <v>14</v>
      </c>
      <c r="B1368" s="3">
        <v>9</v>
      </c>
      <c r="C1368" s="3">
        <v>29</v>
      </c>
      <c r="D1368" s="3">
        <v>24</v>
      </c>
      <c r="E1368" s="3">
        <v>1870.614</v>
      </c>
      <c r="F1368" s="4" t="str">
        <f>HYPERLINK("http://141.218.60.56/~jnz1568/getInfo.php?workbook=14_09.xlsx&amp;sheet=A0&amp;row=1368&amp;col=6&amp;number=500000&amp;sourceID=14","500000")</f>
        <v>500000</v>
      </c>
      <c r="G1368" s="4" t="str">
        <f>HYPERLINK("http://141.218.60.56/~jnz1568/getInfo.php?workbook=14_09.xlsx&amp;sheet=A0&amp;row=1368&amp;col=7&amp;number=0&amp;sourceID=14","0")</f>
        <v>0</v>
      </c>
    </row>
    <row r="1369" spans="1:7">
      <c r="A1369" s="3">
        <v>14</v>
      </c>
      <c r="B1369" s="3">
        <v>9</v>
      </c>
      <c r="C1369" s="3">
        <v>30</v>
      </c>
      <c r="D1369" s="3">
        <v>24</v>
      </c>
      <c r="E1369" s="3">
        <v>1790.939</v>
      </c>
      <c r="F1369" s="4" t="str">
        <f>HYPERLINK("http://141.218.60.56/~jnz1568/getInfo.php?workbook=14_09.xlsx&amp;sheet=A0&amp;row=1369&amp;col=6&amp;number=1650000&amp;sourceID=14","1650000")</f>
        <v>1650000</v>
      </c>
      <c r="G1369" s="4" t="str">
        <f>HYPERLINK("http://141.218.60.56/~jnz1568/getInfo.php?workbook=14_09.xlsx&amp;sheet=A0&amp;row=1369&amp;col=7&amp;number=0&amp;sourceID=14","0")</f>
        <v>0</v>
      </c>
    </row>
    <row r="1370" spans="1:7">
      <c r="A1370" s="3">
        <v>14</v>
      </c>
      <c r="B1370" s="3">
        <v>9</v>
      </c>
      <c r="C1370" s="3">
        <v>44</v>
      </c>
      <c r="D1370" s="3">
        <v>24</v>
      </c>
      <c r="E1370" s="3">
        <v>-1116.597</v>
      </c>
      <c r="F1370" s="4" t="str">
        <f>HYPERLINK("http://141.218.60.56/~jnz1568/getInfo.php?workbook=14_09.xlsx&amp;sheet=A0&amp;row=1370&amp;col=6&amp;number=1110000000&amp;sourceID=14","1110000000")</f>
        <v>1110000000</v>
      </c>
      <c r="G1370" s="4" t="str">
        <f>HYPERLINK("http://141.218.60.56/~jnz1568/getInfo.php?workbook=14_09.xlsx&amp;sheet=A0&amp;row=1370&amp;col=7&amp;number=0&amp;sourceID=14","0")</f>
        <v>0</v>
      </c>
    </row>
    <row r="1371" spans="1:7">
      <c r="A1371" s="3">
        <v>14</v>
      </c>
      <c r="B1371" s="3">
        <v>9</v>
      </c>
      <c r="C1371" s="3">
        <v>45</v>
      </c>
      <c r="D1371" s="3">
        <v>24</v>
      </c>
      <c r="E1371" s="3">
        <v>-1112.436</v>
      </c>
      <c r="F1371" s="4" t="str">
        <f>HYPERLINK("http://141.218.60.56/~jnz1568/getInfo.php?workbook=14_09.xlsx&amp;sheet=A0&amp;row=1371&amp;col=6&amp;number=1110000000&amp;sourceID=14","1110000000")</f>
        <v>1110000000</v>
      </c>
      <c r="G1371" s="4" t="str">
        <f>HYPERLINK("http://141.218.60.56/~jnz1568/getInfo.php?workbook=14_09.xlsx&amp;sheet=A0&amp;row=1371&amp;col=7&amp;number=0&amp;sourceID=14","0")</f>
        <v>0</v>
      </c>
    </row>
    <row r="1372" spans="1:7">
      <c r="A1372" s="3">
        <v>14</v>
      </c>
      <c r="B1372" s="3">
        <v>9</v>
      </c>
      <c r="C1372" s="3">
        <v>71</v>
      </c>
      <c r="D1372" s="3">
        <v>24</v>
      </c>
      <c r="E1372" s="3">
        <v>-405.041</v>
      </c>
      <c r="F1372" s="4" t="str">
        <f>HYPERLINK("http://141.218.60.56/~jnz1568/getInfo.php?workbook=14_09.xlsx&amp;sheet=A0&amp;row=1372&amp;col=6&amp;number=638000&amp;sourceID=14","638000")</f>
        <v>638000</v>
      </c>
      <c r="G1372" s="4" t="str">
        <f>HYPERLINK("http://141.218.60.56/~jnz1568/getInfo.php?workbook=14_09.xlsx&amp;sheet=A0&amp;row=1372&amp;col=7&amp;number=0&amp;sourceID=14","0")</f>
        <v>0</v>
      </c>
    </row>
    <row r="1373" spans="1:7">
      <c r="A1373" s="3">
        <v>14</v>
      </c>
      <c r="B1373" s="3">
        <v>9</v>
      </c>
      <c r="C1373" s="3">
        <v>73</v>
      </c>
      <c r="D1373" s="3">
        <v>24</v>
      </c>
      <c r="E1373" s="3">
        <v>-403.205</v>
      </c>
      <c r="F1373" s="4" t="str">
        <f>HYPERLINK("http://141.218.60.56/~jnz1568/getInfo.php?workbook=14_09.xlsx&amp;sheet=A0&amp;row=1373&amp;col=6&amp;number=892000&amp;sourceID=14","892000")</f>
        <v>892000</v>
      </c>
      <c r="G1373" s="4" t="str">
        <f>HYPERLINK("http://141.218.60.56/~jnz1568/getInfo.php?workbook=14_09.xlsx&amp;sheet=A0&amp;row=1373&amp;col=7&amp;number=0&amp;sourceID=14","0")</f>
        <v>0</v>
      </c>
    </row>
    <row r="1374" spans="1:7">
      <c r="A1374" s="3">
        <v>14</v>
      </c>
      <c r="B1374" s="3">
        <v>9</v>
      </c>
      <c r="C1374" s="3">
        <v>74</v>
      </c>
      <c r="D1374" s="3">
        <v>24</v>
      </c>
      <c r="E1374" s="3">
        <v>-401.248</v>
      </c>
      <c r="F1374" s="4" t="str">
        <f>HYPERLINK("http://141.218.60.56/~jnz1568/getInfo.php?workbook=14_09.xlsx&amp;sheet=A0&amp;row=1374&amp;col=6&amp;number=6500000&amp;sourceID=14","6500000")</f>
        <v>6500000</v>
      </c>
      <c r="G1374" s="4" t="str">
        <f>HYPERLINK("http://141.218.60.56/~jnz1568/getInfo.php?workbook=14_09.xlsx&amp;sheet=A0&amp;row=1374&amp;col=7&amp;number=0&amp;sourceID=14","0")</f>
        <v>0</v>
      </c>
    </row>
    <row r="1375" spans="1:7">
      <c r="A1375" s="3">
        <v>14</v>
      </c>
      <c r="B1375" s="3">
        <v>9</v>
      </c>
      <c r="C1375" s="3">
        <v>75</v>
      </c>
      <c r="D1375" s="3">
        <v>24</v>
      </c>
      <c r="E1375" s="3">
        <v>-400.353</v>
      </c>
      <c r="F1375" s="4" t="str">
        <f>HYPERLINK("http://141.218.60.56/~jnz1568/getInfo.php?workbook=14_09.xlsx&amp;sheet=A0&amp;row=1375&amp;col=6&amp;number=314000&amp;sourceID=14","314000")</f>
        <v>314000</v>
      </c>
      <c r="G1375" s="4" t="str">
        <f>HYPERLINK("http://141.218.60.56/~jnz1568/getInfo.php?workbook=14_09.xlsx&amp;sheet=A0&amp;row=1375&amp;col=7&amp;number=0&amp;sourceID=14","0")</f>
        <v>0</v>
      </c>
    </row>
    <row r="1376" spans="1:7">
      <c r="A1376" s="3">
        <v>14</v>
      </c>
      <c r="B1376" s="3">
        <v>9</v>
      </c>
      <c r="C1376" s="3">
        <v>76</v>
      </c>
      <c r="D1376" s="3">
        <v>24</v>
      </c>
      <c r="E1376" s="3">
        <v>-399.895</v>
      </c>
      <c r="F1376" s="4" t="str">
        <f>HYPERLINK("http://141.218.60.56/~jnz1568/getInfo.php?workbook=14_09.xlsx&amp;sheet=A0&amp;row=1376&amp;col=6&amp;number=1030000&amp;sourceID=14","1030000")</f>
        <v>1030000</v>
      </c>
      <c r="G1376" s="4" t="str">
        <f>HYPERLINK("http://141.218.60.56/~jnz1568/getInfo.php?workbook=14_09.xlsx&amp;sheet=A0&amp;row=1376&amp;col=7&amp;number=0&amp;sourceID=14","0")</f>
        <v>0</v>
      </c>
    </row>
    <row r="1377" spans="1:7">
      <c r="A1377" s="3">
        <v>14</v>
      </c>
      <c r="B1377" s="3">
        <v>9</v>
      </c>
      <c r="C1377" s="3">
        <v>77</v>
      </c>
      <c r="D1377" s="3">
        <v>24</v>
      </c>
      <c r="E1377" s="3">
        <v>-388.838</v>
      </c>
      <c r="F1377" s="4" t="str">
        <f>HYPERLINK("http://141.218.60.56/~jnz1568/getInfo.php?workbook=14_09.xlsx&amp;sheet=A0&amp;row=1377&amp;col=6&amp;number=87000000&amp;sourceID=14","87000000")</f>
        <v>87000000</v>
      </c>
      <c r="G1377" s="4" t="str">
        <f>HYPERLINK("http://141.218.60.56/~jnz1568/getInfo.php?workbook=14_09.xlsx&amp;sheet=A0&amp;row=1377&amp;col=7&amp;number=0&amp;sourceID=14","0")</f>
        <v>0</v>
      </c>
    </row>
    <row r="1378" spans="1:7">
      <c r="A1378" s="3">
        <v>14</v>
      </c>
      <c r="B1378" s="3">
        <v>9</v>
      </c>
      <c r="C1378" s="3">
        <v>78</v>
      </c>
      <c r="D1378" s="3">
        <v>24</v>
      </c>
      <c r="E1378" s="3">
        <v>-387.521</v>
      </c>
      <c r="F1378" s="4" t="str">
        <f>HYPERLINK("http://141.218.60.56/~jnz1568/getInfo.php?workbook=14_09.xlsx&amp;sheet=A0&amp;row=1378&amp;col=6&amp;number=102000000&amp;sourceID=14","102000000")</f>
        <v>102000000</v>
      </c>
      <c r="G1378" s="4" t="str">
        <f>HYPERLINK("http://141.218.60.56/~jnz1568/getInfo.php?workbook=14_09.xlsx&amp;sheet=A0&amp;row=1378&amp;col=7&amp;number=0&amp;sourceID=14","0")</f>
        <v>0</v>
      </c>
    </row>
    <row r="1379" spans="1:7">
      <c r="A1379" s="3">
        <v>14</v>
      </c>
      <c r="B1379" s="3">
        <v>9</v>
      </c>
      <c r="C1379" s="3">
        <v>82</v>
      </c>
      <c r="D1379" s="3">
        <v>24</v>
      </c>
      <c r="E1379" s="3">
        <v>-378.065</v>
      </c>
      <c r="F1379" s="4" t="str">
        <f>HYPERLINK("http://141.218.60.56/~jnz1568/getInfo.php?workbook=14_09.xlsx&amp;sheet=A0&amp;row=1379&amp;col=6&amp;number=171000&amp;sourceID=14","171000")</f>
        <v>171000</v>
      </c>
      <c r="G1379" s="4" t="str">
        <f>HYPERLINK("http://141.218.60.56/~jnz1568/getInfo.php?workbook=14_09.xlsx&amp;sheet=A0&amp;row=1379&amp;col=7&amp;number=0&amp;sourceID=14","0")</f>
        <v>0</v>
      </c>
    </row>
    <row r="1380" spans="1:7">
      <c r="A1380" s="3">
        <v>14</v>
      </c>
      <c r="B1380" s="3">
        <v>9</v>
      </c>
      <c r="C1380" s="3">
        <v>84</v>
      </c>
      <c r="D1380" s="3">
        <v>24</v>
      </c>
      <c r="E1380" s="3">
        <v>-364.022</v>
      </c>
      <c r="F1380" s="4" t="str">
        <f>HYPERLINK("http://141.218.60.56/~jnz1568/getInfo.php?workbook=14_09.xlsx&amp;sheet=A0&amp;row=1380&amp;col=6&amp;number=119000000&amp;sourceID=14","119000000")</f>
        <v>119000000</v>
      </c>
      <c r="G1380" s="4" t="str">
        <f>HYPERLINK("http://141.218.60.56/~jnz1568/getInfo.php?workbook=14_09.xlsx&amp;sheet=A0&amp;row=1380&amp;col=7&amp;number=0&amp;sourceID=14","0")</f>
        <v>0</v>
      </c>
    </row>
    <row r="1381" spans="1:7">
      <c r="A1381" s="3">
        <v>14</v>
      </c>
      <c r="B1381" s="3">
        <v>9</v>
      </c>
      <c r="C1381" s="3">
        <v>85</v>
      </c>
      <c r="D1381" s="3">
        <v>24</v>
      </c>
      <c r="E1381" s="3">
        <v>-360.518</v>
      </c>
      <c r="F1381" s="4" t="str">
        <f>HYPERLINK("http://141.218.60.56/~jnz1568/getInfo.php?workbook=14_09.xlsx&amp;sheet=A0&amp;row=1381&amp;col=6&amp;number=65900000&amp;sourceID=14","65900000")</f>
        <v>65900000</v>
      </c>
      <c r="G1381" s="4" t="str">
        <f>HYPERLINK("http://141.218.60.56/~jnz1568/getInfo.php?workbook=14_09.xlsx&amp;sheet=A0&amp;row=1381&amp;col=7&amp;number=0&amp;sourceID=14","0")</f>
        <v>0</v>
      </c>
    </row>
    <row r="1382" spans="1:7">
      <c r="A1382" s="3">
        <v>14</v>
      </c>
      <c r="B1382" s="3">
        <v>9</v>
      </c>
      <c r="C1382" s="3">
        <v>112</v>
      </c>
      <c r="D1382" s="3">
        <v>24</v>
      </c>
      <c r="E1382" s="3">
        <v>-339.424</v>
      </c>
      <c r="F1382" s="4" t="str">
        <f>HYPERLINK("http://141.218.60.56/~jnz1568/getInfo.php?workbook=14_09.xlsx&amp;sheet=A0&amp;row=1382&amp;col=6&amp;number=402000&amp;sourceID=14","402000")</f>
        <v>402000</v>
      </c>
      <c r="G1382" s="4" t="str">
        <f>HYPERLINK("http://141.218.60.56/~jnz1568/getInfo.php?workbook=14_09.xlsx&amp;sheet=A0&amp;row=1382&amp;col=7&amp;number=0&amp;sourceID=14","0")</f>
        <v>0</v>
      </c>
    </row>
    <row r="1383" spans="1:7">
      <c r="A1383" s="3">
        <v>14</v>
      </c>
      <c r="B1383" s="3">
        <v>9</v>
      </c>
      <c r="C1383" s="3">
        <v>116</v>
      </c>
      <c r="D1383" s="3">
        <v>24</v>
      </c>
      <c r="E1383" s="3">
        <v>-339.219</v>
      </c>
      <c r="F1383" s="4" t="str">
        <f>HYPERLINK("http://141.218.60.56/~jnz1568/getInfo.php?workbook=14_09.xlsx&amp;sheet=A0&amp;row=1383&amp;col=6&amp;number=413000&amp;sourceID=14","413000")</f>
        <v>413000</v>
      </c>
      <c r="G1383" s="4" t="str">
        <f>HYPERLINK("http://141.218.60.56/~jnz1568/getInfo.php?workbook=14_09.xlsx&amp;sheet=A0&amp;row=1383&amp;col=7&amp;number=0&amp;sourceID=14","0")</f>
        <v>0</v>
      </c>
    </row>
    <row r="1384" spans="1:7">
      <c r="A1384" s="3">
        <v>14</v>
      </c>
      <c r="B1384" s="3">
        <v>9</v>
      </c>
      <c r="C1384" s="3">
        <v>125</v>
      </c>
      <c r="D1384" s="3">
        <v>24</v>
      </c>
      <c r="E1384" s="3">
        <v>-326.59</v>
      </c>
      <c r="F1384" s="4" t="str">
        <f>HYPERLINK("http://141.218.60.56/~jnz1568/getInfo.php?workbook=14_09.xlsx&amp;sheet=A0&amp;row=1384&amp;col=6&amp;number=24200000&amp;sourceID=14","24200000")</f>
        <v>24200000</v>
      </c>
      <c r="G1384" s="4" t="str">
        <f>HYPERLINK("http://141.218.60.56/~jnz1568/getInfo.php?workbook=14_09.xlsx&amp;sheet=A0&amp;row=1384&amp;col=7&amp;number=0&amp;sourceID=14","0")</f>
        <v>0</v>
      </c>
    </row>
    <row r="1385" spans="1:7">
      <c r="A1385" s="3">
        <v>14</v>
      </c>
      <c r="B1385" s="3">
        <v>9</v>
      </c>
      <c r="C1385" s="3">
        <v>126</v>
      </c>
      <c r="D1385" s="3">
        <v>24</v>
      </c>
      <c r="E1385" s="3">
        <v>-324.409</v>
      </c>
      <c r="F1385" s="4" t="str">
        <f>HYPERLINK("http://141.218.60.56/~jnz1568/getInfo.php?workbook=14_09.xlsx&amp;sheet=A0&amp;row=1385&amp;col=6&amp;number=38200000&amp;sourceID=14","38200000")</f>
        <v>38200000</v>
      </c>
      <c r="G1385" s="4" t="str">
        <f>HYPERLINK("http://141.218.60.56/~jnz1568/getInfo.php?workbook=14_09.xlsx&amp;sheet=A0&amp;row=1385&amp;col=7&amp;number=0&amp;sourceID=14","0")</f>
        <v>0</v>
      </c>
    </row>
    <row r="1386" spans="1:7">
      <c r="A1386" s="3">
        <v>14</v>
      </c>
      <c r="B1386" s="3">
        <v>9</v>
      </c>
      <c r="C1386" s="3">
        <v>138</v>
      </c>
      <c r="D1386" s="3">
        <v>24</v>
      </c>
      <c r="E1386" s="3">
        <v>-293.925</v>
      </c>
      <c r="F1386" s="4" t="str">
        <f>HYPERLINK("http://141.218.60.56/~jnz1568/getInfo.php?workbook=14_09.xlsx&amp;sheet=A0&amp;row=1386&amp;col=6&amp;number=93800000&amp;sourceID=14","93800000")</f>
        <v>93800000</v>
      </c>
      <c r="G1386" s="4" t="str">
        <f>HYPERLINK("http://141.218.60.56/~jnz1568/getInfo.php?workbook=14_09.xlsx&amp;sheet=A0&amp;row=1386&amp;col=7&amp;number=0&amp;sourceID=14","0")</f>
        <v>0</v>
      </c>
    </row>
    <row r="1387" spans="1:7">
      <c r="A1387" s="3">
        <v>14</v>
      </c>
      <c r="B1387" s="3">
        <v>9</v>
      </c>
      <c r="C1387" s="3">
        <v>139</v>
      </c>
      <c r="D1387" s="3">
        <v>24</v>
      </c>
      <c r="E1387" s="3">
        <v>-293.91</v>
      </c>
      <c r="F1387" s="4" t="str">
        <f>HYPERLINK("http://141.218.60.56/~jnz1568/getInfo.php?workbook=14_09.xlsx&amp;sheet=A0&amp;row=1387&amp;col=6&amp;number=94700000&amp;sourceID=14","94700000")</f>
        <v>94700000</v>
      </c>
      <c r="G1387" s="4" t="str">
        <f>HYPERLINK("http://141.218.60.56/~jnz1568/getInfo.php?workbook=14_09.xlsx&amp;sheet=A0&amp;row=1387&amp;col=7&amp;number=0&amp;sourceID=14","0")</f>
        <v>0</v>
      </c>
    </row>
    <row r="1388" spans="1:7">
      <c r="A1388" s="3">
        <v>14</v>
      </c>
      <c r="B1388" s="3">
        <v>9</v>
      </c>
      <c r="C1388" s="3">
        <v>159</v>
      </c>
      <c r="D1388" s="3">
        <v>24</v>
      </c>
      <c r="E1388" s="3">
        <v>-275.646</v>
      </c>
      <c r="F1388" s="4" t="str">
        <f>HYPERLINK("http://141.218.60.56/~jnz1568/getInfo.php?workbook=14_09.xlsx&amp;sheet=A0&amp;row=1388&amp;col=6&amp;number=2750000000&amp;sourceID=14","2750000000")</f>
        <v>2750000000</v>
      </c>
      <c r="G1388" s="4" t="str">
        <f>HYPERLINK("http://141.218.60.56/~jnz1568/getInfo.php?workbook=14_09.xlsx&amp;sheet=A0&amp;row=1388&amp;col=7&amp;number=0&amp;sourceID=14","0")</f>
        <v>0</v>
      </c>
    </row>
    <row r="1389" spans="1:7">
      <c r="A1389" s="3">
        <v>14</v>
      </c>
      <c r="B1389" s="3">
        <v>9</v>
      </c>
      <c r="C1389" s="3">
        <v>160</v>
      </c>
      <c r="D1389" s="3">
        <v>24</v>
      </c>
      <c r="E1389" s="3">
        <v>-275.551</v>
      </c>
      <c r="F1389" s="4" t="str">
        <f>HYPERLINK("http://141.218.60.56/~jnz1568/getInfo.php?workbook=14_09.xlsx&amp;sheet=A0&amp;row=1389&amp;col=6&amp;number=2690000000&amp;sourceID=14","2690000000")</f>
        <v>2690000000</v>
      </c>
      <c r="G1389" s="4" t="str">
        <f>HYPERLINK("http://141.218.60.56/~jnz1568/getInfo.php?workbook=14_09.xlsx&amp;sheet=A0&amp;row=1389&amp;col=7&amp;number=0&amp;sourceID=14","0")</f>
        <v>0</v>
      </c>
    </row>
    <row r="1390" spans="1:7">
      <c r="A1390" s="3">
        <v>14</v>
      </c>
      <c r="B1390" s="3">
        <v>9</v>
      </c>
      <c r="C1390" s="3">
        <v>166</v>
      </c>
      <c r="D1390" s="3">
        <v>24</v>
      </c>
      <c r="E1390" s="3">
        <v>-238.055</v>
      </c>
      <c r="F1390" s="4" t="str">
        <f>HYPERLINK("http://141.218.60.56/~jnz1568/getInfo.php?workbook=14_09.xlsx&amp;sheet=A0&amp;row=1390&amp;col=6&amp;number=7550000000&amp;sourceID=14","7550000000")</f>
        <v>7550000000</v>
      </c>
      <c r="G1390" s="4" t="str">
        <f>HYPERLINK("http://141.218.60.56/~jnz1568/getInfo.php?workbook=14_09.xlsx&amp;sheet=A0&amp;row=1390&amp;col=7&amp;number=0&amp;sourceID=14","0")</f>
        <v>0</v>
      </c>
    </row>
    <row r="1391" spans="1:7">
      <c r="A1391" s="3">
        <v>14</v>
      </c>
      <c r="B1391" s="3">
        <v>9</v>
      </c>
      <c r="C1391" s="3">
        <v>167</v>
      </c>
      <c r="D1391" s="3">
        <v>24</v>
      </c>
      <c r="E1391" s="3">
        <v>-237.974</v>
      </c>
      <c r="F1391" s="4" t="str">
        <f>HYPERLINK("http://141.218.60.56/~jnz1568/getInfo.php?workbook=14_09.xlsx&amp;sheet=A0&amp;row=1391&amp;col=6&amp;number=7570000000&amp;sourceID=14","7570000000")</f>
        <v>7570000000</v>
      </c>
      <c r="G1391" s="4" t="str">
        <f>HYPERLINK("http://141.218.60.56/~jnz1568/getInfo.php?workbook=14_09.xlsx&amp;sheet=A0&amp;row=1391&amp;col=7&amp;number=0&amp;sourceID=14","0")</f>
        <v>0</v>
      </c>
    </row>
    <row r="1392" spans="1:7">
      <c r="A1392" s="3">
        <v>14</v>
      </c>
      <c r="B1392" s="3">
        <v>9</v>
      </c>
      <c r="C1392" s="3">
        <v>169</v>
      </c>
      <c r="D1392" s="3">
        <v>24</v>
      </c>
      <c r="E1392" s="3">
        <v>-225.699</v>
      </c>
      <c r="F1392" s="4" t="str">
        <f>HYPERLINK("http://141.218.60.56/~jnz1568/getInfo.php?workbook=14_09.xlsx&amp;sheet=A0&amp;row=1392&amp;col=6&amp;number=323000&amp;sourceID=14","323000")</f>
        <v>323000</v>
      </c>
      <c r="G1392" s="4" t="str">
        <f>HYPERLINK("http://141.218.60.56/~jnz1568/getInfo.php?workbook=14_09.xlsx&amp;sheet=A0&amp;row=1392&amp;col=7&amp;number=0&amp;sourceID=14","0")</f>
        <v>0</v>
      </c>
    </row>
    <row r="1393" spans="1:7">
      <c r="A1393" s="3">
        <v>14</v>
      </c>
      <c r="B1393" s="3">
        <v>9</v>
      </c>
      <c r="C1393" s="3">
        <v>182</v>
      </c>
      <c r="D1393" s="3">
        <v>24</v>
      </c>
      <c r="E1393" s="3">
        <v>-215.42</v>
      </c>
      <c r="F1393" s="4" t="str">
        <f>HYPERLINK("http://141.218.60.56/~jnz1568/getInfo.php?workbook=14_09.xlsx&amp;sheet=A0&amp;row=1393&amp;col=6&amp;number=3290000&amp;sourceID=14","3290000")</f>
        <v>3290000</v>
      </c>
      <c r="G1393" s="4" t="str">
        <f>HYPERLINK("http://141.218.60.56/~jnz1568/getInfo.php?workbook=14_09.xlsx&amp;sheet=A0&amp;row=1393&amp;col=7&amp;number=0&amp;sourceID=14","0")</f>
        <v>0</v>
      </c>
    </row>
    <row r="1394" spans="1:7">
      <c r="A1394" s="3">
        <v>14</v>
      </c>
      <c r="B1394" s="3">
        <v>9</v>
      </c>
      <c r="C1394" s="3">
        <v>183</v>
      </c>
      <c r="D1394" s="3">
        <v>24</v>
      </c>
      <c r="E1394" s="3">
        <v>-211.555</v>
      </c>
      <c r="F1394" s="4" t="str">
        <f>HYPERLINK("http://141.218.60.56/~jnz1568/getInfo.php?workbook=14_09.xlsx&amp;sheet=A0&amp;row=1394&amp;col=6&amp;number=91600000&amp;sourceID=14","91600000")</f>
        <v>91600000</v>
      </c>
      <c r="G1394" s="4" t="str">
        <f>HYPERLINK("http://141.218.60.56/~jnz1568/getInfo.php?workbook=14_09.xlsx&amp;sheet=A0&amp;row=1394&amp;col=7&amp;number=0&amp;sourceID=14","0")</f>
        <v>0</v>
      </c>
    </row>
    <row r="1395" spans="1:7">
      <c r="A1395" s="3">
        <v>14</v>
      </c>
      <c r="B1395" s="3">
        <v>9</v>
      </c>
      <c r="C1395" s="3">
        <v>184</v>
      </c>
      <c r="D1395" s="3">
        <v>24</v>
      </c>
      <c r="E1395" s="3">
        <v>-210.492</v>
      </c>
      <c r="F1395" s="4" t="str">
        <f>HYPERLINK("http://141.218.60.56/~jnz1568/getInfo.php?workbook=14_09.xlsx&amp;sheet=A0&amp;row=1395&amp;col=6&amp;number=95000000&amp;sourceID=14","95000000")</f>
        <v>95000000</v>
      </c>
      <c r="G1395" s="4" t="str">
        <f>HYPERLINK("http://141.218.60.56/~jnz1568/getInfo.php?workbook=14_09.xlsx&amp;sheet=A0&amp;row=1395&amp;col=7&amp;number=0&amp;sourceID=14","0")</f>
        <v>0</v>
      </c>
    </row>
    <row r="1396" spans="1:7">
      <c r="A1396" s="3">
        <v>14</v>
      </c>
      <c r="B1396" s="3">
        <v>9</v>
      </c>
      <c r="C1396" s="3">
        <v>43</v>
      </c>
      <c r="D1396" s="3">
        <v>25</v>
      </c>
      <c r="E1396" s="3">
        <v>1396.352</v>
      </c>
      <c r="F1396" s="4" t="str">
        <f>HYPERLINK("http://141.218.60.56/~jnz1568/getInfo.php?workbook=14_09.xlsx&amp;sheet=A0&amp;row=1396&amp;col=6&amp;number=549000&amp;sourceID=14","549000")</f>
        <v>549000</v>
      </c>
      <c r="G1396" s="4" t="str">
        <f>HYPERLINK("http://141.218.60.56/~jnz1568/getInfo.php?workbook=14_09.xlsx&amp;sheet=A0&amp;row=1396&amp;col=7&amp;number=0&amp;sourceID=14","0")</f>
        <v>0</v>
      </c>
    </row>
    <row r="1397" spans="1:7">
      <c r="A1397" s="3">
        <v>14</v>
      </c>
      <c r="B1397" s="3">
        <v>9</v>
      </c>
      <c r="C1397" s="3">
        <v>50</v>
      </c>
      <c r="D1397" s="3">
        <v>25</v>
      </c>
      <c r="E1397" s="3">
        <v>919.036</v>
      </c>
      <c r="F1397" s="4" t="str">
        <f>HYPERLINK("http://141.218.60.56/~jnz1568/getInfo.php?workbook=14_09.xlsx&amp;sheet=A0&amp;row=1397&amp;col=6&amp;number=2400000000&amp;sourceID=14","2400000000")</f>
        <v>2400000000</v>
      </c>
      <c r="G1397" s="4" t="str">
        <f>HYPERLINK("http://141.218.60.56/~jnz1568/getInfo.php?workbook=14_09.xlsx&amp;sheet=A0&amp;row=1397&amp;col=7&amp;number=0&amp;sourceID=14","0")</f>
        <v>0</v>
      </c>
    </row>
    <row r="1398" spans="1:7">
      <c r="A1398" s="3">
        <v>14</v>
      </c>
      <c r="B1398" s="3">
        <v>9</v>
      </c>
      <c r="C1398" s="3">
        <v>54</v>
      </c>
      <c r="D1398" s="3">
        <v>25</v>
      </c>
      <c r="E1398" s="3">
        <v>-839.315</v>
      </c>
      <c r="F1398" s="4" t="str">
        <f>HYPERLINK("http://141.218.60.56/~jnz1568/getInfo.php?workbook=14_09.xlsx&amp;sheet=A0&amp;row=1398&amp;col=6&amp;number=1010000000&amp;sourceID=14","1010000000")</f>
        <v>1010000000</v>
      </c>
      <c r="G1398" s="4" t="str">
        <f>HYPERLINK("http://141.218.60.56/~jnz1568/getInfo.php?workbook=14_09.xlsx&amp;sheet=A0&amp;row=1398&amp;col=7&amp;number=0&amp;sourceID=14","0")</f>
        <v>0</v>
      </c>
    </row>
    <row r="1399" spans="1:7">
      <c r="A1399" s="3">
        <v>14</v>
      </c>
      <c r="B1399" s="3">
        <v>9</v>
      </c>
      <c r="C1399" s="3">
        <v>56</v>
      </c>
      <c r="D1399" s="3">
        <v>25</v>
      </c>
      <c r="E1399" s="3">
        <v>839.917</v>
      </c>
      <c r="F1399" s="4" t="str">
        <f>HYPERLINK("http://141.218.60.56/~jnz1568/getInfo.php?workbook=14_09.xlsx&amp;sheet=A0&amp;row=1399&amp;col=6&amp;number=27800000&amp;sourceID=14","27800000")</f>
        <v>27800000</v>
      </c>
      <c r="G1399" s="4" t="str">
        <f>HYPERLINK("http://141.218.60.56/~jnz1568/getInfo.php?workbook=14_09.xlsx&amp;sheet=A0&amp;row=1399&amp;col=7&amp;number=0&amp;sourceID=14","0")</f>
        <v>0</v>
      </c>
    </row>
    <row r="1400" spans="1:7">
      <c r="A1400" s="3">
        <v>14</v>
      </c>
      <c r="B1400" s="3">
        <v>9</v>
      </c>
      <c r="C1400" s="3">
        <v>57</v>
      </c>
      <c r="D1400" s="3">
        <v>25</v>
      </c>
      <c r="E1400" s="3">
        <v>-828.715</v>
      </c>
      <c r="F1400" s="4" t="str">
        <f>HYPERLINK("http://141.218.60.56/~jnz1568/getInfo.php?workbook=14_09.xlsx&amp;sheet=A0&amp;row=1400&amp;col=6&amp;number=104000000&amp;sourceID=14","104000000")</f>
        <v>104000000</v>
      </c>
      <c r="G1400" s="4" t="str">
        <f>HYPERLINK("http://141.218.60.56/~jnz1568/getInfo.php?workbook=14_09.xlsx&amp;sheet=A0&amp;row=1400&amp;col=7&amp;number=0&amp;sourceID=14","0")</f>
        <v>0</v>
      </c>
    </row>
    <row r="1401" spans="1:7">
      <c r="A1401" s="3">
        <v>14</v>
      </c>
      <c r="B1401" s="3">
        <v>9</v>
      </c>
      <c r="C1401" s="3">
        <v>58</v>
      </c>
      <c r="D1401" s="3">
        <v>25</v>
      </c>
      <c r="E1401" s="3">
        <v>-820.932</v>
      </c>
      <c r="F1401" s="4" t="str">
        <f>HYPERLINK("http://141.218.60.56/~jnz1568/getInfo.php?workbook=14_09.xlsx&amp;sheet=A0&amp;row=1401&amp;col=6&amp;number=134000000&amp;sourceID=14","134000000")</f>
        <v>134000000</v>
      </c>
      <c r="G1401" s="4" t="str">
        <f>HYPERLINK("http://141.218.60.56/~jnz1568/getInfo.php?workbook=14_09.xlsx&amp;sheet=A0&amp;row=1401&amp;col=7&amp;number=0&amp;sourceID=14","0")</f>
        <v>0</v>
      </c>
    </row>
    <row r="1402" spans="1:7">
      <c r="A1402" s="3">
        <v>14</v>
      </c>
      <c r="B1402" s="3">
        <v>9</v>
      </c>
      <c r="C1402" s="3">
        <v>59</v>
      </c>
      <c r="D1402" s="3">
        <v>25</v>
      </c>
      <c r="E1402" s="3">
        <v>-542.033</v>
      </c>
      <c r="F1402" s="4" t="str">
        <f>HYPERLINK("http://141.218.60.56/~jnz1568/getInfo.php?workbook=14_09.xlsx&amp;sheet=A0&amp;row=1402&amp;col=6&amp;number=3220000&amp;sourceID=14","3220000")</f>
        <v>3220000</v>
      </c>
      <c r="G1402" s="4" t="str">
        <f>HYPERLINK("http://141.218.60.56/~jnz1568/getInfo.php?workbook=14_09.xlsx&amp;sheet=A0&amp;row=1402&amp;col=7&amp;number=0&amp;sourceID=14","0")</f>
        <v>0</v>
      </c>
    </row>
    <row r="1403" spans="1:7">
      <c r="A1403" s="3">
        <v>14</v>
      </c>
      <c r="B1403" s="3">
        <v>9</v>
      </c>
      <c r="C1403" s="3">
        <v>60</v>
      </c>
      <c r="D1403" s="3">
        <v>25</v>
      </c>
      <c r="E1403" s="3">
        <v>-541.358</v>
      </c>
      <c r="F1403" s="4" t="str">
        <f>HYPERLINK("http://141.218.60.56/~jnz1568/getInfo.php?workbook=14_09.xlsx&amp;sheet=A0&amp;row=1403&amp;col=6&amp;number=70700000&amp;sourceID=14","70700000")</f>
        <v>70700000</v>
      </c>
      <c r="G1403" s="4" t="str">
        <f>HYPERLINK("http://141.218.60.56/~jnz1568/getInfo.php?workbook=14_09.xlsx&amp;sheet=A0&amp;row=1403&amp;col=7&amp;number=0&amp;sourceID=14","0")</f>
        <v>0</v>
      </c>
    </row>
    <row r="1404" spans="1:7">
      <c r="A1404" s="3">
        <v>14</v>
      </c>
      <c r="B1404" s="3">
        <v>9</v>
      </c>
      <c r="C1404" s="3">
        <v>79</v>
      </c>
      <c r="D1404" s="3">
        <v>25</v>
      </c>
      <c r="E1404" s="3">
        <v>-404.861</v>
      </c>
      <c r="F1404" s="4" t="str">
        <f>HYPERLINK("http://141.218.60.56/~jnz1568/getInfo.php?workbook=14_09.xlsx&amp;sheet=A0&amp;row=1404&amp;col=6&amp;number=322000000&amp;sourceID=14","322000000")</f>
        <v>322000000</v>
      </c>
      <c r="G1404" s="4" t="str">
        <f>HYPERLINK("http://141.218.60.56/~jnz1568/getInfo.php?workbook=14_09.xlsx&amp;sheet=A0&amp;row=1404&amp;col=7&amp;number=0&amp;sourceID=14","0")</f>
        <v>0</v>
      </c>
    </row>
    <row r="1405" spans="1:7">
      <c r="A1405" s="3">
        <v>14</v>
      </c>
      <c r="B1405" s="3">
        <v>9</v>
      </c>
      <c r="C1405" s="3">
        <v>80</v>
      </c>
      <c r="D1405" s="3">
        <v>25</v>
      </c>
      <c r="E1405" s="3">
        <v>-404.833</v>
      </c>
      <c r="F1405" s="4" t="str">
        <f>HYPERLINK("http://141.218.60.56/~jnz1568/getInfo.php?workbook=14_09.xlsx&amp;sheet=A0&amp;row=1405&amp;col=6&amp;number=5080000000&amp;sourceID=14","5080000000")</f>
        <v>5080000000</v>
      </c>
      <c r="G1405" s="4" t="str">
        <f>HYPERLINK("http://141.218.60.56/~jnz1568/getInfo.php?workbook=14_09.xlsx&amp;sheet=A0&amp;row=1405&amp;col=7&amp;number=0&amp;sourceID=14","0")</f>
        <v>0</v>
      </c>
    </row>
    <row r="1406" spans="1:7">
      <c r="A1406" s="3">
        <v>14</v>
      </c>
      <c r="B1406" s="3">
        <v>9</v>
      </c>
      <c r="C1406" s="3">
        <v>87</v>
      </c>
      <c r="D1406" s="3">
        <v>25</v>
      </c>
      <c r="E1406" s="3">
        <v>-374.387</v>
      </c>
      <c r="F1406" s="4" t="str">
        <f>HYPERLINK("http://141.218.60.56/~jnz1568/getInfo.php?workbook=14_09.xlsx&amp;sheet=A0&amp;row=1406&amp;col=6&amp;number=112000&amp;sourceID=14","112000")</f>
        <v>112000</v>
      </c>
      <c r="G1406" s="4" t="str">
        <f>HYPERLINK("http://141.218.60.56/~jnz1568/getInfo.php?workbook=14_09.xlsx&amp;sheet=A0&amp;row=1406&amp;col=7&amp;number=0&amp;sourceID=14","0")</f>
        <v>0</v>
      </c>
    </row>
    <row r="1407" spans="1:7">
      <c r="A1407" s="3">
        <v>14</v>
      </c>
      <c r="B1407" s="3">
        <v>9</v>
      </c>
      <c r="C1407" s="3">
        <v>93</v>
      </c>
      <c r="D1407" s="3">
        <v>25</v>
      </c>
      <c r="E1407" s="3">
        <v>-367.134</v>
      </c>
      <c r="F1407" s="4" t="str">
        <f>HYPERLINK("http://141.218.60.56/~jnz1568/getInfo.php?workbook=14_09.xlsx&amp;sheet=A0&amp;row=1407&amp;col=6&amp;number=1150000&amp;sourceID=14","1150000")</f>
        <v>1150000</v>
      </c>
      <c r="G1407" s="4" t="str">
        <f>HYPERLINK("http://141.218.60.56/~jnz1568/getInfo.php?workbook=14_09.xlsx&amp;sheet=A0&amp;row=1407&amp;col=7&amp;number=0&amp;sourceID=14","0")</f>
        <v>0</v>
      </c>
    </row>
    <row r="1408" spans="1:7">
      <c r="A1408" s="3">
        <v>14</v>
      </c>
      <c r="B1408" s="3">
        <v>9</v>
      </c>
      <c r="C1408" s="3">
        <v>94</v>
      </c>
      <c r="D1408" s="3">
        <v>25</v>
      </c>
      <c r="E1408" s="3">
        <v>-366.836</v>
      </c>
      <c r="F1408" s="4" t="str">
        <f>HYPERLINK("http://141.218.60.56/~jnz1568/getInfo.php?workbook=14_09.xlsx&amp;sheet=A0&amp;row=1408&amp;col=6&amp;number=550000&amp;sourceID=14","550000")</f>
        <v>550000</v>
      </c>
      <c r="G1408" s="4" t="str">
        <f>HYPERLINK("http://141.218.60.56/~jnz1568/getInfo.php?workbook=14_09.xlsx&amp;sheet=A0&amp;row=1408&amp;col=7&amp;number=0&amp;sourceID=14","0")</f>
        <v>0</v>
      </c>
    </row>
    <row r="1409" spans="1:7">
      <c r="A1409" s="3">
        <v>14</v>
      </c>
      <c r="B1409" s="3">
        <v>9</v>
      </c>
      <c r="C1409" s="3">
        <v>96</v>
      </c>
      <c r="D1409" s="3">
        <v>25</v>
      </c>
      <c r="E1409" s="3">
        <v>-365.048</v>
      </c>
      <c r="F1409" s="4" t="str">
        <f>HYPERLINK("http://141.218.60.56/~jnz1568/getInfo.php?workbook=14_09.xlsx&amp;sheet=A0&amp;row=1409&amp;col=6&amp;number=189000&amp;sourceID=14","189000")</f>
        <v>189000</v>
      </c>
      <c r="G1409" s="4" t="str">
        <f>HYPERLINK("http://141.218.60.56/~jnz1568/getInfo.php?workbook=14_09.xlsx&amp;sheet=A0&amp;row=1409&amp;col=7&amp;number=0&amp;sourceID=14","0")</f>
        <v>0</v>
      </c>
    </row>
    <row r="1410" spans="1:7">
      <c r="A1410" s="3">
        <v>14</v>
      </c>
      <c r="B1410" s="3">
        <v>9</v>
      </c>
      <c r="C1410" s="3">
        <v>98</v>
      </c>
      <c r="D1410" s="3">
        <v>25</v>
      </c>
      <c r="E1410" s="3">
        <v>-363.349</v>
      </c>
      <c r="F1410" s="4" t="str">
        <f>HYPERLINK("http://141.218.60.56/~jnz1568/getInfo.php?workbook=14_09.xlsx&amp;sheet=A0&amp;row=1410&amp;col=6&amp;number=3460000&amp;sourceID=14","3460000")</f>
        <v>3460000</v>
      </c>
      <c r="G1410" s="4" t="str">
        <f>HYPERLINK("http://141.218.60.56/~jnz1568/getInfo.php?workbook=14_09.xlsx&amp;sheet=A0&amp;row=1410&amp;col=7&amp;number=0&amp;sourceID=14","0")</f>
        <v>0</v>
      </c>
    </row>
    <row r="1411" spans="1:7">
      <c r="A1411" s="3">
        <v>14</v>
      </c>
      <c r="B1411" s="3">
        <v>9</v>
      </c>
      <c r="C1411" s="3">
        <v>100</v>
      </c>
      <c r="D1411" s="3">
        <v>25</v>
      </c>
      <c r="E1411" s="3">
        <v>-360.435</v>
      </c>
      <c r="F1411" s="4" t="str">
        <f>HYPERLINK("http://141.218.60.56/~jnz1568/getInfo.php?workbook=14_09.xlsx&amp;sheet=A0&amp;row=1411&amp;col=6&amp;number=11000000&amp;sourceID=14","11000000")</f>
        <v>11000000</v>
      </c>
      <c r="G1411" s="4" t="str">
        <f>HYPERLINK("http://141.218.60.56/~jnz1568/getInfo.php?workbook=14_09.xlsx&amp;sheet=A0&amp;row=1411&amp;col=7&amp;number=0&amp;sourceID=14","0")</f>
        <v>0</v>
      </c>
    </row>
    <row r="1412" spans="1:7">
      <c r="A1412" s="3">
        <v>14</v>
      </c>
      <c r="B1412" s="3">
        <v>9</v>
      </c>
      <c r="C1412" s="3">
        <v>110</v>
      </c>
      <c r="D1412" s="3">
        <v>25</v>
      </c>
      <c r="E1412" s="3">
        <v>-356.117</v>
      </c>
      <c r="F1412" s="4" t="str">
        <f>HYPERLINK("http://141.218.60.56/~jnz1568/getInfo.php?workbook=14_09.xlsx&amp;sheet=A0&amp;row=1412&amp;col=6&amp;number=8370000&amp;sourceID=14","8370000")</f>
        <v>8370000</v>
      </c>
      <c r="G1412" s="4" t="str">
        <f>HYPERLINK("http://141.218.60.56/~jnz1568/getInfo.php?workbook=14_09.xlsx&amp;sheet=A0&amp;row=1412&amp;col=7&amp;number=0&amp;sourceID=14","0")</f>
        <v>0</v>
      </c>
    </row>
    <row r="1413" spans="1:7">
      <c r="A1413" s="3">
        <v>14</v>
      </c>
      <c r="B1413" s="3">
        <v>9</v>
      </c>
      <c r="C1413" s="3">
        <v>113</v>
      </c>
      <c r="D1413" s="3">
        <v>25</v>
      </c>
      <c r="E1413" s="3">
        <v>-355.975</v>
      </c>
      <c r="F1413" s="4" t="str">
        <f>HYPERLINK("http://141.218.60.56/~jnz1568/getInfo.php?workbook=14_09.xlsx&amp;sheet=A0&amp;row=1413&amp;col=6&amp;number=92400&amp;sourceID=14","92400")</f>
        <v>92400</v>
      </c>
      <c r="G1413" s="4" t="str">
        <f>HYPERLINK("http://141.218.60.56/~jnz1568/getInfo.php?workbook=14_09.xlsx&amp;sheet=A0&amp;row=1413&amp;col=7&amp;number=0&amp;sourceID=14","0")</f>
        <v>0</v>
      </c>
    </row>
    <row r="1414" spans="1:7">
      <c r="A1414" s="3">
        <v>14</v>
      </c>
      <c r="B1414" s="3">
        <v>9</v>
      </c>
      <c r="C1414" s="3">
        <v>126</v>
      </c>
      <c r="D1414" s="3">
        <v>25</v>
      </c>
      <c r="E1414" s="3">
        <v>-339.496</v>
      </c>
      <c r="F1414" s="4" t="str">
        <f>HYPERLINK("http://141.218.60.56/~jnz1568/getInfo.php?workbook=14_09.xlsx&amp;sheet=A0&amp;row=1414&amp;col=6&amp;number=133000&amp;sourceID=14","133000")</f>
        <v>133000</v>
      </c>
      <c r="G1414" s="4" t="str">
        <f>HYPERLINK("http://141.218.60.56/~jnz1568/getInfo.php?workbook=14_09.xlsx&amp;sheet=A0&amp;row=1414&amp;col=7&amp;number=0&amp;sourceID=14","0")</f>
        <v>0</v>
      </c>
    </row>
    <row r="1415" spans="1:7">
      <c r="A1415" s="3">
        <v>14</v>
      </c>
      <c r="B1415" s="3">
        <v>9</v>
      </c>
      <c r="C1415" s="3">
        <v>129</v>
      </c>
      <c r="D1415" s="3">
        <v>25</v>
      </c>
      <c r="E1415" s="3">
        <v>-315.935</v>
      </c>
      <c r="F1415" s="4" t="str">
        <f>HYPERLINK("http://141.218.60.56/~jnz1568/getInfo.php?workbook=14_09.xlsx&amp;sheet=A0&amp;row=1415&amp;col=6&amp;number=4160000000&amp;sourceID=14","4160000000")</f>
        <v>4160000000</v>
      </c>
      <c r="G1415" s="4" t="str">
        <f>HYPERLINK("http://141.218.60.56/~jnz1568/getInfo.php?workbook=14_09.xlsx&amp;sheet=A0&amp;row=1415&amp;col=7&amp;number=0&amp;sourceID=14","0")</f>
        <v>0</v>
      </c>
    </row>
    <row r="1416" spans="1:7">
      <c r="A1416" s="3">
        <v>14</v>
      </c>
      <c r="B1416" s="3">
        <v>9</v>
      </c>
      <c r="C1416" s="3">
        <v>131</v>
      </c>
      <c r="D1416" s="3">
        <v>25</v>
      </c>
      <c r="E1416" s="3">
        <v>-312.559</v>
      </c>
      <c r="F1416" s="4" t="str">
        <f>HYPERLINK("http://141.218.60.56/~jnz1568/getInfo.php?workbook=14_09.xlsx&amp;sheet=A0&amp;row=1416&amp;col=6&amp;number=1060000000&amp;sourceID=14","1060000000")</f>
        <v>1060000000</v>
      </c>
      <c r="G1416" s="4" t="str">
        <f>HYPERLINK("http://141.218.60.56/~jnz1568/getInfo.php?workbook=14_09.xlsx&amp;sheet=A0&amp;row=1416&amp;col=7&amp;number=0&amp;sourceID=14","0")</f>
        <v>0</v>
      </c>
    </row>
    <row r="1417" spans="1:7">
      <c r="A1417" s="3">
        <v>14</v>
      </c>
      <c r="B1417" s="3">
        <v>9</v>
      </c>
      <c r="C1417" s="3">
        <v>133</v>
      </c>
      <c r="D1417" s="3">
        <v>25</v>
      </c>
      <c r="E1417" s="3">
        <v>-312.434</v>
      </c>
      <c r="F1417" s="4" t="str">
        <f>HYPERLINK("http://141.218.60.56/~jnz1568/getInfo.php?workbook=14_09.xlsx&amp;sheet=A0&amp;row=1417&amp;col=6&amp;number=27700000&amp;sourceID=14","27700000")</f>
        <v>27700000</v>
      </c>
      <c r="G1417" s="4" t="str">
        <f>HYPERLINK("http://141.218.60.56/~jnz1568/getInfo.php?workbook=14_09.xlsx&amp;sheet=A0&amp;row=1417&amp;col=7&amp;number=0&amp;sourceID=14","0")</f>
        <v>0</v>
      </c>
    </row>
    <row r="1418" spans="1:7">
      <c r="A1418" s="3">
        <v>14</v>
      </c>
      <c r="B1418" s="3">
        <v>9</v>
      </c>
      <c r="C1418" s="3">
        <v>135</v>
      </c>
      <c r="D1418" s="3">
        <v>25</v>
      </c>
      <c r="E1418" s="3">
        <v>-311.787</v>
      </c>
      <c r="F1418" s="4" t="str">
        <f>HYPERLINK("http://141.218.60.56/~jnz1568/getInfo.php?workbook=14_09.xlsx&amp;sheet=A0&amp;row=1418&amp;col=6&amp;number=22100000&amp;sourceID=14","22100000")</f>
        <v>22100000</v>
      </c>
      <c r="G1418" s="4" t="str">
        <f>HYPERLINK("http://141.218.60.56/~jnz1568/getInfo.php?workbook=14_09.xlsx&amp;sheet=A0&amp;row=1418&amp;col=7&amp;number=0&amp;sourceID=14","0")</f>
        <v>0</v>
      </c>
    </row>
    <row r="1419" spans="1:7">
      <c r="A1419" s="3">
        <v>14</v>
      </c>
      <c r="B1419" s="3">
        <v>9</v>
      </c>
      <c r="C1419" s="3">
        <v>136</v>
      </c>
      <c r="D1419" s="3">
        <v>25</v>
      </c>
      <c r="E1419" s="3">
        <v>-311.33</v>
      </c>
      <c r="F1419" s="4" t="str">
        <f>HYPERLINK("http://141.218.60.56/~jnz1568/getInfo.php?workbook=14_09.xlsx&amp;sheet=A0&amp;row=1419&amp;col=6&amp;number=448000000&amp;sourceID=14","448000000")</f>
        <v>448000000</v>
      </c>
      <c r="G1419" s="4" t="str">
        <f>HYPERLINK("http://141.218.60.56/~jnz1568/getInfo.php?workbook=14_09.xlsx&amp;sheet=A0&amp;row=1419&amp;col=7&amp;number=0&amp;sourceID=14","0")</f>
        <v>0</v>
      </c>
    </row>
    <row r="1420" spans="1:7">
      <c r="A1420" s="3">
        <v>14</v>
      </c>
      <c r="B1420" s="3">
        <v>9</v>
      </c>
      <c r="C1420" s="3">
        <v>140</v>
      </c>
      <c r="D1420" s="3">
        <v>25</v>
      </c>
      <c r="E1420" s="3">
        <v>-306.083</v>
      </c>
      <c r="F1420" s="4" t="str">
        <f>HYPERLINK("http://141.218.60.56/~jnz1568/getInfo.php?workbook=14_09.xlsx&amp;sheet=A0&amp;row=1420&amp;col=6&amp;number=679000&amp;sourceID=14","679000")</f>
        <v>679000</v>
      </c>
      <c r="G1420" s="4" t="str">
        <f>HYPERLINK("http://141.218.60.56/~jnz1568/getInfo.php?workbook=14_09.xlsx&amp;sheet=A0&amp;row=1420&amp;col=7&amp;number=0&amp;sourceID=14","0")</f>
        <v>0</v>
      </c>
    </row>
    <row r="1421" spans="1:7">
      <c r="A1421" s="3">
        <v>14</v>
      </c>
      <c r="B1421" s="3">
        <v>9</v>
      </c>
      <c r="C1421" s="3">
        <v>143</v>
      </c>
      <c r="D1421" s="3">
        <v>25</v>
      </c>
      <c r="E1421" s="3">
        <v>-304.826</v>
      </c>
      <c r="F1421" s="4" t="str">
        <f>HYPERLINK("http://141.218.60.56/~jnz1568/getInfo.php?workbook=14_09.xlsx&amp;sheet=A0&amp;row=1421&amp;col=6&amp;number=1090000&amp;sourceID=14","1090000")</f>
        <v>1090000</v>
      </c>
      <c r="G1421" s="4" t="str">
        <f>HYPERLINK("http://141.218.60.56/~jnz1568/getInfo.php?workbook=14_09.xlsx&amp;sheet=A0&amp;row=1421&amp;col=7&amp;number=0&amp;sourceID=14","0")</f>
        <v>0</v>
      </c>
    </row>
    <row r="1422" spans="1:7">
      <c r="A1422" s="3">
        <v>14</v>
      </c>
      <c r="B1422" s="3">
        <v>9</v>
      </c>
      <c r="C1422" s="3">
        <v>145</v>
      </c>
      <c r="D1422" s="3">
        <v>25</v>
      </c>
      <c r="E1422" s="3">
        <v>-304.771</v>
      </c>
      <c r="F1422" s="4" t="str">
        <f>HYPERLINK("http://141.218.60.56/~jnz1568/getInfo.php?workbook=14_09.xlsx&amp;sheet=A0&amp;row=1422&amp;col=6&amp;number=7370000&amp;sourceID=14","7370000")</f>
        <v>7370000</v>
      </c>
      <c r="G1422" s="4" t="str">
        <f>HYPERLINK("http://141.218.60.56/~jnz1568/getInfo.php?workbook=14_09.xlsx&amp;sheet=A0&amp;row=1422&amp;col=7&amp;number=0&amp;sourceID=14","0")</f>
        <v>0</v>
      </c>
    </row>
    <row r="1423" spans="1:7">
      <c r="A1423" s="3">
        <v>14</v>
      </c>
      <c r="B1423" s="3">
        <v>9</v>
      </c>
      <c r="C1423" s="3">
        <v>148</v>
      </c>
      <c r="D1423" s="3">
        <v>25</v>
      </c>
      <c r="E1423" s="3">
        <v>-303.442</v>
      </c>
      <c r="F1423" s="4" t="str">
        <f>HYPERLINK("http://141.218.60.56/~jnz1568/getInfo.php?workbook=14_09.xlsx&amp;sheet=A0&amp;row=1423&amp;col=6&amp;number=398000&amp;sourceID=14","398000")</f>
        <v>398000</v>
      </c>
      <c r="G1423" s="4" t="str">
        <f>HYPERLINK("http://141.218.60.56/~jnz1568/getInfo.php?workbook=14_09.xlsx&amp;sheet=A0&amp;row=1423&amp;col=7&amp;number=0&amp;sourceID=14","0")</f>
        <v>0</v>
      </c>
    </row>
    <row r="1424" spans="1:7">
      <c r="A1424" s="3">
        <v>14</v>
      </c>
      <c r="B1424" s="3">
        <v>9</v>
      </c>
      <c r="C1424" s="3">
        <v>149</v>
      </c>
      <c r="D1424" s="3">
        <v>25</v>
      </c>
      <c r="E1424" s="3">
        <v>-303.272</v>
      </c>
      <c r="F1424" s="4" t="str">
        <f>HYPERLINK("http://141.218.60.56/~jnz1568/getInfo.php?workbook=14_09.xlsx&amp;sheet=A0&amp;row=1424&amp;col=6&amp;number=460000&amp;sourceID=14","460000")</f>
        <v>460000</v>
      </c>
      <c r="G1424" s="4" t="str">
        <f>HYPERLINK("http://141.218.60.56/~jnz1568/getInfo.php?workbook=14_09.xlsx&amp;sheet=A0&amp;row=1424&amp;col=7&amp;number=0&amp;sourceID=14","0")</f>
        <v>0</v>
      </c>
    </row>
    <row r="1425" spans="1:7">
      <c r="A1425" s="3">
        <v>14</v>
      </c>
      <c r="B1425" s="3">
        <v>9</v>
      </c>
      <c r="C1425" s="3">
        <v>152</v>
      </c>
      <c r="D1425" s="3">
        <v>25</v>
      </c>
      <c r="E1425" s="3">
        <v>-296.737</v>
      </c>
      <c r="F1425" s="4" t="str">
        <f>HYPERLINK("http://141.218.60.56/~jnz1568/getInfo.php?workbook=14_09.xlsx&amp;sheet=A0&amp;row=1425&amp;col=6&amp;number=5860000&amp;sourceID=14","5860000")</f>
        <v>5860000</v>
      </c>
      <c r="G1425" s="4" t="str">
        <f>HYPERLINK("http://141.218.60.56/~jnz1568/getInfo.php?workbook=14_09.xlsx&amp;sheet=A0&amp;row=1425&amp;col=7&amp;number=0&amp;sourceID=14","0")</f>
        <v>0</v>
      </c>
    </row>
    <row r="1426" spans="1:7">
      <c r="A1426" s="3">
        <v>14</v>
      </c>
      <c r="B1426" s="3">
        <v>9</v>
      </c>
      <c r="C1426" s="3">
        <v>153</v>
      </c>
      <c r="D1426" s="3">
        <v>25</v>
      </c>
      <c r="E1426" s="3">
        <v>-295.204</v>
      </c>
      <c r="F1426" s="4" t="str">
        <f>HYPERLINK("http://141.218.60.56/~jnz1568/getInfo.php?workbook=14_09.xlsx&amp;sheet=A0&amp;row=1426&amp;col=6&amp;number=16500000&amp;sourceID=14","16500000")</f>
        <v>16500000</v>
      </c>
      <c r="G1426" s="4" t="str">
        <f>HYPERLINK("http://141.218.60.56/~jnz1568/getInfo.php?workbook=14_09.xlsx&amp;sheet=A0&amp;row=1426&amp;col=7&amp;number=0&amp;sourceID=14","0")</f>
        <v>0</v>
      </c>
    </row>
    <row r="1427" spans="1:7">
      <c r="A1427" s="3">
        <v>14</v>
      </c>
      <c r="B1427" s="3">
        <v>9</v>
      </c>
      <c r="C1427" s="3">
        <v>154</v>
      </c>
      <c r="D1427" s="3">
        <v>25</v>
      </c>
      <c r="E1427" s="3">
        <v>-295.184</v>
      </c>
      <c r="F1427" s="4" t="str">
        <f>HYPERLINK("http://141.218.60.56/~jnz1568/getInfo.php?workbook=14_09.xlsx&amp;sheet=A0&amp;row=1427&amp;col=6&amp;number=3060000&amp;sourceID=14","3060000")</f>
        <v>3060000</v>
      </c>
      <c r="G1427" s="4" t="str">
        <f>HYPERLINK("http://141.218.60.56/~jnz1568/getInfo.php?workbook=14_09.xlsx&amp;sheet=A0&amp;row=1427&amp;col=7&amp;number=0&amp;sourceID=14","0")</f>
        <v>0</v>
      </c>
    </row>
    <row r="1428" spans="1:7">
      <c r="A1428" s="3">
        <v>14</v>
      </c>
      <c r="B1428" s="3">
        <v>9</v>
      </c>
      <c r="C1428" s="3">
        <v>156</v>
      </c>
      <c r="D1428" s="3">
        <v>25</v>
      </c>
      <c r="E1428" s="3">
        <v>-293.814</v>
      </c>
      <c r="F1428" s="4" t="str">
        <f>HYPERLINK("http://141.218.60.56/~jnz1568/getInfo.php?workbook=14_09.xlsx&amp;sheet=A0&amp;row=1428&amp;col=6&amp;number=5910000&amp;sourceID=14","5910000")</f>
        <v>5910000</v>
      </c>
      <c r="G1428" s="4" t="str">
        <f>HYPERLINK("http://141.218.60.56/~jnz1568/getInfo.php?workbook=14_09.xlsx&amp;sheet=A0&amp;row=1428&amp;col=7&amp;number=0&amp;sourceID=14","0")</f>
        <v>0</v>
      </c>
    </row>
    <row r="1429" spans="1:7">
      <c r="A1429" s="3">
        <v>14</v>
      </c>
      <c r="B1429" s="3">
        <v>9</v>
      </c>
      <c r="C1429" s="3">
        <v>157</v>
      </c>
      <c r="D1429" s="3">
        <v>25</v>
      </c>
      <c r="E1429" s="3">
        <v>-291.622</v>
      </c>
      <c r="F1429" s="4" t="str">
        <f>HYPERLINK("http://141.218.60.56/~jnz1568/getInfo.php?workbook=14_09.xlsx&amp;sheet=A0&amp;row=1429&amp;col=6&amp;number=1220000&amp;sourceID=14","1220000")</f>
        <v>1220000</v>
      </c>
      <c r="G1429" s="4" t="str">
        <f>HYPERLINK("http://141.218.60.56/~jnz1568/getInfo.php?workbook=14_09.xlsx&amp;sheet=A0&amp;row=1429&amp;col=7&amp;number=0&amp;sourceID=14","0")</f>
        <v>0</v>
      </c>
    </row>
    <row r="1430" spans="1:7">
      <c r="A1430" s="3">
        <v>14</v>
      </c>
      <c r="B1430" s="3">
        <v>9</v>
      </c>
      <c r="C1430" s="3">
        <v>162</v>
      </c>
      <c r="D1430" s="3">
        <v>25</v>
      </c>
      <c r="E1430" s="3">
        <v>-257.829</v>
      </c>
      <c r="F1430" s="4" t="str">
        <f>HYPERLINK("http://141.218.60.56/~jnz1568/getInfo.php?workbook=14_09.xlsx&amp;sheet=A0&amp;row=1430&amp;col=6&amp;number=4140000&amp;sourceID=14","4140000")</f>
        <v>4140000</v>
      </c>
      <c r="G1430" s="4" t="str">
        <f>HYPERLINK("http://141.218.60.56/~jnz1568/getInfo.php?workbook=14_09.xlsx&amp;sheet=A0&amp;row=1430&amp;col=7&amp;number=0&amp;sourceID=14","0")</f>
        <v>0</v>
      </c>
    </row>
    <row r="1431" spans="1:7">
      <c r="A1431" s="3">
        <v>14</v>
      </c>
      <c r="B1431" s="3">
        <v>9</v>
      </c>
      <c r="C1431" s="3">
        <v>163</v>
      </c>
      <c r="D1431" s="3">
        <v>25</v>
      </c>
      <c r="E1431" s="3">
        <v>-257.742</v>
      </c>
      <c r="F1431" s="4" t="str">
        <f>HYPERLINK("http://141.218.60.56/~jnz1568/getInfo.php?workbook=14_09.xlsx&amp;sheet=A0&amp;row=1431&amp;col=6&amp;number=88200000&amp;sourceID=14","88200000")</f>
        <v>88200000</v>
      </c>
      <c r="G1431" s="4" t="str">
        <f>HYPERLINK("http://141.218.60.56/~jnz1568/getInfo.php?workbook=14_09.xlsx&amp;sheet=A0&amp;row=1431&amp;col=7&amp;number=0&amp;sourceID=14","0")</f>
        <v>0</v>
      </c>
    </row>
    <row r="1432" spans="1:7">
      <c r="A1432" s="3">
        <v>14</v>
      </c>
      <c r="B1432" s="3">
        <v>9</v>
      </c>
      <c r="C1432" s="3">
        <v>185</v>
      </c>
      <c r="D1432" s="3">
        <v>25</v>
      </c>
      <c r="E1432" s="3">
        <v>-205.876</v>
      </c>
      <c r="F1432" s="4" t="str">
        <f>HYPERLINK("http://141.218.60.56/~jnz1568/getInfo.php?workbook=14_09.xlsx&amp;sheet=A0&amp;row=1432&amp;col=6&amp;number=54600000000&amp;sourceID=14","54600000000")</f>
        <v>54600000000</v>
      </c>
      <c r="G1432" s="4" t="str">
        <f>HYPERLINK("http://141.218.60.56/~jnz1568/getInfo.php?workbook=14_09.xlsx&amp;sheet=A0&amp;row=1432&amp;col=7&amp;number=0&amp;sourceID=14","0")</f>
        <v>0</v>
      </c>
    </row>
    <row r="1433" spans="1:7">
      <c r="A1433" s="3">
        <v>14</v>
      </c>
      <c r="B1433" s="3">
        <v>9</v>
      </c>
      <c r="C1433" s="3">
        <v>186</v>
      </c>
      <c r="D1433" s="3">
        <v>25</v>
      </c>
      <c r="E1433" s="3">
        <v>-205.607</v>
      </c>
      <c r="F1433" s="4" t="str">
        <f>HYPERLINK("http://141.218.60.56/~jnz1568/getInfo.php?workbook=14_09.xlsx&amp;sheet=A0&amp;row=1433&amp;col=6&amp;number=2160000000&amp;sourceID=14","2160000000")</f>
        <v>2160000000</v>
      </c>
      <c r="G1433" s="4" t="str">
        <f>HYPERLINK("http://141.218.60.56/~jnz1568/getInfo.php?workbook=14_09.xlsx&amp;sheet=A0&amp;row=1433&amp;col=7&amp;number=0&amp;sourceID=14","0")</f>
        <v>0</v>
      </c>
    </row>
    <row r="1434" spans="1:7">
      <c r="A1434" s="3">
        <v>14</v>
      </c>
      <c r="B1434" s="3">
        <v>9</v>
      </c>
      <c r="C1434" s="3">
        <v>188</v>
      </c>
      <c r="D1434" s="3">
        <v>25</v>
      </c>
      <c r="E1434" s="3">
        <v>-203.425</v>
      </c>
      <c r="F1434" s="4" t="str">
        <f>HYPERLINK("http://141.218.60.56/~jnz1568/getInfo.php?workbook=14_09.xlsx&amp;sheet=A0&amp;row=1434&amp;col=6&amp;number=8100000&amp;sourceID=14","8100000")</f>
        <v>8100000</v>
      </c>
      <c r="G1434" s="4" t="str">
        <f>HYPERLINK("http://141.218.60.56/~jnz1568/getInfo.php?workbook=14_09.xlsx&amp;sheet=A0&amp;row=1434&amp;col=7&amp;number=0&amp;sourceID=14","0")</f>
        <v>0</v>
      </c>
    </row>
    <row r="1435" spans="1:7">
      <c r="A1435" s="3">
        <v>14</v>
      </c>
      <c r="B1435" s="3">
        <v>9</v>
      </c>
      <c r="C1435" s="3">
        <v>36</v>
      </c>
      <c r="D1435" s="3">
        <v>26</v>
      </c>
      <c r="E1435" s="3">
        <v>1607.612</v>
      </c>
      <c r="F1435" s="4" t="str">
        <f>HYPERLINK("http://141.218.60.56/~jnz1568/getInfo.php?workbook=14_09.xlsx&amp;sheet=A0&amp;row=1435&amp;col=6&amp;number=27900&amp;sourceID=14","27900")</f>
        <v>27900</v>
      </c>
      <c r="G1435" s="4" t="str">
        <f>HYPERLINK("http://141.218.60.56/~jnz1568/getInfo.php?workbook=14_09.xlsx&amp;sheet=A0&amp;row=1435&amp;col=7&amp;number=0&amp;sourceID=14","0")</f>
        <v>0</v>
      </c>
    </row>
    <row r="1436" spans="1:7">
      <c r="A1436" s="3">
        <v>14</v>
      </c>
      <c r="B1436" s="3">
        <v>9</v>
      </c>
      <c r="C1436" s="3">
        <v>41</v>
      </c>
      <c r="D1436" s="3">
        <v>26</v>
      </c>
      <c r="E1436" s="3">
        <v>1516.798</v>
      </c>
      <c r="F1436" s="4" t="str">
        <f>HYPERLINK("http://141.218.60.56/~jnz1568/getInfo.php?workbook=14_09.xlsx&amp;sheet=A0&amp;row=1436&amp;col=6&amp;number=307000&amp;sourceID=14","307000")</f>
        <v>307000</v>
      </c>
      <c r="G1436" s="4" t="str">
        <f>HYPERLINK("http://141.218.60.56/~jnz1568/getInfo.php?workbook=14_09.xlsx&amp;sheet=A0&amp;row=1436&amp;col=7&amp;number=0&amp;sourceID=14","0")</f>
        <v>0</v>
      </c>
    </row>
    <row r="1437" spans="1:7">
      <c r="A1437" s="3">
        <v>14</v>
      </c>
      <c r="B1437" s="3">
        <v>9</v>
      </c>
      <c r="C1437" s="3">
        <v>48</v>
      </c>
      <c r="D1437" s="3">
        <v>26</v>
      </c>
      <c r="E1437" s="3">
        <v>-1271.636</v>
      </c>
      <c r="F1437" s="4" t="str">
        <f>HYPERLINK("http://141.218.60.56/~jnz1568/getInfo.php?workbook=14_09.xlsx&amp;sheet=A0&amp;row=1437&amp;col=6&amp;number=2960000&amp;sourceID=14","2960000")</f>
        <v>2960000</v>
      </c>
      <c r="G1437" s="4" t="str">
        <f>HYPERLINK("http://141.218.60.56/~jnz1568/getInfo.php?workbook=14_09.xlsx&amp;sheet=A0&amp;row=1437&amp;col=7&amp;number=0&amp;sourceID=14","0")</f>
        <v>0</v>
      </c>
    </row>
    <row r="1438" spans="1:7">
      <c r="A1438" s="3">
        <v>14</v>
      </c>
      <c r="B1438" s="3">
        <v>9</v>
      </c>
      <c r="C1438" s="3">
        <v>50</v>
      </c>
      <c r="D1438" s="3">
        <v>26</v>
      </c>
      <c r="E1438" s="3">
        <v>947.22</v>
      </c>
      <c r="F1438" s="4" t="str">
        <f>HYPERLINK("http://141.218.60.56/~jnz1568/getInfo.php?workbook=14_09.xlsx&amp;sheet=A0&amp;row=1438&amp;col=6&amp;number=97300000&amp;sourceID=14","97300000")</f>
        <v>97300000</v>
      </c>
      <c r="G1438" s="4" t="str">
        <f>HYPERLINK("http://141.218.60.56/~jnz1568/getInfo.php?workbook=14_09.xlsx&amp;sheet=A0&amp;row=1438&amp;col=7&amp;number=0&amp;sourceID=14","0")</f>
        <v>0</v>
      </c>
    </row>
    <row r="1439" spans="1:7">
      <c r="A1439" s="3">
        <v>14</v>
      </c>
      <c r="B1439" s="3">
        <v>9</v>
      </c>
      <c r="C1439" s="3">
        <v>51</v>
      </c>
      <c r="D1439" s="3">
        <v>26</v>
      </c>
      <c r="E1439" s="3">
        <v>924.292</v>
      </c>
      <c r="F1439" s="4" t="str">
        <f>HYPERLINK("http://141.218.60.56/~jnz1568/getInfo.php?workbook=14_09.xlsx&amp;sheet=A0&amp;row=1439&amp;col=6&amp;number=2480000000&amp;sourceID=14","2480000000")</f>
        <v>2480000000</v>
      </c>
      <c r="G1439" s="4" t="str">
        <f>HYPERLINK("http://141.218.60.56/~jnz1568/getInfo.php?workbook=14_09.xlsx&amp;sheet=A0&amp;row=1439&amp;col=7&amp;number=0&amp;sourceID=14","0")</f>
        <v>0</v>
      </c>
    </row>
    <row r="1440" spans="1:7">
      <c r="A1440" s="3">
        <v>14</v>
      </c>
      <c r="B1440" s="3">
        <v>9</v>
      </c>
      <c r="C1440" s="3">
        <v>54</v>
      </c>
      <c r="D1440" s="3">
        <v>26</v>
      </c>
      <c r="E1440" s="3">
        <v>-843.563</v>
      </c>
      <c r="F1440" s="4" t="str">
        <f>HYPERLINK("http://141.218.60.56/~jnz1568/getInfo.php?workbook=14_09.xlsx&amp;sheet=A0&amp;row=1440&amp;col=6&amp;number=13900000&amp;sourceID=14","13900000")</f>
        <v>13900000</v>
      </c>
      <c r="G1440" s="4" t="str">
        <f>HYPERLINK("http://141.218.60.56/~jnz1568/getInfo.php?workbook=14_09.xlsx&amp;sheet=A0&amp;row=1440&amp;col=7&amp;number=0&amp;sourceID=14","0")</f>
        <v>0</v>
      </c>
    </row>
    <row r="1441" spans="1:7">
      <c r="A1441" s="3">
        <v>14</v>
      </c>
      <c r="B1441" s="3">
        <v>9</v>
      </c>
      <c r="C1441" s="3">
        <v>56</v>
      </c>
      <c r="D1441" s="3">
        <v>26</v>
      </c>
      <c r="E1441" s="3">
        <v>863.395</v>
      </c>
      <c r="F1441" s="4" t="str">
        <f>HYPERLINK("http://141.218.60.56/~jnz1568/getInfo.php?workbook=14_09.xlsx&amp;sheet=A0&amp;row=1441&amp;col=6&amp;number=1080000000&amp;sourceID=14","1080000000")</f>
        <v>1080000000</v>
      </c>
      <c r="G1441" s="4" t="str">
        <f>HYPERLINK("http://141.218.60.56/~jnz1568/getInfo.php?workbook=14_09.xlsx&amp;sheet=A0&amp;row=1441&amp;col=7&amp;number=0&amp;sourceID=14","0")</f>
        <v>0</v>
      </c>
    </row>
    <row r="1442" spans="1:7">
      <c r="A1442" s="3">
        <v>14</v>
      </c>
      <c r="B1442" s="3">
        <v>9</v>
      </c>
      <c r="C1442" s="3">
        <v>57</v>
      </c>
      <c r="D1442" s="3">
        <v>26</v>
      </c>
      <c r="E1442" s="3">
        <v>-832.856</v>
      </c>
      <c r="F1442" s="4" t="str">
        <f>HYPERLINK("http://141.218.60.56/~jnz1568/getInfo.php?workbook=14_09.xlsx&amp;sheet=A0&amp;row=1442&amp;col=6&amp;number=149000000&amp;sourceID=14","149000000")</f>
        <v>149000000</v>
      </c>
      <c r="G1442" s="4" t="str">
        <f>HYPERLINK("http://141.218.60.56/~jnz1568/getInfo.php?workbook=14_09.xlsx&amp;sheet=A0&amp;row=1442&amp;col=7&amp;number=0&amp;sourceID=14","0")</f>
        <v>0</v>
      </c>
    </row>
    <row r="1443" spans="1:7">
      <c r="A1443" s="3">
        <v>14</v>
      </c>
      <c r="B1443" s="3">
        <v>9</v>
      </c>
      <c r="C1443" s="3">
        <v>59</v>
      </c>
      <c r="D1443" s="3">
        <v>26</v>
      </c>
      <c r="E1443" s="3">
        <v>-543.801</v>
      </c>
      <c r="F1443" s="4" t="str">
        <f>HYPERLINK("http://141.218.60.56/~jnz1568/getInfo.php?workbook=14_09.xlsx&amp;sheet=A0&amp;row=1443&amp;col=6&amp;number=68100000&amp;sourceID=14","68100000")</f>
        <v>68100000</v>
      </c>
      <c r="G1443" s="4" t="str">
        <f>HYPERLINK("http://141.218.60.56/~jnz1568/getInfo.php?workbook=14_09.xlsx&amp;sheet=A0&amp;row=1443&amp;col=7&amp;number=0&amp;sourceID=14","0")</f>
        <v>0</v>
      </c>
    </row>
    <row r="1444" spans="1:7">
      <c r="A1444" s="3">
        <v>14</v>
      </c>
      <c r="B1444" s="3">
        <v>9</v>
      </c>
      <c r="C1444" s="3">
        <v>79</v>
      </c>
      <c r="D1444" s="3">
        <v>26</v>
      </c>
      <c r="E1444" s="3">
        <v>-405.847</v>
      </c>
      <c r="F1444" s="4" t="str">
        <f>HYPERLINK("http://141.218.60.56/~jnz1568/getInfo.php?workbook=14_09.xlsx&amp;sheet=A0&amp;row=1444&amp;col=6&amp;number=4970000000&amp;sourceID=14","4970000000")</f>
        <v>4970000000</v>
      </c>
      <c r="G1444" s="4" t="str">
        <f>HYPERLINK("http://141.218.60.56/~jnz1568/getInfo.php?workbook=14_09.xlsx&amp;sheet=A0&amp;row=1444&amp;col=7&amp;number=0&amp;sourceID=14","0")</f>
        <v>0</v>
      </c>
    </row>
    <row r="1445" spans="1:7">
      <c r="A1445" s="3">
        <v>14</v>
      </c>
      <c r="B1445" s="3">
        <v>9</v>
      </c>
      <c r="C1445" s="3">
        <v>86</v>
      </c>
      <c r="D1445" s="3">
        <v>26</v>
      </c>
      <c r="E1445" s="3">
        <v>-375.659</v>
      </c>
      <c r="F1445" s="4" t="str">
        <f>HYPERLINK("http://141.218.60.56/~jnz1568/getInfo.php?workbook=14_09.xlsx&amp;sheet=A0&amp;row=1445&amp;col=6&amp;number=434000&amp;sourceID=14","434000")</f>
        <v>434000</v>
      </c>
      <c r="G1445" s="4" t="str">
        <f>HYPERLINK("http://141.218.60.56/~jnz1568/getInfo.php?workbook=14_09.xlsx&amp;sheet=A0&amp;row=1445&amp;col=7&amp;number=0&amp;sourceID=14","0")</f>
        <v>0</v>
      </c>
    </row>
    <row r="1446" spans="1:7">
      <c r="A1446" s="3">
        <v>14</v>
      </c>
      <c r="B1446" s="3">
        <v>9</v>
      </c>
      <c r="C1446" s="3">
        <v>91</v>
      </c>
      <c r="D1446" s="3">
        <v>26</v>
      </c>
      <c r="E1446" s="3">
        <v>-370.289</v>
      </c>
      <c r="F1446" s="4" t="str">
        <f>HYPERLINK("http://141.218.60.56/~jnz1568/getInfo.php?workbook=14_09.xlsx&amp;sheet=A0&amp;row=1446&amp;col=6&amp;number=916000&amp;sourceID=14","916000")</f>
        <v>916000</v>
      </c>
      <c r="G1446" s="4" t="str">
        <f>HYPERLINK("http://141.218.60.56/~jnz1568/getInfo.php?workbook=14_09.xlsx&amp;sheet=A0&amp;row=1446&amp;col=7&amp;number=0&amp;sourceID=14","0")</f>
        <v>0</v>
      </c>
    </row>
    <row r="1447" spans="1:7">
      <c r="A1447" s="3">
        <v>14</v>
      </c>
      <c r="B1447" s="3">
        <v>9</v>
      </c>
      <c r="C1447" s="3">
        <v>93</v>
      </c>
      <c r="D1447" s="3">
        <v>26</v>
      </c>
      <c r="E1447" s="3">
        <v>-367.944</v>
      </c>
      <c r="F1447" s="4" t="str">
        <f>HYPERLINK("http://141.218.60.56/~jnz1568/getInfo.php?workbook=14_09.xlsx&amp;sheet=A0&amp;row=1447&amp;col=6&amp;number=726000&amp;sourceID=14","726000")</f>
        <v>726000</v>
      </c>
      <c r="G1447" s="4" t="str">
        <f>HYPERLINK("http://141.218.60.56/~jnz1568/getInfo.php?workbook=14_09.xlsx&amp;sheet=A0&amp;row=1447&amp;col=7&amp;number=0&amp;sourceID=14","0")</f>
        <v>0</v>
      </c>
    </row>
    <row r="1448" spans="1:7">
      <c r="A1448" s="3">
        <v>14</v>
      </c>
      <c r="B1448" s="3">
        <v>9</v>
      </c>
      <c r="C1448" s="3">
        <v>95</v>
      </c>
      <c r="D1448" s="3">
        <v>26</v>
      </c>
      <c r="E1448" s="3">
        <v>-366.519</v>
      </c>
      <c r="F1448" s="4" t="str">
        <f>HYPERLINK("http://141.218.60.56/~jnz1568/getInfo.php?workbook=14_09.xlsx&amp;sheet=A0&amp;row=1448&amp;col=6&amp;number=1630000&amp;sourceID=14","1630000")</f>
        <v>1630000</v>
      </c>
      <c r="G1448" s="4" t="str">
        <f>HYPERLINK("http://141.218.60.56/~jnz1568/getInfo.php?workbook=14_09.xlsx&amp;sheet=A0&amp;row=1448&amp;col=7&amp;number=0&amp;sourceID=14","0")</f>
        <v>0</v>
      </c>
    </row>
    <row r="1449" spans="1:7">
      <c r="A1449" s="3">
        <v>14</v>
      </c>
      <c r="B1449" s="3">
        <v>9</v>
      </c>
      <c r="C1449" s="3">
        <v>97</v>
      </c>
      <c r="D1449" s="3">
        <v>26</v>
      </c>
      <c r="E1449" s="3">
        <v>-365.245</v>
      </c>
      <c r="F1449" s="4" t="str">
        <f>HYPERLINK("http://141.218.60.56/~jnz1568/getInfo.php?workbook=14_09.xlsx&amp;sheet=A0&amp;row=1449&amp;col=6&amp;number=455000&amp;sourceID=14","455000")</f>
        <v>455000</v>
      </c>
      <c r="G1449" s="4" t="str">
        <f>HYPERLINK("http://141.218.60.56/~jnz1568/getInfo.php?workbook=14_09.xlsx&amp;sheet=A0&amp;row=1449&amp;col=7&amp;number=0&amp;sourceID=14","0")</f>
        <v>0</v>
      </c>
    </row>
    <row r="1450" spans="1:7">
      <c r="A1450" s="3">
        <v>14</v>
      </c>
      <c r="B1450" s="3">
        <v>9</v>
      </c>
      <c r="C1450" s="3">
        <v>98</v>
      </c>
      <c r="D1450" s="3">
        <v>26</v>
      </c>
      <c r="E1450" s="3">
        <v>-364.143</v>
      </c>
      <c r="F1450" s="4" t="str">
        <f>HYPERLINK("http://141.218.60.56/~jnz1568/getInfo.php?workbook=14_09.xlsx&amp;sheet=A0&amp;row=1450&amp;col=6&amp;number=802000&amp;sourceID=14","802000")</f>
        <v>802000</v>
      </c>
      <c r="G1450" s="4" t="str">
        <f>HYPERLINK("http://141.218.60.56/~jnz1568/getInfo.php?workbook=14_09.xlsx&amp;sheet=A0&amp;row=1450&amp;col=7&amp;number=0&amp;sourceID=14","0")</f>
        <v>0</v>
      </c>
    </row>
    <row r="1451" spans="1:7">
      <c r="A1451" s="3">
        <v>14</v>
      </c>
      <c r="B1451" s="3">
        <v>9</v>
      </c>
      <c r="C1451" s="3">
        <v>103</v>
      </c>
      <c r="D1451" s="3">
        <v>26</v>
      </c>
      <c r="E1451" s="3">
        <v>-358.772</v>
      </c>
      <c r="F1451" s="4" t="str">
        <f>HYPERLINK("http://141.218.60.56/~jnz1568/getInfo.php?workbook=14_09.xlsx&amp;sheet=A0&amp;row=1451&amp;col=6&amp;number=15400000&amp;sourceID=14","15400000")</f>
        <v>15400000</v>
      </c>
      <c r="G1451" s="4" t="str">
        <f>HYPERLINK("http://141.218.60.56/~jnz1568/getInfo.php?workbook=14_09.xlsx&amp;sheet=A0&amp;row=1451&amp;col=7&amp;number=0&amp;sourceID=14","0")</f>
        <v>0</v>
      </c>
    </row>
    <row r="1452" spans="1:7">
      <c r="A1452" s="3">
        <v>14</v>
      </c>
      <c r="B1452" s="3">
        <v>9</v>
      </c>
      <c r="C1452" s="3">
        <v>115</v>
      </c>
      <c r="D1452" s="3">
        <v>26</v>
      </c>
      <c r="E1452" s="3">
        <v>-356.546</v>
      </c>
      <c r="F1452" s="4" t="str">
        <f>HYPERLINK("http://141.218.60.56/~jnz1568/getInfo.php?workbook=14_09.xlsx&amp;sheet=A0&amp;row=1452&amp;col=6&amp;number=98000&amp;sourceID=14","98000")</f>
        <v>98000</v>
      </c>
      <c r="G1452" s="4" t="str">
        <f>HYPERLINK("http://141.218.60.56/~jnz1568/getInfo.php?workbook=14_09.xlsx&amp;sheet=A0&amp;row=1452&amp;col=7&amp;number=0&amp;sourceID=14","0")</f>
        <v>0</v>
      </c>
    </row>
    <row r="1453" spans="1:7">
      <c r="A1453" s="3">
        <v>14</v>
      </c>
      <c r="B1453" s="3">
        <v>9</v>
      </c>
      <c r="C1453" s="3">
        <v>125</v>
      </c>
      <c r="D1453" s="3">
        <v>26</v>
      </c>
      <c r="E1453" s="3">
        <v>-342.587</v>
      </c>
      <c r="F1453" s="4" t="str">
        <f>HYPERLINK("http://141.218.60.56/~jnz1568/getInfo.php?workbook=14_09.xlsx&amp;sheet=A0&amp;row=1453&amp;col=6&amp;number=126000&amp;sourceID=14","126000")</f>
        <v>126000</v>
      </c>
      <c r="G1453" s="4" t="str">
        <f>HYPERLINK("http://141.218.60.56/~jnz1568/getInfo.php?workbook=14_09.xlsx&amp;sheet=A0&amp;row=1453&amp;col=7&amp;number=0&amp;sourceID=14","0")</f>
        <v>0</v>
      </c>
    </row>
    <row r="1454" spans="1:7">
      <c r="A1454" s="3">
        <v>14</v>
      </c>
      <c r="B1454" s="3">
        <v>9</v>
      </c>
      <c r="C1454" s="3">
        <v>129</v>
      </c>
      <c r="D1454" s="3">
        <v>26</v>
      </c>
      <c r="E1454" s="3">
        <v>-316.535</v>
      </c>
      <c r="F1454" s="4" t="str">
        <f>HYPERLINK("http://141.218.60.56/~jnz1568/getInfo.php?workbook=14_09.xlsx&amp;sheet=A0&amp;row=1454&amp;col=6&amp;number=174000000&amp;sourceID=14","174000000")</f>
        <v>174000000</v>
      </c>
      <c r="G1454" s="4" t="str">
        <f>HYPERLINK("http://141.218.60.56/~jnz1568/getInfo.php?workbook=14_09.xlsx&amp;sheet=A0&amp;row=1454&amp;col=7&amp;number=0&amp;sourceID=14","0")</f>
        <v>0</v>
      </c>
    </row>
    <row r="1455" spans="1:7">
      <c r="A1455" s="3">
        <v>14</v>
      </c>
      <c r="B1455" s="3">
        <v>9</v>
      </c>
      <c r="C1455" s="3">
        <v>130</v>
      </c>
      <c r="D1455" s="3">
        <v>26</v>
      </c>
      <c r="E1455" s="3">
        <v>-316.49</v>
      </c>
      <c r="F1455" s="4" t="str">
        <f>HYPERLINK("http://141.218.60.56/~jnz1568/getInfo.php?workbook=14_09.xlsx&amp;sheet=A0&amp;row=1455&amp;col=6&amp;number=4390000000&amp;sourceID=14","4390000000")</f>
        <v>4390000000</v>
      </c>
      <c r="G1455" s="4" t="str">
        <f>HYPERLINK("http://141.218.60.56/~jnz1568/getInfo.php?workbook=14_09.xlsx&amp;sheet=A0&amp;row=1455&amp;col=7&amp;number=0&amp;sourceID=14","0")</f>
        <v>0</v>
      </c>
    </row>
    <row r="1456" spans="1:7">
      <c r="A1456" s="3">
        <v>14</v>
      </c>
      <c r="B1456" s="3">
        <v>9</v>
      </c>
      <c r="C1456" s="3">
        <v>131</v>
      </c>
      <c r="D1456" s="3">
        <v>26</v>
      </c>
      <c r="E1456" s="3">
        <v>-313.146</v>
      </c>
      <c r="F1456" s="4" t="str">
        <f>HYPERLINK("http://141.218.60.56/~jnz1568/getInfo.php?workbook=14_09.xlsx&amp;sheet=A0&amp;row=1456&amp;col=6&amp;number=7450000&amp;sourceID=14","7450000")</f>
        <v>7450000</v>
      </c>
      <c r="G1456" s="4" t="str">
        <f>HYPERLINK("http://141.218.60.56/~jnz1568/getInfo.php?workbook=14_09.xlsx&amp;sheet=A0&amp;row=1456&amp;col=7&amp;number=0&amp;sourceID=14","0")</f>
        <v>0</v>
      </c>
    </row>
    <row r="1457" spans="1:7">
      <c r="A1457" s="3">
        <v>14</v>
      </c>
      <c r="B1457" s="3">
        <v>9</v>
      </c>
      <c r="C1457" s="3">
        <v>133</v>
      </c>
      <c r="D1457" s="3">
        <v>26</v>
      </c>
      <c r="E1457" s="3">
        <v>-313.021</v>
      </c>
      <c r="F1457" s="4" t="str">
        <f>HYPERLINK("http://141.218.60.56/~jnz1568/getInfo.php?workbook=14_09.xlsx&amp;sheet=A0&amp;row=1457&amp;col=6&amp;number=1060000000&amp;sourceID=14","1060000000")</f>
        <v>1060000000</v>
      </c>
      <c r="G1457" s="4" t="str">
        <f>HYPERLINK("http://141.218.60.56/~jnz1568/getInfo.php?workbook=14_09.xlsx&amp;sheet=A0&amp;row=1457&amp;col=7&amp;number=0&amp;sourceID=14","0")</f>
        <v>0</v>
      </c>
    </row>
    <row r="1458" spans="1:7">
      <c r="A1458" s="3">
        <v>14</v>
      </c>
      <c r="B1458" s="3">
        <v>9</v>
      </c>
      <c r="C1458" s="3">
        <v>135</v>
      </c>
      <c r="D1458" s="3">
        <v>26</v>
      </c>
      <c r="E1458" s="3">
        <v>-312.372</v>
      </c>
      <c r="F1458" s="4" t="str">
        <f>HYPERLINK("http://141.218.60.56/~jnz1568/getInfo.php?workbook=14_09.xlsx&amp;sheet=A0&amp;row=1458&amp;col=6&amp;number=462000000&amp;sourceID=14","462000000")</f>
        <v>462000000</v>
      </c>
      <c r="G1458" s="4" t="str">
        <f>HYPERLINK("http://141.218.60.56/~jnz1568/getInfo.php?workbook=14_09.xlsx&amp;sheet=A0&amp;row=1458&amp;col=7&amp;number=0&amp;sourceID=14","0")</f>
        <v>0</v>
      </c>
    </row>
    <row r="1459" spans="1:7">
      <c r="A1459" s="3">
        <v>14</v>
      </c>
      <c r="B1459" s="3">
        <v>9</v>
      </c>
      <c r="C1459" s="3">
        <v>140</v>
      </c>
      <c r="D1459" s="3">
        <v>26</v>
      </c>
      <c r="E1459" s="3">
        <v>-306.647</v>
      </c>
      <c r="F1459" s="4" t="str">
        <f>HYPERLINK("http://141.218.60.56/~jnz1568/getInfo.php?workbook=14_09.xlsx&amp;sheet=A0&amp;row=1459&amp;col=6&amp;number=18100000&amp;sourceID=14","18100000")</f>
        <v>18100000</v>
      </c>
      <c r="G1459" s="4" t="str">
        <f>HYPERLINK("http://141.218.60.56/~jnz1568/getInfo.php?workbook=14_09.xlsx&amp;sheet=A0&amp;row=1459&amp;col=7&amp;number=0&amp;sourceID=14","0")</f>
        <v>0</v>
      </c>
    </row>
    <row r="1460" spans="1:7">
      <c r="A1460" s="3">
        <v>14</v>
      </c>
      <c r="B1460" s="3">
        <v>9</v>
      </c>
      <c r="C1460" s="3">
        <v>144</v>
      </c>
      <c r="D1460" s="3">
        <v>26</v>
      </c>
      <c r="E1460" s="3">
        <v>-305.366</v>
      </c>
      <c r="F1460" s="4" t="str">
        <f>HYPERLINK("http://141.218.60.56/~jnz1568/getInfo.php?workbook=14_09.xlsx&amp;sheet=A0&amp;row=1460&amp;col=6&amp;number=1150000&amp;sourceID=14","1150000")</f>
        <v>1150000</v>
      </c>
      <c r="G1460" s="4" t="str">
        <f>HYPERLINK("http://141.218.60.56/~jnz1568/getInfo.php?workbook=14_09.xlsx&amp;sheet=A0&amp;row=1460&amp;col=7&amp;number=0&amp;sourceID=14","0")</f>
        <v>0</v>
      </c>
    </row>
    <row r="1461" spans="1:7">
      <c r="A1461" s="3">
        <v>14</v>
      </c>
      <c r="B1461" s="3">
        <v>9</v>
      </c>
      <c r="C1461" s="3">
        <v>150</v>
      </c>
      <c r="D1461" s="3">
        <v>26</v>
      </c>
      <c r="E1461" s="3">
        <v>-303.807</v>
      </c>
      <c r="F1461" s="4" t="str">
        <f>HYPERLINK("http://141.218.60.56/~jnz1568/getInfo.php?workbook=14_09.xlsx&amp;sheet=A0&amp;row=1461&amp;col=6&amp;number=469000&amp;sourceID=14","469000")</f>
        <v>469000</v>
      </c>
      <c r="G1461" s="4" t="str">
        <f>HYPERLINK("http://141.218.60.56/~jnz1568/getInfo.php?workbook=14_09.xlsx&amp;sheet=A0&amp;row=1461&amp;col=7&amp;number=0&amp;sourceID=14","0")</f>
        <v>0</v>
      </c>
    </row>
    <row r="1462" spans="1:7">
      <c r="A1462" s="3">
        <v>14</v>
      </c>
      <c r="B1462" s="3">
        <v>9</v>
      </c>
      <c r="C1462" s="3">
        <v>152</v>
      </c>
      <c r="D1462" s="3">
        <v>26</v>
      </c>
      <c r="E1462" s="3">
        <v>-297.267</v>
      </c>
      <c r="F1462" s="4" t="str">
        <f>HYPERLINK("http://141.218.60.56/~jnz1568/getInfo.php?workbook=14_09.xlsx&amp;sheet=A0&amp;row=1462&amp;col=6&amp;number=2770000&amp;sourceID=14","2770000")</f>
        <v>2770000</v>
      </c>
      <c r="G1462" s="4" t="str">
        <f>HYPERLINK("http://141.218.60.56/~jnz1568/getInfo.php?workbook=14_09.xlsx&amp;sheet=A0&amp;row=1462&amp;col=7&amp;number=0&amp;sourceID=14","0")</f>
        <v>0</v>
      </c>
    </row>
    <row r="1463" spans="1:7">
      <c r="A1463" s="3">
        <v>14</v>
      </c>
      <c r="B1463" s="3">
        <v>9</v>
      </c>
      <c r="C1463" s="3">
        <v>153</v>
      </c>
      <c r="D1463" s="3">
        <v>26</v>
      </c>
      <c r="E1463" s="3">
        <v>-295.728</v>
      </c>
      <c r="F1463" s="4" t="str">
        <f>HYPERLINK("http://141.218.60.56/~jnz1568/getInfo.php?workbook=14_09.xlsx&amp;sheet=A0&amp;row=1463&amp;col=6&amp;number=3250000&amp;sourceID=14","3250000")</f>
        <v>3250000</v>
      </c>
      <c r="G1463" s="4" t="str">
        <f>HYPERLINK("http://141.218.60.56/~jnz1568/getInfo.php?workbook=14_09.xlsx&amp;sheet=A0&amp;row=1463&amp;col=7&amp;number=0&amp;sourceID=14","0")</f>
        <v>0</v>
      </c>
    </row>
    <row r="1464" spans="1:7">
      <c r="A1464" s="3">
        <v>14</v>
      </c>
      <c r="B1464" s="3">
        <v>9</v>
      </c>
      <c r="C1464" s="3">
        <v>162</v>
      </c>
      <c r="D1464" s="3">
        <v>26</v>
      </c>
      <c r="E1464" s="3">
        <v>-258.228</v>
      </c>
      <c r="F1464" s="4" t="str">
        <f>HYPERLINK("http://141.218.60.56/~jnz1568/getInfo.php?workbook=14_09.xlsx&amp;sheet=A0&amp;row=1464&amp;col=6&amp;number=80800000&amp;sourceID=14","80800000")</f>
        <v>80800000</v>
      </c>
      <c r="G1464" s="4" t="str">
        <f>HYPERLINK("http://141.218.60.56/~jnz1568/getInfo.php?workbook=14_09.xlsx&amp;sheet=A0&amp;row=1464&amp;col=7&amp;number=0&amp;sourceID=14","0")</f>
        <v>0</v>
      </c>
    </row>
    <row r="1465" spans="1:7">
      <c r="A1465" s="3">
        <v>14</v>
      </c>
      <c r="B1465" s="3">
        <v>9</v>
      </c>
      <c r="C1465" s="3">
        <v>186</v>
      </c>
      <c r="D1465" s="3">
        <v>26</v>
      </c>
      <c r="E1465" s="3">
        <v>-205.861</v>
      </c>
      <c r="F1465" s="4" t="str">
        <f>HYPERLINK("http://141.218.60.56/~jnz1568/getInfo.php?workbook=14_09.xlsx&amp;sheet=A0&amp;row=1465&amp;col=6&amp;number=51400000000&amp;sourceID=14","51400000000")</f>
        <v>51400000000</v>
      </c>
      <c r="G1465" s="4" t="str">
        <f>HYPERLINK("http://141.218.60.56/~jnz1568/getInfo.php?workbook=14_09.xlsx&amp;sheet=A0&amp;row=1465&amp;col=7&amp;number=0&amp;sourceID=14","0")</f>
        <v>0</v>
      </c>
    </row>
    <row r="1466" spans="1:7">
      <c r="A1466" s="3">
        <v>14</v>
      </c>
      <c r="B1466" s="3">
        <v>9</v>
      </c>
      <c r="C1466" s="3">
        <v>38</v>
      </c>
      <c r="D1466" s="3">
        <v>27</v>
      </c>
      <c r="E1466" s="3">
        <v>-1710.019</v>
      </c>
      <c r="F1466" s="4" t="str">
        <f>HYPERLINK("http://141.218.60.56/~jnz1568/getInfo.php?workbook=14_09.xlsx&amp;sheet=A0&amp;row=1466&amp;col=6&amp;number=67100&amp;sourceID=14","67100")</f>
        <v>67100</v>
      </c>
      <c r="G1466" s="4" t="str">
        <f>HYPERLINK("http://141.218.60.56/~jnz1568/getInfo.php?workbook=14_09.xlsx&amp;sheet=A0&amp;row=1466&amp;col=7&amp;number=0&amp;sourceID=14","0")</f>
        <v>0</v>
      </c>
    </row>
    <row r="1467" spans="1:7">
      <c r="A1467" s="3">
        <v>14</v>
      </c>
      <c r="B1467" s="3">
        <v>9</v>
      </c>
      <c r="C1467" s="3">
        <v>46</v>
      </c>
      <c r="D1467" s="3">
        <v>27</v>
      </c>
      <c r="E1467" s="3">
        <v>-1514.741</v>
      </c>
      <c r="F1467" s="4" t="str">
        <f>HYPERLINK("http://141.218.60.56/~jnz1568/getInfo.php?workbook=14_09.xlsx&amp;sheet=A0&amp;row=1467&amp;col=6&amp;number=13900000&amp;sourceID=14","13900000")</f>
        <v>13900000</v>
      </c>
      <c r="G1467" s="4" t="str">
        <f>HYPERLINK("http://141.218.60.56/~jnz1568/getInfo.php?workbook=14_09.xlsx&amp;sheet=A0&amp;row=1467&amp;col=7&amp;number=0&amp;sourceID=14","0")</f>
        <v>0</v>
      </c>
    </row>
    <row r="1468" spans="1:7">
      <c r="A1468" s="3">
        <v>14</v>
      </c>
      <c r="B1468" s="3">
        <v>9</v>
      </c>
      <c r="C1468" s="3">
        <v>47</v>
      </c>
      <c r="D1468" s="3">
        <v>27</v>
      </c>
      <c r="E1468" s="3">
        <v>-1497.995</v>
      </c>
      <c r="F1468" s="4" t="str">
        <f>HYPERLINK("http://141.218.60.56/~jnz1568/getInfo.php?workbook=14_09.xlsx&amp;sheet=A0&amp;row=1468&amp;col=6&amp;number=15000000&amp;sourceID=14","15000000")</f>
        <v>15000000</v>
      </c>
      <c r="G1468" s="4" t="str">
        <f>HYPERLINK("http://141.218.60.56/~jnz1568/getInfo.php?workbook=14_09.xlsx&amp;sheet=A0&amp;row=1468&amp;col=7&amp;number=0&amp;sourceID=14","0")</f>
        <v>0</v>
      </c>
    </row>
    <row r="1469" spans="1:7">
      <c r="A1469" s="3">
        <v>14</v>
      </c>
      <c r="B1469" s="3">
        <v>9</v>
      </c>
      <c r="C1469" s="3">
        <v>49</v>
      </c>
      <c r="D1469" s="3">
        <v>27</v>
      </c>
      <c r="E1469" s="3">
        <v>-1423.531</v>
      </c>
      <c r="F1469" s="4" t="str">
        <f>HYPERLINK("http://141.218.60.56/~jnz1568/getInfo.php?workbook=14_09.xlsx&amp;sheet=A0&amp;row=1469&amp;col=6&amp;number=17900000&amp;sourceID=14","17900000")</f>
        <v>17900000</v>
      </c>
      <c r="G1469" s="4" t="str">
        <f>HYPERLINK("http://141.218.60.56/~jnz1568/getInfo.php?workbook=14_09.xlsx&amp;sheet=A0&amp;row=1469&amp;col=7&amp;number=0&amp;sourceID=14","0")</f>
        <v>0</v>
      </c>
    </row>
    <row r="1470" spans="1:7">
      <c r="A1470" s="3">
        <v>14</v>
      </c>
      <c r="B1470" s="3">
        <v>9</v>
      </c>
      <c r="C1470" s="3">
        <v>52</v>
      </c>
      <c r="D1470" s="3">
        <v>27</v>
      </c>
      <c r="E1470" s="3">
        <v>-940.275</v>
      </c>
      <c r="F1470" s="4" t="str">
        <f>HYPERLINK("http://141.218.60.56/~jnz1568/getInfo.php?workbook=14_09.xlsx&amp;sheet=A0&amp;row=1470&amp;col=6&amp;number=4740000&amp;sourceID=14","4740000")</f>
        <v>4740000</v>
      </c>
      <c r="G1470" s="4" t="str">
        <f>HYPERLINK("http://141.218.60.56/~jnz1568/getInfo.php?workbook=14_09.xlsx&amp;sheet=A0&amp;row=1470&amp;col=7&amp;number=0&amp;sourceID=14","0")</f>
        <v>0</v>
      </c>
    </row>
    <row r="1471" spans="1:7">
      <c r="A1471" s="3">
        <v>14</v>
      </c>
      <c r="B1471" s="3">
        <v>9</v>
      </c>
      <c r="C1471" s="3">
        <v>53</v>
      </c>
      <c r="D1471" s="3">
        <v>27</v>
      </c>
      <c r="E1471" s="3">
        <v>-929.733</v>
      </c>
      <c r="F1471" s="4" t="str">
        <f>HYPERLINK("http://141.218.60.56/~jnz1568/getInfo.php?workbook=14_09.xlsx&amp;sheet=A0&amp;row=1471&amp;col=6&amp;number=67600000&amp;sourceID=14","67600000")</f>
        <v>67600000</v>
      </c>
      <c r="G1471" s="4" t="str">
        <f>HYPERLINK("http://141.218.60.56/~jnz1568/getInfo.php?workbook=14_09.xlsx&amp;sheet=A0&amp;row=1471&amp;col=7&amp;number=0&amp;sourceID=14","0")</f>
        <v>0</v>
      </c>
    </row>
    <row r="1472" spans="1:7">
      <c r="A1472" s="3">
        <v>14</v>
      </c>
      <c r="B1472" s="3">
        <v>9</v>
      </c>
      <c r="C1472" s="3">
        <v>54</v>
      </c>
      <c r="D1472" s="3">
        <v>27</v>
      </c>
      <c r="E1472" s="3">
        <v>-919.948</v>
      </c>
      <c r="F1472" s="4" t="str">
        <f>HYPERLINK("http://141.218.60.56/~jnz1568/getInfo.php?workbook=14_09.xlsx&amp;sheet=A0&amp;row=1472&amp;col=6&amp;number=1730000000&amp;sourceID=14","1730000000")</f>
        <v>1730000000</v>
      </c>
      <c r="G1472" s="4" t="str">
        <f>HYPERLINK("http://141.218.60.56/~jnz1568/getInfo.php?workbook=14_09.xlsx&amp;sheet=A0&amp;row=1472&amp;col=7&amp;number=0&amp;sourceID=14","0")</f>
        <v>0</v>
      </c>
    </row>
    <row r="1473" spans="1:7">
      <c r="A1473" s="3">
        <v>14</v>
      </c>
      <c r="B1473" s="3">
        <v>9</v>
      </c>
      <c r="C1473" s="3">
        <v>55</v>
      </c>
      <c r="D1473" s="3">
        <v>27</v>
      </c>
      <c r="E1473" s="3">
        <v>-916.953</v>
      </c>
      <c r="F1473" s="4" t="str">
        <f>HYPERLINK("http://141.218.60.56/~jnz1568/getInfo.php?workbook=14_09.xlsx&amp;sheet=A0&amp;row=1473&amp;col=6&amp;number=446000000&amp;sourceID=14","446000000")</f>
        <v>446000000</v>
      </c>
      <c r="G1473" s="4" t="str">
        <f>HYPERLINK("http://141.218.60.56/~jnz1568/getInfo.php?workbook=14_09.xlsx&amp;sheet=A0&amp;row=1473&amp;col=7&amp;number=0&amp;sourceID=14","0")</f>
        <v>0</v>
      </c>
    </row>
    <row r="1474" spans="1:7">
      <c r="A1474" s="3">
        <v>14</v>
      </c>
      <c r="B1474" s="3">
        <v>9</v>
      </c>
      <c r="C1474" s="3">
        <v>58</v>
      </c>
      <c r="D1474" s="3">
        <v>27</v>
      </c>
      <c r="E1474" s="3">
        <v>-897.909</v>
      </c>
      <c r="F1474" s="4" t="str">
        <f>HYPERLINK("http://141.218.60.56/~jnz1568/getInfo.php?workbook=14_09.xlsx&amp;sheet=A0&amp;row=1474&amp;col=6&amp;number=1400000000&amp;sourceID=14","1400000000")</f>
        <v>1400000000</v>
      </c>
      <c r="G1474" s="4" t="str">
        <f>HYPERLINK("http://141.218.60.56/~jnz1568/getInfo.php?workbook=14_09.xlsx&amp;sheet=A0&amp;row=1474&amp;col=7&amp;number=0&amp;sourceID=14","0")</f>
        <v>0</v>
      </c>
    </row>
    <row r="1475" spans="1:7">
      <c r="A1475" s="3">
        <v>14</v>
      </c>
      <c r="B1475" s="3">
        <v>9</v>
      </c>
      <c r="C1475" s="3">
        <v>59</v>
      </c>
      <c r="D1475" s="3">
        <v>27</v>
      </c>
      <c r="E1475" s="3">
        <v>-574.555</v>
      </c>
      <c r="F1475" s="4" t="str">
        <f>HYPERLINK("http://141.218.60.56/~jnz1568/getInfo.php?workbook=14_09.xlsx&amp;sheet=A0&amp;row=1475&amp;col=6&amp;number=2720000&amp;sourceID=14","2720000")</f>
        <v>2720000</v>
      </c>
      <c r="G1475" s="4" t="str">
        <f>HYPERLINK("http://141.218.60.56/~jnz1568/getInfo.php?workbook=14_09.xlsx&amp;sheet=A0&amp;row=1475&amp;col=7&amp;number=0&amp;sourceID=14","0")</f>
        <v>0</v>
      </c>
    </row>
    <row r="1476" spans="1:7">
      <c r="A1476" s="3">
        <v>14</v>
      </c>
      <c r="B1476" s="3">
        <v>9</v>
      </c>
      <c r="C1476" s="3">
        <v>60</v>
      </c>
      <c r="D1476" s="3">
        <v>27</v>
      </c>
      <c r="E1476" s="3">
        <v>-573.797</v>
      </c>
      <c r="F1476" s="4" t="str">
        <f>HYPERLINK("http://141.218.60.56/~jnz1568/getInfo.php?workbook=14_09.xlsx&amp;sheet=A0&amp;row=1476&amp;col=6&amp;number=22500000&amp;sourceID=14","22500000")</f>
        <v>22500000</v>
      </c>
      <c r="G1476" s="4" t="str">
        <f>HYPERLINK("http://141.218.60.56/~jnz1568/getInfo.php?workbook=14_09.xlsx&amp;sheet=A0&amp;row=1476&amp;col=7&amp;number=0&amp;sourceID=14","0")</f>
        <v>0</v>
      </c>
    </row>
    <row r="1477" spans="1:7">
      <c r="A1477" s="3">
        <v>14</v>
      </c>
      <c r="B1477" s="3">
        <v>9</v>
      </c>
      <c r="C1477" s="3">
        <v>62</v>
      </c>
      <c r="D1477" s="3">
        <v>27</v>
      </c>
      <c r="E1477" s="3">
        <v>-528.559</v>
      </c>
      <c r="F1477" s="4" t="str">
        <f>HYPERLINK("http://141.218.60.56/~jnz1568/getInfo.php?workbook=14_09.xlsx&amp;sheet=A0&amp;row=1477&amp;col=6&amp;number=2740000&amp;sourceID=14","2740000")</f>
        <v>2740000</v>
      </c>
      <c r="G1477" s="4" t="str">
        <f>HYPERLINK("http://141.218.60.56/~jnz1568/getInfo.php?workbook=14_09.xlsx&amp;sheet=A0&amp;row=1477&amp;col=7&amp;number=0&amp;sourceID=14","0")</f>
        <v>0</v>
      </c>
    </row>
    <row r="1478" spans="1:7">
      <c r="A1478" s="3">
        <v>14</v>
      </c>
      <c r="B1478" s="3">
        <v>9</v>
      </c>
      <c r="C1478" s="3">
        <v>63</v>
      </c>
      <c r="D1478" s="3">
        <v>27</v>
      </c>
      <c r="E1478" s="3">
        <v>-522.17</v>
      </c>
      <c r="F1478" s="4" t="str">
        <f>HYPERLINK("http://141.218.60.56/~jnz1568/getInfo.php?workbook=14_09.xlsx&amp;sheet=A0&amp;row=1478&amp;col=6&amp;number=202000&amp;sourceID=14","202000")</f>
        <v>202000</v>
      </c>
      <c r="G1478" s="4" t="str">
        <f>HYPERLINK("http://141.218.60.56/~jnz1568/getInfo.php?workbook=14_09.xlsx&amp;sheet=A0&amp;row=1478&amp;col=7&amp;number=0&amp;sourceID=14","0")</f>
        <v>0</v>
      </c>
    </row>
    <row r="1479" spans="1:7">
      <c r="A1479" s="3">
        <v>14</v>
      </c>
      <c r="B1479" s="3">
        <v>9</v>
      </c>
      <c r="C1479" s="3">
        <v>64</v>
      </c>
      <c r="D1479" s="3">
        <v>27</v>
      </c>
      <c r="E1479" s="3">
        <v>-518.453</v>
      </c>
      <c r="F1479" s="4" t="str">
        <f>HYPERLINK("http://141.218.60.56/~jnz1568/getInfo.php?workbook=14_09.xlsx&amp;sheet=A0&amp;row=1479&amp;col=6&amp;number=11300000&amp;sourceID=14","11300000")</f>
        <v>11300000</v>
      </c>
      <c r="G1479" s="4" t="str">
        <f>HYPERLINK("http://141.218.60.56/~jnz1568/getInfo.php?workbook=14_09.xlsx&amp;sheet=A0&amp;row=1479&amp;col=7&amp;number=0&amp;sourceID=14","0")</f>
        <v>0</v>
      </c>
    </row>
    <row r="1480" spans="1:7">
      <c r="A1480" s="3">
        <v>14</v>
      </c>
      <c r="B1480" s="3">
        <v>9</v>
      </c>
      <c r="C1480" s="3">
        <v>65</v>
      </c>
      <c r="D1480" s="3">
        <v>27</v>
      </c>
      <c r="E1480" s="3">
        <v>-509.937</v>
      </c>
      <c r="F1480" s="4" t="str">
        <f>HYPERLINK("http://141.218.60.56/~jnz1568/getInfo.php?workbook=14_09.xlsx&amp;sheet=A0&amp;row=1480&amp;col=6&amp;number=13200000&amp;sourceID=14","13200000")</f>
        <v>13200000</v>
      </c>
      <c r="G1480" s="4" t="str">
        <f>HYPERLINK("http://141.218.60.56/~jnz1568/getInfo.php?workbook=14_09.xlsx&amp;sheet=A0&amp;row=1480&amp;col=7&amp;number=0&amp;sourceID=14","0")</f>
        <v>0</v>
      </c>
    </row>
    <row r="1481" spans="1:7">
      <c r="A1481" s="3">
        <v>14</v>
      </c>
      <c r="B1481" s="3">
        <v>9</v>
      </c>
      <c r="C1481" s="3">
        <v>79</v>
      </c>
      <c r="D1481" s="3">
        <v>27</v>
      </c>
      <c r="E1481" s="3">
        <v>-422.734</v>
      </c>
      <c r="F1481" s="4" t="str">
        <f>HYPERLINK("http://141.218.60.56/~jnz1568/getInfo.php?workbook=14_09.xlsx&amp;sheet=A0&amp;row=1481&amp;col=6&amp;number=122000000&amp;sourceID=14","122000000")</f>
        <v>122000000</v>
      </c>
      <c r="G1481" s="4" t="str">
        <f>HYPERLINK("http://141.218.60.56/~jnz1568/getInfo.php?workbook=14_09.xlsx&amp;sheet=A0&amp;row=1481&amp;col=7&amp;number=0&amp;sourceID=14","0")</f>
        <v>0</v>
      </c>
    </row>
    <row r="1482" spans="1:7">
      <c r="A1482" s="3">
        <v>14</v>
      </c>
      <c r="B1482" s="3">
        <v>9</v>
      </c>
      <c r="C1482" s="3">
        <v>80</v>
      </c>
      <c r="D1482" s="3">
        <v>27</v>
      </c>
      <c r="E1482" s="3">
        <v>-422.703</v>
      </c>
      <c r="F1482" s="4" t="str">
        <f>HYPERLINK("http://141.218.60.56/~jnz1568/getInfo.php?workbook=14_09.xlsx&amp;sheet=A0&amp;row=1482&amp;col=6&amp;number=2790000000&amp;sourceID=14","2790000000")</f>
        <v>2790000000</v>
      </c>
      <c r="G1482" s="4" t="str">
        <f>HYPERLINK("http://141.218.60.56/~jnz1568/getInfo.php?workbook=14_09.xlsx&amp;sheet=A0&amp;row=1482&amp;col=7&amp;number=0&amp;sourceID=14","0")</f>
        <v>0</v>
      </c>
    </row>
    <row r="1483" spans="1:7">
      <c r="A1483" s="3">
        <v>14</v>
      </c>
      <c r="B1483" s="3">
        <v>9</v>
      </c>
      <c r="C1483" s="3">
        <v>88</v>
      </c>
      <c r="D1483" s="3">
        <v>27</v>
      </c>
      <c r="E1483" s="3">
        <v>-388.712</v>
      </c>
      <c r="F1483" s="4" t="str">
        <f>HYPERLINK("http://141.218.60.56/~jnz1568/getInfo.php?workbook=14_09.xlsx&amp;sheet=A0&amp;row=1483&amp;col=6&amp;number=791000&amp;sourceID=14","791000")</f>
        <v>791000</v>
      </c>
      <c r="G1483" s="4" t="str">
        <f>HYPERLINK("http://141.218.60.56/~jnz1568/getInfo.php?workbook=14_09.xlsx&amp;sheet=A0&amp;row=1483&amp;col=7&amp;number=0&amp;sourceID=14","0")</f>
        <v>0</v>
      </c>
    </row>
    <row r="1484" spans="1:7">
      <c r="A1484" s="3">
        <v>14</v>
      </c>
      <c r="B1484" s="3">
        <v>9</v>
      </c>
      <c r="C1484" s="3">
        <v>89</v>
      </c>
      <c r="D1484" s="3">
        <v>27</v>
      </c>
      <c r="E1484" s="3">
        <v>-387.61</v>
      </c>
      <c r="F1484" s="4" t="str">
        <f>HYPERLINK("http://141.218.60.56/~jnz1568/getInfo.php?workbook=14_09.xlsx&amp;sheet=A0&amp;row=1484&amp;col=6&amp;number=3590000&amp;sourceID=14","3590000")</f>
        <v>3590000</v>
      </c>
      <c r="G1484" s="4" t="str">
        <f>HYPERLINK("http://141.218.60.56/~jnz1568/getInfo.php?workbook=14_09.xlsx&amp;sheet=A0&amp;row=1484&amp;col=7&amp;number=0&amp;sourceID=14","0")</f>
        <v>0</v>
      </c>
    </row>
    <row r="1485" spans="1:7">
      <c r="A1485" s="3">
        <v>14</v>
      </c>
      <c r="B1485" s="3">
        <v>9</v>
      </c>
      <c r="C1485" s="3">
        <v>92</v>
      </c>
      <c r="D1485" s="3">
        <v>27</v>
      </c>
      <c r="E1485" s="3">
        <v>-382.988</v>
      </c>
      <c r="F1485" s="4" t="str">
        <f>HYPERLINK("http://141.218.60.56/~jnz1568/getInfo.php?workbook=14_09.xlsx&amp;sheet=A0&amp;row=1485&amp;col=6&amp;number=951000&amp;sourceID=14","951000")</f>
        <v>951000</v>
      </c>
      <c r="G1485" s="4" t="str">
        <f>HYPERLINK("http://141.218.60.56/~jnz1568/getInfo.php?workbook=14_09.xlsx&amp;sheet=A0&amp;row=1485&amp;col=7&amp;number=0&amp;sourceID=14","0")</f>
        <v>0</v>
      </c>
    </row>
    <row r="1486" spans="1:7">
      <c r="A1486" s="3">
        <v>14</v>
      </c>
      <c r="B1486" s="3">
        <v>9</v>
      </c>
      <c r="C1486" s="3">
        <v>93</v>
      </c>
      <c r="D1486" s="3">
        <v>27</v>
      </c>
      <c r="E1486" s="3">
        <v>-381.77</v>
      </c>
      <c r="F1486" s="4" t="str">
        <f>HYPERLINK("http://141.218.60.56/~jnz1568/getInfo.php?workbook=14_09.xlsx&amp;sheet=A0&amp;row=1486&amp;col=6&amp;number=1720000&amp;sourceID=14","1720000")</f>
        <v>1720000</v>
      </c>
      <c r="G1486" s="4" t="str">
        <f>HYPERLINK("http://141.218.60.56/~jnz1568/getInfo.php?workbook=14_09.xlsx&amp;sheet=A0&amp;row=1486&amp;col=7&amp;number=0&amp;sourceID=14","0")</f>
        <v>0</v>
      </c>
    </row>
    <row r="1487" spans="1:7">
      <c r="A1487" s="3">
        <v>14</v>
      </c>
      <c r="B1487" s="3">
        <v>9</v>
      </c>
      <c r="C1487" s="3">
        <v>94</v>
      </c>
      <c r="D1487" s="3">
        <v>27</v>
      </c>
      <c r="E1487" s="3">
        <v>-381.449</v>
      </c>
      <c r="F1487" s="4" t="str">
        <f>HYPERLINK("http://141.218.60.56/~jnz1568/getInfo.php?workbook=14_09.xlsx&amp;sheet=A0&amp;row=1487&amp;col=6&amp;number=4280000&amp;sourceID=14","4280000")</f>
        <v>4280000</v>
      </c>
      <c r="G1487" s="4" t="str">
        <f>HYPERLINK("http://141.218.60.56/~jnz1568/getInfo.php?workbook=14_09.xlsx&amp;sheet=A0&amp;row=1487&amp;col=7&amp;number=0&amp;sourceID=14","0")</f>
        <v>0</v>
      </c>
    </row>
    <row r="1488" spans="1:7">
      <c r="A1488" s="3">
        <v>14</v>
      </c>
      <c r="B1488" s="3">
        <v>9</v>
      </c>
      <c r="C1488" s="3">
        <v>96</v>
      </c>
      <c r="D1488" s="3">
        <v>27</v>
      </c>
      <c r="E1488" s="3">
        <v>-379.516</v>
      </c>
      <c r="F1488" s="4" t="str">
        <f>HYPERLINK("http://141.218.60.56/~jnz1568/getInfo.php?workbook=14_09.xlsx&amp;sheet=A0&amp;row=1488&amp;col=6&amp;number=1590000&amp;sourceID=14","1590000")</f>
        <v>1590000</v>
      </c>
      <c r="G1488" s="4" t="str">
        <f>HYPERLINK("http://141.218.60.56/~jnz1568/getInfo.php?workbook=14_09.xlsx&amp;sheet=A0&amp;row=1488&amp;col=7&amp;number=0&amp;sourceID=14","0")</f>
        <v>0</v>
      </c>
    </row>
    <row r="1489" spans="1:7">
      <c r="A1489" s="3">
        <v>14</v>
      </c>
      <c r="B1489" s="3">
        <v>9</v>
      </c>
      <c r="C1489" s="3">
        <v>98</v>
      </c>
      <c r="D1489" s="3">
        <v>27</v>
      </c>
      <c r="E1489" s="3">
        <v>-377.68</v>
      </c>
      <c r="F1489" s="4" t="str">
        <f>HYPERLINK("http://141.218.60.56/~jnz1568/getInfo.php?workbook=14_09.xlsx&amp;sheet=A0&amp;row=1489&amp;col=6&amp;number=5830000&amp;sourceID=14","5830000")</f>
        <v>5830000</v>
      </c>
      <c r="G1489" s="4" t="str">
        <f>HYPERLINK("http://141.218.60.56/~jnz1568/getInfo.php?workbook=14_09.xlsx&amp;sheet=A0&amp;row=1489&amp;col=7&amp;number=0&amp;sourceID=14","0")</f>
        <v>0</v>
      </c>
    </row>
    <row r="1490" spans="1:7">
      <c r="A1490" s="3">
        <v>14</v>
      </c>
      <c r="B1490" s="3">
        <v>9</v>
      </c>
      <c r="C1490" s="3">
        <v>99</v>
      </c>
      <c r="D1490" s="3">
        <v>27</v>
      </c>
      <c r="E1490" s="3">
        <v>-375.55</v>
      </c>
      <c r="F1490" s="4" t="str">
        <f>HYPERLINK("http://141.218.60.56/~jnz1568/getInfo.php?workbook=14_09.xlsx&amp;sheet=A0&amp;row=1490&amp;col=6&amp;number=104000000&amp;sourceID=14","104000000")</f>
        <v>104000000</v>
      </c>
      <c r="G1490" s="4" t="str">
        <f>HYPERLINK("http://141.218.60.56/~jnz1568/getInfo.php?workbook=14_09.xlsx&amp;sheet=A0&amp;row=1490&amp;col=7&amp;number=0&amp;sourceID=14","0")</f>
        <v>0</v>
      </c>
    </row>
    <row r="1491" spans="1:7">
      <c r="A1491" s="3">
        <v>14</v>
      </c>
      <c r="B1491" s="3">
        <v>9</v>
      </c>
      <c r="C1491" s="3">
        <v>100</v>
      </c>
      <c r="D1491" s="3">
        <v>27</v>
      </c>
      <c r="E1491" s="3">
        <v>-374.533</v>
      </c>
      <c r="F1491" s="4" t="str">
        <f>HYPERLINK("http://141.218.60.56/~jnz1568/getInfo.php?workbook=14_09.xlsx&amp;sheet=A0&amp;row=1491&amp;col=6&amp;number=67200000&amp;sourceID=14","67200000")</f>
        <v>67200000</v>
      </c>
      <c r="G1491" s="4" t="str">
        <f>HYPERLINK("http://141.218.60.56/~jnz1568/getInfo.php?workbook=14_09.xlsx&amp;sheet=A0&amp;row=1491&amp;col=7&amp;number=0&amp;sourceID=14","0")</f>
        <v>0</v>
      </c>
    </row>
    <row r="1492" spans="1:7">
      <c r="A1492" s="3">
        <v>14</v>
      </c>
      <c r="B1492" s="3">
        <v>9</v>
      </c>
      <c r="C1492" s="3">
        <v>101</v>
      </c>
      <c r="D1492" s="3">
        <v>27</v>
      </c>
      <c r="E1492" s="3">
        <v>-374.329</v>
      </c>
      <c r="F1492" s="4" t="str">
        <f>HYPERLINK("http://141.218.60.56/~jnz1568/getInfo.php?workbook=14_09.xlsx&amp;sheet=A0&amp;row=1492&amp;col=6&amp;number=80500&amp;sourceID=14","80500")</f>
        <v>80500</v>
      </c>
      <c r="G1492" s="4" t="str">
        <f>HYPERLINK("http://141.218.60.56/~jnz1568/getInfo.php?workbook=14_09.xlsx&amp;sheet=A0&amp;row=1492&amp;col=7&amp;number=0&amp;sourceID=14","0")</f>
        <v>0</v>
      </c>
    </row>
    <row r="1493" spans="1:7">
      <c r="A1493" s="3">
        <v>14</v>
      </c>
      <c r="B1493" s="3">
        <v>9</v>
      </c>
      <c r="C1493" s="3">
        <v>110</v>
      </c>
      <c r="D1493" s="3">
        <v>27</v>
      </c>
      <c r="E1493" s="3">
        <v>-369.872</v>
      </c>
      <c r="F1493" s="4" t="str">
        <f>HYPERLINK("http://141.218.60.56/~jnz1568/getInfo.php?workbook=14_09.xlsx&amp;sheet=A0&amp;row=1493&amp;col=6&amp;number=124000000&amp;sourceID=14","124000000")</f>
        <v>124000000</v>
      </c>
      <c r="G1493" s="4" t="str">
        <f>HYPERLINK("http://141.218.60.56/~jnz1568/getInfo.php?workbook=14_09.xlsx&amp;sheet=A0&amp;row=1493&amp;col=7&amp;number=0&amp;sourceID=14","0")</f>
        <v>0</v>
      </c>
    </row>
    <row r="1494" spans="1:7">
      <c r="A1494" s="3">
        <v>14</v>
      </c>
      <c r="B1494" s="3">
        <v>9</v>
      </c>
      <c r="C1494" s="3">
        <v>127</v>
      </c>
      <c r="D1494" s="3">
        <v>27</v>
      </c>
      <c r="E1494" s="3">
        <v>-329.839</v>
      </c>
      <c r="F1494" s="4" t="str">
        <f>HYPERLINK("http://141.218.60.56/~jnz1568/getInfo.php?workbook=14_09.xlsx&amp;sheet=A0&amp;row=1494&amp;col=6&amp;number=4520000&amp;sourceID=14","4520000")</f>
        <v>4520000</v>
      </c>
      <c r="G1494" s="4" t="str">
        <f>HYPERLINK("http://141.218.60.56/~jnz1568/getInfo.php?workbook=14_09.xlsx&amp;sheet=A0&amp;row=1494&amp;col=7&amp;number=0&amp;sourceID=14","0")</f>
        <v>0</v>
      </c>
    </row>
    <row r="1495" spans="1:7">
      <c r="A1495" s="3">
        <v>14</v>
      </c>
      <c r="B1495" s="3">
        <v>9</v>
      </c>
      <c r="C1495" s="3">
        <v>131</v>
      </c>
      <c r="D1495" s="3">
        <v>27</v>
      </c>
      <c r="E1495" s="3">
        <v>-323.106</v>
      </c>
      <c r="F1495" s="4" t="str">
        <f>HYPERLINK("http://141.218.60.56/~jnz1568/getInfo.php?workbook=14_09.xlsx&amp;sheet=A0&amp;row=1495&amp;col=6&amp;number=2990000000&amp;sourceID=14","2990000000")</f>
        <v>2990000000</v>
      </c>
      <c r="G1495" s="4" t="str">
        <f>HYPERLINK("http://141.218.60.56/~jnz1568/getInfo.php?workbook=14_09.xlsx&amp;sheet=A0&amp;row=1495&amp;col=7&amp;number=0&amp;sourceID=14","0")</f>
        <v>0</v>
      </c>
    </row>
    <row r="1496" spans="1:7">
      <c r="A1496" s="3">
        <v>14</v>
      </c>
      <c r="B1496" s="3">
        <v>9</v>
      </c>
      <c r="C1496" s="3">
        <v>132</v>
      </c>
      <c r="D1496" s="3">
        <v>27</v>
      </c>
      <c r="E1496" s="3">
        <v>-323.064</v>
      </c>
      <c r="F1496" s="4" t="str">
        <f>HYPERLINK("http://141.218.60.56/~jnz1568/getInfo.php?workbook=14_09.xlsx&amp;sheet=A0&amp;row=1496&amp;col=6&amp;number=243000000&amp;sourceID=14","243000000")</f>
        <v>243000000</v>
      </c>
      <c r="G1496" s="4" t="str">
        <f>HYPERLINK("http://141.218.60.56/~jnz1568/getInfo.php?workbook=14_09.xlsx&amp;sheet=A0&amp;row=1496&amp;col=7&amp;number=0&amp;sourceID=14","0")</f>
        <v>0</v>
      </c>
    </row>
    <row r="1497" spans="1:7">
      <c r="A1497" s="3">
        <v>14</v>
      </c>
      <c r="B1497" s="3">
        <v>9</v>
      </c>
      <c r="C1497" s="3">
        <v>134</v>
      </c>
      <c r="D1497" s="3">
        <v>27</v>
      </c>
      <c r="E1497" s="3">
        <v>-322.432</v>
      </c>
      <c r="F1497" s="4" t="str">
        <f>HYPERLINK("http://141.218.60.56/~jnz1568/getInfo.php?workbook=14_09.xlsx&amp;sheet=A0&amp;row=1497&amp;col=6&amp;number=1270000000&amp;sourceID=14","1270000000")</f>
        <v>1270000000</v>
      </c>
      <c r="G1497" s="4" t="str">
        <f>HYPERLINK("http://141.218.60.56/~jnz1568/getInfo.php?workbook=14_09.xlsx&amp;sheet=A0&amp;row=1497&amp;col=7&amp;number=0&amp;sourceID=14","0")</f>
        <v>0</v>
      </c>
    </row>
    <row r="1498" spans="1:7">
      <c r="A1498" s="3">
        <v>14</v>
      </c>
      <c r="B1498" s="3">
        <v>9</v>
      </c>
      <c r="C1498" s="3">
        <v>135</v>
      </c>
      <c r="D1498" s="3">
        <v>27</v>
      </c>
      <c r="E1498" s="3">
        <v>-322.281</v>
      </c>
      <c r="F1498" s="4" t="str">
        <f>HYPERLINK("http://141.218.60.56/~jnz1568/getInfo.php?workbook=14_09.xlsx&amp;sheet=A0&amp;row=1498&amp;col=6&amp;number=15600000&amp;sourceID=14","15600000")</f>
        <v>15600000</v>
      </c>
      <c r="G1498" s="4" t="str">
        <f>HYPERLINK("http://141.218.60.56/~jnz1568/getInfo.php?workbook=14_09.xlsx&amp;sheet=A0&amp;row=1498&amp;col=7&amp;number=0&amp;sourceID=14","0")</f>
        <v>0</v>
      </c>
    </row>
    <row r="1499" spans="1:7">
      <c r="A1499" s="3">
        <v>14</v>
      </c>
      <c r="B1499" s="3">
        <v>9</v>
      </c>
      <c r="C1499" s="3">
        <v>136</v>
      </c>
      <c r="D1499" s="3">
        <v>27</v>
      </c>
      <c r="E1499" s="3">
        <v>-321.792</v>
      </c>
      <c r="F1499" s="4" t="str">
        <f>HYPERLINK("http://141.218.60.56/~jnz1568/getInfo.php?workbook=14_09.xlsx&amp;sheet=A0&amp;row=1499&amp;col=6&amp;number=2000000000&amp;sourceID=14","2000000000")</f>
        <v>2000000000</v>
      </c>
      <c r="G1499" s="4" t="str">
        <f>HYPERLINK("http://141.218.60.56/~jnz1568/getInfo.php?workbook=14_09.xlsx&amp;sheet=A0&amp;row=1499&amp;col=7&amp;number=0&amp;sourceID=14","0")</f>
        <v>0</v>
      </c>
    </row>
    <row r="1500" spans="1:7">
      <c r="A1500" s="3">
        <v>14</v>
      </c>
      <c r="B1500" s="3">
        <v>9</v>
      </c>
      <c r="C1500" s="3">
        <v>137</v>
      </c>
      <c r="D1500" s="3">
        <v>27</v>
      </c>
      <c r="E1500" s="3">
        <v>-320.884</v>
      </c>
      <c r="F1500" s="4" t="str">
        <f>HYPERLINK("http://141.218.60.56/~jnz1568/getInfo.php?workbook=14_09.xlsx&amp;sheet=A0&amp;row=1500&amp;col=6&amp;number=68200000&amp;sourceID=14","68200000")</f>
        <v>68200000</v>
      </c>
      <c r="G1500" s="4" t="str">
        <f>HYPERLINK("http://141.218.60.56/~jnz1568/getInfo.php?workbook=14_09.xlsx&amp;sheet=A0&amp;row=1500&amp;col=7&amp;number=0&amp;sourceID=14","0")</f>
        <v>0</v>
      </c>
    </row>
    <row r="1501" spans="1:7">
      <c r="A1501" s="3">
        <v>14</v>
      </c>
      <c r="B1501" s="3">
        <v>9</v>
      </c>
      <c r="C1501" s="3">
        <v>142</v>
      </c>
      <c r="D1501" s="3">
        <v>27</v>
      </c>
      <c r="E1501" s="3">
        <v>-314.981</v>
      </c>
      <c r="F1501" s="4" t="str">
        <f>HYPERLINK("http://141.218.60.56/~jnz1568/getInfo.php?workbook=14_09.xlsx&amp;sheet=A0&amp;row=1501&amp;col=6&amp;number=273000&amp;sourceID=14","273000")</f>
        <v>273000</v>
      </c>
      <c r="G1501" s="4" t="str">
        <f>HYPERLINK("http://141.218.60.56/~jnz1568/getInfo.php?workbook=14_09.xlsx&amp;sheet=A0&amp;row=1501&amp;col=7&amp;number=0&amp;sourceID=14","0")</f>
        <v>0</v>
      </c>
    </row>
    <row r="1502" spans="1:7">
      <c r="A1502" s="3">
        <v>14</v>
      </c>
      <c r="B1502" s="3">
        <v>9</v>
      </c>
      <c r="C1502" s="3">
        <v>147</v>
      </c>
      <c r="D1502" s="3">
        <v>27</v>
      </c>
      <c r="E1502" s="3">
        <v>-313.642</v>
      </c>
      <c r="F1502" s="4" t="str">
        <f>HYPERLINK("http://141.218.60.56/~jnz1568/getInfo.php?workbook=14_09.xlsx&amp;sheet=A0&amp;row=1502&amp;col=6&amp;number=494000&amp;sourceID=14","494000")</f>
        <v>494000</v>
      </c>
      <c r="G1502" s="4" t="str">
        <f>HYPERLINK("http://141.218.60.56/~jnz1568/getInfo.php?workbook=14_09.xlsx&amp;sheet=A0&amp;row=1502&amp;col=7&amp;number=0&amp;sourceID=14","0")</f>
        <v>0</v>
      </c>
    </row>
    <row r="1503" spans="1:7">
      <c r="A1503" s="3">
        <v>14</v>
      </c>
      <c r="B1503" s="3">
        <v>9</v>
      </c>
      <c r="C1503" s="3">
        <v>149</v>
      </c>
      <c r="D1503" s="3">
        <v>27</v>
      </c>
      <c r="E1503" s="3">
        <v>-313.191</v>
      </c>
      <c r="F1503" s="4" t="str">
        <f>HYPERLINK("http://141.218.60.56/~jnz1568/getInfo.php?workbook=14_09.xlsx&amp;sheet=A0&amp;row=1503&amp;col=6&amp;number=557000&amp;sourceID=14","557000")</f>
        <v>557000</v>
      </c>
      <c r="G1503" s="4" t="str">
        <f>HYPERLINK("http://141.218.60.56/~jnz1568/getInfo.php?workbook=14_09.xlsx&amp;sheet=A0&amp;row=1503&amp;col=7&amp;number=0&amp;sourceID=14","0")</f>
        <v>0</v>
      </c>
    </row>
    <row r="1504" spans="1:7">
      <c r="A1504" s="3">
        <v>14</v>
      </c>
      <c r="B1504" s="3">
        <v>9</v>
      </c>
      <c r="C1504" s="3">
        <v>151</v>
      </c>
      <c r="D1504" s="3">
        <v>27</v>
      </c>
      <c r="E1504" s="3">
        <v>-312.326</v>
      </c>
      <c r="F1504" s="4" t="str">
        <f>HYPERLINK("http://141.218.60.56/~jnz1568/getInfo.php?workbook=14_09.xlsx&amp;sheet=A0&amp;row=1504&amp;col=6&amp;number=196000&amp;sourceID=14","196000")</f>
        <v>196000</v>
      </c>
      <c r="G1504" s="4" t="str">
        <f>HYPERLINK("http://141.218.60.56/~jnz1568/getInfo.php?workbook=14_09.xlsx&amp;sheet=A0&amp;row=1504&amp;col=7&amp;number=0&amp;sourceID=14","0")</f>
        <v>0</v>
      </c>
    </row>
    <row r="1505" spans="1:7">
      <c r="A1505" s="3">
        <v>14</v>
      </c>
      <c r="B1505" s="3">
        <v>9</v>
      </c>
      <c r="C1505" s="3">
        <v>152</v>
      </c>
      <c r="D1505" s="3">
        <v>27</v>
      </c>
      <c r="E1505" s="3">
        <v>-306.227</v>
      </c>
      <c r="F1505" s="4" t="str">
        <f>HYPERLINK("http://141.218.60.56/~jnz1568/getInfo.php?workbook=14_09.xlsx&amp;sheet=A0&amp;row=1505&amp;col=6&amp;number=730000&amp;sourceID=14","730000")</f>
        <v>730000</v>
      </c>
      <c r="G1505" s="4" t="str">
        <f>HYPERLINK("http://141.218.60.56/~jnz1568/getInfo.php?workbook=14_09.xlsx&amp;sheet=A0&amp;row=1505&amp;col=7&amp;number=0&amp;sourceID=14","0")</f>
        <v>0</v>
      </c>
    </row>
    <row r="1506" spans="1:7">
      <c r="A1506" s="3">
        <v>14</v>
      </c>
      <c r="B1506" s="3">
        <v>9</v>
      </c>
      <c r="C1506" s="3">
        <v>154</v>
      </c>
      <c r="D1506" s="3">
        <v>27</v>
      </c>
      <c r="E1506" s="3">
        <v>-304.573</v>
      </c>
      <c r="F1506" s="4" t="str">
        <f>HYPERLINK("http://141.218.60.56/~jnz1568/getInfo.php?workbook=14_09.xlsx&amp;sheet=A0&amp;row=1506&amp;col=6&amp;number=1260000&amp;sourceID=14","1260000")</f>
        <v>1260000</v>
      </c>
      <c r="G1506" s="4" t="str">
        <f>HYPERLINK("http://141.218.60.56/~jnz1568/getInfo.php?workbook=14_09.xlsx&amp;sheet=A0&amp;row=1506&amp;col=7&amp;number=0&amp;sourceID=14","0")</f>
        <v>0</v>
      </c>
    </row>
    <row r="1507" spans="1:7">
      <c r="A1507" s="3">
        <v>14</v>
      </c>
      <c r="B1507" s="3">
        <v>9</v>
      </c>
      <c r="C1507" s="3">
        <v>155</v>
      </c>
      <c r="D1507" s="3">
        <v>27</v>
      </c>
      <c r="E1507" s="3">
        <v>-303.965</v>
      </c>
      <c r="F1507" s="4" t="str">
        <f>HYPERLINK("http://141.218.60.56/~jnz1568/getInfo.php?workbook=14_09.xlsx&amp;sheet=A0&amp;row=1507&amp;col=6&amp;number=2700000&amp;sourceID=14","2700000")</f>
        <v>2700000</v>
      </c>
      <c r="G1507" s="4" t="str">
        <f>HYPERLINK("http://141.218.60.56/~jnz1568/getInfo.php?workbook=14_09.xlsx&amp;sheet=A0&amp;row=1507&amp;col=7&amp;number=0&amp;sourceID=14","0")</f>
        <v>0</v>
      </c>
    </row>
    <row r="1508" spans="1:7">
      <c r="A1508" s="3">
        <v>14</v>
      </c>
      <c r="B1508" s="3">
        <v>9</v>
      </c>
      <c r="C1508" s="3">
        <v>156</v>
      </c>
      <c r="D1508" s="3">
        <v>27</v>
      </c>
      <c r="E1508" s="3">
        <v>-303.114</v>
      </c>
      <c r="F1508" s="4" t="str">
        <f>HYPERLINK("http://141.218.60.56/~jnz1568/getInfo.php?workbook=14_09.xlsx&amp;sheet=A0&amp;row=1508&amp;col=6&amp;number=24800000&amp;sourceID=14","24800000")</f>
        <v>24800000</v>
      </c>
      <c r="G1508" s="4" t="str">
        <f>HYPERLINK("http://141.218.60.56/~jnz1568/getInfo.php?workbook=14_09.xlsx&amp;sheet=A0&amp;row=1508&amp;col=7&amp;number=0&amp;sourceID=14","0")</f>
        <v>0</v>
      </c>
    </row>
    <row r="1509" spans="1:7">
      <c r="A1509" s="3">
        <v>14</v>
      </c>
      <c r="B1509" s="3">
        <v>9</v>
      </c>
      <c r="C1509" s="3">
        <v>157</v>
      </c>
      <c r="D1509" s="3">
        <v>27</v>
      </c>
      <c r="E1509" s="3">
        <v>-300.782</v>
      </c>
      <c r="F1509" s="4" t="str">
        <f>HYPERLINK("http://141.218.60.56/~jnz1568/getInfo.php?workbook=14_09.xlsx&amp;sheet=A0&amp;row=1509&amp;col=6&amp;number=16200000&amp;sourceID=14","16200000")</f>
        <v>16200000</v>
      </c>
      <c r="G1509" s="4" t="str">
        <f>HYPERLINK("http://141.218.60.56/~jnz1568/getInfo.php?workbook=14_09.xlsx&amp;sheet=A0&amp;row=1509&amp;col=7&amp;number=0&amp;sourceID=14","0")</f>
        <v>0</v>
      </c>
    </row>
    <row r="1510" spans="1:7">
      <c r="A1510" s="3">
        <v>14</v>
      </c>
      <c r="B1510" s="3">
        <v>9</v>
      </c>
      <c r="C1510" s="3">
        <v>158</v>
      </c>
      <c r="D1510" s="3">
        <v>27</v>
      </c>
      <c r="E1510" s="3">
        <v>-300.301</v>
      </c>
      <c r="F1510" s="4" t="str">
        <f>HYPERLINK("http://141.218.60.56/~jnz1568/getInfo.php?workbook=14_09.xlsx&amp;sheet=A0&amp;row=1510&amp;col=6&amp;number=7730000&amp;sourceID=14","7730000")</f>
        <v>7730000</v>
      </c>
      <c r="G1510" s="4" t="str">
        <f>HYPERLINK("http://141.218.60.56/~jnz1568/getInfo.php?workbook=14_09.xlsx&amp;sheet=A0&amp;row=1510&amp;col=7&amp;number=0&amp;sourceID=14","0")</f>
        <v>0</v>
      </c>
    </row>
    <row r="1511" spans="1:7">
      <c r="A1511" s="3">
        <v>14</v>
      </c>
      <c r="B1511" s="3">
        <v>9</v>
      </c>
      <c r="C1511" s="3">
        <v>161</v>
      </c>
      <c r="D1511" s="3">
        <v>27</v>
      </c>
      <c r="E1511" s="3">
        <v>-270.665</v>
      </c>
      <c r="F1511" s="4" t="str">
        <f>HYPERLINK("http://141.218.60.56/~jnz1568/getInfo.php?workbook=14_09.xlsx&amp;sheet=A0&amp;row=1511&amp;col=6&amp;number=6080000&amp;sourceID=14","6080000")</f>
        <v>6080000</v>
      </c>
      <c r="G1511" s="4" t="str">
        <f>HYPERLINK("http://141.218.60.56/~jnz1568/getInfo.php?workbook=14_09.xlsx&amp;sheet=A0&amp;row=1511&amp;col=7&amp;number=0&amp;sourceID=14","0")</f>
        <v>0</v>
      </c>
    </row>
    <row r="1512" spans="1:7">
      <c r="A1512" s="3">
        <v>14</v>
      </c>
      <c r="B1512" s="3">
        <v>9</v>
      </c>
      <c r="C1512" s="3">
        <v>162</v>
      </c>
      <c r="D1512" s="3">
        <v>27</v>
      </c>
      <c r="E1512" s="3">
        <v>-264.963</v>
      </c>
      <c r="F1512" s="4" t="str">
        <f>HYPERLINK("http://141.218.60.56/~jnz1568/getInfo.php?workbook=14_09.xlsx&amp;sheet=A0&amp;row=1512&amp;col=6&amp;number=840000&amp;sourceID=14","840000")</f>
        <v>840000</v>
      </c>
      <c r="G1512" s="4" t="str">
        <f>HYPERLINK("http://141.218.60.56/~jnz1568/getInfo.php?workbook=14_09.xlsx&amp;sheet=A0&amp;row=1512&amp;col=7&amp;number=0&amp;sourceID=14","0")</f>
        <v>0</v>
      </c>
    </row>
    <row r="1513" spans="1:7">
      <c r="A1513" s="3">
        <v>14</v>
      </c>
      <c r="B1513" s="3">
        <v>9</v>
      </c>
      <c r="C1513" s="3">
        <v>163</v>
      </c>
      <c r="D1513" s="3">
        <v>27</v>
      </c>
      <c r="E1513" s="3">
        <v>-264.871</v>
      </c>
      <c r="F1513" s="4" t="str">
        <f>HYPERLINK("http://141.218.60.56/~jnz1568/getInfo.php?workbook=14_09.xlsx&amp;sheet=A0&amp;row=1513&amp;col=6&amp;number=4350000&amp;sourceID=14","4350000")</f>
        <v>4350000</v>
      </c>
      <c r="G1513" s="4" t="str">
        <f>HYPERLINK("http://141.218.60.56/~jnz1568/getInfo.php?workbook=14_09.xlsx&amp;sheet=A0&amp;row=1513&amp;col=7&amp;number=0&amp;sourceID=14","0")</f>
        <v>0</v>
      </c>
    </row>
    <row r="1514" spans="1:7">
      <c r="A1514" s="3">
        <v>14</v>
      </c>
      <c r="B1514" s="3">
        <v>9</v>
      </c>
      <c r="C1514" s="3">
        <v>185</v>
      </c>
      <c r="D1514" s="3">
        <v>27</v>
      </c>
      <c r="E1514" s="3">
        <v>-210.399</v>
      </c>
      <c r="F1514" s="4" t="str">
        <f>HYPERLINK("http://141.218.60.56/~jnz1568/getInfo.php?workbook=14_09.xlsx&amp;sheet=A0&amp;row=1514&amp;col=6&amp;number=7910000000&amp;sourceID=14","7910000000")</f>
        <v>7910000000</v>
      </c>
      <c r="G1514" s="4" t="str">
        <f>HYPERLINK("http://141.218.60.56/~jnz1568/getInfo.php?workbook=14_09.xlsx&amp;sheet=A0&amp;row=1514&amp;col=7&amp;number=0&amp;sourceID=14","0")</f>
        <v>0</v>
      </c>
    </row>
    <row r="1515" spans="1:7">
      <c r="A1515" s="3">
        <v>14</v>
      </c>
      <c r="B1515" s="3">
        <v>9</v>
      </c>
      <c r="C1515" s="3">
        <v>186</v>
      </c>
      <c r="D1515" s="3">
        <v>27</v>
      </c>
      <c r="E1515" s="3">
        <v>-210.118</v>
      </c>
      <c r="F1515" s="4" t="str">
        <f>HYPERLINK("http://141.218.60.56/~jnz1568/getInfo.php?workbook=14_09.xlsx&amp;sheet=A0&amp;row=1515&amp;col=6&amp;number=701000000&amp;sourceID=14","701000000")</f>
        <v>701000000</v>
      </c>
      <c r="G1515" s="4" t="str">
        <f>HYPERLINK("http://141.218.60.56/~jnz1568/getInfo.php?workbook=14_09.xlsx&amp;sheet=A0&amp;row=1515&amp;col=7&amp;number=0&amp;sourceID=14","0")</f>
        <v>0</v>
      </c>
    </row>
    <row r="1516" spans="1:7">
      <c r="A1516" s="3">
        <v>14</v>
      </c>
      <c r="B1516" s="3">
        <v>9</v>
      </c>
      <c r="C1516" s="3">
        <v>187</v>
      </c>
      <c r="D1516" s="3">
        <v>27</v>
      </c>
      <c r="E1516" s="3">
        <v>-207.976</v>
      </c>
      <c r="F1516" s="4" t="str">
        <f>HYPERLINK("http://141.218.60.56/~jnz1568/getInfo.php?workbook=14_09.xlsx&amp;sheet=A0&amp;row=1516&amp;col=6&amp;number=46300000000&amp;sourceID=14","46300000000")</f>
        <v>46300000000</v>
      </c>
      <c r="G1516" s="4" t="str">
        <f>HYPERLINK("http://141.218.60.56/~jnz1568/getInfo.php?workbook=14_09.xlsx&amp;sheet=A0&amp;row=1516&amp;col=7&amp;number=0&amp;sourceID=14","0")</f>
        <v>0</v>
      </c>
    </row>
    <row r="1517" spans="1:7">
      <c r="A1517" s="3">
        <v>14</v>
      </c>
      <c r="B1517" s="3">
        <v>9</v>
      </c>
      <c r="C1517" s="3">
        <v>188</v>
      </c>
      <c r="D1517" s="3">
        <v>27</v>
      </c>
      <c r="E1517" s="3">
        <v>-207.84</v>
      </c>
      <c r="F1517" s="4" t="str">
        <f>HYPERLINK("http://141.218.60.56/~jnz1568/getInfo.php?workbook=14_09.xlsx&amp;sheet=A0&amp;row=1517&amp;col=6&amp;number=6410000000&amp;sourceID=14","6410000000")</f>
        <v>6410000000</v>
      </c>
      <c r="G1517" s="4" t="str">
        <f>HYPERLINK("http://141.218.60.56/~jnz1568/getInfo.php?workbook=14_09.xlsx&amp;sheet=A0&amp;row=1517&amp;col=7&amp;number=0&amp;sourceID=14","0")</f>
        <v>0</v>
      </c>
    </row>
    <row r="1518" spans="1:7">
      <c r="A1518" s="3">
        <v>14</v>
      </c>
      <c r="B1518" s="3">
        <v>9</v>
      </c>
      <c r="C1518" s="3">
        <v>189</v>
      </c>
      <c r="D1518" s="3">
        <v>27</v>
      </c>
      <c r="E1518" s="3">
        <v>-202.193</v>
      </c>
      <c r="F1518" s="4" t="str">
        <f>HYPERLINK("http://141.218.60.56/~jnz1568/getInfo.php?workbook=14_09.xlsx&amp;sheet=A0&amp;row=1518&amp;col=6&amp;number=109000000&amp;sourceID=14","109000000")</f>
        <v>109000000</v>
      </c>
      <c r="G1518" s="4" t="str">
        <f>HYPERLINK("http://141.218.60.56/~jnz1568/getInfo.php?workbook=14_09.xlsx&amp;sheet=A0&amp;row=1518&amp;col=7&amp;number=0&amp;sourceID=14","0")</f>
        <v>0</v>
      </c>
    </row>
    <row r="1519" spans="1:7">
      <c r="A1519" s="3">
        <v>14</v>
      </c>
      <c r="B1519" s="3">
        <v>9</v>
      </c>
      <c r="C1519" s="3">
        <v>37</v>
      </c>
      <c r="D1519" s="3">
        <v>28</v>
      </c>
      <c r="E1519" s="3">
        <v>1779.83</v>
      </c>
      <c r="F1519" s="4" t="str">
        <f>HYPERLINK("http://141.218.60.56/~jnz1568/getInfo.php?workbook=14_09.xlsx&amp;sheet=A0&amp;row=1519&amp;col=6&amp;number=55000&amp;sourceID=14","55000")</f>
        <v>55000</v>
      </c>
      <c r="G1519" s="4" t="str">
        <f>HYPERLINK("http://141.218.60.56/~jnz1568/getInfo.php?workbook=14_09.xlsx&amp;sheet=A0&amp;row=1519&amp;col=7&amp;number=0&amp;sourceID=14","0")</f>
        <v>0</v>
      </c>
    </row>
    <row r="1520" spans="1:7">
      <c r="A1520" s="3">
        <v>14</v>
      </c>
      <c r="B1520" s="3">
        <v>9</v>
      </c>
      <c r="C1520" s="3">
        <v>41</v>
      </c>
      <c r="D1520" s="3">
        <v>28</v>
      </c>
      <c r="E1520" s="3">
        <v>1717.89</v>
      </c>
      <c r="F1520" s="4" t="str">
        <f>HYPERLINK("http://141.218.60.56/~jnz1568/getInfo.php?workbook=14_09.xlsx&amp;sheet=A0&amp;row=1520&amp;col=6&amp;number=142000&amp;sourceID=14","142000")</f>
        <v>142000</v>
      </c>
      <c r="G1520" s="4" t="str">
        <f>HYPERLINK("http://141.218.60.56/~jnz1568/getInfo.php?workbook=14_09.xlsx&amp;sheet=A0&amp;row=1520&amp;col=7&amp;number=0&amp;sourceID=14","0")</f>
        <v>0</v>
      </c>
    </row>
    <row r="1521" spans="1:7">
      <c r="A1521" s="3">
        <v>14</v>
      </c>
      <c r="B1521" s="3">
        <v>9</v>
      </c>
      <c r="C1521" s="3">
        <v>42</v>
      </c>
      <c r="D1521" s="3">
        <v>28</v>
      </c>
      <c r="E1521" s="3">
        <v>1655.386</v>
      </c>
      <c r="F1521" s="4" t="str">
        <f>HYPERLINK("http://141.218.60.56/~jnz1568/getInfo.php?workbook=14_09.xlsx&amp;sheet=A0&amp;row=1521&amp;col=6&amp;number=168000&amp;sourceID=14","168000")</f>
        <v>168000</v>
      </c>
      <c r="G1521" s="4" t="str">
        <f>HYPERLINK("http://141.218.60.56/~jnz1568/getInfo.php?workbook=14_09.xlsx&amp;sheet=A0&amp;row=1521&amp;col=7&amp;number=0&amp;sourceID=14","0")</f>
        <v>0</v>
      </c>
    </row>
    <row r="1522" spans="1:7">
      <c r="A1522" s="3">
        <v>14</v>
      </c>
      <c r="B1522" s="3">
        <v>9</v>
      </c>
      <c r="C1522" s="3">
        <v>43</v>
      </c>
      <c r="D1522" s="3">
        <v>28</v>
      </c>
      <c r="E1522" s="3">
        <v>1648.529</v>
      </c>
      <c r="F1522" s="4" t="str">
        <f>HYPERLINK("http://141.218.60.56/~jnz1568/getInfo.php?workbook=14_09.xlsx&amp;sheet=A0&amp;row=1522&amp;col=6&amp;number=1140000&amp;sourceID=14","1140000")</f>
        <v>1140000</v>
      </c>
      <c r="G1522" s="4" t="str">
        <f>HYPERLINK("http://141.218.60.56/~jnz1568/getInfo.php?workbook=14_09.xlsx&amp;sheet=A0&amp;row=1522&amp;col=7&amp;number=0&amp;sourceID=14","0")</f>
        <v>0</v>
      </c>
    </row>
    <row r="1523" spans="1:7">
      <c r="A1523" s="3">
        <v>14</v>
      </c>
      <c r="B1523" s="3">
        <v>9</v>
      </c>
      <c r="C1523" s="3">
        <v>47</v>
      </c>
      <c r="D1523" s="3">
        <v>28</v>
      </c>
      <c r="E1523" s="3">
        <v>-1506.98</v>
      </c>
      <c r="F1523" s="4" t="str">
        <f>HYPERLINK("http://141.218.60.56/~jnz1568/getInfo.php?workbook=14_09.xlsx&amp;sheet=A0&amp;row=1523&amp;col=6&amp;number=10100000&amp;sourceID=14","10100000")</f>
        <v>10100000</v>
      </c>
      <c r="G1523" s="4" t="str">
        <f>HYPERLINK("http://141.218.60.56/~jnz1568/getInfo.php?workbook=14_09.xlsx&amp;sheet=A0&amp;row=1523&amp;col=7&amp;number=0&amp;sourceID=14","0")</f>
        <v>0</v>
      </c>
    </row>
    <row r="1524" spans="1:7">
      <c r="A1524" s="3">
        <v>14</v>
      </c>
      <c r="B1524" s="3">
        <v>9</v>
      </c>
      <c r="C1524" s="3">
        <v>48</v>
      </c>
      <c r="D1524" s="3">
        <v>28</v>
      </c>
      <c r="E1524" s="3">
        <v>-1462.034</v>
      </c>
      <c r="F1524" s="4" t="str">
        <f>HYPERLINK("http://141.218.60.56/~jnz1568/getInfo.php?workbook=14_09.xlsx&amp;sheet=A0&amp;row=1524&amp;col=6&amp;number=25300000&amp;sourceID=14","25300000")</f>
        <v>25300000</v>
      </c>
      <c r="G1524" s="4" t="str">
        <f>HYPERLINK("http://141.218.60.56/~jnz1568/getInfo.php?workbook=14_09.xlsx&amp;sheet=A0&amp;row=1524&amp;col=7&amp;number=0&amp;sourceID=14","0")</f>
        <v>0</v>
      </c>
    </row>
    <row r="1525" spans="1:7">
      <c r="A1525" s="3">
        <v>14</v>
      </c>
      <c r="B1525" s="3">
        <v>9</v>
      </c>
      <c r="C1525" s="3">
        <v>49</v>
      </c>
      <c r="D1525" s="3">
        <v>28</v>
      </c>
      <c r="E1525" s="3">
        <v>-1431.642</v>
      </c>
      <c r="F1525" s="4" t="str">
        <f>HYPERLINK("http://141.218.60.56/~jnz1568/getInfo.php?workbook=14_09.xlsx&amp;sheet=A0&amp;row=1525&amp;col=6&amp;number=6490000&amp;sourceID=14","6490000")</f>
        <v>6490000</v>
      </c>
      <c r="G1525" s="4" t="str">
        <f>HYPERLINK("http://141.218.60.56/~jnz1568/getInfo.php?workbook=14_09.xlsx&amp;sheet=A0&amp;row=1525&amp;col=7&amp;number=0&amp;sourceID=14","0")</f>
        <v>0</v>
      </c>
    </row>
    <row r="1526" spans="1:7">
      <c r="A1526" s="3">
        <v>14</v>
      </c>
      <c r="B1526" s="3">
        <v>9</v>
      </c>
      <c r="C1526" s="3">
        <v>50</v>
      </c>
      <c r="D1526" s="3">
        <v>28</v>
      </c>
      <c r="E1526" s="3">
        <v>1021.924</v>
      </c>
      <c r="F1526" s="4" t="str">
        <f>HYPERLINK("http://141.218.60.56/~jnz1568/getInfo.php?workbook=14_09.xlsx&amp;sheet=A0&amp;row=1526&amp;col=6&amp;number=1580000&amp;sourceID=14","1580000")</f>
        <v>1580000</v>
      </c>
      <c r="G1526" s="4" t="str">
        <f>HYPERLINK("http://141.218.60.56/~jnz1568/getInfo.php?workbook=14_09.xlsx&amp;sheet=A0&amp;row=1526&amp;col=7&amp;number=0&amp;sourceID=14","0")</f>
        <v>0</v>
      </c>
    </row>
    <row r="1527" spans="1:7">
      <c r="A1527" s="3">
        <v>14</v>
      </c>
      <c r="B1527" s="3">
        <v>9</v>
      </c>
      <c r="C1527" s="3">
        <v>53</v>
      </c>
      <c r="D1527" s="3">
        <v>28</v>
      </c>
      <c r="E1527" s="3">
        <v>-933.186</v>
      </c>
      <c r="F1527" s="4" t="str">
        <f>HYPERLINK("http://141.218.60.56/~jnz1568/getInfo.php?workbook=14_09.xlsx&amp;sheet=A0&amp;row=1527&amp;col=6&amp;number=452000000&amp;sourceID=14","452000000")</f>
        <v>452000000</v>
      </c>
      <c r="G1527" s="4" t="str">
        <f>HYPERLINK("http://141.218.60.56/~jnz1568/getInfo.php?workbook=14_09.xlsx&amp;sheet=A0&amp;row=1527&amp;col=7&amp;number=0&amp;sourceID=14","0")</f>
        <v>0</v>
      </c>
    </row>
    <row r="1528" spans="1:7">
      <c r="A1528" s="3">
        <v>14</v>
      </c>
      <c r="B1528" s="3">
        <v>9</v>
      </c>
      <c r="C1528" s="3">
        <v>54</v>
      </c>
      <c r="D1528" s="3">
        <v>28</v>
      </c>
      <c r="E1528" s="3">
        <v>-923.329</v>
      </c>
      <c r="F1528" s="4" t="str">
        <f>HYPERLINK("http://141.218.60.56/~jnz1568/getInfo.php?workbook=14_09.xlsx&amp;sheet=A0&amp;row=1528&amp;col=6&amp;number=7710000&amp;sourceID=14","7710000")</f>
        <v>7710000</v>
      </c>
      <c r="G1528" s="4" t="str">
        <f>HYPERLINK("http://141.218.60.56/~jnz1568/getInfo.php?workbook=14_09.xlsx&amp;sheet=A0&amp;row=1528&amp;col=7&amp;number=0&amp;sourceID=14","0")</f>
        <v>0</v>
      </c>
    </row>
    <row r="1529" spans="1:7">
      <c r="A1529" s="3">
        <v>14</v>
      </c>
      <c r="B1529" s="3">
        <v>9</v>
      </c>
      <c r="C1529" s="3">
        <v>56</v>
      </c>
      <c r="D1529" s="3">
        <v>28</v>
      </c>
      <c r="E1529" s="3">
        <v>925.032</v>
      </c>
      <c r="F1529" s="4" t="str">
        <f>HYPERLINK("http://141.218.60.56/~jnz1568/getInfo.php?workbook=14_09.xlsx&amp;sheet=A0&amp;row=1529&amp;col=6&amp;number=1730000000&amp;sourceID=14","1730000000")</f>
        <v>1730000000</v>
      </c>
      <c r="G1529" s="4" t="str">
        <f>HYPERLINK("http://141.218.60.56/~jnz1568/getInfo.php?workbook=14_09.xlsx&amp;sheet=A0&amp;row=1529&amp;col=7&amp;number=0&amp;sourceID=14","0")</f>
        <v>0</v>
      </c>
    </row>
    <row r="1530" spans="1:7">
      <c r="A1530" s="3">
        <v>14</v>
      </c>
      <c r="B1530" s="3">
        <v>9</v>
      </c>
      <c r="C1530" s="3">
        <v>57</v>
      </c>
      <c r="D1530" s="3">
        <v>28</v>
      </c>
      <c r="E1530" s="3">
        <v>-910.516</v>
      </c>
      <c r="F1530" s="4" t="str">
        <f>HYPERLINK("http://141.218.60.56/~jnz1568/getInfo.php?workbook=14_09.xlsx&amp;sheet=A0&amp;row=1530&amp;col=6&amp;number=1540000000&amp;sourceID=14","1540000000")</f>
        <v>1540000000</v>
      </c>
      <c r="G1530" s="4" t="str">
        <f>HYPERLINK("http://141.218.60.56/~jnz1568/getInfo.php?workbook=14_09.xlsx&amp;sheet=A0&amp;row=1530&amp;col=7&amp;number=0&amp;sourceID=14","0")</f>
        <v>0</v>
      </c>
    </row>
    <row r="1531" spans="1:7">
      <c r="A1531" s="3">
        <v>14</v>
      </c>
      <c r="B1531" s="3">
        <v>9</v>
      </c>
      <c r="C1531" s="3">
        <v>58</v>
      </c>
      <c r="D1531" s="3">
        <v>28</v>
      </c>
      <c r="E1531" s="3">
        <v>-901.13</v>
      </c>
      <c r="F1531" s="4" t="str">
        <f>HYPERLINK("http://141.218.60.56/~jnz1568/getInfo.php?workbook=14_09.xlsx&amp;sheet=A0&amp;row=1531&amp;col=6&amp;number=134000000&amp;sourceID=14","134000000")</f>
        <v>134000000</v>
      </c>
      <c r="G1531" s="4" t="str">
        <f>HYPERLINK("http://141.218.60.56/~jnz1568/getInfo.php?workbook=14_09.xlsx&amp;sheet=A0&amp;row=1531&amp;col=7&amp;number=0&amp;sourceID=14","0")</f>
        <v>0</v>
      </c>
    </row>
    <row r="1532" spans="1:7">
      <c r="A1532" s="3">
        <v>14</v>
      </c>
      <c r="B1532" s="3">
        <v>9</v>
      </c>
      <c r="C1532" s="3">
        <v>59</v>
      </c>
      <c r="D1532" s="3">
        <v>28</v>
      </c>
      <c r="E1532" s="3">
        <v>-575.872</v>
      </c>
      <c r="F1532" s="4" t="str">
        <f>HYPERLINK("http://141.218.60.56/~jnz1568/getInfo.php?workbook=14_09.xlsx&amp;sheet=A0&amp;row=1532&amp;col=6&amp;number=32700000&amp;sourceID=14","32700000")</f>
        <v>32700000</v>
      </c>
      <c r="G1532" s="4" t="str">
        <f>HYPERLINK("http://141.218.60.56/~jnz1568/getInfo.php?workbook=14_09.xlsx&amp;sheet=A0&amp;row=1532&amp;col=7&amp;number=0&amp;sourceID=14","0")</f>
        <v>0</v>
      </c>
    </row>
    <row r="1533" spans="1:7">
      <c r="A1533" s="3">
        <v>14</v>
      </c>
      <c r="B1533" s="3">
        <v>9</v>
      </c>
      <c r="C1533" s="3">
        <v>60</v>
      </c>
      <c r="D1533" s="3">
        <v>28</v>
      </c>
      <c r="E1533" s="3">
        <v>-575.11</v>
      </c>
      <c r="F1533" s="4" t="str">
        <f>HYPERLINK("http://141.218.60.56/~jnz1568/getInfo.php?workbook=14_09.xlsx&amp;sheet=A0&amp;row=1533&amp;col=6&amp;number=2420000&amp;sourceID=14","2420000")</f>
        <v>2420000</v>
      </c>
      <c r="G1533" s="4" t="str">
        <f>HYPERLINK("http://141.218.60.56/~jnz1568/getInfo.php?workbook=14_09.xlsx&amp;sheet=A0&amp;row=1533&amp;col=7&amp;number=0&amp;sourceID=14","0")</f>
        <v>0</v>
      </c>
    </row>
    <row r="1534" spans="1:7">
      <c r="A1534" s="3">
        <v>14</v>
      </c>
      <c r="B1534" s="3">
        <v>9</v>
      </c>
      <c r="C1534" s="3">
        <v>61</v>
      </c>
      <c r="D1534" s="3">
        <v>28</v>
      </c>
      <c r="E1534" s="3">
        <v>-536.888</v>
      </c>
      <c r="F1534" s="4" t="str">
        <f>HYPERLINK("http://141.218.60.56/~jnz1568/getInfo.php?workbook=14_09.xlsx&amp;sheet=A0&amp;row=1534&amp;col=6&amp;number=200000&amp;sourceID=14","200000")</f>
        <v>200000</v>
      </c>
      <c r="G1534" s="4" t="str">
        <f>HYPERLINK("http://141.218.60.56/~jnz1568/getInfo.php?workbook=14_09.xlsx&amp;sheet=A0&amp;row=1534&amp;col=7&amp;number=0&amp;sourceID=14","0")</f>
        <v>0</v>
      </c>
    </row>
    <row r="1535" spans="1:7">
      <c r="A1535" s="3">
        <v>14</v>
      </c>
      <c r="B1535" s="3">
        <v>9</v>
      </c>
      <c r="C1535" s="3">
        <v>62</v>
      </c>
      <c r="D1535" s="3">
        <v>28</v>
      </c>
      <c r="E1535" s="3">
        <v>-529.673</v>
      </c>
      <c r="F1535" s="4" t="str">
        <f>HYPERLINK("http://141.218.60.56/~jnz1568/getInfo.php?workbook=14_09.xlsx&amp;sheet=A0&amp;row=1535&amp;col=6&amp;number=2560000&amp;sourceID=14","2560000")</f>
        <v>2560000</v>
      </c>
      <c r="G1535" s="4" t="str">
        <f>HYPERLINK("http://141.218.60.56/~jnz1568/getInfo.php?workbook=14_09.xlsx&amp;sheet=A0&amp;row=1535&amp;col=7&amp;number=0&amp;sourceID=14","0")</f>
        <v>0</v>
      </c>
    </row>
    <row r="1536" spans="1:7">
      <c r="A1536" s="3">
        <v>14</v>
      </c>
      <c r="B1536" s="3">
        <v>9</v>
      </c>
      <c r="C1536" s="3">
        <v>64</v>
      </c>
      <c r="D1536" s="3">
        <v>28</v>
      </c>
      <c r="E1536" s="3">
        <v>-519.525</v>
      </c>
      <c r="F1536" s="4" t="str">
        <f>HYPERLINK("http://141.218.60.56/~jnz1568/getInfo.php?workbook=14_09.xlsx&amp;sheet=A0&amp;row=1536&amp;col=6&amp;number=17500000&amp;sourceID=14","17500000")</f>
        <v>17500000</v>
      </c>
      <c r="G1536" s="4" t="str">
        <f>HYPERLINK("http://141.218.60.56/~jnz1568/getInfo.php?workbook=14_09.xlsx&amp;sheet=A0&amp;row=1536&amp;col=7&amp;number=0&amp;sourceID=14","0")</f>
        <v>0</v>
      </c>
    </row>
    <row r="1537" spans="1:7">
      <c r="A1537" s="3">
        <v>14</v>
      </c>
      <c r="B1537" s="3">
        <v>9</v>
      </c>
      <c r="C1537" s="3">
        <v>79</v>
      </c>
      <c r="D1537" s="3">
        <v>28</v>
      </c>
      <c r="E1537" s="3">
        <v>-423.446</v>
      </c>
      <c r="F1537" s="4" t="str">
        <f>HYPERLINK("http://141.218.60.56/~jnz1568/getInfo.php?workbook=14_09.xlsx&amp;sheet=A0&amp;row=1537&amp;col=6&amp;number=2720000000&amp;sourceID=14","2720000000")</f>
        <v>2720000000</v>
      </c>
      <c r="G1537" s="4" t="str">
        <f>HYPERLINK("http://141.218.60.56/~jnz1568/getInfo.php?workbook=14_09.xlsx&amp;sheet=A0&amp;row=1537&amp;col=7&amp;number=0&amp;sourceID=14","0")</f>
        <v>0</v>
      </c>
    </row>
    <row r="1538" spans="1:7">
      <c r="A1538" s="3">
        <v>14</v>
      </c>
      <c r="B1538" s="3">
        <v>9</v>
      </c>
      <c r="C1538" s="3">
        <v>80</v>
      </c>
      <c r="D1538" s="3">
        <v>28</v>
      </c>
      <c r="E1538" s="3">
        <v>-423.416</v>
      </c>
      <c r="F1538" s="4" t="str">
        <f>HYPERLINK("http://141.218.60.56/~jnz1568/getInfo.php?workbook=14_09.xlsx&amp;sheet=A0&amp;row=1538&amp;col=6&amp;number=421000000&amp;sourceID=14","421000000")</f>
        <v>421000000</v>
      </c>
      <c r="G1538" s="4" t="str">
        <f>HYPERLINK("http://141.218.60.56/~jnz1568/getInfo.php?workbook=14_09.xlsx&amp;sheet=A0&amp;row=1538&amp;col=7&amp;number=0&amp;sourceID=14","0")</f>
        <v>0</v>
      </c>
    </row>
    <row r="1539" spans="1:7">
      <c r="A1539" s="3">
        <v>14</v>
      </c>
      <c r="B1539" s="3">
        <v>9</v>
      </c>
      <c r="C1539" s="3">
        <v>86</v>
      </c>
      <c r="D1539" s="3">
        <v>28</v>
      </c>
      <c r="E1539" s="3">
        <v>-390.69</v>
      </c>
      <c r="F1539" s="4" t="str">
        <f>HYPERLINK("http://141.218.60.56/~jnz1568/getInfo.php?workbook=14_09.xlsx&amp;sheet=A0&amp;row=1539&amp;col=6&amp;number=108000&amp;sourceID=14","108000")</f>
        <v>108000</v>
      </c>
      <c r="G1539" s="4" t="str">
        <f>HYPERLINK("http://141.218.60.56/~jnz1568/getInfo.php?workbook=14_09.xlsx&amp;sheet=A0&amp;row=1539&amp;col=7&amp;number=0&amp;sourceID=14","0")</f>
        <v>0</v>
      </c>
    </row>
    <row r="1540" spans="1:7">
      <c r="A1540" s="3">
        <v>14</v>
      </c>
      <c r="B1540" s="3">
        <v>9</v>
      </c>
      <c r="C1540" s="3">
        <v>87</v>
      </c>
      <c r="D1540" s="3">
        <v>28</v>
      </c>
      <c r="E1540" s="3">
        <v>-390.225</v>
      </c>
      <c r="F1540" s="4" t="str">
        <f>HYPERLINK("http://141.218.60.56/~jnz1568/getInfo.php?workbook=14_09.xlsx&amp;sheet=A0&amp;row=1540&amp;col=6&amp;number=1240000&amp;sourceID=14","1240000")</f>
        <v>1240000</v>
      </c>
      <c r="G1540" s="4" t="str">
        <f>HYPERLINK("http://141.218.60.56/~jnz1568/getInfo.php?workbook=14_09.xlsx&amp;sheet=A0&amp;row=1540&amp;col=7&amp;number=0&amp;sourceID=14","0")</f>
        <v>0</v>
      </c>
    </row>
    <row r="1541" spans="1:7">
      <c r="A1541" s="3">
        <v>14</v>
      </c>
      <c r="B1541" s="3">
        <v>9</v>
      </c>
      <c r="C1541" s="3">
        <v>88</v>
      </c>
      <c r="D1541" s="3">
        <v>28</v>
      </c>
      <c r="E1541" s="3">
        <v>-389.315</v>
      </c>
      <c r="F1541" s="4" t="str">
        <f>HYPERLINK("http://141.218.60.56/~jnz1568/getInfo.php?workbook=14_09.xlsx&amp;sheet=A0&amp;row=1541&amp;col=6&amp;number=1820000&amp;sourceID=14","1820000")</f>
        <v>1820000</v>
      </c>
      <c r="G1541" s="4" t="str">
        <f>HYPERLINK("http://141.218.60.56/~jnz1568/getInfo.php?workbook=14_09.xlsx&amp;sheet=A0&amp;row=1541&amp;col=7&amp;number=0&amp;sourceID=14","0")</f>
        <v>0</v>
      </c>
    </row>
    <row r="1542" spans="1:7">
      <c r="A1542" s="3">
        <v>14</v>
      </c>
      <c r="B1542" s="3">
        <v>9</v>
      </c>
      <c r="C1542" s="3">
        <v>91</v>
      </c>
      <c r="D1542" s="3">
        <v>28</v>
      </c>
      <c r="E1542" s="3">
        <v>-384.884</v>
      </c>
      <c r="F1542" s="4" t="str">
        <f>HYPERLINK("http://141.218.60.56/~jnz1568/getInfo.php?workbook=14_09.xlsx&amp;sheet=A0&amp;row=1542&amp;col=6&amp;number=3730000&amp;sourceID=14","3730000")</f>
        <v>3730000</v>
      </c>
      <c r="G1542" s="4" t="str">
        <f>HYPERLINK("http://141.218.60.56/~jnz1568/getInfo.php?workbook=14_09.xlsx&amp;sheet=A0&amp;row=1542&amp;col=7&amp;number=0&amp;sourceID=14","0")</f>
        <v>0</v>
      </c>
    </row>
    <row r="1543" spans="1:7">
      <c r="A1543" s="3">
        <v>14</v>
      </c>
      <c r="B1543" s="3">
        <v>9</v>
      </c>
      <c r="C1543" s="3">
        <v>93</v>
      </c>
      <c r="D1543" s="3">
        <v>28</v>
      </c>
      <c r="E1543" s="3">
        <v>-382.351</v>
      </c>
      <c r="F1543" s="4" t="str">
        <f>HYPERLINK("http://141.218.60.56/~jnz1568/getInfo.php?workbook=14_09.xlsx&amp;sheet=A0&amp;row=1543&amp;col=6&amp;number=7610000&amp;sourceID=14","7610000")</f>
        <v>7610000</v>
      </c>
      <c r="G1543" s="4" t="str">
        <f>HYPERLINK("http://141.218.60.56/~jnz1568/getInfo.php?workbook=14_09.xlsx&amp;sheet=A0&amp;row=1543&amp;col=7&amp;number=0&amp;sourceID=14","0")</f>
        <v>0</v>
      </c>
    </row>
    <row r="1544" spans="1:7">
      <c r="A1544" s="3">
        <v>14</v>
      </c>
      <c r="B1544" s="3">
        <v>9</v>
      </c>
      <c r="C1544" s="3">
        <v>94</v>
      </c>
      <c r="D1544" s="3">
        <v>28</v>
      </c>
      <c r="E1544" s="3">
        <v>-382.029</v>
      </c>
      <c r="F1544" s="4" t="str">
        <f>HYPERLINK("http://141.218.60.56/~jnz1568/getInfo.php?workbook=14_09.xlsx&amp;sheet=A0&amp;row=1544&amp;col=6&amp;number=1200000&amp;sourceID=14","1200000")</f>
        <v>1200000</v>
      </c>
      <c r="G1544" s="4" t="str">
        <f>HYPERLINK("http://141.218.60.56/~jnz1568/getInfo.php?workbook=14_09.xlsx&amp;sheet=A0&amp;row=1544&amp;col=7&amp;number=0&amp;sourceID=14","0")</f>
        <v>0</v>
      </c>
    </row>
    <row r="1545" spans="1:7">
      <c r="A1545" s="3">
        <v>14</v>
      </c>
      <c r="B1545" s="3">
        <v>9</v>
      </c>
      <c r="C1545" s="3">
        <v>95</v>
      </c>
      <c r="D1545" s="3">
        <v>28</v>
      </c>
      <c r="E1545" s="3">
        <v>-380.812</v>
      </c>
      <c r="F1545" s="4" t="str">
        <f>HYPERLINK("http://141.218.60.56/~jnz1568/getInfo.php?workbook=14_09.xlsx&amp;sheet=A0&amp;row=1545&amp;col=6&amp;number=5110000&amp;sourceID=14","5110000")</f>
        <v>5110000</v>
      </c>
      <c r="G1545" s="4" t="str">
        <f>HYPERLINK("http://141.218.60.56/~jnz1568/getInfo.php?workbook=14_09.xlsx&amp;sheet=A0&amp;row=1545&amp;col=7&amp;number=0&amp;sourceID=14","0")</f>
        <v>0</v>
      </c>
    </row>
    <row r="1546" spans="1:7">
      <c r="A1546" s="3">
        <v>14</v>
      </c>
      <c r="B1546" s="3">
        <v>9</v>
      </c>
      <c r="C1546" s="3">
        <v>96</v>
      </c>
      <c r="D1546" s="3">
        <v>28</v>
      </c>
      <c r="E1546" s="3">
        <v>-380.09</v>
      </c>
      <c r="F1546" s="4" t="str">
        <f>HYPERLINK("http://141.218.60.56/~jnz1568/getInfo.php?workbook=14_09.xlsx&amp;sheet=A0&amp;row=1546&amp;col=6&amp;number=121000&amp;sourceID=14","121000")</f>
        <v>121000</v>
      </c>
      <c r="G1546" s="4" t="str">
        <f>HYPERLINK("http://141.218.60.56/~jnz1568/getInfo.php?workbook=14_09.xlsx&amp;sheet=A0&amp;row=1546&amp;col=7&amp;number=0&amp;sourceID=14","0")</f>
        <v>0</v>
      </c>
    </row>
    <row r="1547" spans="1:7">
      <c r="A1547" s="3">
        <v>14</v>
      </c>
      <c r="B1547" s="3">
        <v>9</v>
      </c>
      <c r="C1547" s="3">
        <v>97</v>
      </c>
      <c r="D1547" s="3">
        <v>28</v>
      </c>
      <c r="E1547" s="3">
        <v>-379.438</v>
      </c>
      <c r="F1547" s="4" t="str">
        <f>HYPERLINK("http://141.218.60.56/~jnz1568/getInfo.php?workbook=14_09.xlsx&amp;sheet=A0&amp;row=1547&amp;col=6&amp;number=2280000&amp;sourceID=14","2280000")</f>
        <v>2280000</v>
      </c>
      <c r="G1547" s="4" t="str">
        <f>HYPERLINK("http://141.218.60.56/~jnz1568/getInfo.php?workbook=14_09.xlsx&amp;sheet=A0&amp;row=1547&amp;col=7&amp;number=0&amp;sourceID=14","0")</f>
        <v>0</v>
      </c>
    </row>
    <row r="1548" spans="1:7">
      <c r="A1548" s="3">
        <v>14</v>
      </c>
      <c r="B1548" s="3">
        <v>9</v>
      </c>
      <c r="C1548" s="3">
        <v>98</v>
      </c>
      <c r="D1548" s="3">
        <v>28</v>
      </c>
      <c r="E1548" s="3">
        <v>-378.248</v>
      </c>
      <c r="F1548" s="4" t="str">
        <f>HYPERLINK("http://141.218.60.56/~jnz1568/getInfo.php?workbook=14_09.xlsx&amp;sheet=A0&amp;row=1548&amp;col=6&amp;number=17500000&amp;sourceID=14","17500000")</f>
        <v>17500000</v>
      </c>
      <c r="G1548" s="4" t="str">
        <f>HYPERLINK("http://141.218.60.56/~jnz1568/getInfo.php?workbook=14_09.xlsx&amp;sheet=A0&amp;row=1548&amp;col=7&amp;number=0&amp;sourceID=14","0")</f>
        <v>0</v>
      </c>
    </row>
    <row r="1549" spans="1:7">
      <c r="A1549" s="3">
        <v>14</v>
      </c>
      <c r="B1549" s="3">
        <v>9</v>
      </c>
      <c r="C1549" s="3">
        <v>100</v>
      </c>
      <c r="D1549" s="3">
        <v>28</v>
      </c>
      <c r="E1549" s="3">
        <v>-375.092</v>
      </c>
      <c r="F1549" s="4" t="str">
        <f>HYPERLINK("http://141.218.60.56/~jnz1568/getInfo.php?workbook=14_09.xlsx&amp;sheet=A0&amp;row=1549&amp;col=6&amp;number=72800000&amp;sourceID=14","72800000")</f>
        <v>72800000</v>
      </c>
      <c r="G1549" s="4" t="str">
        <f>HYPERLINK("http://141.218.60.56/~jnz1568/getInfo.php?workbook=14_09.xlsx&amp;sheet=A0&amp;row=1549&amp;col=7&amp;number=0&amp;sourceID=14","0")</f>
        <v>0</v>
      </c>
    </row>
    <row r="1550" spans="1:7">
      <c r="A1550" s="3">
        <v>14</v>
      </c>
      <c r="B1550" s="3">
        <v>9</v>
      </c>
      <c r="C1550" s="3">
        <v>102</v>
      </c>
      <c r="D1550" s="3">
        <v>28</v>
      </c>
      <c r="E1550" s="3">
        <v>-374.589</v>
      </c>
      <c r="F1550" s="4" t="str">
        <f>HYPERLINK("http://141.218.60.56/~jnz1568/getInfo.php?workbook=14_09.xlsx&amp;sheet=A0&amp;row=1550&amp;col=6&amp;number=87000&amp;sourceID=14","87000")</f>
        <v>87000</v>
      </c>
      <c r="G1550" s="4" t="str">
        <f>HYPERLINK("http://141.218.60.56/~jnz1568/getInfo.php?workbook=14_09.xlsx&amp;sheet=A0&amp;row=1550&amp;col=7&amp;number=0&amp;sourceID=14","0")</f>
        <v>0</v>
      </c>
    </row>
    <row r="1551" spans="1:7">
      <c r="A1551" s="3">
        <v>14</v>
      </c>
      <c r="B1551" s="3">
        <v>9</v>
      </c>
      <c r="C1551" s="3">
        <v>103</v>
      </c>
      <c r="D1551" s="3">
        <v>28</v>
      </c>
      <c r="E1551" s="3">
        <v>-372.457</v>
      </c>
      <c r="F1551" s="4" t="str">
        <f>HYPERLINK("http://141.218.60.56/~jnz1568/getInfo.php?workbook=14_09.xlsx&amp;sheet=A0&amp;row=1551&amp;col=6&amp;number=128000000&amp;sourceID=14","128000000")</f>
        <v>128000000</v>
      </c>
      <c r="G1551" s="4" t="str">
        <f>HYPERLINK("http://141.218.60.56/~jnz1568/getInfo.php?workbook=14_09.xlsx&amp;sheet=A0&amp;row=1551&amp;col=7&amp;number=0&amp;sourceID=14","0")</f>
        <v>0</v>
      </c>
    </row>
    <row r="1552" spans="1:7">
      <c r="A1552" s="3">
        <v>14</v>
      </c>
      <c r="B1552" s="3">
        <v>9</v>
      </c>
      <c r="C1552" s="3">
        <v>110</v>
      </c>
      <c r="D1552" s="3">
        <v>28</v>
      </c>
      <c r="E1552" s="3">
        <v>-370.418</v>
      </c>
      <c r="F1552" s="4" t="str">
        <f>HYPERLINK("http://141.218.60.56/~jnz1568/getInfo.php?workbook=14_09.xlsx&amp;sheet=A0&amp;row=1552&amp;col=6&amp;number=12300000&amp;sourceID=14","12300000")</f>
        <v>12300000</v>
      </c>
      <c r="G1552" s="4" t="str">
        <f>HYPERLINK("http://141.218.60.56/~jnz1568/getInfo.php?workbook=14_09.xlsx&amp;sheet=A0&amp;row=1552&amp;col=7&amp;number=0&amp;sourceID=14","0")</f>
        <v>0</v>
      </c>
    </row>
    <row r="1553" spans="1:7">
      <c r="A1553" s="3">
        <v>14</v>
      </c>
      <c r="B1553" s="3">
        <v>9</v>
      </c>
      <c r="C1553" s="3">
        <v>115</v>
      </c>
      <c r="D1553" s="3">
        <v>28</v>
      </c>
      <c r="E1553" s="3">
        <v>-370.059</v>
      </c>
      <c r="F1553" s="4" t="str">
        <f>HYPERLINK("http://141.218.60.56/~jnz1568/getInfo.php?workbook=14_09.xlsx&amp;sheet=A0&amp;row=1553&amp;col=6&amp;number=57400&amp;sourceID=14","57400")</f>
        <v>57400</v>
      </c>
      <c r="G1553" s="4" t="str">
        <f>HYPERLINK("http://141.218.60.56/~jnz1568/getInfo.php?workbook=14_09.xlsx&amp;sheet=A0&amp;row=1553&amp;col=7&amp;number=0&amp;sourceID=14","0")</f>
        <v>0</v>
      </c>
    </row>
    <row r="1554" spans="1:7">
      <c r="A1554" s="3">
        <v>14</v>
      </c>
      <c r="B1554" s="3">
        <v>9</v>
      </c>
      <c r="C1554" s="3">
        <v>128</v>
      </c>
      <c r="D1554" s="3">
        <v>28</v>
      </c>
      <c r="E1554" s="3">
        <v>-329.283</v>
      </c>
      <c r="F1554" s="4" t="str">
        <f>HYPERLINK("http://141.218.60.56/~jnz1568/getInfo.php?workbook=14_09.xlsx&amp;sheet=A0&amp;row=1554&amp;col=6&amp;number=2500000&amp;sourceID=14","2500000")</f>
        <v>2500000</v>
      </c>
      <c r="G1554" s="4" t="str">
        <f>HYPERLINK("http://141.218.60.56/~jnz1568/getInfo.php?workbook=14_09.xlsx&amp;sheet=A0&amp;row=1554&amp;col=7&amp;number=0&amp;sourceID=14","0")</f>
        <v>0</v>
      </c>
    </row>
    <row r="1555" spans="1:7">
      <c r="A1555" s="3">
        <v>14</v>
      </c>
      <c r="B1555" s="3">
        <v>9</v>
      </c>
      <c r="C1555" s="3">
        <v>129</v>
      </c>
      <c r="D1555" s="3">
        <v>28</v>
      </c>
      <c r="E1555" s="3">
        <v>-327.14</v>
      </c>
      <c r="F1555" s="4" t="str">
        <f>HYPERLINK("http://141.218.60.56/~jnz1568/getInfo.php?workbook=14_09.xlsx&amp;sheet=A0&amp;row=1555&amp;col=6&amp;number=4210000&amp;sourceID=14","4210000")</f>
        <v>4210000</v>
      </c>
      <c r="G1555" s="4" t="str">
        <f>HYPERLINK("http://141.218.60.56/~jnz1568/getInfo.php?workbook=14_09.xlsx&amp;sheet=A0&amp;row=1555&amp;col=7&amp;number=0&amp;sourceID=14","0")</f>
        <v>0</v>
      </c>
    </row>
    <row r="1556" spans="1:7">
      <c r="A1556" s="3">
        <v>14</v>
      </c>
      <c r="B1556" s="3">
        <v>9</v>
      </c>
      <c r="C1556" s="3">
        <v>131</v>
      </c>
      <c r="D1556" s="3">
        <v>28</v>
      </c>
      <c r="E1556" s="3">
        <v>-323.522</v>
      </c>
      <c r="F1556" s="4" t="str">
        <f>HYPERLINK("http://141.218.60.56/~jnz1568/getInfo.php?workbook=14_09.xlsx&amp;sheet=A0&amp;row=1556&amp;col=6&amp;number=3180000&amp;sourceID=14","3180000")</f>
        <v>3180000</v>
      </c>
      <c r="G1556" s="4" t="str">
        <f>HYPERLINK("http://141.218.60.56/~jnz1568/getInfo.php?workbook=14_09.xlsx&amp;sheet=A0&amp;row=1556&amp;col=7&amp;number=0&amp;sourceID=14","0")</f>
        <v>0</v>
      </c>
    </row>
    <row r="1557" spans="1:7">
      <c r="A1557" s="3">
        <v>14</v>
      </c>
      <c r="B1557" s="3">
        <v>9</v>
      </c>
      <c r="C1557" s="3">
        <v>132</v>
      </c>
      <c r="D1557" s="3">
        <v>28</v>
      </c>
      <c r="E1557" s="3">
        <v>-323.48</v>
      </c>
      <c r="F1557" s="4" t="str">
        <f>HYPERLINK("http://141.218.60.56/~jnz1568/getInfo.php?workbook=14_09.xlsx&amp;sheet=A0&amp;row=1557&amp;col=6&amp;number=1410000000&amp;sourceID=14","1410000000")</f>
        <v>1410000000</v>
      </c>
      <c r="G1557" s="4" t="str">
        <f>HYPERLINK("http://141.218.60.56/~jnz1568/getInfo.php?workbook=14_09.xlsx&amp;sheet=A0&amp;row=1557&amp;col=7&amp;number=0&amp;sourceID=14","0")</f>
        <v>0</v>
      </c>
    </row>
    <row r="1558" spans="1:7">
      <c r="A1558" s="3">
        <v>14</v>
      </c>
      <c r="B1558" s="3">
        <v>9</v>
      </c>
      <c r="C1558" s="3">
        <v>133</v>
      </c>
      <c r="D1558" s="3">
        <v>28</v>
      </c>
      <c r="E1558" s="3">
        <v>-323.388</v>
      </c>
      <c r="F1558" s="4" t="str">
        <f>HYPERLINK("http://141.218.60.56/~jnz1568/getInfo.php?workbook=14_09.xlsx&amp;sheet=A0&amp;row=1558&amp;col=6&amp;number=3020000000&amp;sourceID=14","3020000000")</f>
        <v>3020000000</v>
      </c>
      <c r="G1558" s="4" t="str">
        <f>HYPERLINK("http://141.218.60.56/~jnz1568/getInfo.php?workbook=14_09.xlsx&amp;sheet=A0&amp;row=1558&amp;col=7&amp;number=0&amp;sourceID=14","0")</f>
        <v>0</v>
      </c>
    </row>
    <row r="1559" spans="1:7">
      <c r="A1559" s="3">
        <v>14</v>
      </c>
      <c r="B1559" s="3">
        <v>9</v>
      </c>
      <c r="C1559" s="3">
        <v>135</v>
      </c>
      <c r="D1559" s="3">
        <v>28</v>
      </c>
      <c r="E1559" s="3">
        <v>-322.695</v>
      </c>
      <c r="F1559" s="4" t="str">
        <f>HYPERLINK("http://141.218.60.56/~jnz1568/getInfo.php?workbook=14_09.xlsx&amp;sheet=A0&amp;row=1559&amp;col=6&amp;number=2400000000&amp;sourceID=14","2400000000")</f>
        <v>2400000000</v>
      </c>
      <c r="G1559" s="4" t="str">
        <f>HYPERLINK("http://141.218.60.56/~jnz1568/getInfo.php?workbook=14_09.xlsx&amp;sheet=A0&amp;row=1559&amp;col=7&amp;number=0&amp;sourceID=14","0")</f>
        <v>0</v>
      </c>
    </row>
    <row r="1560" spans="1:7">
      <c r="A1560" s="3">
        <v>14</v>
      </c>
      <c r="B1560" s="3">
        <v>9</v>
      </c>
      <c r="C1560" s="3">
        <v>136</v>
      </c>
      <c r="D1560" s="3">
        <v>28</v>
      </c>
      <c r="E1560" s="3">
        <v>-322.205</v>
      </c>
      <c r="F1560" s="4" t="str">
        <f>HYPERLINK("http://141.218.60.56/~jnz1568/getInfo.php?workbook=14_09.xlsx&amp;sheet=A0&amp;row=1560&amp;col=6&amp;number=203000000&amp;sourceID=14","203000000")</f>
        <v>203000000</v>
      </c>
      <c r="G1560" s="4" t="str">
        <f>HYPERLINK("http://141.218.60.56/~jnz1568/getInfo.php?workbook=14_09.xlsx&amp;sheet=A0&amp;row=1560&amp;col=7&amp;number=0&amp;sourceID=14","0")</f>
        <v>0</v>
      </c>
    </row>
    <row r="1561" spans="1:7">
      <c r="A1561" s="3">
        <v>14</v>
      </c>
      <c r="B1561" s="3">
        <v>9</v>
      </c>
      <c r="C1561" s="3">
        <v>140</v>
      </c>
      <c r="D1561" s="3">
        <v>28</v>
      </c>
      <c r="E1561" s="3">
        <v>-316.589</v>
      </c>
      <c r="F1561" s="4" t="str">
        <f>HYPERLINK("http://141.218.60.56/~jnz1568/getInfo.php?workbook=14_09.xlsx&amp;sheet=A0&amp;row=1561&amp;col=6&amp;number=518000&amp;sourceID=14","518000")</f>
        <v>518000</v>
      </c>
      <c r="G1561" s="4" t="str">
        <f>HYPERLINK("http://141.218.60.56/~jnz1568/getInfo.php?workbook=14_09.xlsx&amp;sheet=A0&amp;row=1561&amp;col=7&amp;number=0&amp;sourceID=14","0")</f>
        <v>0</v>
      </c>
    </row>
    <row r="1562" spans="1:7">
      <c r="A1562" s="3">
        <v>14</v>
      </c>
      <c r="B1562" s="3">
        <v>9</v>
      </c>
      <c r="C1562" s="3">
        <v>141</v>
      </c>
      <c r="D1562" s="3">
        <v>28</v>
      </c>
      <c r="E1562" s="3">
        <v>-315.387</v>
      </c>
      <c r="F1562" s="4" t="str">
        <f>HYPERLINK("http://141.218.60.56/~jnz1568/getInfo.php?workbook=14_09.xlsx&amp;sheet=A0&amp;row=1562&amp;col=6&amp;number=356000&amp;sourceID=14","356000")</f>
        <v>356000</v>
      </c>
      <c r="G1562" s="4" t="str">
        <f>HYPERLINK("http://141.218.60.56/~jnz1568/getInfo.php?workbook=14_09.xlsx&amp;sheet=A0&amp;row=1562&amp;col=7&amp;number=0&amp;sourceID=14","0")</f>
        <v>0</v>
      </c>
    </row>
    <row r="1563" spans="1:7">
      <c r="A1563" s="3">
        <v>14</v>
      </c>
      <c r="B1563" s="3">
        <v>9</v>
      </c>
      <c r="C1563" s="3">
        <v>145</v>
      </c>
      <c r="D1563" s="3">
        <v>28</v>
      </c>
      <c r="E1563" s="3">
        <v>-315.185</v>
      </c>
      <c r="F1563" s="4" t="str">
        <f>HYPERLINK("http://141.218.60.56/~jnz1568/getInfo.php?workbook=14_09.xlsx&amp;sheet=A0&amp;row=1563&amp;col=6&amp;number=941000&amp;sourceID=14","941000")</f>
        <v>941000</v>
      </c>
      <c r="G1563" s="4" t="str">
        <f>HYPERLINK("http://141.218.60.56/~jnz1568/getInfo.php?workbook=14_09.xlsx&amp;sheet=A0&amp;row=1563&amp;col=7&amp;number=0&amp;sourceID=14","0")</f>
        <v>0</v>
      </c>
    </row>
    <row r="1564" spans="1:7">
      <c r="A1564" s="3">
        <v>14</v>
      </c>
      <c r="B1564" s="3">
        <v>9</v>
      </c>
      <c r="C1564" s="3">
        <v>146</v>
      </c>
      <c r="D1564" s="3">
        <v>28</v>
      </c>
      <c r="E1564" s="3">
        <v>-314.036</v>
      </c>
      <c r="F1564" s="4" t="str">
        <f>HYPERLINK("http://141.218.60.56/~jnz1568/getInfo.php?workbook=14_09.xlsx&amp;sheet=A0&amp;row=1564&amp;col=6&amp;number=588000&amp;sourceID=14","588000")</f>
        <v>588000</v>
      </c>
      <c r="G1564" s="4" t="str">
        <f>HYPERLINK("http://141.218.60.56/~jnz1568/getInfo.php?workbook=14_09.xlsx&amp;sheet=A0&amp;row=1564&amp;col=7&amp;number=0&amp;sourceID=14","0")</f>
        <v>0</v>
      </c>
    </row>
    <row r="1565" spans="1:7">
      <c r="A1565" s="3">
        <v>14</v>
      </c>
      <c r="B1565" s="3">
        <v>9</v>
      </c>
      <c r="C1565" s="3">
        <v>150</v>
      </c>
      <c r="D1565" s="3">
        <v>28</v>
      </c>
      <c r="E1565" s="3">
        <v>-313.563</v>
      </c>
      <c r="F1565" s="4" t="str">
        <f>HYPERLINK("http://141.218.60.56/~jnz1568/getInfo.php?workbook=14_09.xlsx&amp;sheet=A0&amp;row=1565&amp;col=6&amp;number=632000&amp;sourceID=14","632000")</f>
        <v>632000</v>
      </c>
      <c r="G1565" s="4" t="str">
        <f>HYPERLINK("http://141.218.60.56/~jnz1568/getInfo.php?workbook=14_09.xlsx&amp;sheet=A0&amp;row=1565&amp;col=7&amp;number=0&amp;sourceID=14","0")</f>
        <v>0</v>
      </c>
    </row>
    <row r="1566" spans="1:7">
      <c r="A1566" s="3">
        <v>14</v>
      </c>
      <c r="B1566" s="3">
        <v>9</v>
      </c>
      <c r="C1566" s="3">
        <v>152</v>
      </c>
      <c r="D1566" s="3">
        <v>28</v>
      </c>
      <c r="E1566" s="3">
        <v>-306.6</v>
      </c>
      <c r="F1566" s="4" t="str">
        <f>HYPERLINK("http://141.218.60.56/~jnz1568/getInfo.php?workbook=14_09.xlsx&amp;sheet=A0&amp;row=1566&amp;col=6&amp;number=35400000&amp;sourceID=14","35400000")</f>
        <v>35400000</v>
      </c>
      <c r="G1566" s="4" t="str">
        <f>HYPERLINK("http://141.218.60.56/~jnz1568/getInfo.php?workbook=14_09.xlsx&amp;sheet=A0&amp;row=1566&amp;col=7&amp;number=0&amp;sourceID=14","0")</f>
        <v>0</v>
      </c>
    </row>
    <row r="1567" spans="1:7">
      <c r="A1567" s="3">
        <v>14</v>
      </c>
      <c r="B1567" s="3">
        <v>9</v>
      </c>
      <c r="C1567" s="3">
        <v>153</v>
      </c>
      <c r="D1567" s="3">
        <v>28</v>
      </c>
      <c r="E1567" s="3">
        <v>-304.964</v>
      </c>
      <c r="F1567" s="4" t="str">
        <f>HYPERLINK("http://141.218.60.56/~jnz1568/getInfo.php?workbook=14_09.xlsx&amp;sheet=A0&amp;row=1567&amp;col=6&amp;number=34700000&amp;sourceID=14","34700000")</f>
        <v>34700000</v>
      </c>
      <c r="G1567" s="4" t="str">
        <f>HYPERLINK("http://141.218.60.56/~jnz1568/getInfo.php?workbook=14_09.xlsx&amp;sheet=A0&amp;row=1567&amp;col=7&amp;number=0&amp;sourceID=14","0")</f>
        <v>0</v>
      </c>
    </row>
    <row r="1568" spans="1:7">
      <c r="A1568" s="3">
        <v>14</v>
      </c>
      <c r="B1568" s="3">
        <v>9</v>
      </c>
      <c r="C1568" s="3">
        <v>154</v>
      </c>
      <c r="D1568" s="3">
        <v>28</v>
      </c>
      <c r="E1568" s="3">
        <v>-304.943</v>
      </c>
      <c r="F1568" s="4" t="str">
        <f>HYPERLINK("http://141.218.60.56/~jnz1568/getInfo.php?workbook=14_09.xlsx&amp;sheet=A0&amp;row=1568&amp;col=6&amp;number=1080000&amp;sourceID=14","1080000")</f>
        <v>1080000</v>
      </c>
      <c r="G1568" s="4" t="str">
        <f>HYPERLINK("http://141.218.60.56/~jnz1568/getInfo.php?workbook=14_09.xlsx&amp;sheet=A0&amp;row=1568&amp;col=7&amp;number=0&amp;sourceID=14","0")</f>
        <v>0</v>
      </c>
    </row>
    <row r="1569" spans="1:7">
      <c r="A1569" s="3">
        <v>14</v>
      </c>
      <c r="B1569" s="3">
        <v>9</v>
      </c>
      <c r="C1569" s="3">
        <v>156</v>
      </c>
      <c r="D1569" s="3">
        <v>28</v>
      </c>
      <c r="E1569" s="3">
        <v>-303.481</v>
      </c>
      <c r="F1569" s="4" t="str">
        <f>HYPERLINK("http://141.218.60.56/~jnz1568/getInfo.php?workbook=14_09.xlsx&amp;sheet=A0&amp;row=1569&amp;col=6&amp;number=633000&amp;sourceID=14","633000")</f>
        <v>633000</v>
      </c>
      <c r="G1569" s="4" t="str">
        <f>HYPERLINK("http://141.218.60.56/~jnz1568/getInfo.php?workbook=14_09.xlsx&amp;sheet=A0&amp;row=1569&amp;col=7&amp;number=0&amp;sourceID=14","0")</f>
        <v>0</v>
      </c>
    </row>
    <row r="1570" spans="1:7">
      <c r="A1570" s="3">
        <v>14</v>
      </c>
      <c r="B1570" s="3">
        <v>9</v>
      </c>
      <c r="C1570" s="3">
        <v>157</v>
      </c>
      <c r="D1570" s="3">
        <v>28</v>
      </c>
      <c r="E1570" s="3">
        <v>-301.143</v>
      </c>
      <c r="F1570" s="4" t="str">
        <f>HYPERLINK("http://141.218.60.56/~jnz1568/getInfo.php?workbook=14_09.xlsx&amp;sheet=A0&amp;row=1570&amp;col=6&amp;number=3940000&amp;sourceID=14","3940000")</f>
        <v>3940000</v>
      </c>
      <c r="G1570" s="4" t="str">
        <f>HYPERLINK("http://141.218.60.56/~jnz1568/getInfo.php?workbook=14_09.xlsx&amp;sheet=A0&amp;row=1570&amp;col=7&amp;number=0&amp;sourceID=14","0")</f>
        <v>0</v>
      </c>
    </row>
    <row r="1571" spans="1:7">
      <c r="A1571" s="3">
        <v>14</v>
      </c>
      <c r="B1571" s="3">
        <v>9</v>
      </c>
      <c r="C1571" s="3">
        <v>162</v>
      </c>
      <c r="D1571" s="3">
        <v>28</v>
      </c>
      <c r="E1571" s="3">
        <v>-265.243</v>
      </c>
      <c r="F1571" s="4" t="str">
        <f>HYPERLINK("http://141.218.60.56/~jnz1568/getInfo.php?workbook=14_09.xlsx&amp;sheet=A0&amp;row=1571&amp;col=6&amp;number=5670000&amp;sourceID=14","5670000")</f>
        <v>5670000</v>
      </c>
      <c r="G1571" s="4" t="str">
        <f>HYPERLINK("http://141.218.60.56/~jnz1568/getInfo.php?workbook=14_09.xlsx&amp;sheet=A0&amp;row=1571&amp;col=7&amp;number=0&amp;sourceID=14","0")</f>
        <v>0</v>
      </c>
    </row>
    <row r="1572" spans="1:7">
      <c r="A1572" s="3">
        <v>14</v>
      </c>
      <c r="B1572" s="3">
        <v>9</v>
      </c>
      <c r="C1572" s="3">
        <v>185</v>
      </c>
      <c r="D1572" s="3">
        <v>28</v>
      </c>
      <c r="E1572" s="3">
        <v>-210.576</v>
      </c>
      <c r="F1572" s="4" t="str">
        <f>HYPERLINK("http://141.218.60.56/~jnz1568/getInfo.php?workbook=14_09.xlsx&amp;sheet=A0&amp;row=1572&amp;col=6&amp;number=1050000000&amp;sourceID=14","1050000000")</f>
        <v>1050000000</v>
      </c>
      <c r="G1572" s="4" t="str">
        <f>HYPERLINK("http://141.218.60.56/~jnz1568/getInfo.php?workbook=14_09.xlsx&amp;sheet=A0&amp;row=1572&amp;col=7&amp;number=0&amp;sourceID=14","0")</f>
        <v>0</v>
      </c>
    </row>
    <row r="1573" spans="1:7">
      <c r="A1573" s="3">
        <v>14</v>
      </c>
      <c r="B1573" s="3">
        <v>9</v>
      </c>
      <c r="C1573" s="3">
        <v>186</v>
      </c>
      <c r="D1573" s="3">
        <v>28</v>
      </c>
      <c r="E1573" s="3">
        <v>-210.294</v>
      </c>
      <c r="F1573" s="4" t="str">
        <f>HYPERLINK("http://141.218.60.56/~jnz1568/getInfo.php?workbook=14_09.xlsx&amp;sheet=A0&amp;row=1573&amp;col=6&amp;number=9420000000&amp;sourceID=14","9420000000")</f>
        <v>9420000000</v>
      </c>
      <c r="G1573" s="4" t="str">
        <f>HYPERLINK("http://141.218.60.56/~jnz1568/getInfo.php?workbook=14_09.xlsx&amp;sheet=A0&amp;row=1573&amp;col=7&amp;number=0&amp;sourceID=14","0")</f>
        <v>0</v>
      </c>
    </row>
    <row r="1574" spans="1:7">
      <c r="A1574" s="3">
        <v>14</v>
      </c>
      <c r="B1574" s="3">
        <v>9</v>
      </c>
      <c r="C1574" s="3">
        <v>188</v>
      </c>
      <c r="D1574" s="3">
        <v>28</v>
      </c>
      <c r="E1574" s="3">
        <v>-208.013</v>
      </c>
      <c r="F1574" s="4" t="str">
        <f>HYPERLINK("http://141.218.60.56/~jnz1568/getInfo.php?workbook=14_09.xlsx&amp;sheet=A0&amp;row=1574&amp;col=6&amp;number=42400000000&amp;sourceID=14","42400000000")</f>
        <v>42400000000</v>
      </c>
      <c r="G1574" s="4" t="str">
        <f>HYPERLINK("http://141.218.60.56/~jnz1568/getInfo.php?workbook=14_09.xlsx&amp;sheet=A0&amp;row=1574&amp;col=7&amp;number=0&amp;sourceID=14","0")</f>
        <v>0</v>
      </c>
    </row>
    <row r="1575" spans="1:7">
      <c r="A1575" s="3">
        <v>14</v>
      </c>
      <c r="B1575" s="3">
        <v>9</v>
      </c>
      <c r="C1575" s="3">
        <v>37</v>
      </c>
      <c r="D1575" s="3">
        <v>29</v>
      </c>
      <c r="E1575" s="3">
        <v>2206.389</v>
      </c>
      <c r="F1575" s="4" t="str">
        <f>HYPERLINK("http://141.218.60.56/~jnz1568/getInfo.php?workbook=14_09.xlsx&amp;sheet=A0&amp;row=1575&amp;col=6&amp;number=89600&amp;sourceID=14","89600")</f>
        <v>89600</v>
      </c>
      <c r="G1575" s="4" t="str">
        <f>HYPERLINK("http://141.218.60.56/~jnz1568/getInfo.php?workbook=14_09.xlsx&amp;sheet=A0&amp;row=1575&amp;col=7&amp;number=0&amp;sourceID=14","0")</f>
        <v>0</v>
      </c>
    </row>
    <row r="1576" spans="1:7">
      <c r="A1576" s="3">
        <v>14</v>
      </c>
      <c r="B1576" s="3">
        <v>9</v>
      </c>
      <c r="C1576" s="3">
        <v>42</v>
      </c>
      <c r="D1576" s="3">
        <v>29</v>
      </c>
      <c r="E1576" s="3">
        <v>2018.3</v>
      </c>
      <c r="F1576" s="4" t="str">
        <f>HYPERLINK("http://141.218.60.56/~jnz1568/getInfo.php?workbook=14_09.xlsx&amp;sheet=A0&amp;row=1576&amp;col=6&amp;number=342000&amp;sourceID=14","342000")</f>
        <v>342000</v>
      </c>
      <c r="G1576" s="4" t="str">
        <f>HYPERLINK("http://141.218.60.56/~jnz1568/getInfo.php?workbook=14_09.xlsx&amp;sheet=A0&amp;row=1576&amp;col=7&amp;number=0&amp;sourceID=14","0")</f>
        <v>0</v>
      </c>
    </row>
    <row r="1577" spans="1:7">
      <c r="A1577" s="3">
        <v>14</v>
      </c>
      <c r="B1577" s="3">
        <v>9</v>
      </c>
      <c r="C1577" s="3">
        <v>43</v>
      </c>
      <c r="D1577" s="3">
        <v>29</v>
      </c>
      <c r="E1577" s="3">
        <v>2008.116</v>
      </c>
      <c r="F1577" s="4" t="str">
        <f>HYPERLINK("http://141.218.60.56/~jnz1568/getInfo.php?workbook=14_09.xlsx&amp;sheet=A0&amp;row=1577&amp;col=6&amp;number=936000&amp;sourceID=14","936000")</f>
        <v>936000</v>
      </c>
      <c r="G1577" s="4" t="str">
        <f>HYPERLINK("http://141.218.60.56/~jnz1568/getInfo.php?workbook=14_09.xlsx&amp;sheet=A0&amp;row=1577&amp;col=7&amp;number=0&amp;sourceID=14","0")</f>
        <v>0</v>
      </c>
    </row>
    <row r="1578" spans="1:7">
      <c r="A1578" s="3">
        <v>14</v>
      </c>
      <c r="B1578" s="3">
        <v>9</v>
      </c>
      <c r="C1578" s="3">
        <v>46</v>
      </c>
      <c r="D1578" s="3">
        <v>29</v>
      </c>
      <c r="E1578" s="3">
        <v>-2264.446</v>
      </c>
      <c r="F1578" s="4" t="str">
        <f>HYPERLINK("http://141.218.60.56/~jnz1568/getInfo.php?workbook=14_09.xlsx&amp;sheet=A0&amp;row=1578&amp;col=6&amp;number=1110000&amp;sourceID=14","1110000")</f>
        <v>1110000</v>
      </c>
      <c r="G1578" s="4" t="str">
        <f>HYPERLINK("http://141.218.60.56/~jnz1568/getInfo.php?workbook=14_09.xlsx&amp;sheet=A0&amp;row=1578&amp;col=7&amp;number=0&amp;sourceID=14","0")</f>
        <v>0</v>
      </c>
    </row>
    <row r="1579" spans="1:7">
      <c r="A1579" s="3">
        <v>14</v>
      </c>
      <c r="B1579" s="3">
        <v>9</v>
      </c>
      <c r="C1579" s="3">
        <v>47</v>
      </c>
      <c r="D1579" s="3">
        <v>29</v>
      </c>
      <c r="E1579" s="3">
        <v>-2227.225</v>
      </c>
      <c r="F1579" s="4" t="str">
        <f>HYPERLINK("http://141.218.60.56/~jnz1568/getInfo.php?workbook=14_09.xlsx&amp;sheet=A0&amp;row=1579&amp;col=6&amp;number=7750000&amp;sourceID=14","7750000")</f>
        <v>7750000</v>
      </c>
      <c r="G1579" s="4" t="str">
        <f>HYPERLINK("http://141.218.60.56/~jnz1568/getInfo.php?workbook=14_09.xlsx&amp;sheet=A0&amp;row=1579&amp;col=7&amp;number=0&amp;sourceID=14","0")</f>
        <v>0</v>
      </c>
    </row>
    <row r="1580" spans="1:7">
      <c r="A1580" s="3">
        <v>14</v>
      </c>
      <c r="B1580" s="3">
        <v>9</v>
      </c>
      <c r="C1580" s="3">
        <v>48</v>
      </c>
      <c r="D1580" s="3">
        <v>29</v>
      </c>
      <c r="E1580" s="3">
        <v>-2130.428</v>
      </c>
      <c r="F1580" s="4" t="str">
        <f>HYPERLINK("http://141.218.60.56/~jnz1568/getInfo.php?workbook=14_09.xlsx&amp;sheet=A0&amp;row=1580&amp;col=6&amp;number=32600000&amp;sourceID=14","32600000")</f>
        <v>32600000</v>
      </c>
      <c r="G1580" s="4" t="str">
        <f>HYPERLINK("http://141.218.60.56/~jnz1568/getInfo.php?workbook=14_09.xlsx&amp;sheet=A0&amp;row=1580&amp;col=7&amp;number=0&amp;sourceID=14","0")</f>
        <v>0</v>
      </c>
    </row>
    <row r="1581" spans="1:7">
      <c r="A1581" s="3">
        <v>14</v>
      </c>
      <c r="B1581" s="3">
        <v>9</v>
      </c>
      <c r="C1581" s="3">
        <v>52</v>
      </c>
      <c r="D1581" s="3">
        <v>29</v>
      </c>
      <c r="E1581" s="3">
        <v>-1183.504</v>
      </c>
      <c r="F1581" s="4" t="str">
        <f>HYPERLINK("http://141.218.60.56/~jnz1568/getInfo.php?workbook=14_09.xlsx&amp;sheet=A0&amp;row=1581&amp;col=6&amp;number=629000000&amp;sourceID=14","629000000")</f>
        <v>629000000</v>
      </c>
      <c r="G1581" s="4" t="str">
        <f>HYPERLINK("http://141.218.60.56/~jnz1568/getInfo.php?workbook=14_09.xlsx&amp;sheet=A0&amp;row=1581&amp;col=7&amp;number=0&amp;sourceID=14","0")</f>
        <v>0</v>
      </c>
    </row>
    <row r="1582" spans="1:7">
      <c r="A1582" s="3">
        <v>14</v>
      </c>
      <c r="B1582" s="3">
        <v>9</v>
      </c>
      <c r="C1582" s="3">
        <v>53</v>
      </c>
      <c r="D1582" s="3">
        <v>29</v>
      </c>
      <c r="E1582" s="3">
        <v>-1166.85</v>
      </c>
      <c r="F1582" s="4" t="str">
        <f>HYPERLINK("http://141.218.60.56/~jnz1568/getInfo.php?workbook=14_09.xlsx&amp;sheet=A0&amp;row=1582&amp;col=6&amp;number=597000000&amp;sourceID=14","597000000")</f>
        <v>597000000</v>
      </c>
      <c r="G1582" s="4" t="str">
        <f>HYPERLINK("http://141.218.60.56/~jnz1568/getInfo.php?workbook=14_09.xlsx&amp;sheet=A0&amp;row=1582&amp;col=7&amp;number=0&amp;sourceID=14","0")</f>
        <v>0</v>
      </c>
    </row>
    <row r="1583" spans="1:7">
      <c r="A1583" s="3">
        <v>14</v>
      </c>
      <c r="B1583" s="3">
        <v>9</v>
      </c>
      <c r="C1583" s="3">
        <v>54</v>
      </c>
      <c r="D1583" s="3">
        <v>29</v>
      </c>
      <c r="E1583" s="3">
        <v>-1151.479</v>
      </c>
      <c r="F1583" s="4" t="str">
        <f>HYPERLINK("http://141.218.60.56/~jnz1568/getInfo.php?workbook=14_09.xlsx&amp;sheet=A0&amp;row=1583&amp;col=6&amp;number=18700000&amp;sourceID=14","18700000")</f>
        <v>18700000</v>
      </c>
      <c r="G1583" s="4" t="str">
        <f>HYPERLINK("http://141.218.60.56/~jnz1568/getInfo.php?workbook=14_09.xlsx&amp;sheet=A0&amp;row=1583&amp;col=7&amp;number=0&amp;sourceID=14","0")</f>
        <v>0</v>
      </c>
    </row>
    <row r="1584" spans="1:7">
      <c r="A1584" s="3">
        <v>14</v>
      </c>
      <c r="B1584" s="3">
        <v>9</v>
      </c>
      <c r="C1584" s="3">
        <v>55</v>
      </c>
      <c r="D1584" s="3">
        <v>29</v>
      </c>
      <c r="E1584" s="3">
        <v>-1146.791</v>
      </c>
      <c r="F1584" s="4" t="str">
        <f>HYPERLINK("http://141.218.60.56/~jnz1568/getInfo.php?workbook=14_09.xlsx&amp;sheet=A0&amp;row=1584&amp;col=6&amp;number=135000000&amp;sourceID=14","135000000")</f>
        <v>135000000</v>
      </c>
      <c r="G1584" s="4" t="str">
        <f>HYPERLINK("http://141.218.60.56/~jnz1568/getInfo.php?workbook=14_09.xlsx&amp;sheet=A0&amp;row=1584&amp;col=7&amp;number=0&amp;sourceID=14","0")</f>
        <v>0</v>
      </c>
    </row>
    <row r="1585" spans="1:7">
      <c r="A1585" s="3">
        <v>14</v>
      </c>
      <c r="B1585" s="3">
        <v>9</v>
      </c>
      <c r="C1585" s="3">
        <v>57</v>
      </c>
      <c r="D1585" s="3">
        <v>29</v>
      </c>
      <c r="E1585" s="3">
        <v>-1131.621</v>
      </c>
      <c r="F1585" s="4" t="str">
        <f>HYPERLINK("http://141.218.60.56/~jnz1568/getInfo.php?workbook=14_09.xlsx&amp;sheet=A0&amp;row=1585&amp;col=6&amp;number=413000000&amp;sourceID=14","413000000")</f>
        <v>413000000</v>
      </c>
      <c r="G1585" s="4" t="str">
        <f>HYPERLINK("http://141.218.60.56/~jnz1568/getInfo.php?workbook=14_09.xlsx&amp;sheet=A0&amp;row=1585&amp;col=7&amp;number=0&amp;sourceID=14","0")</f>
        <v>0</v>
      </c>
    </row>
    <row r="1586" spans="1:7">
      <c r="A1586" s="3">
        <v>14</v>
      </c>
      <c r="B1586" s="3">
        <v>9</v>
      </c>
      <c r="C1586" s="3">
        <v>58</v>
      </c>
      <c r="D1586" s="3">
        <v>29</v>
      </c>
      <c r="E1586" s="3">
        <v>-1117.158</v>
      </c>
      <c r="F1586" s="4" t="str">
        <f>HYPERLINK("http://141.218.60.56/~jnz1568/getInfo.php?workbook=14_09.xlsx&amp;sheet=A0&amp;row=1586&amp;col=6&amp;number=95400000&amp;sourceID=14","95400000")</f>
        <v>95400000</v>
      </c>
      <c r="G1586" s="4" t="str">
        <f>HYPERLINK("http://141.218.60.56/~jnz1568/getInfo.php?workbook=14_09.xlsx&amp;sheet=A0&amp;row=1586&amp;col=7&amp;number=0&amp;sourceID=14","0")</f>
        <v>0</v>
      </c>
    </row>
    <row r="1587" spans="1:7">
      <c r="A1587" s="3">
        <v>14</v>
      </c>
      <c r="B1587" s="3">
        <v>9</v>
      </c>
      <c r="C1587" s="3">
        <v>59</v>
      </c>
      <c r="D1587" s="3">
        <v>29</v>
      </c>
      <c r="E1587" s="3">
        <v>-657.07</v>
      </c>
      <c r="F1587" s="4" t="str">
        <f>HYPERLINK("http://141.218.60.56/~jnz1568/getInfo.php?workbook=14_09.xlsx&amp;sheet=A0&amp;row=1587&amp;col=6&amp;number=78200000&amp;sourceID=14","78200000")</f>
        <v>78200000</v>
      </c>
      <c r="G1587" s="4" t="str">
        <f>HYPERLINK("http://141.218.60.56/~jnz1568/getInfo.php?workbook=14_09.xlsx&amp;sheet=A0&amp;row=1587&amp;col=7&amp;number=0&amp;sourceID=14","0")</f>
        <v>0</v>
      </c>
    </row>
    <row r="1588" spans="1:7">
      <c r="A1588" s="3">
        <v>14</v>
      </c>
      <c r="B1588" s="3">
        <v>9</v>
      </c>
      <c r="C1588" s="3">
        <v>60</v>
      </c>
      <c r="D1588" s="3">
        <v>29</v>
      </c>
      <c r="E1588" s="3">
        <v>-656.079</v>
      </c>
      <c r="F1588" s="4" t="str">
        <f>HYPERLINK("http://141.218.60.56/~jnz1568/getInfo.php?workbook=14_09.xlsx&amp;sheet=A0&amp;row=1588&amp;col=6&amp;number=16300000&amp;sourceID=14","16300000")</f>
        <v>16300000</v>
      </c>
      <c r="G1588" s="4" t="str">
        <f>HYPERLINK("http://141.218.60.56/~jnz1568/getInfo.php?workbook=14_09.xlsx&amp;sheet=A0&amp;row=1588&amp;col=7&amp;number=0&amp;sourceID=14","0")</f>
        <v>0</v>
      </c>
    </row>
    <row r="1589" spans="1:7">
      <c r="A1589" s="3">
        <v>14</v>
      </c>
      <c r="B1589" s="3">
        <v>9</v>
      </c>
      <c r="C1589" s="3">
        <v>61</v>
      </c>
      <c r="D1589" s="3">
        <v>29</v>
      </c>
      <c r="E1589" s="3">
        <v>-606.797</v>
      </c>
      <c r="F1589" s="4" t="str">
        <f>HYPERLINK("http://141.218.60.56/~jnz1568/getInfo.php?workbook=14_09.xlsx&amp;sheet=A0&amp;row=1589&amp;col=6&amp;number=1090000&amp;sourceID=14","1090000")</f>
        <v>1090000</v>
      </c>
      <c r="G1589" s="4" t="str">
        <f>HYPERLINK("http://141.218.60.56/~jnz1568/getInfo.php?workbook=14_09.xlsx&amp;sheet=A0&amp;row=1589&amp;col=7&amp;number=0&amp;sourceID=14","0")</f>
        <v>0</v>
      </c>
    </row>
    <row r="1590" spans="1:7">
      <c r="A1590" s="3">
        <v>14</v>
      </c>
      <c r="B1590" s="3">
        <v>9</v>
      </c>
      <c r="C1590" s="3">
        <v>62</v>
      </c>
      <c r="D1590" s="3">
        <v>29</v>
      </c>
      <c r="E1590" s="3">
        <v>-597.597</v>
      </c>
      <c r="F1590" s="4" t="str">
        <f>HYPERLINK("http://141.218.60.56/~jnz1568/getInfo.php?workbook=14_09.xlsx&amp;sheet=A0&amp;row=1590&amp;col=6&amp;number=308000000&amp;sourceID=14","308000000")</f>
        <v>308000000</v>
      </c>
      <c r="G1590" s="4" t="str">
        <f>HYPERLINK("http://141.218.60.56/~jnz1568/getInfo.php?workbook=14_09.xlsx&amp;sheet=A0&amp;row=1590&amp;col=7&amp;number=0&amp;sourceID=14","0")</f>
        <v>0</v>
      </c>
    </row>
    <row r="1591" spans="1:7">
      <c r="A1591" s="3">
        <v>14</v>
      </c>
      <c r="B1591" s="3">
        <v>9</v>
      </c>
      <c r="C1591" s="3">
        <v>63</v>
      </c>
      <c r="D1591" s="3">
        <v>29</v>
      </c>
      <c r="E1591" s="3">
        <v>-589.443</v>
      </c>
      <c r="F1591" s="4" t="str">
        <f>HYPERLINK("http://141.218.60.56/~jnz1568/getInfo.php?workbook=14_09.xlsx&amp;sheet=A0&amp;row=1591&amp;col=6&amp;number=13400000&amp;sourceID=14","13400000")</f>
        <v>13400000</v>
      </c>
      <c r="G1591" s="4" t="str">
        <f>HYPERLINK("http://141.218.60.56/~jnz1568/getInfo.php?workbook=14_09.xlsx&amp;sheet=A0&amp;row=1591&amp;col=7&amp;number=0&amp;sourceID=14","0")</f>
        <v>0</v>
      </c>
    </row>
    <row r="1592" spans="1:7">
      <c r="A1592" s="3">
        <v>14</v>
      </c>
      <c r="B1592" s="3">
        <v>9</v>
      </c>
      <c r="C1592" s="3">
        <v>64</v>
      </c>
      <c r="D1592" s="3">
        <v>29</v>
      </c>
      <c r="E1592" s="3">
        <v>-584.711</v>
      </c>
      <c r="F1592" s="4" t="str">
        <f>HYPERLINK("http://141.218.60.56/~jnz1568/getInfo.php?workbook=14_09.xlsx&amp;sheet=A0&amp;row=1592&amp;col=6&amp;number=1370000000&amp;sourceID=14","1370000000")</f>
        <v>1370000000</v>
      </c>
      <c r="G1592" s="4" t="str">
        <f>HYPERLINK("http://141.218.60.56/~jnz1568/getInfo.php?workbook=14_09.xlsx&amp;sheet=A0&amp;row=1592&amp;col=7&amp;number=0&amp;sourceID=14","0")</f>
        <v>0</v>
      </c>
    </row>
    <row r="1593" spans="1:7">
      <c r="A1593" s="3">
        <v>14</v>
      </c>
      <c r="B1593" s="3">
        <v>9</v>
      </c>
      <c r="C1593" s="3">
        <v>65</v>
      </c>
      <c r="D1593" s="3">
        <v>29</v>
      </c>
      <c r="E1593" s="3">
        <v>-573.902</v>
      </c>
      <c r="F1593" s="4" t="str">
        <f>HYPERLINK("http://141.218.60.56/~jnz1568/getInfo.php?workbook=14_09.xlsx&amp;sheet=A0&amp;row=1593&amp;col=6&amp;number=739000000&amp;sourceID=14","739000000")</f>
        <v>739000000</v>
      </c>
      <c r="G1593" s="4" t="str">
        <f>HYPERLINK("http://141.218.60.56/~jnz1568/getInfo.php?workbook=14_09.xlsx&amp;sheet=A0&amp;row=1593&amp;col=7&amp;number=0&amp;sourceID=14","0")</f>
        <v>0</v>
      </c>
    </row>
    <row r="1594" spans="1:7">
      <c r="A1594" s="3">
        <v>14</v>
      </c>
      <c r="B1594" s="3">
        <v>9</v>
      </c>
      <c r="C1594" s="3">
        <v>79</v>
      </c>
      <c r="D1594" s="3">
        <v>29</v>
      </c>
      <c r="E1594" s="3">
        <v>-465.769</v>
      </c>
      <c r="F1594" s="4" t="str">
        <f>HYPERLINK("http://141.218.60.56/~jnz1568/getInfo.php?workbook=14_09.xlsx&amp;sheet=A0&amp;row=1594&amp;col=6&amp;number=1890000000&amp;sourceID=14","1890000000")</f>
        <v>1890000000</v>
      </c>
      <c r="G1594" s="4" t="str">
        <f>HYPERLINK("http://141.218.60.56/~jnz1568/getInfo.php?workbook=14_09.xlsx&amp;sheet=A0&amp;row=1594&amp;col=7&amp;number=0&amp;sourceID=14","0")</f>
        <v>0</v>
      </c>
    </row>
    <row r="1595" spans="1:7">
      <c r="A1595" s="3">
        <v>14</v>
      </c>
      <c r="B1595" s="3">
        <v>9</v>
      </c>
      <c r="C1595" s="3">
        <v>80</v>
      </c>
      <c r="D1595" s="3">
        <v>29</v>
      </c>
      <c r="E1595" s="3">
        <v>-465.732</v>
      </c>
      <c r="F1595" s="4" t="str">
        <f>HYPERLINK("http://141.218.60.56/~jnz1568/getInfo.php?workbook=14_09.xlsx&amp;sheet=A0&amp;row=1595&amp;col=6&amp;number=168000000&amp;sourceID=14","168000000")</f>
        <v>168000000</v>
      </c>
      <c r="G1595" s="4" t="str">
        <f>HYPERLINK("http://141.218.60.56/~jnz1568/getInfo.php?workbook=14_09.xlsx&amp;sheet=A0&amp;row=1595&amp;col=7&amp;number=0&amp;sourceID=14","0")</f>
        <v>0</v>
      </c>
    </row>
    <row r="1596" spans="1:7">
      <c r="A1596" s="3">
        <v>14</v>
      </c>
      <c r="B1596" s="3">
        <v>9</v>
      </c>
      <c r="C1596" s="3">
        <v>87</v>
      </c>
      <c r="D1596" s="3">
        <v>29</v>
      </c>
      <c r="E1596" s="3">
        <v>-425.888</v>
      </c>
      <c r="F1596" s="4" t="str">
        <f>HYPERLINK("http://141.218.60.56/~jnz1568/getInfo.php?workbook=14_09.xlsx&amp;sheet=A0&amp;row=1596&amp;col=6&amp;number=2660000&amp;sourceID=14","2660000")</f>
        <v>2660000</v>
      </c>
      <c r="G1596" s="4" t="str">
        <f>HYPERLINK("http://141.218.60.56/~jnz1568/getInfo.php?workbook=14_09.xlsx&amp;sheet=A0&amp;row=1596&amp;col=7&amp;number=0&amp;sourceID=14","0")</f>
        <v>0</v>
      </c>
    </row>
    <row r="1597" spans="1:7">
      <c r="A1597" s="3">
        <v>14</v>
      </c>
      <c r="B1597" s="3">
        <v>9</v>
      </c>
      <c r="C1597" s="3">
        <v>88</v>
      </c>
      <c r="D1597" s="3">
        <v>29</v>
      </c>
      <c r="E1597" s="3">
        <v>-424.804</v>
      </c>
      <c r="F1597" s="4" t="str">
        <f>HYPERLINK("http://141.218.60.56/~jnz1568/getInfo.php?workbook=14_09.xlsx&amp;sheet=A0&amp;row=1597&amp;col=6&amp;number=5980000&amp;sourceID=14","5980000")</f>
        <v>5980000</v>
      </c>
      <c r="G1597" s="4" t="str">
        <f>HYPERLINK("http://141.218.60.56/~jnz1568/getInfo.php?workbook=14_09.xlsx&amp;sheet=A0&amp;row=1597&amp;col=7&amp;number=0&amp;sourceID=14","0")</f>
        <v>0</v>
      </c>
    </row>
    <row r="1598" spans="1:7">
      <c r="A1598" s="3">
        <v>14</v>
      </c>
      <c r="B1598" s="3">
        <v>9</v>
      </c>
      <c r="C1598" s="3">
        <v>89</v>
      </c>
      <c r="D1598" s="3">
        <v>29</v>
      </c>
      <c r="E1598" s="3">
        <v>-423.487</v>
      </c>
      <c r="F1598" s="4" t="str">
        <f>HYPERLINK("http://141.218.60.56/~jnz1568/getInfo.php?workbook=14_09.xlsx&amp;sheet=A0&amp;row=1598&amp;col=6&amp;number=3250000&amp;sourceID=14","3250000")</f>
        <v>3250000</v>
      </c>
      <c r="G1598" s="4" t="str">
        <f>HYPERLINK("http://141.218.60.56/~jnz1568/getInfo.php?workbook=14_09.xlsx&amp;sheet=A0&amp;row=1598&amp;col=7&amp;number=0&amp;sourceID=14","0")</f>
        <v>0</v>
      </c>
    </row>
    <row r="1599" spans="1:7">
      <c r="A1599" s="3">
        <v>14</v>
      </c>
      <c r="B1599" s="3">
        <v>9</v>
      </c>
      <c r="C1599" s="3">
        <v>92</v>
      </c>
      <c r="D1599" s="3">
        <v>29</v>
      </c>
      <c r="E1599" s="3">
        <v>-417.977</v>
      </c>
      <c r="F1599" s="4" t="str">
        <f>HYPERLINK("http://141.218.60.56/~jnz1568/getInfo.php?workbook=14_09.xlsx&amp;sheet=A0&amp;row=1599&amp;col=6&amp;number=16100000&amp;sourceID=14","16100000")</f>
        <v>16100000</v>
      </c>
      <c r="G1599" s="4" t="str">
        <f>HYPERLINK("http://141.218.60.56/~jnz1568/getInfo.php?workbook=14_09.xlsx&amp;sheet=A0&amp;row=1599&amp;col=7&amp;number=0&amp;sourceID=14","0")</f>
        <v>0</v>
      </c>
    </row>
    <row r="1600" spans="1:7">
      <c r="A1600" s="3">
        <v>14</v>
      </c>
      <c r="B1600" s="3">
        <v>9</v>
      </c>
      <c r="C1600" s="3">
        <v>93</v>
      </c>
      <c r="D1600" s="3">
        <v>29</v>
      </c>
      <c r="E1600" s="3">
        <v>-416.527</v>
      </c>
      <c r="F1600" s="4" t="str">
        <f>HYPERLINK("http://141.218.60.56/~jnz1568/getInfo.php?workbook=14_09.xlsx&amp;sheet=A0&amp;row=1600&amp;col=6&amp;number=147000000&amp;sourceID=14","147000000")</f>
        <v>147000000</v>
      </c>
      <c r="G1600" s="4" t="str">
        <f>HYPERLINK("http://141.218.60.56/~jnz1568/getInfo.php?workbook=14_09.xlsx&amp;sheet=A0&amp;row=1600&amp;col=7&amp;number=0&amp;sourceID=14","0")</f>
        <v>0</v>
      </c>
    </row>
    <row r="1601" spans="1:7">
      <c r="A1601" s="3">
        <v>14</v>
      </c>
      <c r="B1601" s="3">
        <v>9</v>
      </c>
      <c r="C1601" s="3">
        <v>94</v>
      </c>
      <c r="D1601" s="3">
        <v>29</v>
      </c>
      <c r="E1601" s="3">
        <v>-416.144</v>
      </c>
      <c r="F1601" s="4" t="str">
        <f>HYPERLINK("http://141.218.60.56/~jnz1568/getInfo.php?workbook=14_09.xlsx&amp;sheet=A0&amp;row=1601&amp;col=6&amp;number=74300000&amp;sourceID=14","74300000")</f>
        <v>74300000</v>
      </c>
      <c r="G1601" s="4" t="str">
        <f>HYPERLINK("http://141.218.60.56/~jnz1568/getInfo.php?workbook=14_09.xlsx&amp;sheet=A0&amp;row=1601&amp;col=7&amp;number=0&amp;sourceID=14","0")</f>
        <v>0</v>
      </c>
    </row>
    <row r="1602" spans="1:7">
      <c r="A1602" s="3">
        <v>14</v>
      </c>
      <c r="B1602" s="3">
        <v>9</v>
      </c>
      <c r="C1602" s="3">
        <v>96</v>
      </c>
      <c r="D1602" s="3">
        <v>29</v>
      </c>
      <c r="E1602" s="3">
        <v>-413.845</v>
      </c>
      <c r="F1602" s="4" t="str">
        <f>HYPERLINK("http://141.218.60.56/~jnz1568/getInfo.php?workbook=14_09.xlsx&amp;sheet=A0&amp;row=1602&amp;col=6&amp;number=2590000&amp;sourceID=14","2590000")</f>
        <v>2590000</v>
      </c>
      <c r="G1602" s="4" t="str">
        <f>HYPERLINK("http://141.218.60.56/~jnz1568/getInfo.php?workbook=14_09.xlsx&amp;sheet=A0&amp;row=1602&amp;col=7&amp;number=0&amp;sourceID=14","0")</f>
        <v>0</v>
      </c>
    </row>
    <row r="1603" spans="1:7">
      <c r="A1603" s="3">
        <v>14</v>
      </c>
      <c r="B1603" s="3">
        <v>9</v>
      </c>
      <c r="C1603" s="3">
        <v>97</v>
      </c>
      <c r="D1603" s="3">
        <v>29</v>
      </c>
      <c r="E1603" s="3">
        <v>-413.072</v>
      </c>
      <c r="F1603" s="4" t="str">
        <f>HYPERLINK("http://141.218.60.56/~jnz1568/getInfo.php?workbook=14_09.xlsx&amp;sheet=A0&amp;row=1603&amp;col=6&amp;number=69900000&amp;sourceID=14","69900000")</f>
        <v>69900000</v>
      </c>
      <c r="G1603" s="4" t="str">
        <f>HYPERLINK("http://141.218.60.56/~jnz1568/getInfo.php?workbook=14_09.xlsx&amp;sheet=A0&amp;row=1603&amp;col=7&amp;number=0&amp;sourceID=14","0")</f>
        <v>0</v>
      </c>
    </row>
    <row r="1604" spans="1:7">
      <c r="A1604" s="3">
        <v>14</v>
      </c>
      <c r="B1604" s="3">
        <v>9</v>
      </c>
      <c r="C1604" s="3">
        <v>98</v>
      </c>
      <c r="D1604" s="3">
        <v>29</v>
      </c>
      <c r="E1604" s="3">
        <v>-411.662</v>
      </c>
      <c r="F1604" s="4" t="str">
        <f>HYPERLINK("http://141.218.60.56/~jnz1568/getInfo.php?workbook=14_09.xlsx&amp;sheet=A0&amp;row=1604&amp;col=6&amp;number=196000000&amp;sourceID=14","196000000")</f>
        <v>196000000</v>
      </c>
      <c r="G1604" s="4" t="str">
        <f>HYPERLINK("http://141.218.60.56/~jnz1568/getInfo.php?workbook=14_09.xlsx&amp;sheet=A0&amp;row=1604&amp;col=7&amp;number=0&amp;sourceID=14","0")</f>
        <v>0</v>
      </c>
    </row>
    <row r="1605" spans="1:7">
      <c r="A1605" s="3">
        <v>14</v>
      </c>
      <c r="B1605" s="3">
        <v>9</v>
      </c>
      <c r="C1605" s="3">
        <v>99</v>
      </c>
      <c r="D1605" s="3">
        <v>29</v>
      </c>
      <c r="E1605" s="3">
        <v>-409.133</v>
      </c>
      <c r="F1605" s="4" t="str">
        <f>HYPERLINK("http://141.218.60.56/~jnz1568/getInfo.php?workbook=14_09.xlsx&amp;sheet=A0&amp;row=1605&amp;col=6&amp;number=298000000&amp;sourceID=14","298000000")</f>
        <v>298000000</v>
      </c>
      <c r="G1605" s="4" t="str">
        <f>HYPERLINK("http://141.218.60.56/~jnz1568/getInfo.php?workbook=14_09.xlsx&amp;sheet=A0&amp;row=1605&amp;col=7&amp;number=0&amp;sourceID=14","0")</f>
        <v>0</v>
      </c>
    </row>
    <row r="1606" spans="1:7">
      <c r="A1606" s="3">
        <v>14</v>
      </c>
      <c r="B1606" s="3">
        <v>9</v>
      </c>
      <c r="C1606" s="3">
        <v>100</v>
      </c>
      <c r="D1606" s="3">
        <v>29</v>
      </c>
      <c r="E1606" s="3">
        <v>-407.926</v>
      </c>
      <c r="F1606" s="4" t="str">
        <f>HYPERLINK("http://141.218.60.56/~jnz1568/getInfo.php?workbook=14_09.xlsx&amp;sheet=A0&amp;row=1606&amp;col=6&amp;number=1190000000&amp;sourceID=14","1190000000")</f>
        <v>1190000000</v>
      </c>
      <c r="G1606" s="4" t="str">
        <f>HYPERLINK("http://141.218.60.56/~jnz1568/getInfo.php?workbook=14_09.xlsx&amp;sheet=A0&amp;row=1606&amp;col=7&amp;number=0&amp;sourceID=14","0")</f>
        <v>0</v>
      </c>
    </row>
    <row r="1607" spans="1:7">
      <c r="A1607" s="3">
        <v>14</v>
      </c>
      <c r="B1607" s="3">
        <v>9</v>
      </c>
      <c r="C1607" s="3">
        <v>102</v>
      </c>
      <c r="D1607" s="3">
        <v>29</v>
      </c>
      <c r="E1607" s="3">
        <v>-407.331</v>
      </c>
      <c r="F1607" s="4" t="str">
        <f>HYPERLINK("http://141.218.60.56/~jnz1568/getInfo.php?workbook=14_09.xlsx&amp;sheet=A0&amp;row=1607&amp;col=6&amp;number=80600&amp;sourceID=14","80600")</f>
        <v>80600</v>
      </c>
      <c r="G1607" s="4" t="str">
        <f>HYPERLINK("http://141.218.60.56/~jnz1568/getInfo.php?workbook=14_09.xlsx&amp;sheet=A0&amp;row=1607&amp;col=7&amp;number=0&amp;sourceID=14","0")</f>
        <v>0</v>
      </c>
    </row>
    <row r="1608" spans="1:7">
      <c r="A1608" s="3">
        <v>14</v>
      </c>
      <c r="B1608" s="3">
        <v>9</v>
      </c>
      <c r="C1608" s="3">
        <v>103</v>
      </c>
      <c r="D1608" s="3">
        <v>29</v>
      </c>
      <c r="E1608" s="3">
        <v>-404.812</v>
      </c>
      <c r="F1608" s="4" t="str">
        <f>HYPERLINK("http://141.218.60.56/~jnz1568/getInfo.php?workbook=14_09.xlsx&amp;sheet=A0&amp;row=1608&amp;col=6&amp;number=2550000000&amp;sourceID=14","2550000000")</f>
        <v>2550000000</v>
      </c>
      <c r="G1608" s="4" t="str">
        <f>HYPERLINK("http://141.218.60.56/~jnz1568/getInfo.php?workbook=14_09.xlsx&amp;sheet=A0&amp;row=1608&amp;col=7&amp;number=0&amp;sourceID=14","0")</f>
        <v>0</v>
      </c>
    </row>
    <row r="1609" spans="1:7">
      <c r="A1609" s="3">
        <v>14</v>
      </c>
      <c r="B1609" s="3">
        <v>9</v>
      </c>
      <c r="C1609" s="3">
        <v>110</v>
      </c>
      <c r="D1609" s="3">
        <v>29</v>
      </c>
      <c r="E1609" s="3">
        <v>-402.404</v>
      </c>
      <c r="F1609" s="4" t="str">
        <f>HYPERLINK("http://141.218.60.56/~jnz1568/getInfo.php?workbook=14_09.xlsx&amp;sheet=A0&amp;row=1609&amp;col=6&amp;number=27800000&amp;sourceID=14","27800000")</f>
        <v>27800000</v>
      </c>
      <c r="G1609" s="4" t="str">
        <f>HYPERLINK("http://141.218.60.56/~jnz1568/getInfo.php?workbook=14_09.xlsx&amp;sheet=A0&amp;row=1609&amp;col=7&amp;number=0&amp;sourceID=14","0")</f>
        <v>0</v>
      </c>
    </row>
    <row r="1610" spans="1:7">
      <c r="A1610" s="3">
        <v>14</v>
      </c>
      <c r="B1610" s="3">
        <v>9</v>
      </c>
      <c r="C1610" s="3">
        <v>127</v>
      </c>
      <c r="D1610" s="3">
        <v>29</v>
      </c>
      <c r="E1610" s="3">
        <v>-355.465</v>
      </c>
      <c r="F1610" s="4" t="str">
        <f>HYPERLINK("http://141.218.60.56/~jnz1568/getInfo.php?workbook=14_09.xlsx&amp;sheet=A0&amp;row=1610&amp;col=6&amp;number=1160000000&amp;sourceID=14","1160000000")</f>
        <v>1160000000</v>
      </c>
      <c r="G1610" s="4" t="str">
        <f>HYPERLINK("http://141.218.60.56/~jnz1568/getInfo.php?workbook=14_09.xlsx&amp;sheet=A0&amp;row=1610&amp;col=7&amp;number=0&amp;sourceID=14","0")</f>
        <v>0</v>
      </c>
    </row>
    <row r="1611" spans="1:7">
      <c r="A1611" s="3">
        <v>14</v>
      </c>
      <c r="B1611" s="3">
        <v>9</v>
      </c>
      <c r="C1611" s="3">
        <v>128</v>
      </c>
      <c r="D1611" s="3">
        <v>29</v>
      </c>
      <c r="E1611" s="3">
        <v>-354.319</v>
      </c>
      <c r="F1611" s="4" t="str">
        <f>HYPERLINK("http://141.218.60.56/~jnz1568/getInfo.php?workbook=14_09.xlsx&amp;sheet=A0&amp;row=1611&amp;col=6&amp;number=275000&amp;sourceID=14","275000")</f>
        <v>275000</v>
      </c>
      <c r="G1611" s="4" t="str">
        <f>HYPERLINK("http://141.218.60.56/~jnz1568/getInfo.php?workbook=14_09.xlsx&amp;sheet=A0&amp;row=1611&amp;col=7&amp;number=0&amp;sourceID=14","0")</f>
        <v>0</v>
      </c>
    </row>
    <row r="1612" spans="1:7">
      <c r="A1612" s="3">
        <v>14</v>
      </c>
      <c r="B1612" s="3">
        <v>9</v>
      </c>
      <c r="C1612" s="3">
        <v>131</v>
      </c>
      <c r="D1612" s="3">
        <v>29</v>
      </c>
      <c r="E1612" s="3">
        <v>-347.657</v>
      </c>
      <c r="F1612" s="4" t="str">
        <f>HYPERLINK("http://141.218.60.56/~jnz1568/getInfo.php?workbook=14_09.xlsx&amp;sheet=A0&amp;row=1612&amp;col=6&amp;number=22300000&amp;sourceID=14","22300000")</f>
        <v>22300000</v>
      </c>
      <c r="G1612" s="4" t="str">
        <f>HYPERLINK("http://141.218.60.56/~jnz1568/getInfo.php?workbook=14_09.xlsx&amp;sheet=A0&amp;row=1612&amp;col=7&amp;number=0&amp;sourceID=14","0")</f>
        <v>0</v>
      </c>
    </row>
    <row r="1613" spans="1:7">
      <c r="A1613" s="3">
        <v>14</v>
      </c>
      <c r="B1613" s="3">
        <v>9</v>
      </c>
      <c r="C1613" s="3">
        <v>132</v>
      </c>
      <c r="D1613" s="3">
        <v>29</v>
      </c>
      <c r="E1613" s="3">
        <v>-347.609</v>
      </c>
      <c r="F1613" s="4" t="str">
        <f>HYPERLINK("http://141.218.60.56/~jnz1568/getInfo.php?workbook=14_09.xlsx&amp;sheet=A0&amp;row=1613&amp;col=6&amp;number=3520000000&amp;sourceID=14","3520000000")</f>
        <v>3520000000</v>
      </c>
      <c r="G1613" s="4" t="str">
        <f>HYPERLINK("http://141.218.60.56/~jnz1568/getInfo.php?workbook=14_09.xlsx&amp;sheet=A0&amp;row=1613&amp;col=7&amp;number=0&amp;sourceID=14","0")</f>
        <v>0</v>
      </c>
    </row>
    <row r="1614" spans="1:7">
      <c r="A1614" s="3">
        <v>14</v>
      </c>
      <c r="B1614" s="3">
        <v>9</v>
      </c>
      <c r="C1614" s="3">
        <v>134</v>
      </c>
      <c r="D1614" s="3">
        <v>29</v>
      </c>
      <c r="E1614" s="3">
        <v>-346.877</v>
      </c>
      <c r="F1614" s="4" t="str">
        <f>HYPERLINK("http://141.218.60.56/~jnz1568/getInfo.php?workbook=14_09.xlsx&amp;sheet=A0&amp;row=1614&amp;col=6&amp;number=2220000000&amp;sourceID=14","2220000000")</f>
        <v>2220000000</v>
      </c>
      <c r="G1614" s="4" t="str">
        <f>HYPERLINK("http://141.218.60.56/~jnz1568/getInfo.php?workbook=14_09.xlsx&amp;sheet=A0&amp;row=1614&amp;col=7&amp;number=0&amp;sourceID=14","0")</f>
        <v>0</v>
      </c>
    </row>
    <row r="1615" spans="1:7">
      <c r="A1615" s="3">
        <v>14</v>
      </c>
      <c r="B1615" s="3">
        <v>9</v>
      </c>
      <c r="C1615" s="3">
        <v>135</v>
      </c>
      <c r="D1615" s="3">
        <v>29</v>
      </c>
      <c r="E1615" s="3">
        <v>-346.703</v>
      </c>
      <c r="F1615" s="4" t="str">
        <f>HYPERLINK("http://141.218.60.56/~jnz1568/getInfo.php?workbook=14_09.xlsx&amp;sheet=A0&amp;row=1615&amp;col=6&amp;number=2140000000&amp;sourceID=14","2140000000")</f>
        <v>2140000000</v>
      </c>
      <c r="G1615" s="4" t="str">
        <f>HYPERLINK("http://141.218.60.56/~jnz1568/getInfo.php?workbook=14_09.xlsx&amp;sheet=A0&amp;row=1615&amp;col=7&amp;number=0&amp;sourceID=14","0")</f>
        <v>0</v>
      </c>
    </row>
    <row r="1616" spans="1:7">
      <c r="A1616" s="3">
        <v>14</v>
      </c>
      <c r="B1616" s="3">
        <v>9</v>
      </c>
      <c r="C1616" s="3">
        <v>136</v>
      </c>
      <c r="D1616" s="3">
        <v>29</v>
      </c>
      <c r="E1616" s="3">
        <v>-346.138</v>
      </c>
      <c r="F1616" s="4" t="str">
        <f>HYPERLINK("http://141.218.60.56/~jnz1568/getInfo.php?workbook=14_09.xlsx&amp;sheet=A0&amp;row=1616&amp;col=6&amp;number=539000000&amp;sourceID=14","539000000")</f>
        <v>539000000</v>
      </c>
      <c r="G1616" s="4" t="str">
        <f>HYPERLINK("http://141.218.60.56/~jnz1568/getInfo.php?workbook=14_09.xlsx&amp;sheet=A0&amp;row=1616&amp;col=7&amp;number=0&amp;sourceID=14","0")</f>
        <v>0</v>
      </c>
    </row>
    <row r="1617" spans="1:7">
      <c r="A1617" s="3">
        <v>14</v>
      </c>
      <c r="B1617" s="3">
        <v>9</v>
      </c>
      <c r="C1617" s="3">
        <v>137</v>
      </c>
      <c r="D1617" s="3">
        <v>29</v>
      </c>
      <c r="E1617" s="3">
        <v>-345.086</v>
      </c>
      <c r="F1617" s="4" t="str">
        <f>HYPERLINK("http://141.218.60.56/~jnz1568/getInfo.php?workbook=14_09.xlsx&amp;sheet=A0&amp;row=1617&amp;col=6&amp;number=1550000000&amp;sourceID=14","1550000000")</f>
        <v>1550000000</v>
      </c>
      <c r="G1617" s="4" t="str">
        <f>HYPERLINK("http://141.218.60.56/~jnz1568/getInfo.php?workbook=14_09.xlsx&amp;sheet=A0&amp;row=1617&amp;col=7&amp;number=0&amp;sourceID=14","0")</f>
        <v>0</v>
      </c>
    </row>
    <row r="1618" spans="1:7">
      <c r="A1618" s="3">
        <v>14</v>
      </c>
      <c r="B1618" s="3">
        <v>9</v>
      </c>
      <c r="C1618" s="3">
        <v>138</v>
      </c>
      <c r="D1618" s="3">
        <v>29</v>
      </c>
      <c r="E1618" s="3">
        <v>-339.877</v>
      </c>
      <c r="F1618" s="4" t="str">
        <f>HYPERLINK("http://141.218.60.56/~jnz1568/getInfo.php?workbook=14_09.xlsx&amp;sheet=A0&amp;row=1618&amp;col=6&amp;number=555000&amp;sourceID=14","555000")</f>
        <v>555000</v>
      </c>
      <c r="G1618" s="4" t="str">
        <f>HYPERLINK("http://141.218.60.56/~jnz1568/getInfo.php?workbook=14_09.xlsx&amp;sheet=A0&amp;row=1618&amp;col=7&amp;number=0&amp;sourceID=14","0")</f>
        <v>0</v>
      </c>
    </row>
    <row r="1619" spans="1:7">
      <c r="A1619" s="3">
        <v>14</v>
      </c>
      <c r="B1619" s="3">
        <v>9</v>
      </c>
      <c r="C1619" s="3">
        <v>139</v>
      </c>
      <c r="D1619" s="3">
        <v>29</v>
      </c>
      <c r="E1619" s="3">
        <v>-339.856</v>
      </c>
      <c r="F1619" s="4" t="str">
        <f>HYPERLINK("http://141.218.60.56/~jnz1568/getInfo.php?workbook=14_09.xlsx&amp;sheet=A0&amp;row=1619&amp;col=6&amp;number=253000&amp;sourceID=14","253000")</f>
        <v>253000</v>
      </c>
      <c r="G1619" s="4" t="str">
        <f>HYPERLINK("http://141.218.60.56/~jnz1568/getInfo.php?workbook=14_09.xlsx&amp;sheet=A0&amp;row=1619&amp;col=7&amp;number=0&amp;sourceID=14","0")</f>
        <v>0</v>
      </c>
    </row>
    <row r="1620" spans="1:7">
      <c r="A1620" s="3">
        <v>14</v>
      </c>
      <c r="B1620" s="3">
        <v>9</v>
      </c>
      <c r="C1620" s="3">
        <v>141</v>
      </c>
      <c r="D1620" s="3">
        <v>29</v>
      </c>
      <c r="E1620" s="3">
        <v>-338.282</v>
      </c>
      <c r="F1620" s="4" t="str">
        <f>HYPERLINK("http://141.218.60.56/~jnz1568/getInfo.php?workbook=14_09.xlsx&amp;sheet=A0&amp;row=1620&amp;col=6&amp;number=258000&amp;sourceID=14","258000")</f>
        <v>258000</v>
      </c>
      <c r="G1620" s="4" t="str">
        <f>HYPERLINK("http://141.218.60.56/~jnz1568/getInfo.php?workbook=14_09.xlsx&amp;sheet=A0&amp;row=1620&amp;col=7&amp;number=0&amp;sourceID=14","0")</f>
        <v>0</v>
      </c>
    </row>
    <row r="1621" spans="1:7">
      <c r="A1621" s="3">
        <v>14</v>
      </c>
      <c r="B1621" s="3">
        <v>9</v>
      </c>
      <c r="C1621" s="3">
        <v>142</v>
      </c>
      <c r="D1621" s="3">
        <v>29</v>
      </c>
      <c r="E1621" s="3">
        <v>-338.269</v>
      </c>
      <c r="F1621" s="4" t="str">
        <f>HYPERLINK("http://141.218.60.56/~jnz1568/getInfo.php?workbook=14_09.xlsx&amp;sheet=A0&amp;row=1621&amp;col=6&amp;number=204000&amp;sourceID=14","204000")</f>
        <v>204000</v>
      </c>
      <c r="G1621" s="4" t="str">
        <f>HYPERLINK("http://141.218.60.56/~jnz1568/getInfo.php?workbook=14_09.xlsx&amp;sheet=A0&amp;row=1621&amp;col=7&amp;number=0&amp;sourceID=14","0")</f>
        <v>0</v>
      </c>
    </row>
    <row r="1622" spans="1:7">
      <c r="A1622" s="3">
        <v>14</v>
      </c>
      <c r="B1622" s="3">
        <v>9</v>
      </c>
      <c r="C1622" s="3">
        <v>145</v>
      </c>
      <c r="D1622" s="3">
        <v>29</v>
      </c>
      <c r="E1622" s="3">
        <v>-338.049</v>
      </c>
      <c r="F1622" s="4" t="str">
        <f>HYPERLINK("http://141.218.60.56/~jnz1568/getInfo.php?workbook=14_09.xlsx&amp;sheet=A0&amp;row=1622&amp;col=6&amp;number=17200000&amp;sourceID=14","17200000")</f>
        <v>17200000</v>
      </c>
      <c r="G1622" s="4" t="str">
        <f>HYPERLINK("http://141.218.60.56/~jnz1568/getInfo.php?workbook=14_09.xlsx&amp;sheet=A0&amp;row=1622&amp;col=7&amp;number=0&amp;sourceID=14","0")</f>
        <v>0</v>
      </c>
    </row>
    <row r="1623" spans="1:7">
      <c r="A1623" s="3">
        <v>14</v>
      </c>
      <c r="B1623" s="3">
        <v>9</v>
      </c>
      <c r="C1623" s="3">
        <v>148</v>
      </c>
      <c r="D1623" s="3">
        <v>29</v>
      </c>
      <c r="E1623" s="3">
        <v>-336.414</v>
      </c>
      <c r="F1623" s="4" t="str">
        <f>HYPERLINK("http://141.218.60.56/~jnz1568/getInfo.php?workbook=14_09.xlsx&amp;sheet=A0&amp;row=1623&amp;col=6&amp;number=10300000&amp;sourceID=14","10300000")</f>
        <v>10300000</v>
      </c>
      <c r="G1623" s="4" t="str">
        <f>HYPERLINK("http://141.218.60.56/~jnz1568/getInfo.php?workbook=14_09.xlsx&amp;sheet=A0&amp;row=1623&amp;col=7&amp;number=0&amp;sourceID=14","0")</f>
        <v>0</v>
      </c>
    </row>
    <row r="1624" spans="1:7">
      <c r="A1624" s="3">
        <v>14</v>
      </c>
      <c r="B1624" s="3">
        <v>9</v>
      </c>
      <c r="C1624" s="3">
        <v>151</v>
      </c>
      <c r="D1624" s="3">
        <v>29</v>
      </c>
      <c r="E1624" s="3">
        <v>-335.209</v>
      </c>
      <c r="F1624" s="4" t="str">
        <f>HYPERLINK("http://141.218.60.56/~jnz1568/getInfo.php?workbook=14_09.xlsx&amp;sheet=A0&amp;row=1624&amp;col=6&amp;number=1330000&amp;sourceID=14","1330000")</f>
        <v>1330000</v>
      </c>
      <c r="G1624" s="4" t="str">
        <f>HYPERLINK("http://141.218.60.56/~jnz1568/getInfo.php?workbook=14_09.xlsx&amp;sheet=A0&amp;row=1624&amp;col=7&amp;number=0&amp;sourceID=14","0")</f>
        <v>0</v>
      </c>
    </row>
    <row r="1625" spans="1:7">
      <c r="A1625" s="3">
        <v>14</v>
      </c>
      <c r="B1625" s="3">
        <v>9</v>
      </c>
      <c r="C1625" s="3">
        <v>152</v>
      </c>
      <c r="D1625" s="3">
        <v>29</v>
      </c>
      <c r="E1625" s="3">
        <v>-328.193</v>
      </c>
      <c r="F1625" s="4" t="str">
        <f>HYPERLINK("http://141.218.60.56/~jnz1568/getInfo.php?workbook=14_09.xlsx&amp;sheet=A0&amp;row=1625&amp;col=6&amp;number=471000000&amp;sourceID=14","471000000")</f>
        <v>471000000</v>
      </c>
      <c r="G1625" s="4" t="str">
        <f>HYPERLINK("http://141.218.60.56/~jnz1568/getInfo.php?workbook=14_09.xlsx&amp;sheet=A0&amp;row=1625&amp;col=7&amp;number=0&amp;sourceID=14","0")</f>
        <v>0</v>
      </c>
    </row>
    <row r="1626" spans="1:7">
      <c r="A1626" s="3">
        <v>14</v>
      </c>
      <c r="B1626" s="3">
        <v>9</v>
      </c>
      <c r="C1626" s="3">
        <v>153</v>
      </c>
      <c r="D1626" s="3">
        <v>29</v>
      </c>
      <c r="E1626" s="3">
        <v>-326.319</v>
      </c>
      <c r="F1626" s="4" t="str">
        <f>HYPERLINK("http://141.218.60.56/~jnz1568/getInfo.php?workbook=14_09.xlsx&amp;sheet=A0&amp;row=1626&amp;col=6&amp;number=1280000000&amp;sourceID=14","1280000000")</f>
        <v>1280000000</v>
      </c>
      <c r="G1626" s="4" t="str">
        <f>HYPERLINK("http://141.218.60.56/~jnz1568/getInfo.php?workbook=14_09.xlsx&amp;sheet=A0&amp;row=1626&amp;col=7&amp;number=0&amp;sourceID=14","0")</f>
        <v>0</v>
      </c>
    </row>
    <row r="1627" spans="1:7">
      <c r="A1627" s="3">
        <v>14</v>
      </c>
      <c r="B1627" s="3">
        <v>9</v>
      </c>
      <c r="C1627" s="3">
        <v>154</v>
      </c>
      <c r="D1627" s="3">
        <v>29</v>
      </c>
      <c r="E1627" s="3">
        <v>-326.295</v>
      </c>
      <c r="F1627" s="4" t="str">
        <f>HYPERLINK("http://141.218.60.56/~jnz1568/getInfo.php?workbook=14_09.xlsx&amp;sheet=A0&amp;row=1627&amp;col=6&amp;number=124000000&amp;sourceID=14","124000000")</f>
        <v>124000000</v>
      </c>
      <c r="G1627" s="4" t="str">
        <f>HYPERLINK("http://141.218.60.56/~jnz1568/getInfo.php?workbook=14_09.xlsx&amp;sheet=A0&amp;row=1627&amp;col=7&amp;number=0&amp;sourceID=14","0")</f>
        <v>0</v>
      </c>
    </row>
    <row r="1628" spans="1:7">
      <c r="A1628" s="3">
        <v>14</v>
      </c>
      <c r="B1628" s="3">
        <v>9</v>
      </c>
      <c r="C1628" s="3">
        <v>155</v>
      </c>
      <c r="D1628" s="3">
        <v>29</v>
      </c>
      <c r="E1628" s="3">
        <v>-325.597</v>
      </c>
      <c r="F1628" s="4" t="str">
        <f>HYPERLINK("http://141.218.60.56/~jnz1568/getInfo.php?workbook=14_09.xlsx&amp;sheet=A0&amp;row=1628&amp;col=6&amp;number=9800000&amp;sourceID=14","9800000")</f>
        <v>9800000</v>
      </c>
      <c r="G1628" s="4" t="str">
        <f>HYPERLINK("http://141.218.60.56/~jnz1568/getInfo.php?workbook=14_09.xlsx&amp;sheet=A0&amp;row=1628&amp;col=7&amp;number=0&amp;sourceID=14","0")</f>
        <v>0</v>
      </c>
    </row>
    <row r="1629" spans="1:7">
      <c r="A1629" s="3">
        <v>14</v>
      </c>
      <c r="B1629" s="3">
        <v>9</v>
      </c>
      <c r="C1629" s="3">
        <v>156</v>
      </c>
      <c r="D1629" s="3">
        <v>29</v>
      </c>
      <c r="E1629" s="3">
        <v>-324.621</v>
      </c>
      <c r="F1629" s="4" t="str">
        <f>HYPERLINK("http://141.218.60.56/~jnz1568/getInfo.php?workbook=14_09.xlsx&amp;sheet=A0&amp;row=1629&amp;col=6&amp;number=1220000000&amp;sourceID=14","1220000000")</f>
        <v>1220000000</v>
      </c>
      <c r="G1629" s="4" t="str">
        <f>HYPERLINK("http://141.218.60.56/~jnz1568/getInfo.php?workbook=14_09.xlsx&amp;sheet=A0&amp;row=1629&amp;col=7&amp;number=0&amp;sourceID=14","0")</f>
        <v>0</v>
      </c>
    </row>
    <row r="1630" spans="1:7">
      <c r="A1630" s="3">
        <v>14</v>
      </c>
      <c r="B1630" s="3">
        <v>9</v>
      </c>
      <c r="C1630" s="3">
        <v>157</v>
      </c>
      <c r="D1630" s="3">
        <v>29</v>
      </c>
      <c r="E1630" s="3">
        <v>-321.948</v>
      </c>
      <c r="F1630" s="4" t="str">
        <f>HYPERLINK("http://141.218.60.56/~jnz1568/getInfo.php?workbook=14_09.xlsx&amp;sheet=A0&amp;row=1630&amp;col=6&amp;number=262000000&amp;sourceID=14","262000000")</f>
        <v>262000000</v>
      </c>
      <c r="G1630" s="4" t="str">
        <f>HYPERLINK("http://141.218.60.56/~jnz1568/getInfo.php?workbook=14_09.xlsx&amp;sheet=A0&amp;row=1630&amp;col=7&amp;number=0&amp;sourceID=14","0")</f>
        <v>0</v>
      </c>
    </row>
    <row r="1631" spans="1:7">
      <c r="A1631" s="3">
        <v>14</v>
      </c>
      <c r="B1631" s="3">
        <v>9</v>
      </c>
      <c r="C1631" s="3">
        <v>158</v>
      </c>
      <c r="D1631" s="3">
        <v>29</v>
      </c>
      <c r="E1631" s="3">
        <v>-321.396</v>
      </c>
      <c r="F1631" s="4" t="str">
        <f>HYPERLINK("http://141.218.60.56/~jnz1568/getInfo.php?workbook=14_09.xlsx&amp;sheet=A0&amp;row=1631&amp;col=6&amp;number=582000000&amp;sourceID=14","582000000")</f>
        <v>582000000</v>
      </c>
      <c r="G1631" s="4" t="str">
        <f>HYPERLINK("http://141.218.60.56/~jnz1568/getInfo.php?workbook=14_09.xlsx&amp;sheet=A0&amp;row=1631&amp;col=7&amp;number=0&amp;sourceID=14","0")</f>
        <v>0</v>
      </c>
    </row>
    <row r="1632" spans="1:7">
      <c r="A1632" s="3">
        <v>14</v>
      </c>
      <c r="B1632" s="3">
        <v>9</v>
      </c>
      <c r="C1632" s="3">
        <v>161</v>
      </c>
      <c r="D1632" s="3">
        <v>29</v>
      </c>
      <c r="E1632" s="3">
        <v>-287.684</v>
      </c>
      <c r="F1632" s="4" t="str">
        <f>HYPERLINK("http://141.218.60.56/~jnz1568/getInfo.php?workbook=14_09.xlsx&amp;sheet=A0&amp;row=1632&amp;col=6&amp;number=101000000&amp;sourceID=14","101000000")</f>
        <v>101000000</v>
      </c>
      <c r="G1632" s="4" t="str">
        <f>HYPERLINK("http://141.218.60.56/~jnz1568/getInfo.php?workbook=14_09.xlsx&amp;sheet=A0&amp;row=1632&amp;col=7&amp;number=0&amp;sourceID=14","0")</f>
        <v>0</v>
      </c>
    </row>
    <row r="1633" spans="1:7">
      <c r="A1633" s="3">
        <v>14</v>
      </c>
      <c r="B1633" s="3">
        <v>9</v>
      </c>
      <c r="C1633" s="3">
        <v>185</v>
      </c>
      <c r="D1633" s="3">
        <v>29</v>
      </c>
      <c r="E1633" s="3">
        <v>-220.541</v>
      </c>
      <c r="F1633" s="4" t="str">
        <f>HYPERLINK("http://141.218.60.56/~jnz1568/getInfo.php?workbook=14_09.xlsx&amp;sheet=A0&amp;row=1633&amp;col=6&amp;number=158000000&amp;sourceID=14","158000000")</f>
        <v>158000000</v>
      </c>
      <c r="G1633" s="4" t="str">
        <f>HYPERLINK("http://141.218.60.56/~jnz1568/getInfo.php?workbook=14_09.xlsx&amp;sheet=A0&amp;row=1633&amp;col=7&amp;number=0&amp;sourceID=14","0")</f>
        <v>0</v>
      </c>
    </row>
    <row r="1634" spans="1:7">
      <c r="A1634" s="3">
        <v>14</v>
      </c>
      <c r="B1634" s="3">
        <v>9</v>
      </c>
      <c r="C1634" s="3">
        <v>186</v>
      </c>
      <c r="D1634" s="3">
        <v>29</v>
      </c>
      <c r="E1634" s="3">
        <v>-220.233</v>
      </c>
      <c r="F1634" s="4" t="str">
        <f>HYPERLINK("http://141.218.60.56/~jnz1568/getInfo.php?workbook=14_09.xlsx&amp;sheet=A0&amp;row=1634&amp;col=6&amp;number=92500000&amp;sourceID=14","92500000")</f>
        <v>92500000</v>
      </c>
      <c r="G1634" s="4" t="str">
        <f>HYPERLINK("http://141.218.60.56/~jnz1568/getInfo.php?workbook=14_09.xlsx&amp;sheet=A0&amp;row=1634&amp;col=7&amp;number=0&amp;sourceID=14","0")</f>
        <v>0</v>
      </c>
    </row>
    <row r="1635" spans="1:7">
      <c r="A1635" s="3">
        <v>14</v>
      </c>
      <c r="B1635" s="3">
        <v>9</v>
      </c>
      <c r="C1635" s="3">
        <v>187</v>
      </c>
      <c r="D1635" s="3">
        <v>29</v>
      </c>
      <c r="E1635" s="3">
        <v>-217.881</v>
      </c>
      <c r="F1635" s="4" t="str">
        <f>HYPERLINK("http://141.218.60.56/~jnz1568/getInfo.php?workbook=14_09.xlsx&amp;sheet=A0&amp;row=1635&amp;col=6&amp;number=4780000000&amp;sourceID=14","4780000000")</f>
        <v>4780000000</v>
      </c>
      <c r="G1635" s="4" t="str">
        <f>HYPERLINK("http://141.218.60.56/~jnz1568/getInfo.php?workbook=14_09.xlsx&amp;sheet=A0&amp;row=1635&amp;col=7&amp;number=0&amp;sourceID=14","0")</f>
        <v>0</v>
      </c>
    </row>
    <row r="1636" spans="1:7">
      <c r="A1636" s="3">
        <v>14</v>
      </c>
      <c r="B1636" s="3">
        <v>9</v>
      </c>
      <c r="C1636" s="3">
        <v>188</v>
      </c>
      <c r="D1636" s="3">
        <v>29</v>
      </c>
      <c r="E1636" s="3">
        <v>-217.732</v>
      </c>
      <c r="F1636" s="4" t="str">
        <f>HYPERLINK("http://141.218.60.56/~jnz1568/getInfo.php?workbook=14_09.xlsx&amp;sheet=A0&amp;row=1636&amp;col=6&amp;number=8460000000&amp;sourceID=14","8460000000")</f>
        <v>8460000000</v>
      </c>
      <c r="G1636" s="4" t="str">
        <f>HYPERLINK("http://141.218.60.56/~jnz1568/getInfo.php?workbook=14_09.xlsx&amp;sheet=A0&amp;row=1636&amp;col=7&amp;number=0&amp;sourceID=14","0")</f>
        <v>0</v>
      </c>
    </row>
    <row r="1637" spans="1:7">
      <c r="A1637" s="3">
        <v>14</v>
      </c>
      <c r="B1637" s="3">
        <v>9</v>
      </c>
      <c r="C1637" s="3">
        <v>189</v>
      </c>
      <c r="D1637" s="3">
        <v>29</v>
      </c>
      <c r="E1637" s="3">
        <v>-211.542</v>
      </c>
      <c r="F1637" s="4" t="str">
        <f>HYPERLINK("http://141.218.60.56/~jnz1568/getInfo.php?workbook=14_09.xlsx&amp;sheet=A0&amp;row=1637&amp;col=6&amp;number=27300000000&amp;sourceID=14","27300000000")</f>
        <v>27300000000</v>
      </c>
      <c r="G1637" s="4" t="str">
        <f>HYPERLINK("http://141.218.60.56/~jnz1568/getInfo.php?workbook=14_09.xlsx&amp;sheet=A0&amp;row=1637&amp;col=7&amp;number=0&amp;sourceID=14","0")</f>
        <v>0</v>
      </c>
    </row>
    <row r="1638" spans="1:7">
      <c r="A1638" s="3">
        <v>14</v>
      </c>
      <c r="B1638" s="3">
        <v>9</v>
      </c>
      <c r="C1638" s="3">
        <v>38</v>
      </c>
      <c r="D1638" s="3">
        <v>30</v>
      </c>
      <c r="E1638" s="3">
        <v>-2928.692</v>
      </c>
      <c r="F1638" s="4" t="str">
        <f>HYPERLINK("http://141.218.60.56/~jnz1568/getInfo.php?workbook=14_09.xlsx&amp;sheet=A0&amp;row=1638&amp;col=6&amp;number=66600&amp;sourceID=14","66600")</f>
        <v>66600</v>
      </c>
      <c r="G1638" s="4" t="str">
        <f>HYPERLINK("http://141.218.60.56/~jnz1568/getInfo.php?workbook=14_09.xlsx&amp;sheet=A0&amp;row=1638&amp;col=7&amp;number=0&amp;sourceID=14","0")</f>
        <v>0</v>
      </c>
    </row>
    <row r="1639" spans="1:7">
      <c r="A1639" s="3">
        <v>14</v>
      </c>
      <c r="B1639" s="3">
        <v>9</v>
      </c>
      <c r="C1639" s="3">
        <v>46</v>
      </c>
      <c r="D1639" s="3">
        <v>30</v>
      </c>
      <c r="E1639" s="3">
        <v>-2399.006</v>
      </c>
      <c r="F1639" s="4" t="str">
        <f>HYPERLINK("http://141.218.60.56/~jnz1568/getInfo.php?workbook=14_09.xlsx&amp;sheet=A0&amp;row=1639&amp;col=6&amp;number=1210000&amp;sourceID=14","1210000")</f>
        <v>1210000</v>
      </c>
      <c r="G1639" s="4" t="str">
        <f>HYPERLINK("http://141.218.60.56/~jnz1568/getInfo.php?workbook=14_09.xlsx&amp;sheet=A0&amp;row=1639&amp;col=7&amp;number=0&amp;sourceID=14","0")</f>
        <v>0</v>
      </c>
    </row>
    <row r="1640" spans="1:7">
      <c r="A1640" s="3">
        <v>14</v>
      </c>
      <c r="B1640" s="3">
        <v>9</v>
      </c>
      <c r="C1640" s="3">
        <v>47</v>
      </c>
      <c r="D1640" s="3">
        <v>30</v>
      </c>
      <c r="E1640" s="3">
        <v>-2357.272</v>
      </c>
      <c r="F1640" s="4" t="str">
        <f>HYPERLINK("http://141.218.60.56/~jnz1568/getInfo.php?workbook=14_09.xlsx&amp;sheet=A0&amp;row=1640&amp;col=6&amp;number=9780000&amp;sourceID=14","9780000")</f>
        <v>9780000</v>
      </c>
      <c r="G1640" s="4" t="str">
        <f>HYPERLINK("http://141.218.60.56/~jnz1568/getInfo.php?workbook=14_09.xlsx&amp;sheet=A0&amp;row=1640&amp;col=7&amp;number=0&amp;sourceID=14","0")</f>
        <v>0</v>
      </c>
    </row>
    <row r="1641" spans="1:7">
      <c r="A1641" s="3">
        <v>14</v>
      </c>
      <c r="B1641" s="3">
        <v>9</v>
      </c>
      <c r="C1641" s="3">
        <v>49</v>
      </c>
      <c r="D1641" s="3">
        <v>30</v>
      </c>
      <c r="E1641" s="3">
        <v>-2177.989</v>
      </c>
      <c r="F1641" s="4" t="str">
        <f>HYPERLINK("http://141.218.60.56/~jnz1568/getInfo.php?workbook=14_09.xlsx&amp;sheet=A0&amp;row=1641&amp;col=6&amp;number=10500000&amp;sourceID=14","10500000")</f>
        <v>10500000</v>
      </c>
      <c r="G1641" s="4" t="str">
        <f>HYPERLINK("http://141.218.60.56/~jnz1568/getInfo.php?workbook=14_09.xlsx&amp;sheet=A0&amp;row=1641&amp;col=7&amp;number=0&amp;sourceID=14","0")</f>
        <v>0</v>
      </c>
    </row>
    <row r="1642" spans="1:7">
      <c r="A1642" s="3">
        <v>14</v>
      </c>
      <c r="B1642" s="3">
        <v>9</v>
      </c>
      <c r="C1642" s="3">
        <v>52</v>
      </c>
      <c r="D1642" s="3">
        <v>30</v>
      </c>
      <c r="E1642" s="3">
        <v>-1219.247</v>
      </c>
      <c r="F1642" s="4" t="str">
        <f>HYPERLINK("http://141.218.60.56/~jnz1568/getInfo.php?workbook=14_09.xlsx&amp;sheet=A0&amp;row=1642&amp;col=6&amp;number=117000000&amp;sourceID=14","117000000")</f>
        <v>117000000</v>
      </c>
      <c r="G1642" s="4" t="str">
        <f>HYPERLINK("http://141.218.60.56/~jnz1568/getInfo.php?workbook=14_09.xlsx&amp;sheet=A0&amp;row=1642&amp;col=7&amp;number=0&amp;sourceID=14","0")</f>
        <v>0</v>
      </c>
    </row>
    <row r="1643" spans="1:7">
      <c r="A1643" s="3">
        <v>14</v>
      </c>
      <c r="B1643" s="3">
        <v>9</v>
      </c>
      <c r="C1643" s="3">
        <v>53</v>
      </c>
      <c r="D1643" s="3">
        <v>30</v>
      </c>
      <c r="E1643" s="3">
        <v>-1201.579</v>
      </c>
      <c r="F1643" s="4" t="str">
        <f>HYPERLINK("http://141.218.60.56/~jnz1568/getInfo.php?workbook=14_09.xlsx&amp;sheet=A0&amp;row=1643&amp;col=6&amp;number=110000000&amp;sourceID=14","110000000")</f>
        <v>110000000</v>
      </c>
      <c r="G1643" s="4" t="str">
        <f>HYPERLINK("http://141.218.60.56/~jnz1568/getInfo.php?workbook=14_09.xlsx&amp;sheet=A0&amp;row=1643&amp;col=7&amp;number=0&amp;sourceID=14","0")</f>
        <v>0</v>
      </c>
    </row>
    <row r="1644" spans="1:7">
      <c r="A1644" s="3">
        <v>14</v>
      </c>
      <c r="B1644" s="3">
        <v>9</v>
      </c>
      <c r="C1644" s="3">
        <v>55</v>
      </c>
      <c r="D1644" s="3">
        <v>30</v>
      </c>
      <c r="E1644" s="3">
        <v>-1180.319</v>
      </c>
      <c r="F1644" s="4" t="str">
        <f>HYPERLINK("http://141.218.60.56/~jnz1568/getInfo.php?workbook=14_09.xlsx&amp;sheet=A0&amp;row=1644&amp;col=6&amp;number=606000000&amp;sourceID=14","606000000")</f>
        <v>606000000</v>
      </c>
      <c r="G1644" s="4" t="str">
        <f>HYPERLINK("http://141.218.60.56/~jnz1568/getInfo.php?workbook=14_09.xlsx&amp;sheet=A0&amp;row=1644&amp;col=7&amp;number=0&amp;sourceID=14","0")</f>
        <v>0</v>
      </c>
    </row>
    <row r="1645" spans="1:7">
      <c r="A1645" s="3">
        <v>14</v>
      </c>
      <c r="B1645" s="3">
        <v>9</v>
      </c>
      <c r="C1645" s="3">
        <v>58</v>
      </c>
      <c r="D1645" s="3">
        <v>30</v>
      </c>
      <c r="E1645" s="3">
        <v>-1148.952</v>
      </c>
      <c r="F1645" s="4" t="str">
        <f>HYPERLINK("http://141.218.60.56/~jnz1568/getInfo.php?workbook=14_09.xlsx&amp;sheet=A0&amp;row=1645&amp;col=6&amp;number=380000000&amp;sourceID=14","380000000")</f>
        <v>380000000</v>
      </c>
      <c r="G1645" s="4" t="str">
        <f>HYPERLINK("http://141.218.60.56/~jnz1568/getInfo.php?workbook=14_09.xlsx&amp;sheet=A0&amp;row=1645&amp;col=7&amp;number=0&amp;sourceID=14","0")</f>
        <v>0</v>
      </c>
    </row>
    <row r="1646" spans="1:7">
      <c r="A1646" s="3">
        <v>14</v>
      </c>
      <c r="B1646" s="3">
        <v>9</v>
      </c>
      <c r="C1646" s="3">
        <v>60</v>
      </c>
      <c r="D1646" s="3">
        <v>30</v>
      </c>
      <c r="E1646" s="3">
        <v>-666.917</v>
      </c>
      <c r="F1646" s="4" t="str">
        <f>HYPERLINK("http://141.218.60.56/~jnz1568/getInfo.php?workbook=14_09.xlsx&amp;sheet=A0&amp;row=1646&amp;col=6&amp;number=109000000&amp;sourceID=14","109000000")</f>
        <v>109000000</v>
      </c>
      <c r="G1646" s="4" t="str">
        <f>HYPERLINK("http://141.218.60.56/~jnz1568/getInfo.php?workbook=14_09.xlsx&amp;sheet=A0&amp;row=1646&amp;col=7&amp;number=0&amp;sourceID=14","0")</f>
        <v>0</v>
      </c>
    </row>
    <row r="1647" spans="1:7">
      <c r="A1647" s="3">
        <v>14</v>
      </c>
      <c r="B1647" s="3">
        <v>9</v>
      </c>
      <c r="C1647" s="3">
        <v>62</v>
      </c>
      <c r="D1647" s="3">
        <v>30</v>
      </c>
      <c r="E1647" s="3">
        <v>-606.576</v>
      </c>
      <c r="F1647" s="4" t="str">
        <f>HYPERLINK("http://141.218.60.56/~jnz1568/getInfo.php?workbook=14_09.xlsx&amp;sheet=A0&amp;row=1647&amp;col=6&amp;number=43800000&amp;sourceID=14","43800000")</f>
        <v>43800000</v>
      </c>
      <c r="G1647" s="4" t="str">
        <f>HYPERLINK("http://141.218.60.56/~jnz1568/getInfo.php?workbook=14_09.xlsx&amp;sheet=A0&amp;row=1647&amp;col=7&amp;number=0&amp;sourceID=14","0")</f>
        <v>0</v>
      </c>
    </row>
    <row r="1648" spans="1:7">
      <c r="A1648" s="3">
        <v>14</v>
      </c>
      <c r="B1648" s="3">
        <v>9</v>
      </c>
      <c r="C1648" s="3">
        <v>63</v>
      </c>
      <c r="D1648" s="3">
        <v>30</v>
      </c>
      <c r="E1648" s="3">
        <v>-598.177</v>
      </c>
      <c r="F1648" s="4" t="str">
        <f>HYPERLINK("http://141.218.60.56/~jnz1568/getInfo.php?workbook=14_09.xlsx&amp;sheet=A0&amp;row=1648&amp;col=6&amp;number=39900000&amp;sourceID=14","39900000")</f>
        <v>39900000</v>
      </c>
      <c r="G1648" s="4" t="str">
        <f>HYPERLINK("http://141.218.60.56/~jnz1568/getInfo.php?workbook=14_09.xlsx&amp;sheet=A0&amp;row=1648&amp;col=7&amp;number=0&amp;sourceID=14","0")</f>
        <v>0</v>
      </c>
    </row>
    <row r="1649" spans="1:7">
      <c r="A1649" s="3">
        <v>14</v>
      </c>
      <c r="B1649" s="3">
        <v>9</v>
      </c>
      <c r="C1649" s="3">
        <v>64</v>
      </c>
      <c r="D1649" s="3">
        <v>30</v>
      </c>
      <c r="E1649" s="3">
        <v>-593.304</v>
      </c>
      <c r="F1649" s="4" t="str">
        <f>HYPERLINK("http://141.218.60.56/~jnz1568/getInfo.php?workbook=14_09.xlsx&amp;sheet=A0&amp;row=1649&amp;col=6&amp;number=226000000&amp;sourceID=14","226000000")</f>
        <v>226000000</v>
      </c>
      <c r="G1649" s="4" t="str">
        <f>HYPERLINK("http://141.218.60.56/~jnz1568/getInfo.php?workbook=14_09.xlsx&amp;sheet=A0&amp;row=1649&amp;col=7&amp;number=0&amp;sourceID=14","0")</f>
        <v>0</v>
      </c>
    </row>
    <row r="1650" spans="1:7">
      <c r="A1650" s="3">
        <v>14</v>
      </c>
      <c r="B1650" s="3">
        <v>9</v>
      </c>
      <c r="C1650" s="3">
        <v>65</v>
      </c>
      <c r="D1650" s="3">
        <v>30</v>
      </c>
      <c r="E1650" s="3">
        <v>-582.178</v>
      </c>
      <c r="F1650" s="4" t="str">
        <f>HYPERLINK("http://141.218.60.56/~jnz1568/getInfo.php?workbook=14_09.xlsx&amp;sheet=A0&amp;row=1650&amp;col=6&amp;number=1260000000&amp;sourceID=14","1260000000")</f>
        <v>1260000000</v>
      </c>
      <c r="G1650" s="4" t="str">
        <f>HYPERLINK("http://141.218.60.56/~jnz1568/getInfo.php?workbook=14_09.xlsx&amp;sheet=A0&amp;row=1650&amp;col=7&amp;number=0&amp;sourceID=14","0")</f>
        <v>0</v>
      </c>
    </row>
    <row r="1651" spans="1:7">
      <c r="A1651" s="3">
        <v>14</v>
      </c>
      <c r="B1651" s="3">
        <v>9</v>
      </c>
      <c r="C1651" s="3">
        <v>80</v>
      </c>
      <c r="D1651" s="3">
        <v>30</v>
      </c>
      <c r="E1651" s="3">
        <v>-471.168</v>
      </c>
      <c r="F1651" s="4" t="str">
        <f>HYPERLINK("http://141.218.60.56/~jnz1568/getInfo.php?workbook=14_09.xlsx&amp;sheet=A0&amp;row=1651&amp;col=6&amp;number=1560000000&amp;sourceID=14","1560000000")</f>
        <v>1560000000</v>
      </c>
      <c r="G1651" s="4" t="str">
        <f>HYPERLINK("http://141.218.60.56/~jnz1568/getInfo.php?workbook=14_09.xlsx&amp;sheet=A0&amp;row=1651&amp;col=7&amp;number=0&amp;sourceID=14","0")</f>
        <v>0</v>
      </c>
    </row>
    <row r="1652" spans="1:7">
      <c r="A1652" s="3">
        <v>14</v>
      </c>
      <c r="B1652" s="3">
        <v>9</v>
      </c>
      <c r="C1652" s="3">
        <v>88</v>
      </c>
      <c r="D1652" s="3">
        <v>30</v>
      </c>
      <c r="E1652" s="3">
        <v>-429.322</v>
      </c>
      <c r="F1652" s="4" t="str">
        <f>HYPERLINK("http://141.218.60.56/~jnz1568/getInfo.php?workbook=14_09.xlsx&amp;sheet=A0&amp;row=1652&amp;col=6&amp;number=2780000&amp;sourceID=14","2780000")</f>
        <v>2780000</v>
      </c>
      <c r="G1652" s="4" t="str">
        <f>HYPERLINK("http://141.218.60.56/~jnz1568/getInfo.php?workbook=14_09.xlsx&amp;sheet=A0&amp;row=1652&amp;col=7&amp;number=0&amp;sourceID=14","0")</f>
        <v>0</v>
      </c>
    </row>
    <row r="1653" spans="1:7">
      <c r="A1653" s="3">
        <v>14</v>
      </c>
      <c r="B1653" s="3">
        <v>9</v>
      </c>
      <c r="C1653" s="3">
        <v>89</v>
      </c>
      <c r="D1653" s="3">
        <v>30</v>
      </c>
      <c r="E1653" s="3">
        <v>-427.977</v>
      </c>
      <c r="F1653" s="4" t="str">
        <f>HYPERLINK("http://141.218.60.56/~jnz1568/getInfo.php?workbook=14_09.xlsx&amp;sheet=A0&amp;row=1653&amp;col=6&amp;number=8950000&amp;sourceID=14","8950000")</f>
        <v>8950000</v>
      </c>
      <c r="G1653" s="4" t="str">
        <f>HYPERLINK("http://141.218.60.56/~jnz1568/getInfo.php?workbook=14_09.xlsx&amp;sheet=A0&amp;row=1653&amp;col=7&amp;number=0&amp;sourceID=14","0")</f>
        <v>0</v>
      </c>
    </row>
    <row r="1654" spans="1:7">
      <c r="A1654" s="3">
        <v>14</v>
      </c>
      <c r="B1654" s="3">
        <v>9</v>
      </c>
      <c r="C1654" s="3">
        <v>92</v>
      </c>
      <c r="D1654" s="3">
        <v>30</v>
      </c>
      <c r="E1654" s="3">
        <v>-422.35</v>
      </c>
      <c r="F1654" s="4" t="str">
        <f>HYPERLINK("http://141.218.60.56/~jnz1568/getInfo.php?workbook=14_09.xlsx&amp;sheet=A0&amp;row=1654&amp;col=6&amp;number=6360000&amp;sourceID=14","6360000")</f>
        <v>6360000</v>
      </c>
      <c r="G1654" s="4" t="str">
        <f>HYPERLINK("http://141.218.60.56/~jnz1568/getInfo.php?workbook=14_09.xlsx&amp;sheet=A0&amp;row=1654&amp;col=7&amp;number=0&amp;sourceID=14","0")</f>
        <v>0</v>
      </c>
    </row>
    <row r="1655" spans="1:7">
      <c r="A1655" s="3">
        <v>14</v>
      </c>
      <c r="B1655" s="3">
        <v>9</v>
      </c>
      <c r="C1655" s="3">
        <v>94</v>
      </c>
      <c r="D1655" s="3">
        <v>30</v>
      </c>
      <c r="E1655" s="3">
        <v>-420.478</v>
      </c>
      <c r="F1655" s="4" t="str">
        <f>HYPERLINK("http://141.218.60.56/~jnz1568/getInfo.php?workbook=14_09.xlsx&amp;sheet=A0&amp;row=1655&amp;col=6&amp;number=29400000&amp;sourceID=14","29400000")</f>
        <v>29400000</v>
      </c>
      <c r="G1655" s="4" t="str">
        <f>HYPERLINK("http://141.218.60.56/~jnz1568/getInfo.php?workbook=14_09.xlsx&amp;sheet=A0&amp;row=1655&amp;col=7&amp;number=0&amp;sourceID=14","0")</f>
        <v>0</v>
      </c>
    </row>
    <row r="1656" spans="1:7">
      <c r="A1656" s="3">
        <v>14</v>
      </c>
      <c r="B1656" s="3">
        <v>9</v>
      </c>
      <c r="C1656" s="3">
        <v>96</v>
      </c>
      <c r="D1656" s="3">
        <v>30</v>
      </c>
      <c r="E1656" s="3">
        <v>-418.131</v>
      </c>
      <c r="F1656" s="4" t="str">
        <f>HYPERLINK("http://141.218.60.56/~jnz1568/getInfo.php?workbook=14_09.xlsx&amp;sheet=A0&amp;row=1656&amp;col=6&amp;number=30500000&amp;sourceID=14","30500000")</f>
        <v>30500000</v>
      </c>
      <c r="G1656" s="4" t="str">
        <f>HYPERLINK("http://141.218.60.56/~jnz1568/getInfo.php?workbook=14_09.xlsx&amp;sheet=A0&amp;row=1656&amp;col=7&amp;number=0&amp;sourceID=14","0")</f>
        <v>0</v>
      </c>
    </row>
    <row r="1657" spans="1:7">
      <c r="A1657" s="3">
        <v>14</v>
      </c>
      <c r="B1657" s="3">
        <v>9</v>
      </c>
      <c r="C1657" s="3">
        <v>99</v>
      </c>
      <c r="D1657" s="3">
        <v>30</v>
      </c>
      <c r="E1657" s="3">
        <v>-413.321</v>
      </c>
      <c r="F1657" s="4" t="str">
        <f>HYPERLINK("http://141.218.60.56/~jnz1568/getInfo.php?workbook=14_09.xlsx&amp;sheet=A0&amp;row=1657&amp;col=6&amp;number=470000000&amp;sourceID=14","470000000")</f>
        <v>470000000</v>
      </c>
      <c r="G1657" s="4" t="str">
        <f>HYPERLINK("http://141.218.60.56/~jnz1568/getInfo.php?workbook=14_09.xlsx&amp;sheet=A0&amp;row=1657&amp;col=7&amp;number=0&amp;sourceID=14","0")</f>
        <v>0</v>
      </c>
    </row>
    <row r="1658" spans="1:7">
      <c r="A1658" s="3">
        <v>14</v>
      </c>
      <c r="B1658" s="3">
        <v>9</v>
      </c>
      <c r="C1658" s="3">
        <v>100</v>
      </c>
      <c r="D1658" s="3">
        <v>30</v>
      </c>
      <c r="E1658" s="3">
        <v>-412.09</v>
      </c>
      <c r="F1658" s="4" t="str">
        <f>HYPERLINK("http://141.218.60.56/~jnz1568/getInfo.php?workbook=14_09.xlsx&amp;sheet=A0&amp;row=1658&amp;col=6&amp;number=505000000&amp;sourceID=14","505000000")</f>
        <v>505000000</v>
      </c>
      <c r="G1658" s="4" t="str">
        <f>HYPERLINK("http://141.218.60.56/~jnz1568/getInfo.php?workbook=14_09.xlsx&amp;sheet=A0&amp;row=1658&amp;col=7&amp;number=0&amp;sourceID=14","0")</f>
        <v>0</v>
      </c>
    </row>
    <row r="1659" spans="1:7">
      <c r="A1659" s="3">
        <v>14</v>
      </c>
      <c r="B1659" s="3">
        <v>9</v>
      </c>
      <c r="C1659" s="3">
        <v>101</v>
      </c>
      <c r="D1659" s="3">
        <v>30</v>
      </c>
      <c r="E1659" s="3">
        <v>-411.844</v>
      </c>
      <c r="F1659" s="4" t="str">
        <f>HYPERLINK("http://141.218.60.56/~jnz1568/getInfo.php?workbook=14_09.xlsx&amp;sheet=A0&amp;row=1659&amp;col=6&amp;number=56700&amp;sourceID=14","56700")</f>
        <v>56700</v>
      </c>
      <c r="G1659" s="4" t="str">
        <f>HYPERLINK("http://141.218.60.56/~jnz1568/getInfo.php?workbook=14_09.xlsx&amp;sheet=A0&amp;row=1659&amp;col=7&amp;number=0&amp;sourceID=14","0")</f>
        <v>0</v>
      </c>
    </row>
    <row r="1660" spans="1:7">
      <c r="A1660" s="3">
        <v>14</v>
      </c>
      <c r="B1660" s="3">
        <v>9</v>
      </c>
      <c r="C1660" s="3">
        <v>110</v>
      </c>
      <c r="D1660" s="3">
        <v>30</v>
      </c>
      <c r="E1660" s="3">
        <v>-406.455</v>
      </c>
      <c r="F1660" s="4" t="str">
        <f>HYPERLINK("http://141.218.60.56/~jnz1568/getInfo.php?workbook=14_09.xlsx&amp;sheet=A0&amp;row=1660&amp;col=6&amp;number=1790000000&amp;sourceID=14","1790000000")</f>
        <v>1790000000</v>
      </c>
      <c r="G1660" s="4" t="str">
        <f>HYPERLINK("http://141.218.60.56/~jnz1568/getInfo.php?workbook=14_09.xlsx&amp;sheet=A0&amp;row=1660&amp;col=7&amp;number=0&amp;sourceID=14","0")</f>
        <v>0</v>
      </c>
    </row>
    <row r="1661" spans="1:7">
      <c r="A1661" s="3">
        <v>14</v>
      </c>
      <c r="B1661" s="3">
        <v>9</v>
      </c>
      <c r="C1661" s="3">
        <v>127</v>
      </c>
      <c r="D1661" s="3">
        <v>30</v>
      </c>
      <c r="E1661" s="3">
        <v>-358.623</v>
      </c>
      <c r="F1661" s="4" t="str">
        <f>HYPERLINK("http://141.218.60.56/~jnz1568/getInfo.php?workbook=14_09.xlsx&amp;sheet=A0&amp;row=1661&amp;col=6&amp;number=477000000&amp;sourceID=14","477000000")</f>
        <v>477000000</v>
      </c>
      <c r="G1661" s="4" t="str">
        <f>HYPERLINK("http://141.218.60.56/~jnz1568/getInfo.php?workbook=14_09.xlsx&amp;sheet=A0&amp;row=1661&amp;col=7&amp;number=0&amp;sourceID=14","0")</f>
        <v>0</v>
      </c>
    </row>
    <row r="1662" spans="1:7">
      <c r="A1662" s="3">
        <v>14</v>
      </c>
      <c r="B1662" s="3">
        <v>9</v>
      </c>
      <c r="C1662" s="3">
        <v>132</v>
      </c>
      <c r="D1662" s="3">
        <v>30</v>
      </c>
      <c r="E1662" s="3">
        <v>-350.628</v>
      </c>
      <c r="F1662" s="4" t="str">
        <f>HYPERLINK("http://141.218.60.56/~jnz1568/getInfo.php?workbook=14_09.xlsx&amp;sheet=A0&amp;row=1662&amp;col=6&amp;number=805000000&amp;sourceID=14","805000000")</f>
        <v>805000000</v>
      </c>
      <c r="G1662" s="4" t="str">
        <f>HYPERLINK("http://141.218.60.56/~jnz1568/getInfo.php?workbook=14_09.xlsx&amp;sheet=A0&amp;row=1662&amp;col=7&amp;number=0&amp;sourceID=14","0")</f>
        <v>0</v>
      </c>
    </row>
    <row r="1663" spans="1:7">
      <c r="A1663" s="3">
        <v>14</v>
      </c>
      <c r="B1663" s="3">
        <v>9</v>
      </c>
      <c r="C1663" s="3">
        <v>134</v>
      </c>
      <c r="D1663" s="3">
        <v>30</v>
      </c>
      <c r="E1663" s="3">
        <v>-349.883</v>
      </c>
      <c r="F1663" s="4" t="str">
        <f>HYPERLINK("http://141.218.60.56/~jnz1568/getInfo.php?workbook=14_09.xlsx&amp;sheet=A0&amp;row=1663&amp;col=6&amp;number=2490000000&amp;sourceID=14","2490000000")</f>
        <v>2490000000</v>
      </c>
      <c r="G1663" s="4" t="str">
        <f>HYPERLINK("http://141.218.60.56/~jnz1568/getInfo.php?workbook=14_09.xlsx&amp;sheet=A0&amp;row=1663&amp;col=7&amp;number=0&amp;sourceID=14","0")</f>
        <v>0</v>
      </c>
    </row>
    <row r="1664" spans="1:7">
      <c r="A1664" s="3">
        <v>14</v>
      </c>
      <c r="B1664" s="3">
        <v>9</v>
      </c>
      <c r="C1664" s="3">
        <v>136</v>
      </c>
      <c r="D1664" s="3">
        <v>30</v>
      </c>
      <c r="E1664" s="3">
        <v>-349.131</v>
      </c>
      <c r="F1664" s="4" t="str">
        <f>HYPERLINK("http://141.218.60.56/~jnz1568/getInfo.php?workbook=14_09.xlsx&amp;sheet=A0&amp;row=1664&amp;col=6&amp;number=1960000000&amp;sourceID=14","1960000000")</f>
        <v>1960000000</v>
      </c>
      <c r="G1664" s="4" t="str">
        <f>HYPERLINK("http://141.218.60.56/~jnz1568/getInfo.php?workbook=14_09.xlsx&amp;sheet=A0&amp;row=1664&amp;col=7&amp;number=0&amp;sourceID=14","0")</f>
        <v>0</v>
      </c>
    </row>
    <row r="1665" spans="1:7">
      <c r="A1665" s="3">
        <v>14</v>
      </c>
      <c r="B1665" s="3">
        <v>9</v>
      </c>
      <c r="C1665" s="3">
        <v>137</v>
      </c>
      <c r="D1665" s="3">
        <v>30</v>
      </c>
      <c r="E1665" s="3">
        <v>-348.062</v>
      </c>
      <c r="F1665" s="4" t="str">
        <f>HYPERLINK("http://141.218.60.56/~jnz1568/getInfo.php?workbook=14_09.xlsx&amp;sheet=A0&amp;row=1665&amp;col=6&amp;number=1800000000&amp;sourceID=14","1800000000")</f>
        <v>1800000000</v>
      </c>
      <c r="G1665" s="4" t="str">
        <f>HYPERLINK("http://141.218.60.56/~jnz1568/getInfo.php?workbook=14_09.xlsx&amp;sheet=A0&amp;row=1665&amp;col=7&amp;number=0&amp;sourceID=14","0")</f>
        <v>0</v>
      </c>
    </row>
    <row r="1666" spans="1:7">
      <c r="A1666" s="3">
        <v>14</v>
      </c>
      <c r="B1666" s="3">
        <v>9</v>
      </c>
      <c r="C1666" s="3">
        <v>139</v>
      </c>
      <c r="D1666" s="3">
        <v>30</v>
      </c>
      <c r="E1666" s="3">
        <v>-342.741</v>
      </c>
      <c r="F1666" s="4" t="str">
        <f>HYPERLINK("http://141.218.60.56/~jnz1568/getInfo.php?workbook=14_09.xlsx&amp;sheet=A0&amp;row=1666&amp;col=6&amp;number=267000&amp;sourceID=14","267000")</f>
        <v>267000</v>
      </c>
      <c r="G1666" s="4" t="str">
        <f>HYPERLINK("http://141.218.60.56/~jnz1568/getInfo.php?workbook=14_09.xlsx&amp;sheet=A0&amp;row=1666&amp;col=7&amp;number=0&amp;sourceID=14","0")</f>
        <v>0</v>
      </c>
    </row>
    <row r="1667" spans="1:7">
      <c r="A1667" s="3">
        <v>14</v>
      </c>
      <c r="B1667" s="3">
        <v>9</v>
      </c>
      <c r="C1667" s="3">
        <v>142</v>
      </c>
      <c r="D1667" s="3">
        <v>30</v>
      </c>
      <c r="E1667" s="3">
        <v>-341.128</v>
      </c>
      <c r="F1667" s="4" t="str">
        <f>HYPERLINK("http://141.218.60.56/~jnz1568/getInfo.php?workbook=14_09.xlsx&amp;sheet=A0&amp;row=1667&amp;col=6&amp;number=190000&amp;sourceID=14","190000")</f>
        <v>190000</v>
      </c>
      <c r="G1667" s="4" t="str">
        <f>HYPERLINK("http://141.218.60.56/~jnz1568/getInfo.php?workbook=14_09.xlsx&amp;sheet=A0&amp;row=1667&amp;col=7&amp;number=0&amp;sourceID=14","0")</f>
        <v>0</v>
      </c>
    </row>
    <row r="1668" spans="1:7">
      <c r="A1668" s="3">
        <v>14</v>
      </c>
      <c r="B1668" s="3">
        <v>9</v>
      </c>
      <c r="C1668" s="3">
        <v>148</v>
      </c>
      <c r="D1668" s="3">
        <v>30</v>
      </c>
      <c r="E1668" s="3">
        <v>-339.241</v>
      </c>
      <c r="F1668" s="4" t="str">
        <f>HYPERLINK("http://141.218.60.56/~jnz1568/getInfo.php?workbook=14_09.xlsx&amp;sheet=A0&amp;row=1668&amp;col=6&amp;number=3250000&amp;sourceID=14","3250000")</f>
        <v>3250000</v>
      </c>
      <c r="G1668" s="4" t="str">
        <f>HYPERLINK("http://141.218.60.56/~jnz1568/getInfo.php?workbook=14_09.xlsx&amp;sheet=A0&amp;row=1668&amp;col=7&amp;number=0&amp;sourceID=14","0")</f>
        <v>0</v>
      </c>
    </row>
    <row r="1669" spans="1:7">
      <c r="A1669" s="3">
        <v>14</v>
      </c>
      <c r="B1669" s="3">
        <v>9</v>
      </c>
      <c r="C1669" s="3">
        <v>151</v>
      </c>
      <c r="D1669" s="3">
        <v>30</v>
      </c>
      <c r="E1669" s="3">
        <v>-338.015</v>
      </c>
      <c r="F1669" s="4" t="str">
        <f>HYPERLINK("http://141.218.60.56/~jnz1568/getInfo.php?workbook=14_09.xlsx&amp;sheet=A0&amp;row=1669&amp;col=6&amp;number=3230000&amp;sourceID=14","3230000")</f>
        <v>3230000</v>
      </c>
      <c r="G1669" s="4" t="str">
        <f>HYPERLINK("http://141.218.60.56/~jnz1568/getInfo.php?workbook=14_09.xlsx&amp;sheet=A0&amp;row=1669&amp;col=7&amp;number=0&amp;sourceID=14","0")</f>
        <v>0</v>
      </c>
    </row>
    <row r="1670" spans="1:7">
      <c r="A1670" s="3">
        <v>14</v>
      </c>
      <c r="B1670" s="3">
        <v>9</v>
      </c>
      <c r="C1670" s="3">
        <v>154</v>
      </c>
      <c r="D1670" s="3">
        <v>30</v>
      </c>
      <c r="E1670" s="3">
        <v>-328.953</v>
      </c>
      <c r="F1670" s="4" t="str">
        <f>HYPERLINK("http://141.218.60.56/~jnz1568/getInfo.php?workbook=14_09.xlsx&amp;sheet=A0&amp;row=1670&amp;col=6&amp;number=28300000&amp;sourceID=14","28300000")</f>
        <v>28300000</v>
      </c>
      <c r="G1670" s="4" t="str">
        <f>HYPERLINK("http://141.218.60.56/~jnz1568/getInfo.php?workbook=14_09.xlsx&amp;sheet=A0&amp;row=1670&amp;col=7&amp;number=0&amp;sourceID=14","0")</f>
        <v>0</v>
      </c>
    </row>
    <row r="1671" spans="1:7">
      <c r="A1671" s="3">
        <v>14</v>
      </c>
      <c r="B1671" s="3">
        <v>9</v>
      </c>
      <c r="C1671" s="3">
        <v>155</v>
      </c>
      <c r="D1671" s="3">
        <v>30</v>
      </c>
      <c r="E1671" s="3">
        <v>-328.244</v>
      </c>
      <c r="F1671" s="4" t="str">
        <f>HYPERLINK("http://141.218.60.56/~jnz1568/getInfo.php?workbook=14_09.xlsx&amp;sheet=A0&amp;row=1671&amp;col=6&amp;number=22400000&amp;sourceID=14","22400000")</f>
        <v>22400000</v>
      </c>
      <c r="G1671" s="4" t="str">
        <f>HYPERLINK("http://141.218.60.56/~jnz1568/getInfo.php?workbook=14_09.xlsx&amp;sheet=A0&amp;row=1671&amp;col=7&amp;number=0&amp;sourceID=14","0")</f>
        <v>0</v>
      </c>
    </row>
    <row r="1672" spans="1:7">
      <c r="A1672" s="3">
        <v>14</v>
      </c>
      <c r="B1672" s="3">
        <v>9</v>
      </c>
      <c r="C1672" s="3">
        <v>156</v>
      </c>
      <c r="D1672" s="3">
        <v>30</v>
      </c>
      <c r="E1672" s="3">
        <v>-327.252</v>
      </c>
      <c r="F1672" s="4" t="str">
        <f>HYPERLINK("http://141.218.60.56/~jnz1568/getInfo.php?workbook=14_09.xlsx&amp;sheet=A0&amp;row=1672&amp;col=6&amp;number=338000000&amp;sourceID=14","338000000")</f>
        <v>338000000</v>
      </c>
      <c r="G1672" s="4" t="str">
        <f>HYPERLINK("http://141.218.60.56/~jnz1568/getInfo.php?workbook=14_09.xlsx&amp;sheet=A0&amp;row=1672&amp;col=7&amp;number=0&amp;sourceID=14","0")</f>
        <v>0</v>
      </c>
    </row>
    <row r="1673" spans="1:7">
      <c r="A1673" s="3">
        <v>14</v>
      </c>
      <c r="B1673" s="3">
        <v>9</v>
      </c>
      <c r="C1673" s="3">
        <v>157</v>
      </c>
      <c r="D1673" s="3">
        <v>30</v>
      </c>
      <c r="E1673" s="3">
        <v>-324.536</v>
      </c>
      <c r="F1673" s="4" t="str">
        <f>HYPERLINK("http://141.218.60.56/~jnz1568/getInfo.php?workbook=14_09.xlsx&amp;sheet=A0&amp;row=1673&amp;col=6&amp;number=1320000000&amp;sourceID=14","1320000000")</f>
        <v>1320000000</v>
      </c>
      <c r="G1673" s="4" t="str">
        <f>HYPERLINK("http://141.218.60.56/~jnz1568/getInfo.php?workbook=14_09.xlsx&amp;sheet=A0&amp;row=1673&amp;col=7&amp;number=0&amp;sourceID=14","0")</f>
        <v>0</v>
      </c>
    </row>
    <row r="1674" spans="1:7">
      <c r="A1674" s="3">
        <v>14</v>
      </c>
      <c r="B1674" s="3">
        <v>9</v>
      </c>
      <c r="C1674" s="3">
        <v>158</v>
      </c>
      <c r="D1674" s="3">
        <v>30</v>
      </c>
      <c r="E1674" s="3">
        <v>-323.975</v>
      </c>
      <c r="F1674" s="4" t="str">
        <f>HYPERLINK("http://141.218.60.56/~jnz1568/getInfo.php?workbook=14_09.xlsx&amp;sheet=A0&amp;row=1674&amp;col=6&amp;number=1090000000&amp;sourceID=14","1090000000")</f>
        <v>1090000000</v>
      </c>
      <c r="G1674" s="4" t="str">
        <f>HYPERLINK("http://141.218.60.56/~jnz1568/getInfo.php?workbook=14_09.xlsx&amp;sheet=A0&amp;row=1674&amp;col=7&amp;number=0&amp;sourceID=14","0")</f>
        <v>0</v>
      </c>
    </row>
    <row r="1675" spans="1:7">
      <c r="A1675" s="3">
        <v>14</v>
      </c>
      <c r="B1675" s="3">
        <v>9</v>
      </c>
      <c r="C1675" s="3">
        <v>161</v>
      </c>
      <c r="D1675" s="3">
        <v>30</v>
      </c>
      <c r="E1675" s="3">
        <v>-289.749</v>
      </c>
      <c r="F1675" s="4" t="str">
        <f>HYPERLINK("http://141.218.60.56/~jnz1568/getInfo.php?workbook=14_09.xlsx&amp;sheet=A0&amp;row=1675&amp;col=6&amp;number=37300000&amp;sourceID=14","37300000")</f>
        <v>37300000</v>
      </c>
      <c r="G1675" s="4" t="str">
        <f>HYPERLINK("http://141.218.60.56/~jnz1568/getInfo.php?workbook=14_09.xlsx&amp;sheet=A0&amp;row=1675&amp;col=7&amp;number=0&amp;sourceID=14","0")</f>
        <v>0</v>
      </c>
    </row>
    <row r="1676" spans="1:7">
      <c r="A1676" s="3">
        <v>14</v>
      </c>
      <c r="B1676" s="3">
        <v>9</v>
      </c>
      <c r="C1676" s="3">
        <v>163</v>
      </c>
      <c r="D1676" s="3">
        <v>30</v>
      </c>
      <c r="E1676" s="3">
        <v>-283.119</v>
      </c>
      <c r="F1676" s="4" t="str">
        <f>HYPERLINK("http://141.218.60.56/~jnz1568/getInfo.php?workbook=14_09.xlsx&amp;sheet=A0&amp;row=1676&amp;col=6&amp;number=4550000&amp;sourceID=14","4550000")</f>
        <v>4550000</v>
      </c>
      <c r="G1676" s="4" t="str">
        <f>HYPERLINK("http://141.218.60.56/~jnz1568/getInfo.php?workbook=14_09.xlsx&amp;sheet=A0&amp;row=1676&amp;col=7&amp;number=0&amp;sourceID=14","0")</f>
        <v>0</v>
      </c>
    </row>
    <row r="1677" spans="1:7">
      <c r="A1677" s="3">
        <v>14</v>
      </c>
      <c r="B1677" s="3">
        <v>9</v>
      </c>
      <c r="C1677" s="3">
        <v>185</v>
      </c>
      <c r="D1677" s="3">
        <v>30</v>
      </c>
      <c r="E1677" s="3">
        <v>-221.752</v>
      </c>
      <c r="F1677" s="4" t="str">
        <f>HYPERLINK("http://141.218.60.56/~jnz1568/getInfo.php?workbook=14_09.xlsx&amp;sheet=A0&amp;row=1677&amp;col=6&amp;number=9000000&amp;sourceID=14","9000000")</f>
        <v>9000000</v>
      </c>
      <c r="G1677" s="4" t="str">
        <f>HYPERLINK("http://141.218.60.56/~jnz1568/getInfo.php?workbook=14_09.xlsx&amp;sheet=A0&amp;row=1677&amp;col=7&amp;number=0&amp;sourceID=14","0")</f>
        <v>0</v>
      </c>
    </row>
    <row r="1678" spans="1:7">
      <c r="A1678" s="3">
        <v>14</v>
      </c>
      <c r="B1678" s="3">
        <v>9</v>
      </c>
      <c r="C1678" s="3">
        <v>187</v>
      </c>
      <c r="D1678" s="3">
        <v>30</v>
      </c>
      <c r="E1678" s="3">
        <v>-219.063</v>
      </c>
      <c r="F1678" s="4" t="str">
        <f>HYPERLINK("http://141.218.60.56/~jnz1568/getInfo.php?workbook=14_09.xlsx&amp;sheet=A0&amp;row=1678&amp;col=6&amp;number=8140000000&amp;sourceID=14","8140000000")</f>
        <v>8140000000</v>
      </c>
      <c r="G1678" s="4" t="str">
        <f>HYPERLINK("http://141.218.60.56/~jnz1568/getInfo.php?workbook=14_09.xlsx&amp;sheet=A0&amp;row=1678&amp;col=7&amp;number=0&amp;sourceID=14","0")</f>
        <v>0</v>
      </c>
    </row>
    <row r="1679" spans="1:7">
      <c r="A1679" s="3">
        <v>14</v>
      </c>
      <c r="B1679" s="3">
        <v>9</v>
      </c>
      <c r="C1679" s="3">
        <v>188</v>
      </c>
      <c r="D1679" s="3">
        <v>30</v>
      </c>
      <c r="E1679" s="3">
        <v>-218.912</v>
      </c>
      <c r="F1679" s="4" t="str">
        <f>HYPERLINK("http://141.218.60.56/~jnz1568/getInfo.php?workbook=14_09.xlsx&amp;sheet=A0&amp;row=1679&amp;col=6&amp;number=2070000000&amp;sourceID=14","2070000000")</f>
        <v>2070000000</v>
      </c>
      <c r="G1679" s="4" t="str">
        <f>HYPERLINK("http://141.218.60.56/~jnz1568/getInfo.php?workbook=14_09.xlsx&amp;sheet=A0&amp;row=1679&amp;col=7&amp;number=0&amp;sourceID=14","0")</f>
        <v>0</v>
      </c>
    </row>
    <row r="1680" spans="1:7">
      <c r="A1680" s="3">
        <v>14</v>
      </c>
      <c r="B1680" s="3">
        <v>9</v>
      </c>
      <c r="C1680" s="3">
        <v>189</v>
      </c>
      <c r="D1680" s="3">
        <v>30</v>
      </c>
      <c r="E1680" s="3">
        <v>-212.656</v>
      </c>
      <c r="F1680" s="4" t="str">
        <f>HYPERLINK("http://141.218.60.56/~jnz1568/getInfo.php?workbook=14_09.xlsx&amp;sheet=A0&amp;row=1680&amp;col=6&amp;number=12500000000&amp;sourceID=14","12500000000")</f>
        <v>12500000000</v>
      </c>
      <c r="G1680" s="4" t="str">
        <f>HYPERLINK("http://141.218.60.56/~jnz1568/getInfo.php?workbook=14_09.xlsx&amp;sheet=A0&amp;row=1680&amp;col=7&amp;number=0&amp;sourceID=14","0")</f>
        <v>0</v>
      </c>
    </row>
    <row r="1681" spans="1:7">
      <c r="A1681" s="3">
        <v>14</v>
      </c>
      <c r="B1681" s="3">
        <v>9</v>
      </c>
      <c r="C1681" s="3">
        <v>66</v>
      </c>
      <c r="D1681" s="3">
        <v>31</v>
      </c>
      <c r="E1681" s="3">
        <v>-598.327</v>
      </c>
      <c r="F1681" s="4" t="str">
        <f>HYPERLINK("http://141.218.60.56/~jnz1568/getInfo.php?workbook=14_09.xlsx&amp;sheet=A0&amp;row=1681&amp;col=6&amp;number=948000000&amp;sourceID=14","948000000")</f>
        <v>948000000</v>
      </c>
      <c r="G1681" s="4" t="str">
        <f>HYPERLINK("http://141.218.60.56/~jnz1568/getInfo.php?workbook=14_09.xlsx&amp;sheet=A0&amp;row=1681&amp;col=7&amp;number=0&amp;sourceID=14","0")</f>
        <v>0</v>
      </c>
    </row>
    <row r="1682" spans="1:7">
      <c r="A1682" s="3">
        <v>14</v>
      </c>
      <c r="B1682" s="3">
        <v>9</v>
      </c>
      <c r="C1682" s="3">
        <v>69</v>
      </c>
      <c r="D1682" s="3">
        <v>31</v>
      </c>
      <c r="E1682" s="3">
        <v>-573.748</v>
      </c>
      <c r="F1682" s="4" t="str">
        <f>HYPERLINK("http://141.218.60.56/~jnz1568/getInfo.php?workbook=14_09.xlsx&amp;sheet=A0&amp;row=1682&amp;col=6&amp;number=322000000&amp;sourceID=14","322000000")</f>
        <v>322000000</v>
      </c>
      <c r="G1682" s="4" t="str">
        <f>HYPERLINK("http://141.218.60.56/~jnz1568/getInfo.php?workbook=14_09.xlsx&amp;sheet=A0&amp;row=1682&amp;col=7&amp;number=0&amp;sourceID=14","0")</f>
        <v>0</v>
      </c>
    </row>
    <row r="1683" spans="1:7">
      <c r="A1683" s="3">
        <v>14</v>
      </c>
      <c r="B1683" s="3">
        <v>9</v>
      </c>
      <c r="C1683" s="3">
        <v>70</v>
      </c>
      <c r="D1683" s="3">
        <v>31</v>
      </c>
      <c r="E1683" s="3">
        <v>-569.617</v>
      </c>
      <c r="F1683" s="4" t="str">
        <f>HYPERLINK("http://141.218.60.56/~jnz1568/getInfo.php?workbook=14_09.xlsx&amp;sheet=A0&amp;row=1683&amp;col=6&amp;number=25900000&amp;sourceID=14","25900000")</f>
        <v>25900000</v>
      </c>
      <c r="G1683" s="4" t="str">
        <f>HYPERLINK("http://141.218.60.56/~jnz1568/getInfo.php?workbook=14_09.xlsx&amp;sheet=A0&amp;row=1683&amp;col=7&amp;number=0&amp;sourceID=14","0")</f>
        <v>0</v>
      </c>
    </row>
    <row r="1684" spans="1:7">
      <c r="A1684" s="3">
        <v>14</v>
      </c>
      <c r="B1684" s="3">
        <v>9</v>
      </c>
      <c r="C1684" s="3">
        <v>72</v>
      </c>
      <c r="D1684" s="3">
        <v>31</v>
      </c>
      <c r="E1684" s="3">
        <v>-560.52</v>
      </c>
      <c r="F1684" s="4" t="str">
        <f>HYPERLINK("http://141.218.60.56/~jnz1568/getInfo.php?workbook=14_09.xlsx&amp;sheet=A0&amp;row=1684&amp;col=6&amp;number=4930000&amp;sourceID=14","4930000")</f>
        <v>4930000</v>
      </c>
      <c r="G1684" s="4" t="str">
        <f>HYPERLINK("http://141.218.60.56/~jnz1568/getInfo.php?workbook=14_09.xlsx&amp;sheet=A0&amp;row=1684&amp;col=7&amp;number=0&amp;sourceID=14","0")</f>
        <v>0</v>
      </c>
    </row>
    <row r="1685" spans="1:7">
      <c r="A1685" s="3">
        <v>14</v>
      </c>
      <c r="B1685" s="3">
        <v>9</v>
      </c>
      <c r="C1685" s="3">
        <v>81</v>
      </c>
      <c r="D1685" s="3">
        <v>31</v>
      </c>
      <c r="E1685" s="3">
        <v>-519.479</v>
      </c>
      <c r="F1685" s="4" t="str">
        <f>HYPERLINK("http://141.218.60.56/~jnz1568/getInfo.php?workbook=14_09.xlsx&amp;sheet=A0&amp;row=1685&amp;col=6&amp;number=349000000&amp;sourceID=14","349000000")</f>
        <v>349000000</v>
      </c>
      <c r="G1685" s="4" t="str">
        <f>HYPERLINK("http://141.218.60.56/~jnz1568/getInfo.php?workbook=14_09.xlsx&amp;sheet=A0&amp;row=1685&amp;col=7&amp;number=0&amp;sourceID=14","0")</f>
        <v>0</v>
      </c>
    </row>
    <row r="1686" spans="1:7">
      <c r="A1686" s="3">
        <v>14</v>
      </c>
      <c r="B1686" s="3">
        <v>9</v>
      </c>
      <c r="C1686" s="3">
        <v>101</v>
      </c>
      <c r="D1686" s="3">
        <v>31</v>
      </c>
      <c r="E1686" s="3">
        <v>-450.386</v>
      </c>
      <c r="F1686" s="4" t="str">
        <f>HYPERLINK("http://141.218.60.56/~jnz1568/getInfo.php?workbook=14_09.xlsx&amp;sheet=A0&amp;row=1686&amp;col=6&amp;number=57400&amp;sourceID=14","57400")</f>
        <v>57400</v>
      </c>
      <c r="G1686" s="4" t="str">
        <f>HYPERLINK("http://141.218.60.56/~jnz1568/getInfo.php?workbook=14_09.xlsx&amp;sheet=A0&amp;row=1686&amp;col=7&amp;number=0&amp;sourceID=14","0")</f>
        <v>0</v>
      </c>
    </row>
    <row r="1687" spans="1:7">
      <c r="A1687" s="3">
        <v>14</v>
      </c>
      <c r="B1687" s="3">
        <v>9</v>
      </c>
      <c r="C1687" s="3">
        <v>102</v>
      </c>
      <c r="D1687" s="3">
        <v>31</v>
      </c>
      <c r="E1687" s="3">
        <v>-449.955</v>
      </c>
      <c r="F1687" s="4" t="str">
        <f>HYPERLINK("http://141.218.60.56/~jnz1568/getInfo.php?workbook=14_09.xlsx&amp;sheet=A0&amp;row=1687&amp;col=6&amp;number=290000&amp;sourceID=14","290000")</f>
        <v>290000</v>
      </c>
      <c r="G1687" s="4" t="str">
        <f>HYPERLINK("http://141.218.60.56/~jnz1568/getInfo.php?workbook=14_09.xlsx&amp;sheet=A0&amp;row=1687&amp;col=7&amp;number=0&amp;sourceID=14","0")</f>
        <v>0</v>
      </c>
    </row>
    <row r="1688" spans="1:7">
      <c r="A1688" s="3">
        <v>14</v>
      </c>
      <c r="B1688" s="3">
        <v>9</v>
      </c>
      <c r="C1688" s="3">
        <v>104</v>
      </c>
      <c r="D1688" s="3">
        <v>31</v>
      </c>
      <c r="E1688" s="3">
        <v>-446.786</v>
      </c>
      <c r="F1688" s="4" t="str">
        <f>HYPERLINK("http://141.218.60.56/~jnz1568/getInfo.php?workbook=14_09.xlsx&amp;sheet=A0&amp;row=1688&amp;col=6&amp;number=15600000000&amp;sourceID=14","15600000000")</f>
        <v>15600000000</v>
      </c>
      <c r="G1688" s="4" t="str">
        <f>HYPERLINK("http://141.218.60.56/~jnz1568/getInfo.php?workbook=14_09.xlsx&amp;sheet=A0&amp;row=1688&amp;col=7&amp;number=0&amp;sourceID=14","0")</f>
        <v>0</v>
      </c>
    </row>
    <row r="1689" spans="1:7">
      <c r="A1689" s="3">
        <v>14</v>
      </c>
      <c r="B1689" s="3">
        <v>9</v>
      </c>
      <c r="C1689" s="3">
        <v>105</v>
      </c>
      <c r="D1689" s="3">
        <v>31</v>
      </c>
      <c r="E1689" s="3">
        <v>-446.728</v>
      </c>
      <c r="F1689" s="4" t="str">
        <f>HYPERLINK("http://141.218.60.56/~jnz1568/getInfo.php?workbook=14_09.xlsx&amp;sheet=A0&amp;row=1689&amp;col=6&amp;number=4470000000&amp;sourceID=14","4470000000")</f>
        <v>4470000000</v>
      </c>
      <c r="G1689" s="4" t="str">
        <f>HYPERLINK("http://141.218.60.56/~jnz1568/getInfo.php?workbook=14_09.xlsx&amp;sheet=A0&amp;row=1689&amp;col=7&amp;number=0&amp;sourceID=14","0")</f>
        <v>0</v>
      </c>
    </row>
    <row r="1690" spans="1:7">
      <c r="A1690" s="3">
        <v>14</v>
      </c>
      <c r="B1690" s="3">
        <v>9</v>
      </c>
      <c r="C1690" s="3">
        <v>106</v>
      </c>
      <c r="D1690" s="3">
        <v>31</v>
      </c>
      <c r="E1690" s="3">
        <v>-446.435</v>
      </c>
      <c r="F1690" s="4" t="str">
        <f>HYPERLINK("http://141.218.60.56/~jnz1568/getInfo.php?workbook=14_09.xlsx&amp;sheet=A0&amp;row=1690&amp;col=6&amp;number=456000000&amp;sourceID=14","456000000")</f>
        <v>456000000</v>
      </c>
      <c r="G1690" s="4" t="str">
        <f>HYPERLINK("http://141.218.60.56/~jnz1568/getInfo.php?workbook=14_09.xlsx&amp;sheet=A0&amp;row=1690&amp;col=7&amp;number=0&amp;sourceID=14","0")</f>
        <v>0</v>
      </c>
    </row>
    <row r="1691" spans="1:7">
      <c r="A1691" s="3">
        <v>14</v>
      </c>
      <c r="B1691" s="3">
        <v>9</v>
      </c>
      <c r="C1691" s="3">
        <v>107</v>
      </c>
      <c r="D1691" s="3">
        <v>31</v>
      </c>
      <c r="E1691" s="3">
        <v>-445.872</v>
      </c>
      <c r="F1691" s="4" t="str">
        <f>HYPERLINK("http://141.218.60.56/~jnz1568/getInfo.php?workbook=14_09.xlsx&amp;sheet=A0&amp;row=1691&amp;col=6&amp;number=292000000&amp;sourceID=14","292000000")</f>
        <v>292000000</v>
      </c>
      <c r="G1691" s="4" t="str">
        <f>HYPERLINK("http://141.218.60.56/~jnz1568/getInfo.php?workbook=14_09.xlsx&amp;sheet=A0&amp;row=1691&amp;col=7&amp;number=0&amp;sourceID=14","0")</f>
        <v>0</v>
      </c>
    </row>
    <row r="1692" spans="1:7">
      <c r="A1692" s="3">
        <v>14</v>
      </c>
      <c r="B1692" s="3">
        <v>9</v>
      </c>
      <c r="C1692" s="3">
        <v>109</v>
      </c>
      <c r="D1692" s="3">
        <v>31</v>
      </c>
      <c r="E1692" s="3">
        <v>-445.08</v>
      </c>
      <c r="F1692" s="4" t="str">
        <f>HYPERLINK("http://141.218.60.56/~jnz1568/getInfo.php?workbook=14_09.xlsx&amp;sheet=A0&amp;row=1692&amp;col=6&amp;number=276000000&amp;sourceID=14","276000000")</f>
        <v>276000000</v>
      </c>
      <c r="G1692" s="4" t="str">
        <f>HYPERLINK("http://141.218.60.56/~jnz1568/getInfo.php?workbook=14_09.xlsx&amp;sheet=A0&amp;row=1692&amp;col=7&amp;number=0&amp;sourceID=14","0")</f>
        <v>0</v>
      </c>
    </row>
    <row r="1693" spans="1:7">
      <c r="A1693" s="3">
        <v>14</v>
      </c>
      <c r="B1693" s="3">
        <v>9</v>
      </c>
      <c r="C1693" s="3">
        <v>114</v>
      </c>
      <c r="D1693" s="3">
        <v>31</v>
      </c>
      <c r="E1693" s="3">
        <v>-443.698</v>
      </c>
      <c r="F1693" s="4" t="str">
        <f>HYPERLINK("http://141.218.60.56/~jnz1568/getInfo.php?workbook=14_09.xlsx&amp;sheet=A0&amp;row=1693&amp;col=6&amp;number=1280000&amp;sourceID=14","1280000")</f>
        <v>1280000</v>
      </c>
      <c r="G1693" s="4" t="str">
        <f>HYPERLINK("http://141.218.60.56/~jnz1568/getInfo.php?workbook=14_09.xlsx&amp;sheet=A0&amp;row=1693&amp;col=7&amp;number=0&amp;sourceID=14","0")</f>
        <v>0</v>
      </c>
    </row>
    <row r="1694" spans="1:7">
      <c r="A1694" s="3">
        <v>14</v>
      </c>
      <c r="B1694" s="3">
        <v>9</v>
      </c>
      <c r="C1694" s="3">
        <v>118</v>
      </c>
      <c r="D1694" s="3">
        <v>31</v>
      </c>
      <c r="E1694" s="3">
        <v>-437.988</v>
      </c>
      <c r="F1694" s="4" t="str">
        <f>HYPERLINK("http://141.218.60.56/~jnz1568/getInfo.php?workbook=14_09.xlsx&amp;sheet=A0&amp;row=1694&amp;col=6&amp;number=135000000&amp;sourceID=14","135000000")</f>
        <v>135000000</v>
      </c>
      <c r="G1694" s="4" t="str">
        <f>HYPERLINK("http://141.218.60.56/~jnz1568/getInfo.php?workbook=14_09.xlsx&amp;sheet=A0&amp;row=1694&amp;col=7&amp;number=0&amp;sourceID=14","0")</f>
        <v>0</v>
      </c>
    </row>
    <row r="1695" spans="1:7">
      <c r="A1695" s="3">
        <v>14</v>
      </c>
      <c r="B1695" s="3">
        <v>9</v>
      </c>
      <c r="C1695" s="3">
        <v>119</v>
      </c>
      <c r="D1695" s="3">
        <v>31</v>
      </c>
      <c r="E1695" s="3">
        <v>-437.251</v>
      </c>
      <c r="F1695" s="4" t="str">
        <f>HYPERLINK("http://141.218.60.56/~jnz1568/getInfo.php?workbook=14_09.xlsx&amp;sheet=A0&amp;row=1695&amp;col=6&amp;number=1390000000&amp;sourceID=14","1390000000")</f>
        <v>1390000000</v>
      </c>
      <c r="G1695" s="4" t="str">
        <f>HYPERLINK("http://141.218.60.56/~jnz1568/getInfo.php?workbook=14_09.xlsx&amp;sheet=A0&amp;row=1695&amp;col=7&amp;number=0&amp;sourceID=14","0")</f>
        <v>0</v>
      </c>
    </row>
    <row r="1696" spans="1:7">
      <c r="A1696" s="3">
        <v>14</v>
      </c>
      <c r="B1696" s="3">
        <v>9</v>
      </c>
      <c r="C1696" s="3">
        <v>120</v>
      </c>
      <c r="D1696" s="3">
        <v>31</v>
      </c>
      <c r="E1696" s="3">
        <v>-437.115</v>
      </c>
      <c r="F1696" s="4" t="str">
        <f>HYPERLINK("http://141.218.60.56/~jnz1568/getInfo.php?workbook=14_09.xlsx&amp;sheet=A0&amp;row=1696&amp;col=6&amp;number=39100000&amp;sourceID=14","39100000")</f>
        <v>39100000</v>
      </c>
      <c r="G1696" s="4" t="str">
        <f>HYPERLINK("http://141.218.60.56/~jnz1568/getInfo.php?workbook=14_09.xlsx&amp;sheet=A0&amp;row=1696&amp;col=7&amp;number=0&amp;sourceID=14","0")</f>
        <v>0</v>
      </c>
    </row>
    <row r="1697" spans="1:7">
      <c r="A1697" s="3">
        <v>14</v>
      </c>
      <c r="B1697" s="3">
        <v>9</v>
      </c>
      <c r="C1697" s="3">
        <v>121</v>
      </c>
      <c r="D1697" s="3">
        <v>31</v>
      </c>
      <c r="E1697" s="3">
        <v>-436.282</v>
      </c>
      <c r="F1697" s="4" t="str">
        <f>HYPERLINK("http://141.218.60.56/~jnz1568/getInfo.php?workbook=14_09.xlsx&amp;sheet=A0&amp;row=1697&amp;col=6&amp;number=710000000&amp;sourceID=14","710000000")</f>
        <v>710000000</v>
      </c>
      <c r="G1697" s="4" t="str">
        <f>HYPERLINK("http://141.218.60.56/~jnz1568/getInfo.php?workbook=14_09.xlsx&amp;sheet=A0&amp;row=1697&amp;col=7&amp;number=0&amp;sourceID=14","0")</f>
        <v>0</v>
      </c>
    </row>
    <row r="1698" spans="1:7">
      <c r="A1698" s="3">
        <v>14</v>
      </c>
      <c r="B1698" s="3">
        <v>9</v>
      </c>
      <c r="C1698" s="3">
        <v>122</v>
      </c>
      <c r="D1698" s="3">
        <v>31</v>
      </c>
      <c r="E1698" s="3">
        <v>-436.065</v>
      </c>
      <c r="F1698" s="4" t="str">
        <f>HYPERLINK("http://141.218.60.56/~jnz1568/getInfo.php?workbook=14_09.xlsx&amp;sheet=A0&amp;row=1698&amp;col=6&amp;number=21700000&amp;sourceID=14","21700000")</f>
        <v>21700000</v>
      </c>
      <c r="G1698" s="4" t="str">
        <f>HYPERLINK("http://141.218.60.56/~jnz1568/getInfo.php?workbook=14_09.xlsx&amp;sheet=A0&amp;row=1698&amp;col=7&amp;number=0&amp;sourceID=14","0")</f>
        <v>0</v>
      </c>
    </row>
    <row r="1699" spans="1:7">
      <c r="A1699" s="3">
        <v>14</v>
      </c>
      <c r="B1699" s="3">
        <v>9</v>
      </c>
      <c r="C1699" s="3">
        <v>123</v>
      </c>
      <c r="D1699" s="3">
        <v>31</v>
      </c>
      <c r="E1699" s="3">
        <v>-433.966</v>
      </c>
      <c r="F1699" s="4" t="str">
        <f>HYPERLINK("http://141.218.60.56/~jnz1568/getInfo.php?workbook=14_09.xlsx&amp;sheet=A0&amp;row=1699&amp;col=6&amp;number=44200000&amp;sourceID=14","44200000")</f>
        <v>44200000</v>
      </c>
      <c r="G1699" s="4" t="str">
        <f>HYPERLINK("http://141.218.60.56/~jnz1568/getInfo.php?workbook=14_09.xlsx&amp;sheet=A0&amp;row=1699&amp;col=7&amp;number=0&amp;sourceID=14","0")</f>
        <v>0</v>
      </c>
    </row>
    <row r="1700" spans="1:7">
      <c r="A1700" s="3">
        <v>14</v>
      </c>
      <c r="B1700" s="3">
        <v>9</v>
      </c>
      <c r="C1700" s="3">
        <v>124</v>
      </c>
      <c r="D1700" s="3">
        <v>31</v>
      </c>
      <c r="E1700" s="3">
        <v>-433.931</v>
      </c>
      <c r="F1700" s="4" t="str">
        <f>HYPERLINK("http://141.218.60.56/~jnz1568/getInfo.php?workbook=14_09.xlsx&amp;sheet=A0&amp;row=1700&amp;col=6&amp;number=2590000&amp;sourceID=14","2590000")</f>
        <v>2590000</v>
      </c>
      <c r="G1700" s="4" t="str">
        <f>HYPERLINK("http://141.218.60.56/~jnz1568/getInfo.php?workbook=14_09.xlsx&amp;sheet=A0&amp;row=1700&amp;col=7&amp;number=0&amp;sourceID=14","0")</f>
        <v>0</v>
      </c>
    </row>
    <row r="1701" spans="1:7">
      <c r="A1701" s="3">
        <v>14</v>
      </c>
      <c r="B1701" s="3">
        <v>9</v>
      </c>
      <c r="C1701" s="3">
        <v>141</v>
      </c>
      <c r="D1701" s="3">
        <v>31</v>
      </c>
      <c r="E1701" s="3">
        <v>-367.167</v>
      </c>
      <c r="F1701" s="4" t="str">
        <f>HYPERLINK("http://141.218.60.56/~jnz1568/getInfo.php?workbook=14_09.xlsx&amp;sheet=A0&amp;row=1701&amp;col=6&amp;number=354000&amp;sourceID=14","354000")</f>
        <v>354000</v>
      </c>
      <c r="G1701" s="4" t="str">
        <f>HYPERLINK("http://141.218.60.56/~jnz1568/getInfo.php?workbook=14_09.xlsx&amp;sheet=A0&amp;row=1701&amp;col=7&amp;number=0&amp;sourceID=14","0")</f>
        <v>0</v>
      </c>
    </row>
    <row r="1702" spans="1:7">
      <c r="A1702" s="3">
        <v>14</v>
      </c>
      <c r="B1702" s="3">
        <v>9</v>
      </c>
      <c r="C1702" s="3">
        <v>146</v>
      </c>
      <c r="D1702" s="3">
        <v>31</v>
      </c>
      <c r="E1702" s="3">
        <v>-365.337</v>
      </c>
      <c r="F1702" s="4" t="str">
        <f>HYPERLINK("http://141.218.60.56/~jnz1568/getInfo.php?workbook=14_09.xlsx&amp;sheet=A0&amp;row=1702&amp;col=6&amp;number=361000&amp;sourceID=14","361000")</f>
        <v>361000</v>
      </c>
      <c r="G1702" s="4" t="str">
        <f>HYPERLINK("http://141.218.60.56/~jnz1568/getInfo.php?workbook=14_09.xlsx&amp;sheet=A0&amp;row=1702&amp;col=7&amp;number=0&amp;sourceID=14","0")</f>
        <v>0</v>
      </c>
    </row>
    <row r="1703" spans="1:7">
      <c r="A1703" s="3">
        <v>14</v>
      </c>
      <c r="B1703" s="3">
        <v>9</v>
      </c>
      <c r="C1703" s="3">
        <v>150</v>
      </c>
      <c r="D1703" s="3">
        <v>31</v>
      </c>
      <c r="E1703" s="3">
        <v>-364.697</v>
      </c>
      <c r="F1703" s="4" t="str">
        <f>HYPERLINK("http://141.218.60.56/~jnz1568/getInfo.php?workbook=14_09.xlsx&amp;sheet=A0&amp;row=1703&amp;col=6&amp;number=887000&amp;sourceID=14","887000")</f>
        <v>887000</v>
      </c>
      <c r="G1703" s="4" t="str">
        <f>HYPERLINK("http://141.218.60.56/~jnz1568/getInfo.php?workbook=14_09.xlsx&amp;sheet=A0&amp;row=1703&amp;col=7&amp;number=0&amp;sourceID=14","0")</f>
        <v>0</v>
      </c>
    </row>
    <row r="1704" spans="1:7">
      <c r="A1704" s="3">
        <v>14</v>
      </c>
      <c r="B1704" s="3">
        <v>9</v>
      </c>
      <c r="C1704" s="3">
        <v>170</v>
      </c>
      <c r="D1704" s="3">
        <v>31</v>
      </c>
      <c r="E1704" s="3">
        <v>-266.453</v>
      </c>
      <c r="F1704" s="4" t="str">
        <f>HYPERLINK("http://141.218.60.56/~jnz1568/getInfo.php?workbook=14_09.xlsx&amp;sheet=A0&amp;row=1704&amp;col=6&amp;number=12100000000&amp;sourceID=14","12100000000")</f>
        <v>12100000000</v>
      </c>
      <c r="G1704" s="4" t="str">
        <f>HYPERLINK("http://141.218.60.56/~jnz1568/getInfo.php?workbook=14_09.xlsx&amp;sheet=A0&amp;row=1704&amp;col=7&amp;number=0&amp;sourceID=14","0")</f>
        <v>0</v>
      </c>
    </row>
    <row r="1705" spans="1:7">
      <c r="A1705" s="3">
        <v>14</v>
      </c>
      <c r="B1705" s="3">
        <v>9</v>
      </c>
      <c r="C1705" s="3">
        <v>171</v>
      </c>
      <c r="D1705" s="3">
        <v>31</v>
      </c>
      <c r="E1705" s="3">
        <v>-264.805</v>
      </c>
      <c r="F1705" s="4" t="str">
        <f>HYPERLINK("http://141.218.60.56/~jnz1568/getInfo.php?workbook=14_09.xlsx&amp;sheet=A0&amp;row=1705&amp;col=6&amp;number=4720000000&amp;sourceID=14","4720000000")</f>
        <v>4720000000</v>
      </c>
      <c r="G1705" s="4" t="str">
        <f>HYPERLINK("http://141.218.60.56/~jnz1568/getInfo.php?workbook=14_09.xlsx&amp;sheet=A0&amp;row=1705&amp;col=7&amp;number=0&amp;sourceID=14","0")</f>
        <v>0</v>
      </c>
    </row>
    <row r="1706" spans="1:7">
      <c r="A1706" s="3">
        <v>14</v>
      </c>
      <c r="B1706" s="3">
        <v>9</v>
      </c>
      <c r="C1706" s="3">
        <v>172</v>
      </c>
      <c r="D1706" s="3">
        <v>31</v>
      </c>
      <c r="E1706" s="3">
        <v>-263.812</v>
      </c>
      <c r="F1706" s="4" t="str">
        <f>HYPERLINK("http://141.218.60.56/~jnz1568/getInfo.php?workbook=14_09.xlsx&amp;sheet=A0&amp;row=1706&amp;col=6&amp;number=2200000000&amp;sourceID=14","2200000000")</f>
        <v>2200000000</v>
      </c>
      <c r="G1706" s="4" t="str">
        <f>HYPERLINK("http://141.218.60.56/~jnz1568/getInfo.php?workbook=14_09.xlsx&amp;sheet=A0&amp;row=1706&amp;col=7&amp;number=0&amp;sourceID=14","0")</f>
        <v>0</v>
      </c>
    </row>
    <row r="1707" spans="1:7">
      <c r="A1707" s="3">
        <v>14</v>
      </c>
      <c r="B1707" s="3">
        <v>9</v>
      </c>
      <c r="C1707" s="3">
        <v>173</v>
      </c>
      <c r="D1707" s="3">
        <v>31</v>
      </c>
      <c r="E1707" s="3">
        <v>-262.851</v>
      </c>
      <c r="F1707" s="4" t="str">
        <f>HYPERLINK("http://141.218.60.56/~jnz1568/getInfo.php?workbook=14_09.xlsx&amp;sheet=A0&amp;row=1707&amp;col=6&amp;number=420000000&amp;sourceID=14","420000000")</f>
        <v>420000000</v>
      </c>
      <c r="G1707" s="4" t="str">
        <f>HYPERLINK("http://141.218.60.56/~jnz1568/getInfo.php?workbook=14_09.xlsx&amp;sheet=A0&amp;row=1707&amp;col=7&amp;number=0&amp;sourceID=14","0")</f>
        <v>0</v>
      </c>
    </row>
    <row r="1708" spans="1:7">
      <c r="A1708" s="3">
        <v>14</v>
      </c>
      <c r="B1708" s="3">
        <v>9</v>
      </c>
      <c r="C1708" s="3">
        <v>175</v>
      </c>
      <c r="D1708" s="3">
        <v>31</v>
      </c>
      <c r="E1708" s="3">
        <v>-258.307</v>
      </c>
      <c r="F1708" s="4" t="str">
        <f>HYPERLINK("http://141.218.60.56/~jnz1568/getInfo.php?workbook=14_09.xlsx&amp;sheet=A0&amp;row=1708&amp;col=6&amp;number=980000000&amp;sourceID=14","980000000")</f>
        <v>980000000</v>
      </c>
      <c r="G1708" s="4" t="str">
        <f>HYPERLINK("http://141.218.60.56/~jnz1568/getInfo.php?workbook=14_09.xlsx&amp;sheet=A0&amp;row=1708&amp;col=7&amp;number=0&amp;sourceID=14","0")</f>
        <v>0</v>
      </c>
    </row>
    <row r="1709" spans="1:7">
      <c r="A1709" s="3">
        <v>14</v>
      </c>
      <c r="B1709" s="3">
        <v>9</v>
      </c>
      <c r="C1709" s="3">
        <v>176</v>
      </c>
      <c r="D1709" s="3">
        <v>31</v>
      </c>
      <c r="E1709" s="3">
        <v>-257.028</v>
      </c>
      <c r="F1709" s="4" t="str">
        <f>HYPERLINK("http://141.218.60.56/~jnz1568/getInfo.php?workbook=14_09.xlsx&amp;sheet=A0&amp;row=1709&amp;col=6&amp;number=326000000&amp;sourceID=14","326000000")</f>
        <v>326000000</v>
      </c>
      <c r="G1709" s="4" t="str">
        <f>HYPERLINK("http://141.218.60.56/~jnz1568/getInfo.php?workbook=14_09.xlsx&amp;sheet=A0&amp;row=1709&amp;col=7&amp;number=0&amp;sourceID=14","0")</f>
        <v>0</v>
      </c>
    </row>
    <row r="1710" spans="1:7">
      <c r="A1710" s="3">
        <v>14</v>
      </c>
      <c r="B1710" s="3">
        <v>9</v>
      </c>
      <c r="C1710" s="3">
        <v>177</v>
      </c>
      <c r="D1710" s="3">
        <v>31</v>
      </c>
      <c r="E1710" s="3">
        <v>-256.917</v>
      </c>
      <c r="F1710" s="4" t="str">
        <f>HYPERLINK("http://141.218.60.56/~jnz1568/getInfo.php?workbook=14_09.xlsx&amp;sheet=A0&amp;row=1710&amp;col=6&amp;number=287000000&amp;sourceID=14","287000000")</f>
        <v>287000000</v>
      </c>
      <c r="G1710" s="4" t="str">
        <f>HYPERLINK("http://141.218.60.56/~jnz1568/getInfo.php?workbook=14_09.xlsx&amp;sheet=A0&amp;row=1710&amp;col=7&amp;number=0&amp;sourceID=14","0")</f>
        <v>0</v>
      </c>
    </row>
    <row r="1711" spans="1:7">
      <c r="A1711" s="3">
        <v>14</v>
      </c>
      <c r="B1711" s="3">
        <v>9</v>
      </c>
      <c r="C1711" s="3">
        <v>181</v>
      </c>
      <c r="D1711" s="3">
        <v>31</v>
      </c>
      <c r="E1711" s="3">
        <v>-253.255</v>
      </c>
      <c r="F1711" s="4" t="str">
        <f>HYPERLINK("http://141.218.60.56/~jnz1568/getInfo.php?workbook=14_09.xlsx&amp;sheet=A0&amp;row=1711&amp;col=6&amp;number=4320000&amp;sourceID=14","4320000")</f>
        <v>4320000</v>
      </c>
      <c r="G1711" s="4" t="str">
        <f>HYPERLINK("http://141.218.60.56/~jnz1568/getInfo.php?workbook=14_09.xlsx&amp;sheet=A0&amp;row=1711&amp;col=7&amp;number=0&amp;sourceID=14","0")</f>
        <v>0</v>
      </c>
    </row>
    <row r="1712" spans="1:7">
      <c r="A1712" s="3">
        <v>14</v>
      </c>
      <c r="B1712" s="3">
        <v>9</v>
      </c>
      <c r="C1712" s="3">
        <v>190</v>
      </c>
      <c r="D1712" s="3">
        <v>31</v>
      </c>
      <c r="E1712" s="3">
        <v>-186.403</v>
      </c>
      <c r="F1712" s="4" t="str">
        <f>HYPERLINK("http://141.218.60.56/~jnz1568/getInfo.php?workbook=14_09.xlsx&amp;sheet=A0&amp;row=1712&amp;col=6&amp;number=2030000&amp;sourceID=14","2030000")</f>
        <v>2030000</v>
      </c>
      <c r="G1712" s="4" t="str">
        <f>HYPERLINK("http://141.218.60.56/~jnz1568/getInfo.php?workbook=14_09.xlsx&amp;sheet=A0&amp;row=1712&amp;col=7&amp;number=0&amp;sourceID=14","0")</f>
        <v>0</v>
      </c>
    </row>
    <row r="1713" spans="1:7">
      <c r="A1713" s="3">
        <v>14</v>
      </c>
      <c r="B1713" s="3">
        <v>9</v>
      </c>
      <c r="C1713" s="3">
        <v>191</v>
      </c>
      <c r="D1713" s="3">
        <v>31</v>
      </c>
      <c r="E1713" s="3">
        <v>-186.374</v>
      </c>
      <c r="F1713" s="4" t="str">
        <f>HYPERLINK("http://141.218.60.56/~jnz1568/getInfo.php?workbook=14_09.xlsx&amp;sheet=A0&amp;row=1713&amp;col=6&amp;number=23000000&amp;sourceID=14","23000000")</f>
        <v>23000000</v>
      </c>
      <c r="G1713" s="4" t="str">
        <f>HYPERLINK("http://141.218.60.56/~jnz1568/getInfo.php?workbook=14_09.xlsx&amp;sheet=A0&amp;row=1713&amp;col=7&amp;number=0&amp;sourceID=14","0")</f>
        <v>0</v>
      </c>
    </row>
    <row r="1714" spans="1:7">
      <c r="A1714" s="3">
        <v>14</v>
      </c>
      <c r="B1714" s="3">
        <v>9</v>
      </c>
      <c r="C1714" s="3">
        <v>195</v>
      </c>
      <c r="D1714" s="3">
        <v>31</v>
      </c>
      <c r="E1714" s="3">
        <v>-184.092</v>
      </c>
      <c r="F1714" s="4" t="str">
        <f>HYPERLINK("http://141.218.60.56/~jnz1568/getInfo.php?workbook=14_09.xlsx&amp;sheet=A0&amp;row=1714&amp;col=6&amp;number=42500000&amp;sourceID=14","42500000")</f>
        <v>42500000</v>
      </c>
      <c r="G1714" s="4" t="str">
        <f>HYPERLINK("http://141.218.60.56/~jnz1568/getInfo.php?workbook=14_09.xlsx&amp;sheet=A0&amp;row=1714&amp;col=7&amp;number=0&amp;sourceID=14","0")</f>
        <v>0</v>
      </c>
    </row>
    <row r="1715" spans="1:7">
      <c r="A1715" s="3">
        <v>14</v>
      </c>
      <c r="B1715" s="3">
        <v>9</v>
      </c>
      <c r="C1715" s="3">
        <v>66</v>
      </c>
      <c r="D1715" s="3">
        <v>32</v>
      </c>
      <c r="E1715" s="3">
        <v>-599.892</v>
      </c>
      <c r="F1715" s="4" t="str">
        <f>HYPERLINK("http://141.218.60.56/~jnz1568/getInfo.php?workbook=14_09.xlsx&amp;sheet=A0&amp;row=1715&amp;col=6&amp;number=341000000&amp;sourceID=14","341000000")</f>
        <v>341000000</v>
      </c>
      <c r="G1715" s="4" t="str">
        <f>HYPERLINK("http://141.218.60.56/~jnz1568/getInfo.php?workbook=14_09.xlsx&amp;sheet=A0&amp;row=1715&amp;col=7&amp;number=0&amp;sourceID=14","0")</f>
        <v>0</v>
      </c>
    </row>
    <row r="1716" spans="1:7">
      <c r="A1716" s="3">
        <v>14</v>
      </c>
      <c r="B1716" s="3">
        <v>9</v>
      </c>
      <c r="C1716" s="3">
        <v>67</v>
      </c>
      <c r="D1716" s="3">
        <v>32</v>
      </c>
      <c r="E1716" s="3">
        <v>-594.521</v>
      </c>
      <c r="F1716" s="4" t="str">
        <f>HYPERLINK("http://141.218.60.56/~jnz1568/getInfo.php?workbook=14_09.xlsx&amp;sheet=A0&amp;row=1716&amp;col=6&amp;number=684000000&amp;sourceID=14","684000000")</f>
        <v>684000000</v>
      </c>
      <c r="G1716" s="4" t="str">
        <f>HYPERLINK("http://141.218.60.56/~jnz1568/getInfo.php?workbook=14_09.xlsx&amp;sheet=A0&amp;row=1716&amp;col=7&amp;number=0&amp;sourceID=14","0")</f>
        <v>0</v>
      </c>
    </row>
    <row r="1717" spans="1:7">
      <c r="A1717" s="3">
        <v>14</v>
      </c>
      <c r="B1717" s="3">
        <v>9</v>
      </c>
      <c r="C1717" s="3">
        <v>69</v>
      </c>
      <c r="D1717" s="3">
        <v>32</v>
      </c>
      <c r="E1717" s="3">
        <v>-575.186</v>
      </c>
      <c r="F1717" s="4" t="str">
        <f>HYPERLINK("http://141.218.60.56/~jnz1568/getInfo.php?workbook=14_09.xlsx&amp;sheet=A0&amp;row=1717&amp;col=6&amp;number=62100000&amp;sourceID=14","62100000")</f>
        <v>62100000</v>
      </c>
      <c r="G1717" s="4" t="str">
        <f>HYPERLINK("http://141.218.60.56/~jnz1568/getInfo.php?workbook=14_09.xlsx&amp;sheet=A0&amp;row=1717&amp;col=7&amp;number=0&amp;sourceID=14","0")</f>
        <v>0</v>
      </c>
    </row>
    <row r="1718" spans="1:7">
      <c r="A1718" s="3">
        <v>14</v>
      </c>
      <c r="B1718" s="3">
        <v>9</v>
      </c>
      <c r="C1718" s="3">
        <v>70</v>
      </c>
      <c r="D1718" s="3">
        <v>32</v>
      </c>
      <c r="E1718" s="3">
        <v>-571.035</v>
      </c>
      <c r="F1718" s="4" t="str">
        <f>HYPERLINK("http://141.218.60.56/~jnz1568/getInfo.php?workbook=14_09.xlsx&amp;sheet=A0&amp;row=1718&amp;col=6&amp;number=116000000&amp;sourceID=14","116000000")</f>
        <v>116000000</v>
      </c>
      <c r="G1718" s="4" t="str">
        <f>HYPERLINK("http://141.218.60.56/~jnz1568/getInfo.php?workbook=14_09.xlsx&amp;sheet=A0&amp;row=1718&amp;col=7&amp;number=0&amp;sourceID=14","0")</f>
        <v>0</v>
      </c>
    </row>
    <row r="1719" spans="1:7">
      <c r="A1719" s="3">
        <v>14</v>
      </c>
      <c r="B1719" s="3">
        <v>9</v>
      </c>
      <c r="C1719" s="3">
        <v>71</v>
      </c>
      <c r="D1719" s="3">
        <v>32</v>
      </c>
      <c r="E1719" s="3">
        <v>-564.338</v>
      </c>
      <c r="F1719" s="4" t="str">
        <f>HYPERLINK("http://141.218.60.56/~jnz1568/getInfo.php?workbook=14_09.xlsx&amp;sheet=A0&amp;row=1719&amp;col=6&amp;number=56800000&amp;sourceID=14","56800000")</f>
        <v>56800000</v>
      </c>
      <c r="G1719" s="4" t="str">
        <f>HYPERLINK("http://141.218.60.56/~jnz1568/getInfo.php?workbook=14_09.xlsx&amp;sheet=A0&amp;row=1719&amp;col=7&amp;number=0&amp;sourceID=14","0")</f>
        <v>0</v>
      </c>
    </row>
    <row r="1720" spans="1:7">
      <c r="A1720" s="3">
        <v>14</v>
      </c>
      <c r="B1720" s="3">
        <v>9</v>
      </c>
      <c r="C1720" s="3">
        <v>72</v>
      </c>
      <c r="D1720" s="3">
        <v>32</v>
      </c>
      <c r="E1720" s="3">
        <v>-561.894</v>
      </c>
      <c r="F1720" s="4" t="str">
        <f>HYPERLINK("http://141.218.60.56/~jnz1568/getInfo.php?workbook=14_09.xlsx&amp;sheet=A0&amp;row=1720&amp;col=6&amp;number=48800000&amp;sourceID=14","48800000")</f>
        <v>48800000</v>
      </c>
      <c r="G1720" s="4" t="str">
        <f>HYPERLINK("http://141.218.60.56/~jnz1568/getInfo.php?workbook=14_09.xlsx&amp;sheet=A0&amp;row=1720&amp;col=7&amp;number=0&amp;sourceID=14","0")</f>
        <v>0</v>
      </c>
    </row>
    <row r="1721" spans="1:7">
      <c r="A1721" s="3">
        <v>14</v>
      </c>
      <c r="B1721" s="3">
        <v>9</v>
      </c>
      <c r="C1721" s="3">
        <v>76</v>
      </c>
      <c r="D1721" s="3">
        <v>32</v>
      </c>
      <c r="E1721" s="3">
        <v>-554.399</v>
      </c>
      <c r="F1721" s="4" t="str">
        <f>HYPERLINK("http://141.218.60.56/~jnz1568/getInfo.php?workbook=14_09.xlsx&amp;sheet=A0&amp;row=1721&amp;col=6&amp;number=4810000&amp;sourceID=14","4810000")</f>
        <v>4810000</v>
      </c>
      <c r="G1721" s="4" t="str">
        <f>HYPERLINK("http://141.218.60.56/~jnz1568/getInfo.php?workbook=14_09.xlsx&amp;sheet=A0&amp;row=1721&amp;col=7&amp;number=0&amp;sourceID=14","0")</f>
        <v>0</v>
      </c>
    </row>
    <row r="1722" spans="1:7">
      <c r="A1722" s="3">
        <v>14</v>
      </c>
      <c r="B1722" s="3">
        <v>9</v>
      </c>
      <c r="C1722" s="3">
        <v>77</v>
      </c>
      <c r="D1722" s="3">
        <v>32</v>
      </c>
      <c r="E1722" s="3">
        <v>-533.371</v>
      </c>
      <c r="F1722" s="4" t="str">
        <f>HYPERLINK("http://141.218.60.56/~jnz1568/getInfo.php?workbook=14_09.xlsx&amp;sheet=A0&amp;row=1722&amp;col=6&amp;number=3040000&amp;sourceID=14","3040000")</f>
        <v>3040000</v>
      </c>
      <c r="G1722" s="4" t="str">
        <f>HYPERLINK("http://141.218.60.56/~jnz1568/getInfo.php?workbook=14_09.xlsx&amp;sheet=A0&amp;row=1722&amp;col=7&amp;number=0&amp;sourceID=14","0")</f>
        <v>0</v>
      </c>
    </row>
    <row r="1723" spans="1:7">
      <c r="A1723" s="3">
        <v>14</v>
      </c>
      <c r="B1723" s="3">
        <v>9</v>
      </c>
      <c r="C1723" s="3">
        <v>81</v>
      </c>
      <c r="D1723" s="3">
        <v>32</v>
      </c>
      <c r="E1723" s="3">
        <v>-520.658</v>
      </c>
      <c r="F1723" s="4" t="str">
        <f>HYPERLINK("http://141.218.60.56/~jnz1568/getInfo.php?workbook=14_09.xlsx&amp;sheet=A0&amp;row=1723&amp;col=6&amp;number=85300000&amp;sourceID=14","85300000")</f>
        <v>85300000</v>
      </c>
      <c r="G1723" s="4" t="str">
        <f>HYPERLINK("http://141.218.60.56/~jnz1568/getInfo.php?workbook=14_09.xlsx&amp;sheet=A0&amp;row=1723&amp;col=7&amp;number=0&amp;sourceID=14","0")</f>
        <v>0</v>
      </c>
    </row>
    <row r="1724" spans="1:7">
      <c r="A1724" s="3">
        <v>14</v>
      </c>
      <c r="B1724" s="3">
        <v>9</v>
      </c>
      <c r="C1724" s="3">
        <v>82</v>
      </c>
      <c r="D1724" s="3">
        <v>32</v>
      </c>
      <c r="E1724" s="3">
        <v>-513.308</v>
      </c>
      <c r="F1724" s="4" t="str">
        <f>HYPERLINK("http://141.218.60.56/~jnz1568/getInfo.php?workbook=14_09.xlsx&amp;sheet=A0&amp;row=1724&amp;col=6&amp;number=220000000&amp;sourceID=14","220000000")</f>
        <v>220000000</v>
      </c>
      <c r="G1724" s="4" t="str">
        <f>HYPERLINK("http://141.218.60.56/~jnz1568/getInfo.php?workbook=14_09.xlsx&amp;sheet=A0&amp;row=1724&amp;col=7&amp;number=0&amp;sourceID=14","0")</f>
        <v>0</v>
      </c>
    </row>
    <row r="1725" spans="1:7">
      <c r="A1725" s="3">
        <v>14</v>
      </c>
      <c r="B1725" s="3">
        <v>9</v>
      </c>
      <c r="C1725" s="3">
        <v>101</v>
      </c>
      <c r="D1725" s="3">
        <v>32</v>
      </c>
      <c r="E1725" s="3">
        <v>-451.272</v>
      </c>
      <c r="F1725" s="4" t="str">
        <f>HYPERLINK("http://141.218.60.56/~jnz1568/getInfo.php?workbook=14_09.xlsx&amp;sheet=A0&amp;row=1725&amp;col=6&amp;number=2450000&amp;sourceID=14","2450000")</f>
        <v>2450000</v>
      </c>
      <c r="G1725" s="4" t="str">
        <f>HYPERLINK("http://141.218.60.56/~jnz1568/getInfo.php?workbook=14_09.xlsx&amp;sheet=A0&amp;row=1725&amp;col=7&amp;number=0&amp;sourceID=14","0")</f>
        <v>0</v>
      </c>
    </row>
    <row r="1726" spans="1:7">
      <c r="A1726" s="3">
        <v>14</v>
      </c>
      <c r="B1726" s="3">
        <v>9</v>
      </c>
      <c r="C1726" s="3">
        <v>102</v>
      </c>
      <c r="D1726" s="3">
        <v>32</v>
      </c>
      <c r="E1726" s="3">
        <v>-450.839</v>
      </c>
      <c r="F1726" s="4" t="str">
        <f>HYPERLINK("http://141.218.60.56/~jnz1568/getInfo.php?workbook=14_09.xlsx&amp;sheet=A0&amp;row=1726&amp;col=6&amp;number=9300000&amp;sourceID=14","9300000")</f>
        <v>9300000</v>
      </c>
      <c r="G1726" s="4" t="str">
        <f>HYPERLINK("http://141.218.60.56/~jnz1568/getInfo.php?workbook=14_09.xlsx&amp;sheet=A0&amp;row=1726&amp;col=7&amp;number=0&amp;sourceID=14","0")</f>
        <v>0</v>
      </c>
    </row>
    <row r="1727" spans="1:7">
      <c r="A1727" s="3">
        <v>14</v>
      </c>
      <c r="B1727" s="3">
        <v>9</v>
      </c>
      <c r="C1727" s="3">
        <v>105</v>
      </c>
      <c r="D1727" s="3">
        <v>32</v>
      </c>
      <c r="E1727" s="3">
        <v>-447.6</v>
      </c>
      <c r="F1727" s="4" t="str">
        <f>HYPERLINK("http://141.218.60.56/~jnz1568/getInfo.php?workbook=14_09.xlsx&amp;sheet=A0&amp;row=1727&amp;col=6&amp;number=11700000000&amp;sourceID=14","11700000000")</f>
        <v>11700000000</v>
      </c>
      <c r="G1727" s="4" t="str">
        <f>HYPERLINK("http://141.218.60.56/~jnz1568/getInfo.php?workbook=14_09.xlsx&amp;sheet=A0&amp;row=1727&amp;col=7&amp;number=0&amp;sourceID=14","0")</f>
        <v>0</v>
      </c>
    </row>
    <row r="1728" spans="1:7">
      <c r="A1728" s="3">
        <v>14</v>
      </c>
      <c r="B1728" s="3">
        <v>9</v>
      </c>
      <c r="C1728" s="3">
        <v>106</v>
      </c>
      <c r="D1728" s="3">
        <v>32</v>
      </c>
      <c r="E1728" s="3">
        <v>-447.306</v>
      </c>
      <c r="F1728" s="4" t="str">
        <f>HYPERLINK("http://141.218.60.56/~jnz1568/getInfo.php?workbook=14_09.xlsx&amp;sheet=A0&amp;row=1728&amp;col=6&amp;number=5570000000&amp;sourceID=14","5570000000")</f>
        <v>5570000000</v>
      </c>
      <c r="G1728" s="4" t="str">
        <f>HYPERLINK("http://141.218.60.56/~jnz1568/getInfo.php?workbook=14_09.xlsx&amp;sheet=A0&amp;row=1728&amp;col=7&amp;number=0&amp;sourceID=14","0")</f>
        <v>0</v>
      </c>
    </row>
    <row r="1729" spans="1:7">
      <c r="A1729" s="3">
        <v>14</v>
      </c>
      <c r="B1729" s="3">
        <v>9</v>
      </c>
      <c r="C1729" s="3">
        <v>108</v>
      </c>
      <c r="D1729" s="3">
        <v>32</v>
      </c>
      <c r="E1729" s="3">
        <v>-446.483</v>
      </c>
      <c r="F1729" s="4" t="str">
        <f>HYPERLINK("http://141.218.60.56/~jnz1568/getInfo.php?workbook=14_09.xlsx&amp;sheet=A0&amp;row=1729&amp;col=6&amp;number=1200000000&amp;sourceID=14","1200000000")</f>
        <v>1200000000</v>
      </c>
      <c r="G1729" s="4" t="str">
        <f>HYPERLINK("http://141.218.60.56/~jnz1568/getInfo.php?workbook=14_09.xlsx&amp;sheet=A0&amp;row=1729&amp;col=7&amp;number=0&amp;sourceID=14","0")</f>
        <v>0</v>
      </c>
    </row>
    <row r="1730" spans="1:7">
      <c r="A1730" s="3">
        <v>14</v>
      </c>
      <c r="B1730" s="3">
        <v>9</v>
      </c>
      <c r="C1730" s="3">
        <v>109</v>
      </c>
      <c r="D1730" s="3">
        <v>32</v>
      </c>
      <c r="E1730" s="3">
        <v>-445.946</v>
      </c>
      <c r="F1730" s="4" t="str">
        <f>HYPERLINK("http://141.218.60.56/~jnz1568/getInfo.php?workbook=14_09.xlsx&amp;sheet=A0&amp;row=1730&amp;col=6&amp;number=1510000000&amp;sourceID=14","1510000000")</f>
        <v>1510000000</v>
      </c>
      <c r="G1730" s="4" t="str">
        <f>HYPERLINK("http://141.218.60.56/~jnz1568/getInfo.php?workbook=14_09.xlsx&amp;sheet=A0&amp;row=1730&amp;col=7&amp;number=0&amp;sourceID=14","0")</f>
        <v>0</v>
      </c>
    </row>
    <row r="1731" spans="1:7">
      <c r="A1731" s="3">
        <v>14</v>
      </c>
      <c r="B1731" s="3">
        <v>9</v>
      </c>
      <c r="C1731" s="3">
        <v>113</v>
      </c>
      <c r="D1731" s="3">
        <v>32</v>
      </c>
      <c r="E1731" s="3">
        <v>-444.589</v>
      </c>
      <c r="F1731" s="4" t="str">
        <f>HYPERLINK("http://141.218.60.56/~jnz1568/getInfo.php?workbook=14_09.xlsx&amp;sheet=A0&amp;row=1731&amp;col=6&amp;number=64200000&amp;sourceID=14","64200000")</f>
        <v>64200000</v>
      </c>
      <c r="G1731" s="4" t="str">
        <f>HYPERLINK("http://141.218.60.56/~jnz1568/getInfo.php?workbook=14_09.xlsx&amp;sheet=A0&amp;row=1731&amp;col=7&amp;number=0&amp;sourceID=14","0")</f>
        <v>0</v>
      </c>
    </row>
    <row r="1732" spans="1:7">
      <c r="A1732" s="3">
        <v>14</v>
      </c>
      <c r="B1732" s="3">
        <v>9</v>
      </c>
      <c r="C1732" s="3">
        <v>115</v>
      </c>
      <c r="D1732" s="3">
        <v>32</v>
      </c>
      <c r="E1732" s="3">
        <v>-444.293</v>
      </c>
      <c r="F1732" s="4" t="str">
        <f>HYPERLINK("http://141.218.60.56/~jnz1568/getInfo.php?workbook=14_09.xlsx&amp;sheet=A0&amp;row=1732&amp;col=6&amp;number=862000&amp;sourceID=14","862000")</f>
        <v>862000</v>
      </c>
      <c r="G1732" s="4" t="str">
        <f>HYPERLINK("http://141.218.60.56/~jnz1568/getInfo.php?workbook=14_09.xlsx&amp;sheet=A0&amp;row=1732&amp;col=7&amp;number=0&amp;sourceID=14","0")</f>
        <v>0</v>
      </c>
    </row>
    <row r="1733" spans="1:7">
      <c r="A1733" s="3">
        <v>14</v>
      </c>
      <c r="B1733" s="3">
        <v>9</v>
      </c>
      <c r="C1733" s="3">
        <v>116</v>
      </c>
      <c r="D1733" s="3">
        <v>32</v>
      </c>
      <c r="E1733" s="3">
        <v>-444.238</v>
      </c>
      <c r="F1733" s="4" t="str">
        <f>HYPERLINK("http://141.218.60.56/~jnz1568/getInfo.php?workbook=14_09.xlsx&amp;sheet=A0&amp;row=1733&amp;col=6&amp;number=502000000&amp;sourceID=14","502000000")</f>
        <v>502000000</v>
      </c>
      <c r="G1733" s="4" t="str">
        <f>HYPERLINK("http://141.218.60.56/~jnz1568/getInfo.php?workbook=14_09.xlsx&amp;sheet=A0&amp;row=1733&amp;col=7&amp;number=0&amp;sourceID=14","0")</f>
        <v>0</v>
      </c>
    </row>
    <row r="1734" spans="1:7">
      <c r="A1734" s="3">
        <v>14</v>
      </c>
      <c r="B1734" s="3">
        <v>9</v>
      </c>
      <c r="C1734" s="3">
        <v>117</v>
      </c>
      <c r="D1734" s="3">
        <v>32</v>
      </c>
      <c r="E1734" s="3">
        <v>-438.969</v>
      </c>
      <c r="F1734" s="4" t="str">
        <f>HYPERLINK("http://141.218.60.56/~jnz1568/getInfo.php?workbook=14_09.xlsx&amp;sheet=A0&amp;row=1734&amp;col=6&amp;number=52700000&amp;sourceID=14","52700000")</f>
        <v>52700000</v>
      </c>
      <c r="G1734" s="4" t="str">
        <f>HYPERLINK("http://141.218.60.56/~jnz1568/getInfo.php?workbook=14_09.xlsx&amp;sheet=A0&amp;row=1734&amp;col=7&amp;number=0&amp;sourceID=14","0")</f>
        <v>0</v>
      </c>
    </row>
    <row r="1735" spans="1:7">
      <c r="A1735" s="3">
        <v>14</v>
      </c>
      <c r="B1735" s="3">
        <v>9</v>
      </c>
      <c r="C1735" s="3">
        <v>118</v>
      </c>
      <c r="D1735" s="3">
        <v>32</v>
      </c>
      <c r="E1735" s="3">
        <v>-438.826</v>
      </c>
      <c r="F1735" s="4" t="str">
        <f>HYPERLINK("http://141.218.60.56/~jnz1568/getInfo.php?workbook=14_09.xlsx&amp;sheet=A0&amp;row=1735&amp;col=6&amp;number=22000000&amp;sourceID=14","22000000")</f>
        <v>22000000</v>
      </c>
      <c r="G1735" s="4" t="str">
        <f>HYPERLINK("http://141.218.60.56/~jnz1568/getInfo.php?workbook=14_09.xlsx&amp;sheet=A0&amp;row=1735&amp;col=7&amp;number=0&amp;sourceID=14","0")</f>
        <v>0</v>
      </c>
    </row>
    <row r="1736" spans="1:7">
      <c r="A1736" s="3">
        <v>14</v>
      </c>
      <c r="B1736" s="3">
        <v>9</v>
      </c>
      <c r="C1736" s="3">
        <v>120</v>
      </c>
      <c r="D1736" s="3">
        <v>32</v>
      </c>
      <c r="E1736" s="3">
        <v>-437.95</v>
      </c>
      <c r="F1736" s="4" t="str">
        <f>HYPERLINK("http://141.218.60.56/~jnz1568/getInfo.php?workbook=14_09.xlsx&amp;sheet=A0&amp;row=1736&amp;col=6&amp;number=348000000&amp;sourceID=14","348000000")</f>
        <v>348000000</v>
      </c>
      <c r="G1736" s="4" t="str">
        <f>HYPERLINK("http://141.218.60.56/~jnz1568/getInfo.php?workbook=14_09.xlsx&amp;sheet=A0&amp;row=1736&amp;col=7&amp;number=0&amp;sourceID=14","0")</f>
        <v>0</v>
      </c>
    </row>
    <row r="1737" spans="1:7">
      <c r="A1737" s="3">
        <v>14</v>
      </c>
      <c r="B1737" s="3">
        <v>9</v>
      </c>
      <c r="C1737" s="3">
        <v>121</v>
      </c>
      <c r="D1737" s="3">
        <v>32</v>
      </c>
      <c r="E1737" s="3">
        <v>-437.113</v>
      </c>
      <c r="F1737" s="4" t="str">
        <f>HYPERLINK("http://141.218.60.56/~jnz1568/getInfo.php?workbook=14_09.xlsx&amp;sheet=A0&amp;row=1737&amp;col=6&amp;number=1020000000&amp;sourceID=14","1020000000")</f>
        <v>1020000000</v>
      </c>
      <c r="G1737" s="4" t="str">
        <f>HYPERLINK("http://141.218.60.56/~jnz1568/getInfo.php?workbook=14_09.xlsx&amp;sheet=A0&amp;row=1737&amp;col=7&amp;number=0&amp;sourceID=14","0")</f>
        <v>0</v>
      </c>
    </row>
    <row r="1738" spans="1:7">
      <c r="A1738" s="3">
        <v>14</v>
      </c>
      <c r="B1738" s="3">
        <v>9</v>
      </c>
      <c r="C1738" s="3">
        <v>122</v>
      </c>
      <c r="D1738" s="3">
        <v>32</v>
      </c>
      <c r="E1738" s="3">
        <v>-436.896</v>
      </c>
      <c r="F1738" s="4" t="str">
        <f>HYPERLINK("http://141.218.60.56/~jnz1568/getInfo.php?workbook=14_09.xlsx&amp;sheet=A0&amp;row=1738&amp;col=6&amp;number=29900000&amp;sourceID=14","29900000")</f>
        <v>29900000</v>
      </c>
      <c r="G1738" s="4" t="str">
        <f>HYPERLINK("http://141.218.60.56/~jnz1568/getInfo.php?workbook=14_09.xlsx&amp;sheet=A0&amp;row=1738&amp;col=7&amp;number=0&amp;sourceID=14","0")</f>
        <v>0</v>
      </c>
    </row>
    <row r="1739" spans="1:7">
      <c r="A1739" s="3">
        <v>14</v>
      </c>
      <c r="B1739" s="3">
        <v>9</v>
      </c>
      <c r="C1739" s="3">
        <v>123</v>
      </c>
      <c r="D1739" s="3">
        <v>32</v>
      </c>
      <c r="E1739" s="3">
        <v>-434.789</v>
      </c>
      <c r="F1739" s="4" t="str">
        <f>HYPERLINK("http://141.218.60.56/~jnz1568/getInfo.php?workbook=14_09.xlsx&amp;sheet=A0&amp;row=1739&amp;col=6&amp;number=1170000000&amp;sourceID=14","1170000000")</f>
        <v>1170000000</v>
      </c>
      <c r="G1739" s="4" t="str">
        <f>HYPERLINK("http://141.218.60.56/~jnz1568/getInfo.php?workbook=14_09.xlsx&amp;sheet=A0&amp;row=1739&amp;col=7&amp;number=0&amp;sourceID=14","0")</f>
        <v>0</v>
      </c>
    </row>
    <row r="1740" spans="1:7">
      <c r="A1740" s="3">
        <v>14</v>
      </c>
      <c r="B1740" s="3">
        <v>9</v>
      </c>
      <c r="C1740" s="3">
        <v>124</v>
      </c>
      <c r="D1740" s="3">
        <v>32</v>
      </c>
      <c r="E1740" s="3">
        <v>-434.753</v>
      </c>
      <c r="F1740" s="4" t="str">
        <f>HYPERLINK("http://141.218.60.56/~jnz1568/getInfo.php?workbook=14_09.xlsx&amp;sheet=A0&amp;row=1740&amp;col=6&amp;number=26000000&amp;sourceID=14","26000000")</f>
        <v>26000000</v>
      </c>
      <c r="G1740" s="4" t="str">
        <f>HYPERLINK("http://141.218.60.56/~jnz1568/getInfo.php?workbook=14_09.xlsx&amp;sheet=A0&amp;row=1740&amp;col=7&amp;number=0&amp;sourceID=14","0")</f>
        <v>0</v>
      </c>
    </row>
    <row r="1741" spans="1:7">
      <c r="A1741" s="3">
        <v>14</v>
      </c>
      <c r="B1741" s="3">
        <v>9</v>
      </c>
      <c r="C1741" s="3">
        <v>139</v>
      </c>
      <c r="D1741" s="3">
        <v>32</v>
      </c>
      <c r="E1741" s="3">
        <v>-369.617</v>
      </c>
      <c r="F1741" s="4" t="str">
        <f>HYPERLINK("http://141.218.60.56/~jnz1568/getInfo.php?workbook=14_09.xlsx&amp;sheet=A0&amp;row=1741&amp;col=6&amp;number=196000&amp;sourceID=14","196000")</f>
        <v>196000</v>
      </c>
      <c r="G1741" s="4" t="str">
        <f>HYPERLINK("http://141.218.60.56/~jnz1568/getInfo.php?workbook=14_09.xlsx&amp;sheet=A0&amp;row=1741&amp;col=7&amp;number=0&amp;sourceID=14","0")</f>
        <v>0</v>
      </c>
    </row>
    <row r="1742" spans="1:7">
      <c r="A1742" s="3">
        <v>14</v>
      </c>
      <c r="B1742" s="3">
        <v>9</v>
      </c>
      <c r="C1742" s="3">
        <v>149</v>
      </c>
      <c r="D1742" s="3">
        <v>32</v>
      </c>
      <c r="E1742" s="3">
        <v>-365.303</v>
      </c>
      <c r="F1742" s="4" t="str">
        <f>HYPERLINK("http://141.218.60.56/~jnz1568/getInfo.php?workbook=14_09.xlsx&amp;sheet=A0&amp;row=1742&amp;col=6&amp;number=263000&amp;sourceID=14","263000")</f>
        <v>263000</v>
      </c>
      <c r="G1742" s="4" t="str">
        <f>HYPERLINK("http://141.218.60.56/~jnz1568/getInfo.php?workbook=14_09.xlsx&amp;sheet=A0&amp;row=1742&amp;col=7&amp;number=0&amp;sourceID=14","0")</f>
        <v>0</v>
      </c>
    </row>
    <row r="1743" spans="1:7">
      <c r="A1743" s="3">
        <v>14</v>
      </c>
      <c r="B1743" s="3">
        <v>9</v>
      </c>
      <c r="C1743" s="3">
        <v>169</v>
      </c>
      <c r="D1743" s="3">
        <v>32</v>
      </c>
      <c r="E1743" s="3">
        <v>-267.825</v>
      </c>
      <c r="F1743" s="4" t="str">
        <f>HYPERLINK("http://141.218.60.56/~jnz1568/getInfo.php?workbook=14_09.xlsx&amp;sheet=A0&amp;row=1743&amp;col=6&amp;number=10300000000&amp;sourceID=14","10300000000")</f>
        <v>10300000000</v>
      </c>
      <c r="G1743" s="4" t="str">
        <f>HYPERLINK("http://141.218.60.56/~jnz1568/getInfo.php?workbook=14_09.xlsx&amp;sheet=A0&amp;row=1743&amp;col=7&amp;number=0&amp;sourceID=14","0")</f>
        <v>0</v>
      </c>
    </row>
    <row r="1744" spans="1:7">
      <c r="A1744" s="3">
        <v>14</v>
      </c>
      <c r="B1744" s="3">
        <v>9</v>
      </c>
      <c r="C1744" s="3">
        <v>170</v>
      </c>
      <c r="D1744" s="3">
        <v>32</v>
      </c>
      <c r="E1744" s="3">
        <v>-266.762</v>
      </c>
      <c r="F1744" s="4" t="str">
        <f>HYPERLINK("http://141.218.60.56/~jnz1568/getInfo.php?workbook=14_09.xlsx&amp;sheet=A0&amp;row=1744&amp;col=6&amp;number=2700000000&amp;sourceID=14","2700000000")</f>
        <v>2700000000</v>
      </c>
      <c r="G1744" s="4" t="str">
        <f>HYPERLINK("http://141.218.60.56/~jnz1568/getInfo.php?workbook=14_09.xlsx&amp;sheet=A0&amp;row=1744&amp;col=7&amp;number=0&amp;sourceID=14","0")</f>
        <v>0</v>
      </c>
    </row>
    <row r="1745" spans="1:7">
      <c r="A1745" s="3">
        <v>14</v>
      </c>
      <c r="B1745" s="3">
        <v>9</v>
      </c>
      <c r="C1745" s="3">
        <v>172</v>
      </c>
      <c r="D1745" s="3">
        <v>32</v>
      </c>
      <c r="E1745" s="3">
        <v>-264.115</v>
      </c>
      <c r="F1745" s="4" t="str">
        <f>HYPERLINK("http://141.218.60.56/~jnz1568/getInfo.php?workbook=14_09.xlsx&amp;sheet=A0&amp;row=1745&amp;col=6&amp;number=3710000000&amp;sourceID=14","3710000000")</f>
        <v>3710000000</v>
      </c>
      <c r="G1745" s="4" t="str">
        <f>HYPERLINK("http://141.218.60.56/~jnz1568/getInfo.php?workbook=14_09.xlsx&amp;sheet=A0&amp;row=1745&amp;col=7&amp;number=0&amp;sourceID=14","0")</f>
        <v>0</v>
      </c>
    </row>
    <row r="1746" spans="1:7">
      <c r="A1746" s="3">
        <v>14</v>
      </c>
      <c r="B1746" s="3">
        <v>9</v>
      </c>
      <c r="C1746" s="3">
        <v>173</v>
      </c>
      <c r="D1746" s="3">
        <v>32</v>
      </c>
      <c r="E1746" s="3">
        <v>-263.152</v>
      </c>
      <c r="F1746" s="4" t="str">
        <f>HYPERLINK("http://141.218.60.56/~jnz1568/getInfo.php?workbook=14_09.xlsx&amp;sheet=A0&amp;row=1746&amp;col=6&amp;number=2680000000&amp;sourceID=14","2680000000")</f>
        <v>2680000000</v>
      </c>
      <c r="G1746" s="4" t="str">
        <f>HYPERLINK("http://141.218.60.56/~jnz1568/getInfo.php?workbook=14_09.xlsx&amp;sheet=A0&amp;row=1746&amp;col=7&amp;number=0&amp;sourceID=14","0")</f>
        <v>0</v>
      </c>
    </row>
    <row r="1747" spans="1:7">
      <c r="A1747" s="3">
        <v>14</v>
      </c>
      <c r="B1747" s="3">
        <v>9</v>
      </c>
      <c r="C1747" s="3">
        <v>174</v>
      </c>
      <c r="D1747" s="3">
        <v>32</v>
      </c>
      <c r="E1747" s="3">
        <v>-262.334</v>
      </c>
      <c r="F1747" s="4" t="str">
        <f>HYPERLINK("http://141.218.60.56/~jnz1568/getInfo.php?workbook=14_09.xlsx&amp;sheet=A0&amp;row=1747&amp;col=6&amp;number=461000000&amp;sourceID=14","461000000")</f>
        <v>461000000</v>
      </c>
      <c r="G1747" s="4" t="str">
        <f>HYPERLINK("http://141.218.60.56/~jnz1568/getInfo.php?workbook=14_09.xlsx&amp;sheet=A0&amp;row=1747&amp;col=7&amp;number=0&amp;sourceID=14","0")</f>
        <v>0</v>
      </c>
    </row>
    <row r="1748" spans="1:7">
      <c r="A1748" s="3">
        <v>14</v>
      </c>
      <c r="B1748" s="3">
        <v>9</v>
      </c>
      <c r="C1748" s="3">
        <v>175</v>
      </c>
      <c r="D1748" s="3">
        <v>32</v>
      </c>
      <c r="E1748" s="3">
        <v>-258.598</v>
      </c>
      <c r="F1748" s="4" t="str">
        <f>HYPERLINK("http://141.218.60.56/~jnz1568/getInfo.php?workbook=14_09.xlsx&amp;sheet=A0&amp;row=1748&amp;col=6&amp;number=47000000&amp;sourceID=14","47000000")</f>
        <v>47000000</v>
      </c>
      <c r="G1748" s="4" t="str">
        <f>HYPERLINK("http://141.218.60.56/~jnz1568/getInfo.php?workbook=14_09.xlsx&amp;sheet=A0&amp;row=1748&amp;col=7&amp;number=0&amp;sourceID=14","0")</f>
        <v>0</v>
      </c>
    </row>
    <row r="1749" spans="1:7">
      <c r="A1749" s="3">
        <v>14</v>
      </c>
      <c r="B1749" s="3">
        <v>9</v>
      </c>
      <c r="C1749" s="3">
        <v>176</v>
      </c>
      <c r="D1749" s="3">
        <v>32</v>
      </c>
      <c r="E1749" s="3">
        <v>-257.317</v>
      </c>
      <c r="F1749" s="4" t="str">
        <f>HYPERLINK("http://141.218.60.56/~jnz1568/getInfo.php?workbook=14_09.xlsx&amp;sheet=A0&amp;row=1749&amp;col=6&amp;number=660000000&amp;sourceID=14","660000000")</f>
        <v>660000000</v>
      </c>
      <c r="G1749" s="4" t="str">
        <f>HYPERLINK("http://141.218.60.56/~jnz1568/getInfo.php?workbook=14_09.xlsx&amp;sheet=A0&amp;row=1749&amp;col=7&amp;number=0&amp;sourceID=14","0")</f>
        <v>0</v>
      </c>
    </row>
    <row r="1750" spans="1:7">
      <c r="A1750" s="3">
        <v>14</v>
      </c>
      <c r="B1750" s="3">
        <v>9</v>
      </c>
      <c r="C1750" s="3">
        <v>177</v>
      </c>
      <c r="D1750" s="3">
        <v>32</v>
      </c>
      <c r="E1750" s="3">
        <v>-257.205</v>
      </c>
      <c r="F1750" s="4" t="str">
        <f>HYPERLINK("http://141.218.60.56/~jnz1568/getInfo.php?workbook=14_09.xlsx&amp;sheet=A0&amp;row=1750&amp;col=6&amp;number=186000000&amp;sourceID=14","186000000")</f>
        <v>186000000</v>
      </c>
      <c r="G1750" s="4" t="str">
        <f>HYPERLINK("http://141.218.60.56/~jnz1568/getInfo.php?workbook=14_09.xlsx&amp;sheet=A0&amp;row=1750&amp;col=7&amp;number=0&amp;sourceID=14","0")</f>
        <v>0</v>
      </c>
    </row>
    <row r="1751" spans="1:7">
      <c r="A1751" s="3">
        <v>14</v>
      </c>
      <c r="B1751" s="3">
        <v>9</v>
      </c>
      <c r="C1751" s="3">
        <v>179</v>
      </c>
      <c r="D1751" s="3">
        <v>32</v>
      </c>
      <c r="E1751" s="3">
        <v>-257.07</v>
      </c>
      <c r="F1751" s="4" t="str">
        <f>HYPERLINK("http://141.218.60.56/~jnz1568/getInfo.php?workbook=14_09.xlsx&amp;sheet=A0&amp;row=1751&amp;col=6&amp;number=502000000&amp;sourceID=14","502000000")</f>
        <v>502000000</v>
      </c>
      <c r="G1751" s="4" t="str">
        <f>HYPERLINK("http://141.218.60.56/~jnz1568/getInfo.php?workbook=14_09.xlsx&amp;sheet=A0&amp;row=1751&amp;col=7&amp;number=0&amp;sourceID=14","0")</f>
        <v>0</v>
      </c>
    </row>
    <row r="1752" spans="1:7">
      <c r="A1752" s="3">
        <v>14</v>
      </c>
      <c r="B1752" s="3">
        <v>9</v>
      </c>
      <c r="C1752" s="3">
        <v>180</v>
      </c>
      <c r="D1752" s="3">
        <v>32</v>
      </c>
      <c r="E1752" s="3">
        <v>-256.338</v>
      </c>
      <c r="F1752" s="4" t="str">
        <f>HYPERLINK("http://141.218.60.56/~jnz1568/getInfo.php?workbook=14_09.xlsx&amp;sheet=A0&amp;row=1752&amp;col=6&amp;number=3160000&amp;sourceID=14","3160000")</f>
        <v>3160000</v>
      </c>
      <c r="G1752" s="4" t="str">
        <f>HYPERLINK("http://141.218.60.56/~jnz1568/getInfo.php?workbook=14_09.xlsx&amp;sheet=A0&amp;row=1752&amp;col=7&amp;number=0&amp;sourceID=14","0")</f>
        <v>0</v>
      </c>
    </row>
    <row r="1753" spans="1:7">
      <c r="A1753" s="3">
        <v>14</v>
      </c>
      <c r="B1753" s="3">
        <v>9</v>
      </c>
      <c r="C1753" s="3">
        <v>181</v>
      </c>
      <c r="D1753" s="3">
        <v>32</v>
      </c>
      <c r="E1753" s="3">
        <v>-253.535</v>
      </c>
      <c r="F1753" s="4" t="str">
        <f>HYPERLINK("http://141.218.60.56/~jnz1568/getInfo.php?workbook=14_09.xlsx&amp;sheet=A0&amp;row=1753&amp;col=6&amp;number=748000&amp;sourceID=14","748000")</f>
        <v>748000</v>
      </c>
      <c r="G1753" s="4" t="str">
        <f>HYPERLINK("http://141.218.60.56/~jnz1568/getInfo.php?workbook=14_09.xlsx&amp;sheet=A0&amp;row=1753&amp;col=7&amp;number=0&amp;sourceID=14","0")</f>
        <v>0</v>
      </c>
    </row>
    <row r="1754" spans="1:7">
      <c r="A1754" s="3">
        <v>14</v>
      </c>
      <c r="B1754" s="3">
        <v>9</v>
      </c>
      <c r="C1754" s="3">
        <v>182</v>
      </c>
      <c r="D1754" s="3">
        <v>32</v>
      </c>
      <c r="E1754" s="3">
        <v>-253.472</v>
      </c>
      <c r="F1754" s="4" t="str">
        <f>HYPERLINK("http://141.218.60.56/~jnz1568/getInfo.php?workbook=14_09.xlsx&amp;sheet=A0&amp;row=1754&amp;col=6&amp;number=24200000&amp;sourceID=14","24200000")</f>
        <v>24200000</v>
      </c>
      <c r="G1754" s="4" t="str">
        <f>HYPERLINK("http://141.218.60.56/~jnz1568/getInfo.php?workbook=14_09.xlsx&amp;sheet=A0&amp;row=1754&amp;col=7&amp;number=0&amp;sourceID=14","0")</f>
        <v>0</v>
      </c>
    </row>
    <row r="1755" spans="1:7">
      <c r="A1755" s="3">
        <v>14</v>
      </c>
      <c r="B1755" s="3">
        <v>9</v>
      </c>
      <c r="C1755" s="3">
        <v>184</v>
      </c>
      <c r="D1755" s="3">
        <v>32</v>
      </c>
      <c r="E1755" s="3">
        <v>-246.678</v>
      </c>
      <c r="F1755" s="4" t="str">
        <f>HYPERLINK("http://141.218.60.56/~jnz1568/getInfo.php?workbook=14_09.xlsx&amp;sheet=A0&amp;row=1755&amp;col=6&amp;number=61000000&amp;sourceID=14","61000000")</f>
        <v>61000000</v>
      </c>
      <c r="G1755" s="4" t="str">
        <f>HYPERLINK("http://141.218.60.56/~jnz1568/getInfo.php?workbook=14_09.xlsx&amp;sheet=A0&amp;row=1755&amp;col=7&amp;number=0&amp;sourceID=14","0")</f>
        <v>0</v>
      </c>
    </row>
    <row r="1756" spans="1:7">
      <c r="A1756" s="3">
        <v>14</v>
      </c>
      <c r="B1756" s="3">
        <v>9</v>
      </c>
      <c r="C1756" s="3">
        <v>190</v>
      </c>
      <c r="D1756" s="3">
        <v>32</v>
      </c>
      <c r="E1756" s="3">
        <v>-186.554</v>
      </c>
      <c r="F1756" s="4" t="str">
        <f>HYPERLINK("http://141.218.60.56/~jnz1568/getInfo.php?workbook=14_09.xlsx&amp;sheet=A0&amp;row=1756&amp;col=6&amp;number=9670000&amp;sourceID=14","9670000")</f>
        <v>9670000</v>
      </c>
      <c r="G1756" s="4" t="str">
        <f>HYPERLINK("http://141.218.60.56/~jnz1568/getInfo.php?workbook=14_09.xlsx&amp;sheet=A0&amp;row=1756&amp;col=7&amp;number=0&amp;sourceID=14","0")</f>
        <v>0</v>
      </c>
    </row>
    <row r="1757" spans="1:7">
      <c r="A1757" s="3">
        <v>14</v>
      </c>
      <c r="B1757" s="3">
        <v>9</v>
      </c>
      <c r="C1757" s="3">
        <v>191</v>
      </c>
      <c r="D1757" s="3">
        <v>32</v>
      </c>
      <c r="E1757" s="3">
        <v>-186.525</v>
      </c>
      <c r="F1757" s="4" t="str">
        <f>HYPERLINK("http://141.218.60.56/~jnz1568/getInfo.php?workbook=14_09.xlsx&amp;sheet=A0&amp;row=1757&amp;col=6&amp;number=5320000&amp;sourceID=14","5320000")</f>
        <v>5320000</v>
      </c>
      <c r="G1757" s="4" t="str">
        <f>HYPERLINK("http://141.218.60.56/~jnz1568/getInfo.php?workbook=14_09.xlsx&amp;sheet=A0&amp;row=1757&amp;col=7&amp;number=0&amp;sourceID=14","0")</f>
        <v>0</v>
      </c>
    </row>
    <row r="1758" spans="1:7">
      <c r="A1758" s="3">
        <v>14</v>
      </c>
      <c r="B1758" s="3">
        <v>9</v>
      </c>
      <c r="C1758" s="3">
        <v>192</v>
      </c>
      <c r="D1758" s="3">
        <v>32</v>
      </c>
      <c r="E1758" s="3">
        <v>-185.279</v>
      </c>
      <c r="F1758" s="4" t="str">
        <f>HYPERLINK("http://141.218.60.56/~jnz1568/getInfo.php?workbook=14_09.xlsx&amp;sheet=A0&amp;row=1758&amp;col=6&amp;number=49100000&amp;sourceID=14","49100000")</f>
        <v>49100000</v>
      </c>
      <c r="G1758" s="4" t="str">
        <f>HYPERLINK("http://141.218.60.56/~jnz1568/getInfo.php?workbook=14_09.xlsx&amp;sheet=A0&amp;row=1758&amp;col=7&amp;number=0&amp;sourceID=14","0")</f>
        <v>0</v>
      </c>
    </row>
    <row r="1759" spans="1:7">
      <c r="A1759" s="3">
        <v>14</v>
      </c>
      <c r="B1759" s="3">
        <v>9</v>
      </c>
      <c r="C1759" s="3">
        <v>194</v>
      </c>
      <c r="D1759" s="3">
        <v>32</v>
      </c>
      <c r="E1759" s="3">
        <v>-184.263</v>
      </c>
      <c r="F1759" s="4" t="str">
        <f>HYPERLINK("http://141.218.60.56/~jnz1568/getInfo.php?workbook=14_09.xlsx&amp;sheet=A0&amp;row=1759&amp;col=6&amp;number=21900000&amp;sourceID=14","21900000")</f>
        <v>21900000</v>
      </c>
      <c r="G1759" s="4" t="str">
        <f>HYPERLINK("http://141.218.60.56/~jnz1568/getInfo.php?workbook=14_09.xlsx&amp;sheet=A0&amp;row=1759&amp;col=7&amp;number=0&amp;sourceID=14","0")</f>
        <v>0</v>
      </c>
    </row>
    <row r="1760" spans="1:7">
      <c r="A1760" s="3">
        <v>14</v>
      </c>
      <c r="B1760" s="3">
        <v>9</v>
      </c>
      <c r="C1760" s="3">
        <v>195</v>
      </c>
      <c r="D1760" s="3">
        <v>32</v>
      </c>
      <c r="E1760" s="3">
        <v>-184.24</v>
      </c>
      <c r="F1760" s="4" t="str">
        <f>HYPERLINK("http://141.218.60.56/~jnz1568/getInfo.php?workbook=14_09.xlsx&amp;sheet=A0&amp;row=1760&amp;col=6&amp;number=7620000&amp;sourceID=14","7620000")</f>
        <v>7620000</v>
      </c>
      <c r="G1760" s="4" t="str">
        <f>HYPERLINK("http://141.218.60.56/~jnz1568/getInfo.php?workbook=14_09.xlsx&amp;sheet=A0&amp;row=1760&amp;col=7&amp;number=0&amp;sourceID=14","0")</f>
        <v>0</v>
      </c>
    </row>
    <row r="1761" spans="1:7">
      <c r="A1761" s="3">
        <v>14</v>
      </c>
      <c r="B1761" s="3">
        <v>9</v>
      </c>
      <c r="C1761" s="3">
        <v>66</v>
      </c>
      <c r="D1761" s="3">
        <v>33</v>
      </c>
      <c r="E1761" s="3">
        <v>-602.073</v>
      </c>
      <c r="F1761" s="4" t="str">
        <f>HYPERLINK("http://141.218.60.56/~jnz1568/getInfo.php?workbook=14_09.xlsx&amp;sheet=A0&amp;row=1761&amp;col=6&amp;number=55000000&amp;sourceID=14","55000000")</f>
        <v>55000000</v>
      </c>
      <c r="G1761" s="4" t="str">
        <f>HYPERLINK("http://141.218.60.56/~jnz1568/getInfo.php?workbook=14_09.xlsx&amp;sheet=A0&amp;row=1761&amp;col=7&amp;number=0&amp;sourceID=14","0")</f>
        <v>0</v>
      </c>
    </row>
    <row r="1762" spans="1:7">
      <c r="A1762" s="3">
        <v>14</v>
      </c>
      <c r="B1762" s="3">
        <v>9</v>
      </c>
      <c r="C1762" s="3">
        <v>67</v>
      </c>
      <c r="D1762" s="3">
        <v>33</v>
      </c>
      <c r="E1762" s="3">
        <v>-596.663</v>
      </c>
      <c r="F1762" s="4" t="str">
        <f>HYPERLINK("http://141.218.60.56/~jnz1568/getInfo.php?workbook=14_09.xlsx&amp;sheet=A0&amp;row=1762&amp;col=6&amp;number=510000000&amp;sourceID=14","510000000")</f>
        <v>510000000</v>
      </c>
      <c r="G1762" s="4" t="str">
        <f>HYPERLINK("http://141.218.60.56/~jnz1568/getInfo.php?workbook=14_09.xlsx&amp;sheet=A0&amp;row=1762&amp;col=7&amp;number=0&amp;sourceID=14","0")</f>
        <v>0</v>
      </c>
    </row>
    <row r="1763" spans="1:7">
      <c r="A1763" s="3">
        <v>14</v>
      </c>
      <c r="B1763" s="3">
        <v>9</v>
      </c>
      <c r="C1763" s="3">
        <v>68</v>
      </c>
      <c r="D1763" s="3">
        <v>33</v>
      </c>
      <c r="E1763" s="3">
        <v>-591.482</v>
      </c>
      <c r="F1763" s="4" t="str">
        <f>HYPERLINK("http://141.218.60.56/~jnz1568/getInfo.php?workbook=14_09.xlsx&amp;sheet=A0&amp;row=1763&amp;col=6&amp;number=506000000&amp;sourceID=14","506000000")</f>
        <v>506000000</v>
      </c>
      <c r="G1763" s="4" t="str">
        <f>HYPERLINK("http://141.218.60.56/~jnz1568/getInfo.php?workbook=14_09.xlsx&amp;sheet=A0&amp;row=1763&amp;col=7&amp;number=0&amp;sourceID=14","0")</f>
        <v>0</v>
      </c>
    </row>
    <row r="1764" spans="1:7">
      <c r="A1764" s="3">
        <v>14</v>
      </c>
      <c r="B1764" s="3">
        <v>9</v>
      </c>
      <c r="C1764" s="3">
        <v>70</v>
      </c>
      <c r="D1764" s="3">
        <v>33</v>
      </c>
      <c r="E1764" s="3">
        <v>-573.011</v>
      </c>
      <c r="F1764" s="4" t="str">
        <f>HYPERLINK("http://141.218.60.56/~jnz1568/getInfo.php?workbook=14_09.xlsx&amp;sheet=A0&amp;row=1764&amp;col=6&amp;number=55300000&amp;sourceID=14","55300000")</f>
        <v>55300000</v>
      </c>
      <c r="G1764" s="4" t="str">
        <f>HYPERLINK("http://141.218.60.56/~jnz1568/getInfo.php?workbook=14_09.xlsx&amp;sheet=A0&amp;row=1764&amp;col=7&amp;number=0&amp;sourceID=14","0")</f>
        <v>0</v>
      </c>
    </row>
    <row r="1765" spans="1:7">
      <c r="A1765" s="3">
        <v>14</v>
      </c>
      <c r="B1765" s="3">
        <v>9</v>
      </c>
      <c r="C1765" s="3">
        <v>71</v>
      </c>
      <c r="D1765" s="3">
        <v>33</v>
      </c>
      <c r="E1765" s="3">
        <v>-566.269</v>
      </c>
      <c r="F1765" s="4" t="str">
        <f>HYPERLINK("http://141.218.60.56/~jnz1568/getInfo.php?workbook=14_09.xlsx&amp;sheet=A0&amp;row=1765&amp;col=6&amp;number=80500000&amp;sourceID=14","80500000")</f>
        <v>80500000</v>
      </c>
      <c r="G1765" s="4" t="str">
        <f>HYPERLINK("http://141.218.60.56/~jnz1568/getInfo.php?workbook=14_09.xlsx&amp;sheet=A0&amp;row=1765&amp;col=7&amp;number=0&amp;sourceID=14","0")</f>
        <v>0</v>
      </c>
    </row>
    <row r="1766" spans="1:7">
      <c r="A1766" s="3">
        <v>14</v>
      </c>
      <c r="B1766" s="3">
        <v>9</v>
      </c>
      <c r="C1766" s="3">
        <v>72</v>
      </c>
      <c r="D1766" s="3">
        <v>33</v>
      </c>
      <c r="E1766" s="3">
        <v>-563.807</v>
      </c>
      <c r="F1766" s="4" t="str">
        <f>HYPERLINK("http://141.218.60.56/~jnz1568/getInfo.php?workbook=14_09.xlsx&amp;sheet=A0&amp;row=1766&amp;col=6&amp;number=22400000&amp;sourceID=14","22400000")</f>
        <v>22400000</v>
      </c>
      <c r="G1766" s="4" t="str">
        <f>HYPERLINK("http://141.218.60.56/~jnz1568/getInfo.php?workbook=14_09.xlsx&amp;sheet=A0&amp;row=1766&amp;col=7&amp;number=0&amp;sourceID=14","0")</f>
        <v>0</v>
      </c>
    </row>
    <row r="1767" spans="1:7">
      <c r="A1767" s="3">
        <v>14</v>
      </c>
      <c r="B1767" s="3">
        <v>9</v>
      </c>
      <c r="C1767" s="3">
        <v>73</v>
      </c>
      <c r="D1767" s="3">
        <v>33</v>
      </c>
      <c r="E1767" s="3">
        <v>-562.687</v>
      </c>
      <c r="F1767" s="4" t="str">
        <f>HYPERLINK("http://141.218.60.56/~jnz1568/getInfo.php?workbook=14_09.xlsx&amp;sheet=A0&amp;row=1767&amp;col=6&amp;number=88800000&amp;sourceID=14","88800000")</f>
        <v>88800000</v>
      </c>
      <c r="G1767" s="4" t="str">
        <f>HYPERLINK("http://141.218.60.56/~jnz1568/getInfo.php?workbook=14_09.xlsx&amp;sheet=A0&amp;row=1767&amp;col=7&amp;number=0&amp;sourceID=14","0")</f>
        <v>0</v>
      </c>
    </row>
    <row r="1768" spans="1:7">
      <c r="A1768" s="3">
        <v>14</v>
      </c>
      <c r="B1768" s="3">
        <v>9</v>
      </c>
      <c r="C1768" s="3">
        <v>74</v>
      </c>
      <c r="D1768" s="3">
        <v>33</v>
      </c>
      <c r="E1768" s="3">
        <v>-558.882</v>
      </c>
      <c r="F1768" s="4" t="str">
        <f>HYPERLINK("http://141.218.60.56/~jnz1568/getInfo.php?workbook=14_09.xlsx&amp;sheet=A0&amp;row=1768&amp;col=6&amp;number=1100000&amp;sourceID=14","1100000")</f>
        <v>1100000</v>
      </c>
      <c r="G1768" s="4" t="str">
        <f>HYPERLINK("http://141.218.60.56/~jnz1568/getInfo.php?workbook=14_09.xlsx&amp;sheet=A0&amp;row=1768&amp;col=7&amp;number=0&amp;sourceID=14","0")</f>
        <v>0</v>
      </c>
    </row>
    <row r="1769" spans="1:7">
      <c r="A1769" s="3">
        <v>14</v>
      </c>
      <c r="B1769" s="3">
        <v>9</v>
      </c>
      <c r="C1769" s="3">
        <v>75</v>
      </c>
      <c r="D1769" s="3">
        <v>33</v>
      </c>
      <c r="E1769" s="3">
        <v>-557.148</v>
      </c>
      <c r="F1769" s="4" t="str">
        <f>HYPERLINK("http://141.218.60.56/~jnz1568/getInfo.php?workbook=14_09.xlsx&amp;sheet=A0&amp;row=1769&amp;col=6&amp;number=4370000&amp;sourceID=14","4370000")</f>
        <v>4370000</v>
      </c>
      <c r="G1769" s="4" t="str">
        <f>HYPERLINK("http://141.218.60.56/~jnz1568/getInfo.php?workbook=14_09.xlsx&amp;sheet=A0&amp;row=1769&amp;col=7&amp;number=0&amp;sourceID=14","0")</f>
        <v>0</v>
      </c>
    </row>
    <row r="1770" spans="1:7">
      <c r="A1770" s="3">
        <v>14</v>
      </c>
      <c r="B1770" s="3">
        <v>9</v>
      </c>
      <c r="C1770" s="3">
        <v>76</v>
      </c>
      <c r="D1770" s="3">
        <v>33</v>
      </c>
      <c r="E1770" s="3">
        <v>-556.261</v>
      </c>
      <c r="F1770" s="4" t="str">
        <f>HYPERLINK("http://141.218.60.56/~jnz1568/getInfo.php?workbook=14_09.xlsx&amp;sheet=A0&amp;row=1770&amp;col=6&amp;number=5810000&amp;sourceID=14","5810000")</f>
        <v>5810000</v>
      </c>
      <c r="G1770" s="4" t="str">
        <f>HYPERLINK("http://141.218.60.56/~jnz1568/getInfo.php?workbook=14_09.xlsx&amp;sheet=A0&amp;row=1770&amp;col=7&amp;number=0&amp;sourceID=14","0")</f>
        <v>0</v>
      </c>
    </row>
    <row r="1771" spans="1:7">
      <c r="A1771" s="3">
        <v>14</v>
      </c>
      <c r="B1771" s="3">
        <v>9</v>
      </c>
      <c r="C1771" s="3">
        <v>77</v>
      </c>
      <c r="D1771" s="3">
        <v>33</v>
      </c>
      <c r="E1771" s="3">
        <v>-535.095</v>
      </c>
      <c r="F1771" s="4" t="str">
        <f>HYPERLINK("http://141.218.60.56/~jnz1568/getInfo.php?workbook=14_09.xlsx&amp;sheet=A0&amp;row=1771&amp;col=6&amp;number=742000&amp;sourceID=14","742000")</f>
        <v>742000</v>
      </c>
      <c r="G1771" s="4" t="str">
        <f>HYPERLINK("http://141.218.60.56/~jnz1568/getInfo.php?workbook=14_09.xlsx&amp;sheet=A0&amp;row=1771&amp;col=7&amp;number=0&amp;sourceID=14","0")</f>
        <v>0</v>
      </c>
    </row>
    <row r="1772" spans="1:7">
      <c r="A1772" s="3">
        <v>14</v>
      </c>
      <c r="B1772" s="3">
        <v>9</v>
      </c>
      <c r="C1772" s="3">
        <v>78</v>
      </c>
      <c r="D1772" s="3">
        <v>33</v>
      </c>
      <c r="E1772" s="3">
        <v>-532.604</v>
      </c>
      <c r="F1772" s="4" t="str">
        <f>HYPERLINK("http://141.218.60.56/~jnz1568/getInfo.php?workbook=14_09.xlsx&amp;sheet=A0&amp;row=1772&amp;col=6&amp;number=919000&amp;sourceID=14","919000")</f>
        <v>919000</v>
      </c>
      <c r="G1772" s="4" t="str">
        <f>HYPERLINK("http://141.218.60.56/~jnz1568/getInfo.php?workbook=14_09.xlsx&amp;sheet=A0&amp;row=1772&amp;col=7&amp;number=0&amp;sourceID=14","0")</f>
        <v>0</v>
      </c>
    </row>
    <row r="1773" spans="1:7">
      <c r="A1773" s="3">
        <v>14</v>
      </c>
      <c r="B1773" s="3">
        <v>9</v>
      </c>
      <c r="C1773" s="3">
        <v>81</v>
      </c>
      <c r="D1773" s="3">
        <v>33</v>
      </c>
      <c r="E1773" s="3">
        <v>-522.301</v>
      </c>
      <c r="F1773" s="4" t="str">
        <f>HYPERLINK("http://141.218.60.56/~jnz1568/getInfo.php?workbook=14_09.xlsx&amp;sheet=A0&amp;row=1773&amp;col=6&amp;number=10600000&amp;sourceID=14","10600000")</f>
        <v>10600000</v>
      </c>
      <c r="G1773" s="4" t="str">
        <f>HYPERLINK("http://141.218.60.56/~jnz1568/getInfo.php?workbook=14_09.xlsx&amp;sheet=A0&amp;row=1773&amp;col=7&amp;number=0&amp;sourceID=14","0")</f>
        <v>0</v>
      </c>
    </row>
    <row r="1774" spans="1:7">
      <c r="A1774" s="3">
        <v>14</v>
      </c>
      <c r="B1774" s="3">
        <v>9</v>
      </c>
      <c r="C1774" s="3">
        <v>82</v>
      </c>
      <c r="D1774" s="3">
        <v>33</v>
      </c>
      <c r="E1774" s="3">
        <v>-514.905</v>
      </c>
      <c r="F1774" s="4" t="str">
        <f>HYPERLINK("http://141.218.60.56/~jnz1568/getInfo.php?workbook=14_09.xlsx&amp;sheet=A0&amp;row=1774&amp;col=6&amp;number=125000000&amp;sourceID=14","125000000")</f>
        <v>125000000</v>
      </c>
      <c r="G1774" s="4" t="str">
        <f>HYPERLINK("http://141.218.60.56/~jnz1568/getInfo.php?workbook=14_09.xlsx&amp;sheet=A0&amp;row=1774&amp;col=7&amp;number=0&amp;sourceID=14","0")</f>
        <v>0</v>
      </c>
    </row>
    <row r="1775" spans="1:7">
      <c r="A1775" s="3">
        <v>14</v>
      </c>
      <c r="B1775" s="3">
        <v>9</v>
      </c>
      <c r="C1775" s="3">
        <v>83</v>
      </c>
      <c r="D1775" s="3">
        <v>33</v>
      </c>
      <c r="E1775" s="3">
        <v>-510.528</v>
      </c>
      <c r="F1775" s="4" t="str">
        <f>HYPERLINK("http://141.218.60.56/~jnz1568/getInfo.php?workbook=14_09.xlsx&amp;sheet=A0&amp;row=1775&amp;col=6&amp;number=160000000&amp;sourceID=14","160000000")</f>
        <v>160000000</v>
      </c>
      <c r="G1775" s="4" t="str">
        <f>HYPERLINK("http://141.218.60.56/~jnz1568/getInfo.php?workbook=14_09.xlsx&amp;sheet=A0&amp;row=1775&amp;col=7&amp;number=0&amp;sourceID=14","0")</f>
        <v>0</v>
      </c>
    </row>
    <row r="1776" spans="1:7">
      <c r="A1776" s="3">
        <v>14</v>
      </c>
      <c r="B1776" s="3">
        <v>9</v>
      </c>
      <c r="C1776" s="3">
        <v>101</v>
      </c>
      <c r="D1776" s="3">
        <v>33</v>
      </c>
      <c r="E1776" s="3">
        <v>-452.506</v>
      </c>
      <c r="F1776" s="4" t="str">
        <f>HYPERLINK("http://141.218.60.56/~jnz1568/getInfo.php?workbook=14_09.xlsx&amp;sheet=A0&amp;row=1776&amp;col=6&amp;number=10200000&amp;sourceID=14","10200000")</f>
        <v>10200000</v>
      </c>
      <c r="G1776" s="4" t="str">
        <f>HYPERLINK("http://141.218.60.56/~jnz1568/getInfo.php?workbook=14_09.xlsx&amp;sheet=A0&amp;row=1776&amp;col=7&amp;number=0&amp;sourceID=14","0")</f>
        <v>0</v>
      </c>
    </row>
    <row r="1777" spans="1:7">
      <c r="A1777" s="3">
        <v>14</v>
      </c>
      <c r="B1777" s="3">
        <v>9</v>
      </c>
      <c r="C1777" s="3">
        <v>106</v>
      </c>
      <c r="D1777" s="3">
        <v>33</v>
      </c>
      <c r="E1777" s="3">
        <v>-448.518</v>
      </c>
      <c r="F1777" s="4" t="str">
        <f>HYPERLINK("http://141.218.60.56/~jnz1568/getInfo.php?workbook=14_09.xlsx&amp;sheet=A0&amp;row=1777&amp;col=6&amp;number=8060000000&amp;sourceID=14","8060000000")</f>
        <v>8060000000</v>
      </c>
      <c r="G1777" s="4" t="str">
        <f>HYPERLINK("http://141.218.60.56/~jnz1568/getInfo.php?workbook=14_09.xlsx&amp;sheet=A0&amp;row=1777&amp;col=7&amp;number=0&amp;sourceID=14","0")</f>
        <v>0</v>
      </c>
    </row>
    <row r="1778" spans="1:7">
      <c r="A1778" s="3">
        <v>14</v>
      </c>
      <c r="B1778" s="3">
        <v>9</v>
      </c>
      <c r="C1778" s="3">
        <v>108</v>
      </c>
      <c r="D1778" s="3">
        <v>33</v>
      </c>
      <c r="E1778" s="3">
        <v>-447.69</v>
      </c>
      <c r="F1778" s="4" t="str">
        <f>HYPERLINK("http://141.218.60.56/~jnz1568/getInfo.php?workbook=14_09.xlsx&amp;sheet=A0&amp;row=1778&amp;col=6&amp;number=6490000000&amp;sourceID=14","6490000000")</f>
        <v>6490000000</v>
      </c>
      <c r="G1778" s="4" t="str">
        <f>HYPERLINK("http://141.218.60.56/~jnz1568/getInfo.php?workbook=14_09.xlsx&amp;sheet=A0&amp;row=1778&amp;col=7&amp;number=0&amp;sourceID=14","0")</f>
        <v>0</v>
      </c>
    </row>
    <row r="1779" spans="1:7">
      <c r="A1779" s="3">
        <v>14</v>
      </c>
      <c r="B1779" s="3">
        <v>9</v>
      </c>
      <c r="C1779" s="3">
        <v>109</v>
      </c>
      <c r="D1779" s="3">
        <v>33</v>
      </c>
      <c r="E1779" s="3">
        <v>-447.15</v>
      </c>
      <c r="F1779" s="4" t="str">
        <f>HYPERLINK("http://141.218.60.56/~jnz1568/getInfo.php?workbook=14_09.xlsx&amp;sheet=A0&amp;row=1779&amp;col=6&amp;number=216000000&amp;sourceID=14","216000000")</f>
        <v>216000000</v>
      </c>
      <c r="G1779" s="4" t="str">
        <f>HYPERLINK("http://141.218.60.56/~jnz1568/getInfo.php?workbook=14_09.xlsx&amp;sheet=A0&amp;row=1779&amp;col=7&amp;number=0&amp;sourceID=14","0")</f>
        <v>0</v>
      </c>
    </row>
    <row r="1780" spans="1:7">
      <c r="A1780" s="3">
        <v>14</v>
      </c>
      <c r="B1780" s="3">
        <v>9</v>
      </c>
      <c r="C1780" s="3">
        <v>112</v>
      </c>
      <c r="D1780" s="3">
        <v>33</v>
      </c>
      <c r="E1780" s="3">
        <v>-445.787</v>
      </c>
      <c r="F1780" s="4" t="str">
        <f>HYPERLINK("http://141.218.60.56/~jnz1568/getInfo.php?workbook=14_09.xlsx&amp;sheet=A0&amp;row=1780&amp;col=6&amp;number=2150000000&amp;sourceID=14","2150000000")</f>
        <v>2150000000</v>
      </c>
      <c r="G1780" s="4" t="str">
        <f>HYPERLINK("http://141.218.60.56/~jnz1568/getInfo.php?workbook=14_09.xlsx&amp;sheet=A0&amp;row=1780&amp;col=7&amp;number=0&amp;sourceID=14","0")</f>
        <v>0</v>
      </c>
    </row>
    <row r="1781" spans="1:7">
      <c r="A1781" s="3">
        <v>14</v>
      </c>
      <c r="B1781" s="3">
        <v>9</v>
      </c>
      <c r="C1781" s="3">
        <v>113</v>
      </c>
      <c r="D1781" s="3">
        <v>33</v>
      </c>
      <c r="E1781" s="3">
        <v>-445.787</v>
      </c>
      <c r="F1781" s="4" t="str">
        <f>HYPERLINK("http://141.218.60.56/~jnz1568/getInfo.php?workbook=14_09.xlsx&amp;sheet=A0&amp;row=1781&amp;col=6&amp;number=109000000&amp;sourceID=14","109000000")</f>
        <v>109000000</v>
      </c>
      <c r="G1781" s="4" t="str">
        <f>HYPERLINK("http://141.218.60.56/~jnz1568/getInfo.php?workbook=14_09.xlsx&amp;sheet=A0&amp;row=1781&amp;col=7&amp;number=0&amp;sourceID=14","0")</f>
        <v>0</v>
      </c>
    </row>
    <row r="1782" spans="1:7">
      <c r="A1782" s="3">
        <v>14</v>
      </c>
      <c r="B1782" s="3">
        <v>9</v>
      </c>
      <c r="C1782" s="3">
        <v>115</v>
      </c>
      <c r="D1782" s="3">
        <v>33</v>
      </c>
      <c r="E1782" s="3">
        <v>-445.489</v>
      </c>
      <c r="F1782" s="4" t="str">
        <f>HYPERLINK("http://141.218.60.56/~jnz1568/getInfo.php?workbook=14_09.xlsx&amp;sheet=A0&amp;row=1782&amp;col=6&amp;number=2500000&amp;sourceID=14","2500000")</f>
        <v>2500000</v>
      </c>
      <c r="G1782" s="4" t="str">
        <f>HYPERLINK("http://141.218.60.56/~jnz1568/getInfo.php?workbook=14_09.xlsx&amp;sheet=A0&amp;row=1782&amp;col=7&amp;number=0&amp;sourceID=14","0")</f>
        <v>0</v>
      </c>
    </row>
    <row r="1783" spans="1:7">
      <c r="A1783" s="3">
        <v>14</v>
      </c>
      <c r="B1783" s="3">
        <v>9</v>
      </c>
      <c r="C1783" s="3">
        <v>116</v>
      </c>
      <c r="D1783" s="3">
        <v>33</v>
      </c>
      <c r="E1783" s="3">
        <v>-445.433</v>
      </c>
      <c r="F1783" s="4" t="str">
        <f>HYPERLINK("http://141.218.60.56/~jnz1568/getInfo.php?workbook=14_09.xlsx&amp;sheet=A0&amp;row=1783&amp;col=6&amp;number=416000000&amp;sourceID=14","416000000")</f>
        <v>416000000</v>
      </c>
      <c r="G1783" s="4" t="str">
        <f>HYPERLINK("http://141.218.60.56/~jnz1568/getInfo.php?workbook=14_09.xlsx&amp;sheet=A0&amp;row=1783&amp;col=7&amp;number=0&amp;sourceID=14","0")</f>
        <v>0</v>
      </c>
    </row>
    <row r="1784" spans="1:7">
      <c r="A1784" s="3">
        <v>14</v>
      </c>
      <c r="B1784" s="3">
        <v>9</v>
      </c>
      <c r="C1784" s="3">
        <v>117</v>
      </c>
      <c r="D1784" s="3">
        <v>33</v>
      </c>
      <c r="E1784" s="3">
        <v>-440.136</v>
      </c>
      <c r="F1784" s="4" t="str">
        <f>HYPERLINK("http://141.218.60.56/~jnz1568/getInfo.php?workbook=14_09.xlsx&amp;sheet=A0&amp;row=1784&amp;col=6&amp;number=298000000&amp;sourceID=14","298000000")</f>
        <v>298000000</v>
      </c>
      <c r="G1784" s="4" t="str">
        <f>HYPERLINK("http://141.218.60.56/~jnz1568/getInfo.php?workbook=14_09.xlsx&amp;sheet=A0&amp;row=1784&amp;col=7&amp;number=0&amp;sourceID=14","0")</f>
        <v>0</v>
      </c>
    </row>
    <row r="1785" spans="1:7">
      <c r="A1785" s="3">
        <v>14</v>
      </c>
      <c r="B1785" s="3">
        <v>9</v>
      </c>
      <c r="C1785" s="3">
        <v>118</v>
      </c>
      <c r="D1785" s="3">
        <v>33</v>
      </c>
      <c r="E1785" s="3">
        <v>-439.993</v>
      </c>
      <c r="F1785" s="4" t="str">
        <f>HYPERLINK("http://141.218.60.56/~jnz1568/getInfo.php?workbook=14_09.xlsx&amp;sheet=A0&amp;row=1785&amp;col=6&amp;number=3370000000&amp;sourceID=14","3370000000")</f>
        <v>3370000000</v>
      </c>
      <c r="G1785" s="4" t="str">
        <f>HYPERLINK("http://141.218.60.56/~jnz1568/getInfo.php?workbook=14_09.xlsx&amp;sheet=A0&amp;row=1785&amp;col=7&amp;number=0&amp;sourceID=14","0")</f>
        <v>0</v>
      </c>
    </row>
    <row r="1786" spans="1:7">
      <c r="A1786" s="3">
        <v>14</v>
      </c>
      <c r="B1786" s="3">
        <v>9</v>
      </c>
      <c r="C1786" s="3">
        <v>122</v>
      </c>
      <c r="D1786" s="3">
        <v>33</v>
      </c>
      <c r="E1786" s="3">
        <v>-438.052</v>
      </c>
      <c r="F1786" s="4" t="str">
        <f>HYPERLINK("http://141.218.60.56/~jnz1568/getInfo.php?workbook=14_09.xlsx&amp;sheet=A0&amp;row=1786&amp;col=6&amp;number=263000000&amp;sourceID=14","263000000")</f>
        <v>263000000</v>
      </c>
      <c r="G1786" s="4" t="str">
        <f>HYPERLINK("http://141.218.60.56/~jnz1568/getInfo.php?workbook=14_09.xlsx&amp;sheet=A0&amp;row=1786&amp;col=7&amp;number=0&amp;sourceID=14","0")</f>
        <v>0</v>
      </c>
    </row>
    <row r="1787" spans="1:7">
      <c r="A1787" s="3">
        <v>14</v>
      </c>
      <c r="B1787" s="3">
        <v>9</v>
      </c>
      <c r="C1787" s="3">
        <v>124</v>
      </c>
      <c r="D1787" s="3">
        <v>33</v>
      </c>
      <c r="E1787" s="3">
        <v>-435.898</v>
      </c>
      <c r="F1787" s="4" t="str">
        <f>HYPERLINK("http://141.218.60.56/~jnz1568/getInfo.php?workbook=14_09.xlsx&amp;sheet=A0&amp;row=1787&amp;col=6&amp;number=768000000&amp;sourceID=14","768000000")</f>
        <v>768000000</v>
      </c>
      <c r="G1787" s="4" t="str">
        <f>HYPERLINK("http://141.218.60.56/~jnz1568/getInfo.php?workbook=14_09.xlsx&amp;sheet=A0&amp;row=1787&amp;col=7&amp;number=0&amp;sourceID=14","0")</f>
        <v>0</v>
      </c>
    </row>
    <row r="1788" spans="1:7">
      <c r="A1788" s="3">
        <v>14</v>
      </c>
      <c r="B1788" s="3">
        <v>9</v>
      </c>
      <c r="C1788" s="3">
        <v>139</v>
      </c>
      <c r="D1788" s="3">
        <v>33</v>
      </c>
      <c r="E1788" s="3">
        <v>-370.444</v>
      </c>
      <c r="F1788" s="4" t="str">
        <f>HYPERLINK("http://141.218.60.56/~jnz1568/getInfo.php?workbook=14_09.xlsx&amp;sheet=A0&amp;row=1788&amp;col=6&amp;number=238000&amp;sourceID=14","238000")</f>
        <v>238000</v>
      </c>
      <c r="G1788" s="4" t="str">
        <f>HYPERLINK("http://141.218.60.56/~jnz1568/getInfo.php?workbook=14_09.xlsx&amp;sheet=A0&amp;row=1788&amp;col=7&amp;number=0&amp;sourceID=14","0")</f>
        <v>0</v>
      </c>
    </row>
    <row r="1789" spans="1:7">
      <c r="A1789" s="3">
        <v>14</v>
      </c>
      <c r="B1789" s="3">
        <v>9</v>
      </c>
      <c r="C1789" s="3">
        <v>141</v>
      </c>
      <c r="D1789" s="3">
        <v>33</v>
      </c>
      <c r="E1789" s="3">
        <v>-368.575</v>
      </c>
      <c r="F1789" s="4" t="str">
        <f>HYPERLINK("http://141.218.60.56/~jnz1568/getInfo.php?workbook=14_09.xlsx&amp;sheet=A0&amp;row=1789&amp;col=6&amp;number=453000&amp;sourceID=14","453000")</f>
        <v>453000</v>
      </c>
      <c r="G1789" s="4" t="str">
        <f>HYPERLINK("http://141.218.60.56/~jnz1568/getInfo.php?workbook=14_09.xlsx&amp;sheet=A0&amp;row=1789&amp;col=7&amp;number=0&amp;sourceID=14","0")</f>
        <v>0</v>
      </c>
    </row>
    <row r="1790" spans="1:7">
      <c r="A1790" s="3">
        <v>14</v>
      </c>
      <c r="B1790" s="3">
        <v>9</v>
      </c>
      <c r="C1790" s="3">
        <v>168</v>
      </c>
      <c r="D1790" s="3">
        <v>33</v>
      </c>
      <c r="E1790" s="3">
        <v>-268.854</v>
      </c>
      <c r="F1790" s="4" t="str">
        <f>HYPERLINK("http://141.218.60.56/~jnz1568/getInfo.php?workbook=14_09.xlsx&amp;sheet=A0&amp;row=1790&amp;col=6&amp;number=8830000000&amp;sourceID=14","8830000000")</f>
        <v>8830000000</v>
      </c>
      <c r="G1790" s="4" t="str">
        <f>HYPERLINK("http://141.218.60.56/~jnz1568/getInfo.php?workbook=14_09.xlsx&amp;sheet=A0&amp;row=1790&amp;col=7&amp;number=0&amp;sourceID=14","0")</f>
        <v>0</v>
      </c>
    </row>
    <row r="1791" spans="1:7">
      <c r="A1791" s="3">
        <v>14</v>
      </c>
      <c r="B1791" s="3">
        <v>9</v>
      </c>
      <c r="C1791" s="3">
        <v>169</v>
      </c>
      <c r="D1791" s="3">
        <v>33</v>
      </c>
      <c r="E1791" s="3">
        <v>-268.259</v>
      </c>
      <c r="F1791" s="4" t="str">
        <f>HYPERLINK("http://141.218.60.56/~jnz1568/getInfo.php?workbook=14_09.xlsx&amp;sheet=A0&amp;row=1791&amp;col=6&amp;number=4970000000&amp;sourceID=14","4970000000")</f>
        <v>4970000000</v>
      </c>
      <c r="G1791" s="4" t="str">
        <f>HYPERLINK("http://141.218.60.56/~jnz1568/getInfo.php?workbook=14_09.xlsx&amp;sheet=A0&amp;row=1791&amp;col=7&amp;number=0&amp;sourceID=14","0")</f>
        <v>0</v>
      </c>
    </row>
    <row r="1792" spans="1:7">
      <c r="A1792" s="3">
        <v>14</v>
      </c>
      <c r="B1792" s="3">
        <v>9</v>
      </c>
      <c r="C1792" s="3">
        <v>170</v>
      </c>
      <c r="D1792" s="3">
        <v>33</v>
      </c>
      <c r="E1792" s="3">
        <v>-267.193</v>
      </c>
      <c r="F1792" s="4" t="str">
        <f>HYPERLINK("http://141.218.60.56/~jnz1568/getInfo.php?workbook=14_09.xlsx&amp;sheet=A0&amp;row=1792&amp;col=6&amp;number=149000000&amp;sourceID=14","149000000")</f>
        <v>149000000</v>
      </c>
      <c r="G1792" s="4" t="str">
        <f>HYPERLINK("http://141.218.60.56/~jnz1568/getInfo.php?workbook=14_09.xlsx&amp;sheet=A0&amp;row=1792&amp;col=7&amp;number=0&amp;sourceID=14","0")</f>
        <v>0</v>
      </c>
    </row>
    <row r="1793" spans="1:7">
      <c r="A1793" s="3">
        <v>14</v>
      </c>
      <c r="B1793" s="3">
        <v>9</v>
      </c>
      <c r="C1793" s="3">
        <v>173</v>
      </c>
      <c r="D1793" s="3">
        <v>33</v>
      </c>
      <c r="E1793" s="3">
        <v>-263.571</v>
      </c>
      <c r="F1793" s="4" t="str">
        <f>HYPERLINK("http://141.218.60.56/~jnz1568/getInfo.php?workbook=14_09.xlsx&amp;sheet=A0&amp;row=1793&amp;col=6&amp;number=3390000000&amp;sourceID=14","3390000000")</f>
        <v>3390000000</v>
      </c>
      <c r="G1793" s="4" t="str">
        <f>HYPERLINK("http://141.218.60.56/~jnz1568/getInfo.php?workbook=14_09.xlsx&amp;sheet=A0&amp;row=1793&amp;col=7&amp;number=0&amp;sourceID=14","0")</f>
        <v>0</v>
      </c>
    </row>
    <row r="1794" spans="1:7">
      <c r="A1794" s="3">
        <v>14</v>
      </c>
      <c r="B1794" s="3">
        <v>9</v>
      </c>
      <c r="C1794" s="3">
        <v>174</v>
      </c>
      <c r="D1794" s="3">
        <v>33</v>
      </c>
      <c r="E1794" s="3">
        <v>-262.75</v>
      </c>
      <c r="F1794" s="4" t="str">
        <f>HYPERLINK("http://141.218.60.56/~jnz1568/getInfo.php?workbook=14_09.xlsx&amp;sheet=A0&amp;row=1794&amp;col=6&amp;number=2600000000&amp;sourceID=14","2600000000")</f>
        <v>2600000000</v>
      </c>
      <c r="G1794" s="4" t="str">
        <f>HYPERLINK("http://141.218.60.56/~jnz1568/getInfo.php?workbook=14_09.xlsx&amp;sheet=A0&amp;row=1794&amp;col=7&amp;number=0&amp;sourceID=14","0")</f>
        <v>0</v>
      </c>
    </row>
    <row r="1795" spans="1:7">
      <c r="A1795" s="3">
        <v>14</v>
      </c>
      <c r="B1795" s="3">
        <v>9</v>
      </c>
      <c r="C1795" s="3">
        <v>176</v>
      </c>
      <c r="D1795" s="3">
        <v>33</v>
      </c>
      <c r="E1795" s="3">
        <v>-257.717</v>
      </c>
      <c r="F1795" s="4" t="str">
        <f>HYPERLINK("http://141.218.60.56/~jnz1568/getInfo.php?workbook=14_09.xlsx&amp;sheet=A0&amp;row=1795&amp;col=6&amp;number=286000000&amp;sourceID=14","286000000")</f>
        <v>286000000</v>
      </c>
      <c r="G1795" s="4" t="str">
        <f>HYPERLINK("http://141.218.60.56/~jnz1568/getInfo.php?workbook=14_09.xlsx&amp;sheet=A0&amp;row=1795&amp;col=7&amp;number=0&amp;sourceID=14","0")</f>
        <v>0</v>
      </c>
    </row>
    <row r="1796" spans="1:7">
      <c r="A1796" s="3">
        <v>14</v>
      </c>
      <c r="B1796" s="3">
        <v>9</v>
      </c>
      <c r="C1796" s="3">
        <v>178</v>
      </c>
      <c r="D1796" s="3">
        <v>33</v>
      </c>
      <c r="E1796" s="3">
        <v>-257.491</v>
      </c>
      <c r="F1796" s="4" t="str">
        <f>HYPERLINK("http://141.218.60.56/~jnz1568/getInfo.php?workbook=14_09.xlsx&amp;sheet=A0&amp;row=1796&amp;col=6&amp;number=820000000&amp;sourceID=14","820000000")</f>
        <v>820000000</v>
      </c>
      <c r="G1796" s="4" t="str">
        <f>HYPERLINK("http://141.218.60.56/~jnz1568/getInfo.php?workbook=14_09.xlsx&amp;sheet=A0&amp;row=1796&amp;col=7&amp;number=0&amp;sourceID=14","0")</f>
        <v>0</v>
      </c>
    </row>
    <row r="1797" spans="1:7">
      <c r="A1797" s="3">
        <v>14</v>
      </c>
      <c r="B1797" s="3">
        <v>9</v>
      </c>
      <c r="C1797" s="3">
        <v>179</v>
      </c>
      <c r="D1797" s="3">
        <v>33</v>
      </c>
      <c r="E1797" s="3">
        <v>-257.47</v>
      </c>
      <c r="F1797" s="4" t="str">
        <f>HYPERLINK("http://141.218.60.56/~jnz1568/getInfo.php?workbook=14_09.xlsx&amp;sheet=A0&amp;row=1797&amp;col=6&amp;number=493000000&amp;sourceID=14","493000000")</f>
        <v>493000000</v>
      </c>
      <c r="G1797" s="4" t="str">
        <f>HYPERLINK("http://141.218.60.56/~jnz1568/getInfo.php?workbook=14_09.xlsx&amp;sheet=A0&amp;row=1797&amp;col=7&amp;number=0&amp;sourceID=14","0")</f>
        <v>0</v>
      </c>
    </row>
    <row r="1798" spans="1:7">
      <c r="A1798" s="3">
        <v>14</v>
      </c>
      <c r="B1798" s="3">
        <v>9</v>
      </c>
      <c r="C1798" s="3">
        <v>180</v>
      </c>
      <c r="D1798" s="3">
        <v>33</v>
      </c>
      <c r="E1798" s="3">
        <v>-256.735</v>
      </c>
      <c r="F1798" s="4" t="str">
        <f>HYPERLINK("http://141.218.60.56/~jnz1568/getInfo.php?workbook=14_09.xlsx&amp;sheet=A0&amp;row=1798&amp;col=6&amp;number=65300000&amp;sourceID=14","65300000")</f>
        <v>65300000</v>
      </c>
      <c r="G1798" s="4" t="str">
        <f>HYPERLINK("http://141.218.60.56/~jnz1568/getInfo.php?workbook=14_09.xlsx&amp;sheet=A0&amp;row=1798&amp;col=7&amp;number=0&amp;sourceID=14","0")</f>
        <v>0</v>
      </c>
    </row>
    <row r="1799" spans="1:7">
      <c r="A1799" s="3">
        <v>14</v>
      </c>
      <c r="B1799" s="3">
        <v>9</v>
      </c>
      <c r="C1799" s="3">
        <v>181</v>
      </c>
      <c r="D1799" s="3">
        <v>33</v>
      </c>
      <c r="E1799" s="3">
        <v>-253.924</v>
      </c>
      <c r="F1799" s="4" t="str">
        <f>HYPERLINK("http://141.218.60.56/~jnz1568/getInfo.php?workbook=14_09.xlsx&amp;sheet=A0&amp;row=1799&amp;col=6&amp;number=5850000&amp;sourceID=14","5850000")</f>
        <v>5850000</v>
      </c>
      <c r="G1799" s="4" t="str">
        <f>HYPERLINK("http://141.218.60.56/~jnz1568/getInfo.php?workbook=14_09.xlsx&amp;sheet=A0&amp;row=1799&amp;col=7&amp;number=0&amp;sourceID=14","0")</f>
        <v>0</v>
      </c>
    </row>
    <row r="1800" spans="1:7">
      <c r="A1800" s="3">
        <v>14</v>
      </c>
      <c r="B1800" s="3">
        <v>9</v>
      </c>
      <c r="C1800" s="3">
        <v>182</v>
      </c>
      <c r="D1800" s="3">
        <v>33</v>
      </c>
      <c r="E1800" s="3">
        <v>-253.861</v>
      </c>
      <c r="F1800" s="4" t="str">
        <f>HYPERLINK("http://141.218.60.56/~jnz1568/getInfo.php?workbook=14_09.xlsx&amp;sheet=A0&amp;row=1800&amp;col=6&amp;number=2450000&amp;sourceID=14","2450000")</f>
        <v>2450000</v>
      </c>
      <c r="G1800" s="4" t="str">
        <f>HYPERLINK("http://141.218.60.56/~jnz1568/getInfo.php?workbook=14_09.xlsx&amp;sheet=A0&amp;row=1800&amp;col=7&amp;number=0&amp;sourceID=14","0")</f>
        <v>0</v>
      </c>
    </row>
    <row r="1801" spans="1:7">
      <c r="A1801" s="3">
        <v>14</v>
      </c>
      <c r="B1801" s="3">
        <v>9</v>
      </c>
      <c r="C1801" s="3">
        <v>183</v>
      </c>
      <c r="D1801" s="3">
        <v>33</v>
      </c>
      <c r="E1801" s="3">
        <v>-248.511</v>
      </c>
      <c r="F1801" s="4" t="str">
        <f>HYPERLINK("http://141.218.60.56/~jnz1568/getInfo.php?workbook=14_09.xlsx&amp;sheet=A0&amp;row=1801&amp;col=6&amp;number=134000000&amp;sourceID=14","134000000")</f>
        <v>134000000</v>
      </c>
      <c r="G1801" s="4" t="str">
        <f>HYPERLINK("http://141.218.60.56/~jnz1568/getInfo.php?workbook=14_09.xlsx&amp;sheet=A0&amp;row=1801&amp;col=7&amp;number=0&amp;sourceID=14","0")</f>
        <v>0</v>
      </c>
    </row>
    <row r="1802" spans="1:7">
      <c r="A1802" s="3">
        <v>14</v>
      </c>
      <c r="B1802" s="3">
        <v>9</v>
      </c>
      <c r="C1802" s="3">
        <v>184</v>
      </c>
      <c r="D1802" s="3">
        <v>33</v>
      </c>
      <c r="E1802" s="3">
        <v>-247.046</v>
      </c>
      <c r="F1802" s="4" t="str">
        <f>HYPERLINK("http://141.218.60.56/~jnz1568/getInfo.php?workbook=14_09.xlsx&amp;sheet=A0&amp;row=1802&amp;col=6&amp;number=5580000&amp;sourceID=14","5580000")</f>
        <v>5580000</v>
      </c>
      <c r="G1802" s="4" t="str">
        <f>HYPERLINK("http://141.218.60.56/~jnz1568/getInfo.php?workbook=14_09.xlsx&amp;sheet=A0&amp;row=1802&amp;col=7&amp;number=0&amp;sourceID=14","0")</f>
        <v>0</v>
      </c>
    </row>
    <row r="1803" spans="1:7">
      <c r="A1803" s="3">
        <v>14</v>
      </c>
      <c r="B1803" s="3">
        <v>9</v>
      </c>
      <c r="C1803" s="3">
        <v>190</v>
      </c>
      <c r="D1803" s="3">
        <v>33</v>
      </c>
      <c r="E1803" s="3">
        <v>-186.765</v>
      </c>
      <c r="F1803" s="4" t="str">
        <f>HYPERLINK("http://141.218.60.56/~jnz1568/getInfo.php?workbook=14_09.xlsx&amp;sheet=A0&amp;row=1803&amp;col=6&amp;number=5810000&amp;sourceID=14","5810000")</f>
        <v>5810000</v>
      </c>
      <c r="G1803" s="4" t="str">
        <f>HYPERLINK("http://141.218.60.56/~jnz1568/getInfo.php?workbook=14_09.xlsx&amp;sheet=A0&amp;row=1803&amp;col=7&amp;number=0&amp;sourceID=14","0")</f>
        <v>0</v>
      </c>
    </row>
    <row r="1804" spans="1:7">
      <c r="A1804" s="3">
        <v>14</v>
      </c>
      <c r="B1804" s="3">
        <v>9</v>
      </c>
      <c r="C1804" s="3">
        <v>192</v>
      </c>
      <c r="D1804" s="3">
        <v>33</v>
      </c>
      <c r="E1804" s="3">
        <v>-185.486</v>
      </c>
      <c r="F1804" s="4" t="str">
        <f>HYPERLINK("http://141.218.60.56/~jnz1568/getInfo.php?workbook=14_09.xlsx&amp;sheet=A0&amp;row=1804&amp;col=6&amp;number=5200000&amp;sourceID=14","5200000")</f>
        <v>5200000</v>
      </c>
      <c r="G1804" s="4" t="str">
        <f>HYPERLINK("http://141.218.60.56/~jnz1568/getInfo.php?workbook=14_09.xlsx&amp;sheet=A0&amp;row=1804&amp;col=7&amp;number=0&amp;sourceID=14","0")</f>
        <v>0</v>
      </c>
    </row>
    <row r="1805" spans="1:7">
      <c r="A1805" s="3">
        <v>14</v>
      </c>
      <c r="B1805" s="3">
        <v>9</v>
      </c>
      <c r="C1805" s="3">
        <v>193</v>
      </c>
      <c r="D1805" s="3">
        <v>33</v>
      </c>
      <c r="E1805" s="3">
        <v>-185.439</v>
      </c>
      <c r="F1805" s="4" t="str">
        <f>HYPERLINK("http://141.218.60.56/~jnz1568/getInfo.php?workbook=14_09.xlsx&amp;sheet=A0&amp;row=1805&amp;col=6&amp;number=88500000&amp;sourceID=14","88500000")</f>
        <v>88500000</v>
      </c>
      <c r="G1805" s="4" t="str">
        <f>HYPERLINK("http://141.218.60.56/~jnz1568/getInfo.php?workbook=14_09.xlsx&amp;sheet=A0&amp;row=1805&amp;col=7&amp;number=0&amp;sourceID=14","0")</f>
        <v>0</v>
      </c>
    </row>
    <row r="1806" spans="1:7">
      <c r="A1806" s="3">
        <v>14</v>
      </c>
      <c r="B1806" s="3">
        <v>9</v>
      </c>
      <c r="C1806" s="3">
        <v>194</v>
      </c>
      <c r="D1806" s="3">
        <v>33</v>
      </c>
      <c r="E1806" s="3">
        <v>-184.469</v>
      </c>
      <c r="F1806" s="4" t="str">
        <f>HYPERLINK("http://141.218.60.56/~jnz1568/getInfo.php?workbook=14_09.xlsx&amp;sheet=A0&amp;row=1806&amp;col=6&amp;number=13700000&amp;sourceID=14","13700000")</f>
        <v>13700000</v>
      </c>
      <c r="G1806" s="4" t="str">
        <f>HYPERLINK("http://141.218.60.56/~jnz1568/getInfo.php?workbook=14_09.xlsx&amp;sheet=A0&amp;row=1806&amp;col=7&amp;number=0&amp;sourceID=14","0")</f>
        <v>0</v>
      </c>
    </row>
    <row r="1807" spans="1:7">
      <c r="A1807" s="3">
        <v>14</v>
      </c>
      <c r="B1807" s="3">
        <v>9</v>
      </c>
      <c r="C1807" s="3">
        <v>67</v>
      </c>
      <c r="D1807" s="3">
        <v>34</v>
      </c>
      <c r="E1807" s="3">
        <v>-598.588</v>
      </c>
      <c r="F1807" s="4" t="str">
        <f>HYPERLINK("http://141.218.60.56/~jnz1568/getInfo.php?workbook=14_09.xlsx&amp;sheet=A0&amp;row=1807&amp;col=6&amp;number=104000000&amp;sourceID=14","104000000")</f>
        <v>104000000</v>
      </c>
      <c r="G1807" s="4" t="str">
        <f>HYPERLINK("http://141.218.60.56/~jnz1568/getInfo.php?workbook=14_09.xlsx&amp;sheet=A0&amp;row=1807&amp;col=7&amp;number=0&amp;sourceID=14","0")</f>
        <v>0</v>
      </c>
    </row>
    <row r="1808" spans="1:7">
      <c r="A1808" s="3">
        <v>14</v>
      </c>
      <c r="B1808" s="3">
        <v>9</v>
      </c>
      <c r="C1808" s="3">
        <v>68</v>
      </c>
      <c r="D1808" s="3">
        <v>34</v>
      </c>
      <c r="E1808" s="3">
        <v>-593.374</v>
      </c>
      <c r="F1808" s="4" t="str">
        <f>HYPERLINK("http://141.218.60.56/~jnz1568/getInfo.php?workbook=14_09.xlsx&amp;sheet=A0&amp;row=1808&amp;col=6&amp;number=662000000&amp;sourceID=14","662000000")</f>
        <v>662000000</v>
      </c>
      <c r="G1808" s="4" t="str">
        <f>HYPERLINK("http://141.218.60.56/~jnz1568/getInfo.php?workbook=14_09.xlsx&amp;sheet=A0&amp;row=1808&amp;col=7&amp;number=0&amp;sourceID=14","0")</f>
        <v>0</v>
      </c>
    </row>
    <row r="1809" spans="1:7">
      <c r="A1809" s="3">
        <v>14</v>
      </c>
      <c r="B1809" s="3">
        <v>9</v>
      </c>
      <c r="C1809" s="3">
        <v>71</v>
      </c>
      <c r="D1809" s="3">
        <v>34</v>
      </c>
      <c r="E1809" s="3">
        <v>-568.002</v>
      </c>
      <c r="F1809" s="4" t="str">
        <f>HYPERLINK("http://141.218.60.56/~jnz1568/getInfo.php?workbook=14_09.xlsx&amp;sheet=A0&amp;row=1809&amp;col=6&amp;number=59800000&amp;sourceID=14","59800000")</f>
        <v>59800000</v>
      </c>
      <c r="G1809" s="4" t="str">
        <f>HYPERLINK("http://141.218.60.56/~jnz1568/getInfo.php?workbook=14_09.xlsx&amp;sheet=A0&amp;row=1809&amp;col=7&amp;number=0&amp;sourceID=14","0")</f>
        <v>0</v>
      </c>
    </row>
    <row r="1810" spans="1:7">
      <c r="A1810" s="3">
        <v>14</v>
      </c>
      <c r="B1810" s="3">
        <v>9</v>
      </c>
      <c r="C1810" s="3">
        <v>73</v>
      </c>
      <c r="D1810" s="3">
        <v>34</v>
      </c>
      <c r="E1810" s="3">
        <v>-564.399</v>
      </c>
      <c r="F1810" s="4" t="str">
        <f>HYPERLINK("http://141.218.60.56/~jnz1568/getInfo.php?workbook=14_09.xlsx&amp;sheet=A0&amp;row=1810&amp;col=6&amp;number=96200000&amp;sourceID=14","96200000")</f>
        <v>96200000</v>
      </c>
      <c r="G1810" s="4" t="str">
        <f>HYPERLINK("http://141.218.60.56/~jnz1568/getInfo.php?workbook=14_09.xlsx&amp;sheet=A0&amp;row=1810&amp;col=7&amp;number=0&amp;sourceID=14","0")</f>
        <v>0</v>
      </c>
    </row>
    <row r="1811" spans="1:7">
      <c r="A1811" s="3">
        <v>14</v>
      </c>
      <c r="B1811" s="3">
        <v>9</v>
      </c>
      <c r="C1811" s="3">
        <v>74</v>
      </c>
      <c r="D1811" s="3">
        <v>34</v>
      </c>
      <c r="E1811" s="3">
        <v>-560.571</v>
      </c>
      <c r="F1811" s="4" t="str">
        <f>HYPERLINK("http://141.218.60.56/~jnz1568/getInfo.php?workbook=14_09.xlsx&amp;sheet=A0&amp;row=1811&amp;col=6&amp;number=2260000&amp;sourceID=14","2260000")</f>
        <v>2260000</v>
      </c>
      <c r="G1811" s="4" t="str">
        <f>HYPERLINK("http://141.218.60.56/~jnz1568/getInfo.php?workbook=14_09.xlsx&amp;sheet=A0&amp;row=1811&amp;col=7&amp;number=0&amp;sourceID=14","0")</f>
        <v>0</v>
      </c>
    </row>
    <row r="1812" spans="1:7">
      <c r="A1812" s="3">
        <v>14</v>
      </c>
      <c r="B1812" s="3">
        <v>9</v>
      </c>
      <c r="C1812" s="3">
        <v>75</v>
      </c>
      <c r="D1812" s="3">
        <v>34</v>
      </c>
      <c r="E1812" s="3">
        <v>-558.826</v>
      </c>
      <c r="F1812" s="4" t="str">
        <f>HYPERLINK("http://141.218.60.56/~jnz1568/getInfo.php?workbook=14_09.xlsx&amp;sheet=A0&amp;row=1812&amp;col=6&amp;number=2080000&amp;sourceID=14","2080000")</f>
        <v>2080000</v>
      </c>
      <c r="G1812" s="4" t="str">
        <f>HYPERLINK("http://141.218.60.56/~jnz1568/getInfo.php?workbook=14_09.xlsx&amp;sheet=A0&amp;row=1812&amp;col=7&amp;number=0&amp;sourceID=14","0")</f>
        <v>0</v>
      </c>
    </row>
    <row r="1813" spans="1:7">
      <c r="A1813" s="3">
        <v>14</v>
      </c>
      <c r="B1813" s="3">
        <v>9</v>
      </c>
      <c r="C1813" s="3">
        <v>76</v>
      </c>
      <c r="D1813" s="3">
        <v>34</v>
      </c>
      <c r="E1813" s="3">
        <v>-557.934</v>
      </c>
      <c r="F1813" s="4" t="str">
        <f>HYPERLINK("http://141.218.60.56/~jnz1568/getInfo.php?workbook=14_09.xlsx&amp;sheet=A0&amp;row=1813&amp;col=6&amp;number=3990000&amp;sourceID=14","3990000")</f>
        <v>3990000</v>
      </c>
      <c r="G1813" s="4" t="str">
        <f>HYPERLINK("http://141.218.60.56/~jnz1568/getInfo.php?workbook=14_09.xlsx&amp;sheet=A0&amp;row=1813&amp;col=7&amp;number=0&amp;sourceID=14","0")</f>
        <v>0</v>
      </c>
    </row>
    <row r="1814" spans="1:7">
      <c r="A1814" s="3">
        <v>14</v>
      </c>
      <c r="B1814" s="3">
        <v>9</v>
      </c>
      <c r="C1814" s="3">
        <v>82</v>
      </c>
      <c r="D1814" s="3">
        <v>34</v>
      </c>
      <c r="E1814" s="3">
        <v>-516.338</v>
      </c>
      <c r="F1814" s="4" t="str">
        <f>HYPERLINK("http://141.218.60.56/~jnz1568/getInfo.php?workbook=14_09.xlsx&amp;sheet=A0&amp;row=1814&amp;col=6&amp;number=21700000&amp;sourceID=14","21700000")</f>
        <v>21700000</v>
      </c>
      <c r="G1814" s="4" t="str">
        <f>HYPERLINK("http://141.218.60.56/~jnz1568/getInfo.php?workbook=14_09.xlsx&amp;sheet=A0&amp;row=1814&amp;col=7&amp;number=0&amp;sourceID=14","0")</f>
        <v>0</v>
      </c>
    </row>
    <row r="1815" spans="1:7">
      <c r="A1815" s="3">
        <v>14</v>
      </c>
      <c r="B1815" s="3">
        <v>9</v>
      </c>
      <c r="C1815" s="3">
        <v>83</v>
      </c>
      <c r="D1815" s="3">
        <v>34</v>
      </c>
      <c r="E1815" s="3">
        <v>-511.937</v>
      </c>
      <c r="F1815" s="4" t="str">
        <f>HYPERLINK("http://141.218.60.56/~jnz1568/getInfo.php?workbook=14_09.xlsx&amp;sheet=A0&amp;row=1815&amp;col=6&amp;number=177000000&amp;sourceID=14","177000000")</f>
        <v>177000000</v>
      </c>
      <c r="G1815" s="4" t="str">
        <f>HYPERLINK("http://141.218.60.56/~jnz1568/getInfo.php?workbook=14_09.xlsx&amp;sheet=A0&amp;row=1815&amp;col=7&amp;number=0&amp;sourceID=14","0")</f>
        <v>0</v>
      </c>
    </row>
    <row r="1816" spans="1:7">
      <c r="A1816" s="3">
        <v>14</v>
      </c>
      <c r="B1816" s="3">
        <v>9</v>
      </c>
      <c r="C1816" s="3">
        <v>108</v>
      </c>
      <c r="D1816" s="3">
        <v>34</v>
      </c>
      <c r="E1816" s="3">
        <v>-448.773</v>
      </c>
      <c r="F1816" s="4" t="str">
        <f>HYPERLINK("http://141.218.60.56/~jnz1568/getInfo.php?workbook=14_09.xlsx&amp;sheet=A0&amp;row=1816&amp;col=6&amp;number=6280000000&amp;sourceID=14","6280000000")</f>
        <v>6280000000</v>
      </c>
      <c r="G1816" s="4" t="str">
        <f>HYPERLINK("http://141.218.60.56/~jnz1568/getInfo.php?workbook=14_09.xlsx&amp;sheet=A0&amp;row=1816&amp;col=7&amp;number=0&amp;sourceID=14","0")</f>
        <v>0</v>
      </c>
    </row>
    <row r="1817" spans="1:7">
      <c r="A1817" s="3">
        <v>14</v>
      </c>
      <c r="B1817" s="3">
        <v>9</v>
      </c>
      <c r="C1817" s="3">
        <v>112</v>
      </c>
      <c r="D1817" s="3">
        <v>34</v>
      </c>
      <c r="E1817" s="3">
        <v>-446.86</v>
      </c>
      <c r="F1817" s="4" t="str">
        <f>HYPERLINK("http://141.218.60.56/~jnz1568/getInfo.php?workbook=14_09.xlsx&amp;sheet=A0&amp;row=1817&amp;col=6&amp;number=2350000000&amp;sourceID=14","2350000000")</f>
        <v>2350000000</v>
      </c>
      <c r="G1817" s="4" t="str">
        <f>HYPERLINK("http://141.218.60.56/~jnz1568/getInfo.php?workbook=14_09.xlsx&amp;sheet=A0&amp;row=1817&amp;col=7&amp;number=0&amp;sourceID=14","0")</f>
        <v>0</v>
      </c>
    </row>
    <row r="1818" spans="1:7">
      <c r="A1818" s="3">
        <v>14</v>
      </c>
      <c r="B1818" s="3">
        <v>9</v>
      </c>
      <c r="C1818" s="3">
        <v>113</v>
      </c>
      <c r="D1818" s="3">
        <v>34</v>
      </c>
      <c r="E1818" s="3">
        <v>-446.86</v>
      </c>
      <c r="F1818" s="4" t="str">
        <f>HYPERLINK("http://141.218.60.56/~jnz1568/getInfo.php?workbook=14_09.xlsx&amp;sheet=A0&amp;row=1818&amp;col=6&amp;number=10200000&amp;sourceID=14","10200000")</f>
        <v>10200000</v>
      </c>
      <c r="G1818" s="4" t="str">
        <f>HYPERLINK("http://141.218.60.56/~jnz1568/getInfo.php?workbook=14_09.xlsx&amp;sheet=A0&amp;row=1818&amp;col=7&amp;number=0&amp;sourceID=14","0")</f>
        <v>0</v>
      </c>
    </row>
    <row r="1819" spans="1:7">
      <c r="A1819" s="3">
        <v>14</v>
      </c>
      <c r="B1819" s="3">
        <v>9</v>
      </c>
      <c r="C1819" s="3">
        <v>116</v>
      </c>
      <c r="D1819" s="3">
        <v>34</v>
      </c>
      <c r="E1819" s="3">
        <v>-446.505</v>
      </c>
      <c r="F1819" s="4" t="str">
        <f>HYPERLINK("http://141.218.60.56/~jnz1568/getInfo.php?workbook=14_09.xlsx&amp;sheet=A0&amp;row=1819&amp;col=6&amp;number=940000000&amp;sourceID=14","940000000")</f>
        <v>940000000</v>
      </c>
      <c r="G1819" s="4" t="str">
        <f>HYPERLINK("http://141.218.60.56/~jnz1568/getInfo.php?workbook=14_09.xlsx&amp;sheet=A0&amp;row=1819&amp;col=7&amp;number=0&amp;sourceID=14","0")</f>
        <v>0</v>
      </c>
    </row>
    <row r="1820" spans="1:7">
      <c r="A1820" s="3">
        <v>14</v>
      </c>
      <c r="B1820" s="3">
        <v>9</v>
      </c>
      <c r="C1820" s="3">
        <v>117</v>
      </c>
      <c r="D1820" s="3">
        <v>34</v>
      </c>
      <c r="E1820" s="3">
        <v>-441.183</v>
      </c>
      <c r="F1820" s="4" t="str">
        <f>HYPERLINK("http://141.218.60.56/~jnz1568/getInfo.php?workbook=14_09.xlsx&amp;sheet=A0&amp;row=1820&amp;col=6&amp;number=5320000000&amp;sourceID=14","5320000000")</f>
        <v>5320000000</v>
      </c>
      <c r="G1820" s="4" t="str">
        <f>HYPERLINK("http://141.218.60.56/~jnz1568/getInfo.php?workbook=14_09.xlsx&amp;sheet=A0&amp;row=1820&amp;col=7&amp;number=0&amp;sourceID=14","0")</f>
        <v>0</v>
      </c>
    </row>
    <row r="1821" spans="1:7">
      <c r="A1821" s="3">
        <v>14</v>
      </c>
      <c r="B1821" s="3">
        <v>9</v>
      </c>
      <c r="C1821" s="3">
        <v>138</v>
      </c>
      <c r="D1821" s="3">
        <v>34</v>
      </c>
      <c r="E1821" s="3">
        <v>-371.21</v>
      </c>
      <c r="F1821" s="4" t="str">
        <f>HYPERLINK("http://141.218.60.56/~jnz1568/getInfo.php?workbook=14_09.xlsx&amp;sheet=A0&amp;row=1821&amp;col=6&amp;number=454000&amp;sourceID=14","454000")</f>
        <v>454000</v>
      </c>
      <c r="G1821" s="4" t="str">
        <f>HYPERLINK("http://141.218.60.56/~jnz1568/getInfo.php?workbook=14_09.xlsx&amp;sheet=A0&amp;row=1821&amp;col=7&amp;number=0&amp;sourceID=14","0")</f>
        <v>0</v>
      </c>
    </row>
    <row r="1822" spans="1:7">
      <c r="A1822" s="3">
        <v>14</v>
      </c>
      <c r="B1822" s="3">
        <v>9</v>
      </c>
      <c r="C1822" s="3">
        <v>142</v>
      </c>
      <c r="D1822" s="3">
        <v>34</v>
      </c>
      <c r="E1822" s="3">
        <v>-369.293</v>
      </c>
      <c r="F1822" s="4" t="str">
        <f>HYPERLINK("http://141.218.60.56/~jnz1568/getInfo.php?workbook=14_09.xlsx&amp;sheet=A0&amp;row=1822&amp;col=6&amp;number=1320000&amp;sourceID=14","1320000")</f>
        <v>1320000</v>
      </c>
      <c r="G1822" s="4" t="str">
        <f>HYPERLINK("http://141.218.60.56/~jnz1568/getInfo.php?workbook=14_09.xlsx&amp;sheet=A0&amp;row=1822&amp;col=7&amp;number=0&amp;sourceID=14","0")</f>
        <v>0</v>
      </c>
    </row>
    <row r="1823" spans="1:7">
      <c r="A1823" s="3">
        <v>14</v>
      </c>
      <c r="B1823" s="3">
        <v>9</v>
      </c>
      <c r="C1823" s="3">
        <v>168</v>
      </c>
      <c r="D1823" s="3">
        <v>34</v>
      </c>
      <c r="E1823" s="3">
        <v>-269.244</v>
      </c>
      <c r="F1823" s="4" t="str">
        <f>HYPERLINK("http://141.218.60.56/~jnz1568/getInfo.php?workbook=14_09.xlsx&amp;sheet=A0&amp;row=1823&amp;col=6&amp;number=8410000000&amp;sourceID=14","8410000000")</f>
        <v>8410000000</v>
      </c>
      <c r="G1823" s="4" t="str">
        <f>HYPERLINK("http://141.218.60.56/~jnz1568/getInfo.php?workbook=14_09.xlsx&amp;sheet=A0&amp;row=1823&amp;col=7&amp;number=0&amp;sourceID=14","0")</f>
        <v>0</v>
      </c>
    </row>
    <row r="1824" spans="1:7">
      <c r="A1824" s="3">
        <v>14</v>
      </c>
      <c r="B1824" s="3">
        <v>9</v>
      </c>
      <c r="C1824" s="3">
        <v>169</v>
      </c>
      <c r="D1824" s="3">
        <v>34</v>
      </c>
      <c r="E1824" s="3">
        <v>-268.647</v>
      </c>
      <c r="F1824" s="4" t="str">
        <f>HYPERLINK("http://141.218.60.56/~jnz1568/getInfo.php?workbook=14_09.xlsx&amp;sheet=A0&amp;row=1824&amp;col=6&amp;number=617000000&amp;sourceID=14","617000000")</f>
        <v>617000000</v>
      </c>
      <c r="G1824" s="4" t="str">
        <f>HYPERLINK("http://141.218.60.56/~jnz1568/getInfo.php?workbook=14_09.xlsx&amp;sheet=A0&amp;row=1824&amp;col=7&amp;number=0&amp;sourceID=14","0")</f>
        <v>0</v>
      </c>
    </row>
    <row r="1825" spans="1:7">
      <c r="A1825" s="3">
        <v>14</v>
      </c>
      <c r="B1825" s="3">
        <v>9</v>
      </c>
      <c r="C1825" s="3">
        <v>174</v>
      </c>
      <c r="D1825" s="3">
        <v>34</v>
      </c>
      <c r="E1825" s="3">
        <v>-263.123</v>
      </c>
      <c r="F1825" s="4" t="str">
        <f>HYPERLINK("http://141.218.60.56/~jnz1568/getInfo.php?workbook=14_09.xlsx&amp;sheet=A0&amp;row=1825&amp;col=6&amp;number=3660000000&amp;sourceID=14","3660000000")</f>
        <v>3660000000</v>
      </c>
      <c r="G1825" s="4" t="str">
        <f>HYPERLINK("http://141.218.60.56/~jnz1568/getInfo.php?workbook=14_09.xlsx&amp;sheet=A0&amp;row=1825&amp;col=7&amp;number=0&amp;sourceID=14","0")</f>
        <v>0</v>
      </c>
    </row>
    <row r="1826" spans="1:7">
      <c r="A1826" s="3">
        <v>14</v>
      </c>
      <c r="B1826" s="3">
        <v>9</v>
      </c>
      <c r="C1826" s="3">
        <v>178</v>
      </c>
      <c r="D1826" s="3">
        <v>34</v>
      </c>
      <c r="E1826" s="3">
        <v>-257.849</v>
      </c>
      <c r="F1826" s="4" t="str">
        <f>HYPERLINK("http://141.218.60.56/~jnz1568/getInfo.php?workbook=14_09.xlsx&amp;sheet=A0&amp;row=1826&amp;col=6&amp;number=841000000&amp;sourceID=14","841000000")</f>
        <v>841000000</v>
      </c>
      <c r="G1826" s="4" t="str">
        <f>HYPERLINK("http://141.218.60.56/~jnz1568/getInfo.php?workbook=14_09.xlsx&amp;sheet=A0&amp;row=1826&amp;col=7&amp;number=0&amp;sourceID=14","0")</f>
        <v>0</v>
      </c>
    </row>
    <row r="1827" spans="1:7">
      <c r="A1827" s="3">
        <v>14</v>
      </c>
      <c r="B1827" s="3">
        <v>9</v>
      </c>
      <c r="C1827" s="3">
        <v>179</v>
      </c>
      <c r="D1827" s="3">
        <v>34</v>
      </c>
      <c r="E1827" s="3">
        <v>-257.828</v>
      </c>
      <c r="F1827" s="4" t="str">
        <f>HYPERLINK("http://141.218.60.56/~jnz1568/getInfo.php?workbook=14_09.xlsx&amp;sheet=A0&amp;row=1827&amp;col=6&amp;number=432000000&amp;sourceID=14","432000000")</f>
        <v>432000000</v>
      </c>
      <c r="G1827" s="4" t="str">
        <f>HYPERLINK("http://141.218.60.56/~jnz1568/getInfo.php?workbook=14_09.xlsx&amp;sheet=A0&amp;row=1827&amp;col=7&amp;number=0&amp;sourceID=14","0")</f>
        <v>0</v>
      </c>
    </row>
    <row r="1828" spans="1:7">
      <c r="A1828" s="3">
        <v>14</v>
      </c>
      <c r="B1828" s="3">
        <v>9</v>
      </c>
      <c r="C1828" s="3">
        <v>182</v>
      </c>
      <c r="D1828" s="3">
        <v>34</v>
      </c>
      <c r="E1828" s="3">
        <v>-254.209</v>
      </c>
      <c r="F1828" s="4" t="str">
        <f>HYPERLINK("http://141.218.60.56/~jnz1568/getInfo.php?workbook=14_09.xlsx&amp;sheet=A0&amp;row=1828&amp;col=6&amp;number=6640000&amp;sourceID=14","6640000")</f>
        <v>6640000</v>
      </c>
      <c r="G1828" s="4" t="str">
        <f>HYPERLINK("http://141.218.60.56/~jnz1568/getInfo.php?workbook=14_09.xlsx&amp;sheet=A0&amp;row=1828&amp;col=7&amp;number=0&amp;sourceID=14","0")</f>
        <v>0</v>
      </c>
    </row>
    <row r="1829" spans="1:7">
      <c r="A1829" s="3">
        <v>14</v>
      </c>
      <c r="B1829" s="3">
        <v>9</v>
      </c>
      <c r="C1829" s="3">
        <v>183</v>
      </c>
      <c r="D1829" s="3">
        <v>34</v>
      </c>
      <c r="E1829" s="3">
        <v>-248.845</v>
      </c>
      <c r="F1829" s="4" t="str">
        <f>HYPERLINK("http://141.218.60.56/~jnz1568/getInfo.php?workbook=14_09.xlsx&amp;sheet=A0&amp;row=1829&amp;col=6&amp;number=46900000&amp;sourceID=14","46900000")</f>
        <v>46900000</v>
      </c>
      <c r="G1829" s="4" t="str">
        <f>HYPERLINK("http://141.218.60.56/~jnz1568/getInfo.php?workbook=14_09.xlsx&amp;sheet=A0&amp;row=1829&amp;col=7&amp;number=0&amp;sourceID=14","0")</f>
        <v>0</v>
      </c>
    </row>
    <row r="1830" spans="1:7">
      <c r="A1830" s="3">
        <v>14</v>
      </c>
      <c r="B1830" s="3">
        <v>9</v>
      </c>
      <c r="C1830" s="3">
        <v>184</v>
      </c>
      <c r="D1830" s="3">
        <v>34</v>
      </c>
      <c r="E1830" s="3">
        <v>-247.375</v>
      </c>
      <c r="F1830" s="4" t="str">
        <f>HYPERLINK("http://141.218.60.56/~jnz1568/getInfo.php?workbook=14_09.xlsx&amp;sheet=A0&amp;row=1830&amp;col=6&amp;number=5710000&amp;sourceID=14","5710000")</f>
        <v>5710000</v>
      </c>
      <c r="G1830" s="4" t="str">
        <f>HYPERLINK("http://141.218.60.56/~jnz1568/getInfo.php?workbook=14_09.xlsx&amp;sheet=A0&amp;row=1830&amp;col=7&amp;number=0&amp;sourceID=14","0")</f>
        <v>0</v>
      </c>
    </row>
    <row r="1831" spans="1:7">
      <c r="A1831" s="3">
        <v>14</v>
      </c>
      <c r="B1831" s="3">
        <v>9</v>
      </c>
      <c r="C1831" s="3">
        <v>192</v>
      </c>
      <c r="D1831" s="3">
        <v>34</v>
      </c>
      <c r="E1831" s="3">
        <v>-185.672</v>
      </c>
      <c r="F1831" s="4" t="str">
        <f>HYPERLINK("http://141.218.60.56/~jnz1568/getInfo.php?workbook=14_09.xlsx&amp;sheet=A0&amp;row=1831&amp;col=6&amp;number=8560000&amp;sourceID=14","8560000")</f>
        <v>8560000</v>
      </c>
      <c r="G1831" s="4" t="str">
        <f>HYPERLINK("http://141.218.60.56/~jnz1568/getInfo.php?workbook=14_09.xlsx&amp;sheet=A0&amp;row=1831&amp;col=7&amp;number=0&amp;sourceID=14","0")</f>
        <v>0</v>
      </c>
    </row>
    <row r="1832" spans="1:7">
      <c r="A1832" s="3">
        <v>14</v>
      </c>
      <c r="B1832" s="3">
        <v>9</v>
      </c>
      <c r="C1832" s="3">
        <v>193</v>
      </c>
      <c r="D1832" s="3">
        <v>34</v>
      </c>
      <c r="E1832" s="3">
        <v>-185.625</v>
      </c>
      <c r="F1832" s="4" t="str">
        <f>HYPERLINK("http://141.218.60.56/~jnz1568/getInfo.php?workbook=14_09.xlsx&amp;sheet=A0&amp;row=1832&amp;col=6&amp;number=37300000&amp;sourceID=14","37300000")</f>
        <v>37300000</v>
      </c>
      <c r="G1832" s="4" t="str">
        <f>HYPERLINK("http://141.218.60.56/~jnz1568/getInfo.php?workbook=14_09.xlsx&amp;sheet=A0&amp;row=1832&amp;col=7&amp;number=0&amp;sourceID=14","0")</f>
        <v>0</v>
      </c>
    </row>
    <row r="1833" spans="1:7">
      <c r="A1833" s="3">
        <v>14</v>
      </c>
      <c r="B1833" s="3">
        <v>9</v>
      </c>
      <c r="C1833" s="3">
        <v>194</v>
      </c>
      <c r="D1833" s="3">
        <v>34</v>
      </c>
      <c r="E1833" s="3">
        <v>-184.652</v>
      </c>
      <c r="F1833" s="4" t="str">
        <f>HYPERLINK("http://141.218.60.56/~jnz1568/getInfo.php?workbook=14_09.xlsx&amp;sheet=A0&amp;row=1833&amp;col=6&amp;number=2860000&amp;sourceID=14","2860000")</f>
        <v>2860000</v>
      </c>
      <c r="G1833" s="4" t="str">
        <f>HYPERLINK("http://141.218.60.56/~jnz1568/getInfo.php?workbook=14_09.xlsx&amp;sheet=A0&amp;row=1833&amp;col=7&amp;number=0&amp;sourceID=14","0")</f>
        <v>0</v>
      </c>
    </row>
    <row r="1834" spans="1:7">
      <c r="A1834" s="3">
        <v>14</v>
      </c>
      <c r="B1834" s="3">
        <v>9</v>
      </c>
      <c r="C1834" s="3">
        <v>69</v>
      </c>
      <c r="D1834" s="3">
        <v>35</v>
      </c>
      <c r="E1834" s="3">
        <v>-605.203</v>
      </c>
      <c r="F1834" s="4" t="str">
        <f>HYPERLINK("http://141.218.60.56/~jnz1568/getInfo.php?workbook=14_09.xlsx&amp;sheet=A0&amp;row=1834&amp;col=6&amp;number=1740000000&amp;sourceID=14","1740000000")</f>
        <v>1740000000</v>
      </c>
      <c r="G1834" s="4" t="str">
        <f>HYPERLINK("http://141.218.60.56/~jnz1568/getInfo.php?workbook=14_09.xlsx&amp;sheet=A0&amp;row=1834&amp;col=7&amp;number=0&amp;sourceID=14","0")</f>
        <v>0</v>
      </c>
    </row>
    <row r="1835" spans="1:7">
      <c r="A1835" s="3">
        <v>14</v>
      </c>
      <c r="B1835" s="3">
        <v>9</v>
      </c>
      <c r="C1835" s="3">
        <v>104</v>
      </c>
      <c r="D1835" s="3">
        <v>35</v>
      </c>
      <c r="E1835" s="3">
        <v>-465.633</v>
      </c>
      <c r="F1835" s="4" t="str">
        <f>HYPERLINK("http://141.218.60.56/~jnz1568/getInfo.php?workbook=14_09.xlsx&amp;sheet=A0&amp;row=1835&amp;col=6&amp;number=2730000000&amp;sourceID=14","2730000000")</f>
        <v>2730000000</v>
      </c>
      <c r="G1835" s="4" t="str">
        <f>HYPERLINK("http://141.218.60.56/~jnz1568/getInfo.php?workbook=14_09.xlsx&amp;sheet=A0&amp;row=1835&amp;col=7&amp;number=0&amp;sourceID=14","0")</f>
        <v>0</v>
      </c>
    </row>
    <row r="1836" spans="1:7">
      <c r="A1836" s="3">
        <v>14</v>
      </c>
      <c r="B1836" s="3">
        <v>9</v>
      </c>
      <c r="C1836" s="3">
        <v>105</v>
      </c>
      <c r="D1836" s="3">
        <v>35</v>
      </c>
      <c r="E1836" s="3">
        <v>-465.57</v>
      </c>
      <c r="F1836" s="4" t="str">
        <f>HYPERLINK("http://141.218.60.56/~jnz1568/getInfo.php?workbook=14_09.xlsx&amp;sheet=A0&amp;row=1836&amp;col=6&amp;number=345000000&amp;sourceID=14","345000000")</f>
        <v>345000000</v>
      </c>
      <c r="G1836" s="4" t="str">
        <f>HYPERLINK("http://141.218.60.56/~jnz1568/getInfo.php?workbook=14_09.xlsx&amp;sheet=A0&amp;row=1836&amp;col=7&amp;number=0&amp;sourceID=14","0")</f>
        <v>0</v>
      </c>
    </row>
    <row r="1837" spans="1:7">
      <c r="A1837" s="3">
        <v>14</v>
      </c>
      <c r="B1837" s="3">
        <v>9</v>
      </c>
      <c r="C1837" s="3">
        <v>107</v>
      </c>
      <c r="D1837" s="3">
        <v>35</v>
      </c>
      <c r="E1837" s="3">
        <v>-464.639</v>
      </c>
      <c r="F1837" s="4" t="str">
        <f>HYPERLINK("http://141.218.60.56/~jnz1568/getInfo.php?workbook=14_09.xlsx&amp;sheet=A0&amp;row=1837&amp;col=6&amp;number=5230000&amp;sourceID=14","5230000")</f>
        <v>5230000</v>
      </c>
      <c r="G1837" s="4" t="str">
        <f>HYPERLINK("http://141.218.60.56/~jnz1568/getInfo.php?workbook=14_09.xlsx&amp;sheet=A0&amp;row=1837&amp;col=7&amp;number=0&amp;sourceID=14","0")</f>
        <v>0</v>
      </c>
    </row>
    <row r="1838" spans="1:7">
      <c r="A1838" s="3">
        <v>14</v>
      </c>
      <c r="B1838" s="3">
        <v>9</v>
      </c>
      <c r="C1838" s="3">
        <v>111</v>
      </c>
      <c r="D1838" s="3">
        <v>35</v>
      </c>
      <c r="E1838" s="3">
        <v>-462.388</v>
      </c>
      <c r="F1838" s="4" t="str">
        <f>HYPERLINK("http://141.218.60.56/~jnz1568/getInfo.php?workbook=14_09.xlsx&amp;sheet=A0&amp;row=1838&amp;col=6&amp;number=19700000000&amp;sourceID=14","19700000000")</f>
        <v>19700000000</v>
      </c>
      <c r="G1838" s="4" t="str">
        <f>HYPERLINK("http://141.218.60.56/~jnz1568/getInfo.php?workbook=14_09.xlsx&amp;sheet=A0&amp;row=1838&amp;col=7&amp;number=0&amp;sourceID=14","0")</f>
        <v>0</v>
      </c>
    </row>
    <row r="1839" spans="1:7">
      <c r="A1839" s="3">
        <v>14</v>
      </c>
      <c r="B1839" s="3">
        <v>9</v>
      </c>
      <c r="C1839" s="3">
        <v>114</v>
      </c>
      <c r="D1839" s="3">
        <v>35</v>
      </c>
      <c r="E1839" s="3">
        <v>-462.279</v>
      </c>
      <c r="F1839" s="4" t="str">
        <f>HYPERLINK("http://141.218.60.56/~jnz1568/getInfo.php?workbook=14_09.xlsx&amp;sheet=A0&amp;row=1839&amp;col=6&amp;number=416000000&amp;sourceID=14","416000000")</f>
        <v>416000000</v>
      </c>
      <c r="G1839" s="4" t="str">
        <f>HYPERLINK("http://141.218.60.56/~jnz1568/getInfo.php?workbook=14_09.xlsx&amp;sheet=A0&amp;row=1839&amp;col=7&amp;number=0&amp;sourceID=14","0")</f>
        <v>0</v>
      </c>
    </row>
    <row r="1840" spans="1:7">
      <c r="A1840" s="3">
        <v>14</v>
      </c>
      <c r="B1840" s="3">
        <v>9</v>
      </c>
      <c r="C1840" s="3">
        <v>119</v>
      </c>
      <c r="D1840" s="3">
        <v>35</v>
      </c>
      <c r="E1840" s="3">
        <v>-455.285</v>
      </c>
      <c r="F1840" s="4" t="str">
        <f>HYPERLINK("http://141.218.60.56/~jnz1568/getInfo.php?workbook=14_09.xlsx&amp;sheet=A0&amp;row=1840&amp;col=6&amp;number=185000000&amp;sourceID=14","185000000")</f>
        <v>185000000</v>
      </c>
      <c r="G1840" s="4" t="str">
        <f>HYPERLINK("http://141.218.60.56/~jnz1568/getInfo.php?workbook=14_09.xlsx&amp;sheet=A0&amp;row=1840&amp;col=7&amp;number=0&amp;sourceID=14","0")</f>
        <v>0</v>
      </c>
    </row>
    <row r="1841" spans="1:7">
      <c r="A1841" s="3">
        <v>14</v>
      </c>
      <c r="B1841" s="3">
        <v>9</v>
      </c>
      <c r="C1841" s="3">
        <v>120</v>
      </c>
      <c r="D1841" s="3">
        <v>35</v>
      </c>
      <c r="E1841" s="3">
        <v>-455.138</v>
      </c>
      <c r="F1841" s="4" t="str">
        <f>HYPERLINK("http://141.218.60.56/~jnz1568/getInfo.php?workbook=14_09.xlsx&amp;sheet=A0&amp;row=1841&amp;col=6&amp;number=6300000&amp;sourceID=14","6300000")</f>
        <v>6300000</v>
      </c>
      <c r="G1841" s="4" t="str">
        <f>HYPERLINK("http://141.218.60.56/~jnz1568/getInfo.php?workbook=14_09.xlsx&amp;sheet=A0&amp;row=1841&amp;col=7&amp;number=0&amp;sourceID=14","0")</f>
        <v>0</v>
      </c>
    </row>
    <row r="1842" spans="1:7">
      <c r="A1842" s="3">
        <v>14</v>
      </c>
      <c r="B1842" s="3">
        <v>9</v>
      </c>
      <c r="C1842" s="3">
        <v>121</v>
      </c>
      <c r="D1842" s="3">
        <v>35</v>
      </c>
      <c r="E1842" s="3">
        <v>-454.235</v>
      </c>
      <c r="F1842" s="4" t="str">
        <f>HYPERLINK("http://141.218.60.56/~jnz1568/getInfo.php?workbook=14_09.xlsx&amp;sheet=A0&amp;row=1842&amp;col=6&amp;number=18500000&amp;sourceID=14","18500000")</f>
        <v>18500000</v>
      </c>
      <c r="G1842" s="4" t="str">
        <f>HYPERLINK("http://141.218.60.56/~jnz1568/getInfo.php?workbook=14_09.xlsx&amp;sheet=A0&amp;row=1842&amp;col=7&amp;number=0&amp;sourceID=14","0")</f>
        <v>0</v>
      </c>
    </row>
    <row r="1843" spans="1:7">
      <c r="A1843" s="3">
        <v>14</v>
      </c>
      <c r="B1843" s="3">
        <v>9</v>
      </c>
      <c r="C1843" s="3">
        <v>123</v>
      </c>
      <c r="D1843" s="3">
        <v>35</v>
      </c>
      <c r="E1843" s="3">
        <v>-451.725</v>
      </c>
      <c r="F1843" s="4" t="str">
        <f>HYPERLINK("http://141.218.60.56/~jnz1568/getInfo.php?workbook=14_09.xlsx&amp;sheet=A0&amp;row=1843&amp;col=6&amp;number=16600000&amp;sourceID=14","16600000")</f>
        <v>16600000</v>
      </c>
      <c r="G1843" s="4" t="str">
        <f>HYPERLINK("http://141.218.60.56/~jnz1568/getInfo.php?workbook=14_09.xlsx&amp;sheet=A0&amp;row=1843&amp;col=7&amp;number=0&amp;sourceID=14","0")</f>
        <v>0</v>
      </c>
    </row>
    <row r="1844" spans="1:7">
      <c r="A1844" s="3">
        <v>14</v>
      </c>
      <c r="B1844" s="3">
        <v>9</v>
      </c>
      <c r="C1844" s="3">
        <v>150</v>
      </c>
      <c r="D1844" s="3">
        <v>35</v>
      </c>
      <c r="E1844" s="3">
        <v>-377.157</v>
      </c>
      <c r="F1844" s="4" t="str">
        <f>HYPERLINK("http://141.218.60.56/~jnz1568/getInfo.php?workbook=14_09.xlsx&amp;sheet=A0&amp;row=1844&amp;col=6&amp;number=495000&amp;sourceID=14","495000")</f>
        <v>495000</v>
      </c>
      <c r="G1844" s="4" t="str">
        <f>HYPERLINK("http://141.218.60.56/~jnz1568/getInfo.php?workbook=14_09.xlsx&amp;sheet=A0&amp;row=1844&amp;col=7&amp;number=0&amp;sourceID=14","0")</f>
        <v>0</v>
      </c>
    </row>
    <row r="1845" spans="1:7">
      <c r="A1845" s="3">
        <v>14</v>
      </c>
      <c r="B1845" s="3">
        <v>9</v>
      </c>
      <c r="C1845" s="3">
        <v>171</v>
      </c>
      <c r="D1845" s="3">
        <v>35</v>
      </c>
      <c r="E1845" s="3">
        <v>-271.313</v>
      </c>
      <c r="F1845" s="4" t="str">
        <f>HYPERLINK("http://141.218.60.56/~jnz1568/getInfo.php?workbook=14_09.xlsx&amp;sheet=A0&amp;row=1845&amp;col=6&amp;number=11700000000&amp;sourceID=14","11700000000")</f>
        <v>11700000000</v>
      </c>
      <c r="G1845" s="4" t="str">
        <f>HYPERLINK("http://141.218.60.56/~jnz1568/getInfo.php?workbook=14_09.xlsx&amp;sheet=A0&amp;row=1845&amp;col=7&amp;number=0&amp;sourceID=14","0")</f>
        <v>0</v>
      </c>
    </row>
    <row r="1846" spans="1:7">
      <c r="A1846" s="3">
        <v>14</v>
      </c>
      <c r="B1846" s="3">
        <v>9</v>
      </c>
      <c r="C1846" s="3">
        <v>172</v>
      </c>
      <c r="D1846" s="3">
        <v>35</v>
      </c>
      <c r="E1846" s="3">
        <v>-270.271</v>
      </c>
      <c r="F1846" s="4" t="str">
        <f>HYPERLINK("http://141.218.60.56/~jnz1568/getInfo.php?workbook=14_09.xlsx&amp;sheet=A0&amp;row=1846&amp;col=6&amp;number=453000000&amp;sourceID=14","453000000")</f>
        <v>453000000</v>
      </c>
      <c r="G1846" s="4" t="str">
        <f>HYPERLINK("http://141.218.60.56/~jnz1568/getInfo.php?workbook=14_09.xlsx&amp;sheet=A0&amp;row=1846&amp;col=7&amp;number=0&amp;sourceID=14","0")</f>
        <v>0</v>
      </c>
    </row>
    <row r="1847" spans="1:7">
      <c r="A1847" s="3">
        <v>14</v>
      </c>
      <c r="B1847" s="3">
        <v>9</v>
      </c>
      <c r="C1847" s="3">
        <v>175</v>
      </c>
      <c r="D1847" s="3">
        <v>35</v>
      </c>
      <c r="E1847" s="3">
        <v>-264.496</v>
      </c>
      <c r="F1847" s="4" t="str">
        <f>HYPERLINK("http://141.218.60.56/~jnz1568/getInfo.php?workbook=14_09.xlsx&amp;sheet=A0&amp;row=1847&amp;col=6&amp;number=4430000000&amp;sourceID=14","4430000000")</f>
        <v>4430000000</v>
      </c>
      <c r="G1847" s="4" t="str">
        <f>HYPERLINK("http://141.218.60.56/~jnz1568/getInfo.php?workbook=14_09.xlsx&amp;sheet=A0&amp;row=1847&amp;col=7&amp;number=0&amp;sourceID=14","0")</f>
        <v>0</v>
      </c>
    </row>
    <row r="1848" spans="1:7">
      <c r="A1848" s="3">
        <v>14</v>
      </c>
      <c r="B1848" s="3">
        <v>9</v>
      </c>
      <c r="C1848" s="3">
        <v>177</v>
      </c>
      <c r="D1848" s="3">
        <v>35</v>
      </c>
      <c r="E1848" s="3">
        <v>-263.039</v>
      </c>
      <c r="F1848" s="4" t="str">
        <f>HYPERLINK("http://141.218.60.56/~jnz1568/getInfo.php?workbook=14_09.xlsx&amp;sheet=A0&amp;row=1848&amp;col=6&amp;number=5910000000&amp;sourceID=14","5910000000")</f>
        <v>5910000000</v>
      </c>
      <c r="G1848" s="4" t="str">
        <f>HYPERLINK("http://141.218.60.56/~jnz1568/getInfo.php?workbook=14_09.xlsx&amp;sheet=A0&amp;row=1848&amp;col=7&amp;number=0&amp;sourceID=14","0")</f>
        <v>0</v>
      </c>
    </row>
    <row r="1849" spans="1:7">
      <c r="A1849" s="3">
        <v>14</v>
      </c>
      <c r="B1849" s="3">
        <v>9</v>
      </c>
      <c r="C1849" s="3">
        <v>191</v>
      </c>
      <c r="D1849" s="3">
        <v>35</v>
      </c>
      <c r="E1849" s="3">
        <v>-189.574</v>
      </c>
      <c r="F1849" s="4" t="str">
        <f>HYPERLINK("http://141.218.60.56/~jnz1568/getInfo.php?workbook=14_09.xlsx&amp;sheet=A0&amp;row=1849&amp;col=6&amp;number=181000000&amp;sourceID=14","181000000")</f>
        <v>181000000</v>
      </c>
      <c r="G1849" s="4" t="str">
        <f>HYPERLINK("http://141.218.60.56/~jnz1568/getInfo.php?workbook=14_09.xlsx&amp;sheet=A0&amp;row=1849&amp;col=7&amp;number=0&amp;sourceID=14","0")</f>
        <v>0</v>
      </c>
    </row>
    <row r="1850" spans="1:7">
      <c r="A1850" s="3">
        <v>14</v>
      </c>
      <c r="B1850" s="3">
        <v>9</v>
      </c>
      <c r="C1850" s="3">
        <v>66</v>
      </c>
      <c r="D1850" s="3">
        <v>36</v>
      </c>
      <c r="E1850" s="3">
        <v>-639.62</v>
      </c>
      <c r="F1850" s="4" t="str">
        <f>HYPERLINK("http://141.218.60.56/~jnz1568/getInfo.php?workbook=14_09.xlsx&amp;sheet=A0&amp;row=1850&amp;col=6&amp;number=1150000&amp;sourceID=14","1150000")</f>
        <v>1150000</v>
      </c>
      <c r="G1850" s="4" t="str">
        <f>HYPERLINK("http://141.218.60.56/~jnz1568/getInfo.php?workbook=14_09.xlsx&amp;sheet=A0&amp;row=1850&amp;col=7&amp;number=0&amp;sourceID=14","0")</f>
        <v>0</v>
      </c>
    </row>
    <row r="1851" spans="1:7">
      <c r="A1851" s="3">
        <v>14</v>
      </c>
      <c r="B1851" s="3">
        <v>9</v>
      </c>
      <c r="C1851" s="3">
        <v>69</v>
      </c>
      <c r="D1851" s="3">
        <v>36</v>
      </c>
      <c r="E1851" s="3">
        <v>-611.611</v>
      </c>
      <c r="F1851" s="4" t="str">
        <f>HYPERLINK("http://141.218.60.56/~jnz1568/getInfo.php?workbook=14_09.xlsx&amp;sheet=A0&amp;row=1851&amp;col=6&amp;number=130000000&amp;sourceID=14","130000000")</f>
        <v>130000000</v>
      </c>
      <c r="G1851" s="4" t="str">
        <f>HYPERLINK("http://141.218.60.56/~jnz1568/getInfo.php?workbook=14_09.xlsx&amp;sheet=A0&amp;row=1851&amp;col=7&amp;number=0&amp;sourceID=14","0")</f>
        <v>0</v>
      </c>
    </row>
    <row r="1852" spans="1:7">
      <c r="A1852" s="3">
        <v>14</v>
      </c>
      <c r="B1852" s="3">
        <v>9</v>
      </c>
      <c r="C1852" s="3">
        <v>70</v>
      </c>
      <c r="D1852" s="3">
        <v>36</v>
      </c>
      <c r="E1852" s="3">
        <v>-606.919</v>
      </c>
      <c r="F1852" s="4" t="str">
        <f>HYPERLINK("http://141.218.60.56/~jnz1568/getInfo.php?workbook=14_09.xlsx&amp;sheet=A0&amp;row=1852&amp;col=6&amp;number=1510000000&amp;sourceID=14","1510000000")</f>
        <v>1510000000</v>
      </c>
      <c r="G1852" s="4" t="str">
        <f>HYPERLINK("http://141.218.60.56/~jnz1568/getInfo.php?workbook=14_09.xlsx&amp;sheet=A0&amp;row=1852&amp;col=7&amp;number=0&amp;sourceID=14","0")</f>
        <v>0</v>
      </c>
    </row>
    <row r="1853" spans="1:7">
      <c r="A1853" s="3">
        <v>14</v>
      </c>
      <c r="B1853" s="3">
        <v>9</v>
      </c>
      <c r="C1853" s="3">
        <v>72</v>
      </c>
      <c r="D1853" s="3">
        <v>36</v>
      </c>
      <c r="E1853" s="3">
        <v>-596.603</v>
      </c>
      <c r="F1853" s="4" t="str">
        <f>HYPERLINK("http://141.218.60.56/~jnz1568/getInfo.php?workbook=14_09.xlsx&amp;sheet=A0&amp;row=1853&amp;col=6&amp;number=164000000&amp;sourceID=14","164000000")</f>
        <v>164000000</v>
      </c>
      <c r="G1853" s="4" t="str">
        <f>HYPERLINK("http://141.218.60.56/~jnz1568/getInfo.php?workbook=14_09.xlsx&amp;sheet=A0&amp;row=1853&amp;col=7&amp;number=0&amp;sourceID=14","0")</f>
        <v>0</v>
      </c>
    </row>
    <row r="1854" spans="1:7">
      <c r="A1854" s="3">
        <v>14</v>
      </c>
      <c r="B1854" s="3">
        <v>9</v>
      </c>
      <c r="C1854" s="3">
        <v>81</v>
      </c>
      <c r="D1854" s="3">
        <v>36</v>
      </c>
      <c r="E1854" s="3">
        <v>-550.325</v>
      </c>
      <c r="F1854" s="4" t="str">
        <f>HYPERLINK("http://141.218.60.56/~jnz1568/getInfo.php?workbook=14_09.xlsx&amp;sheet=A0&amp;row=1854&amp;col=6&amp;number=13400000&amp;sourceID=14","13400000")</f>
        <v>13400000</v>
      </c>
      <c r="G1854" s="4" t="str">
        <f>HYPERLINK("http://141.218.60.56/~jnz1568/getInfo.php?workbook=14_09.xlsx&amp;sheet=A0&amp;row=1854&amp;col=7&amp;number=0&amp;sourceID=14","0")</f>
        <v>0</v>
      </c>
    </row>
    <row r="1855" spans="1:7">
      <c r="A1855" s="3">
        <v>14</v>
      </c>
      <c r="B1855" s="3">
        <v>9</v>
      </c>
      <c r="C1855" s="3">
        <v>101</v>
      </c>
      <c r="D1855" s="3">
        <v>36</v>
      </c>
      <c r="E1855" s="3">
        <v>-473.392</v>
      </c>
      <c r="F1855" s="4" t="str">
        <f>HYPERLINK("http://141.218.60.56/~jnz1568/getInfo.php?workbook=14_09.xlsx&amp;sheet=A0&amp;row=1855&amp;col=6&amp;number=325000&amp;sourceID=14","325000")</f>
        <v>325000</v>
      </c>
      <c r="G1855" s="4" t="str">
        <f>HYPERLINK("http://141.218.60.56/~jnz1568/getInfo.php?workbook=14_09.xlsx&amp;sheet=A0&amp;row=1855&amp;col=7&amp;number=0&amp;sourceID=14","0")</f>
        <v>0</v>
      </c>
    </row>
    <row r="1856" spans="1:7">
      <c r="A1856" s="3">
        <v>14</v>
      </c>
      <c r="B1856" s="3">
        <v>9</v>
      </c>
      <c r="C1856" s="3">
        <v>102</v>
      </c>
      <c r="D1856" s="3">
        <v>36</v>
      </c>
      <c r="E1856" s="3">
        <v>-472.915</v>
      </c>
      <c r="F1856" s="4" t="str">
        <f>HYPERLINK("http://141.218.60.56/~jnz1568/getInfo.php?workbook=14_09.xlsx&amp;sheet=A0&amp;row=1856&amp;col=6&amp;number=5760000&amp;sourceID=14","5760000")</f>
        <v>5760000</v>
      </c>
      <c r="G1856" s="4" t="str">
        <f>HYPERLINK("http://141.218.60.56/~jnz1568/getInfo.php?workbook=14_09.xlsx&amp;sheet=A0&amp;row=1856&amp;col=7&amp;number=0&amp;sourceID=14","0")</f>
        <v>0</v>
      </c>
    </row>
    <row r="1857" spans="1:7">
      <c r="A1857" s="3">
        <v>14</v>
      </c>
      <c r="B1857" s="3">
        <v>9</v>
      </c>
      <c r="C1857" s="3">
        <v>104</v>
      </c>
      <c r="D1857" s="3">
        <v>36</v>
      </c>
      <c r="E1857" s="3">
        <v>-469.416</v>
      </c>
      <c r="F1857" s="4" t="str">
        <f>HYPERLINK("http://141.218.60.56/~jnz1568/getInfo.php?workbook=14_09.xlsx&amp;sheet=A0&amp;row=1857&amp;col=6&amp;number=195000000&amp;sourceID=14","195000000")</f>
        <v>195000000</v>
      </c>
      <c r="G1857" s="4" t="str">
        <f>HYPERLINK("http://141.218.60.56/~jnz1568/getInfo.php?workbook=14_09.xlsx&amp;sheet=A0&amp;row=1857&amp;col=7&amp;number=0&amp;sourceID=14","0")</f>
        <v>0</v>
      </c>
    </row>
    <row r="1858" spans="1:7">
      <c r="A1858" s="3">
        <v>14</v>
      </c>
      <c r="B1858" s="3">
        <v>9</v>
      </c>
      <c r="C1858" s="3">
        <v>105</v>
      </c>
      <c r="D1858" s="3">
        <v>36</v>
      </c>
      <c r="E1858" s="3">
        <v>-469.352</v>
      </c>
      <c r="F1858" s="4" t="str">
        <f>HYPERLINK("http://141.218.60.56/~jnz1568/getInfo.php?workbook=14_09.xlsx&amp;sheet=A0&amp;row=1858&amp;col=6&amp;number=1570000000&amp;sourceID=14","1570000000")</f>
        <v>1570000000</v>
      </c>
      <c r="G1858" s="4" t="str">
        <f>HYPERLINK("http://141.218.60.56/~jnz1568/getInfo.php?workbook=14_09.xlsx&amp;sheet=A0&amp;row=1858&amp;col=7&amp;number=0&amp;sourceID=14","0")</f>
        <v>0</v>
      </c>
    </row>
    <row r="1859" spans="1:7">
      <c r="A1859" s="3">
        <v>14</v>
      </c>
      <c r="B1859" s="3">
        <v>9</v>
      </c>
      <c r="C1859" s="3">
        <v>106</v>
      </c>
      <c r="D1859" s="3">
        <v>36</v>
      </c>
      <c r="E1859" s="3">
        <v>-469.029</v>
      </c>
      <c r="F1859" s="4" t="str">
        <f>HYPERLINK("http://141.218.60.56/~jnz1568/getInfo.php?workbook=14_09.xlsx&amp;sheet=A0&amp;row=1859&amp;col=6&amp;number=375000000&amp;sourceID=14","375000000")</f>
        <v>375000000</v>
      </c>
      <c r="G1859" s="4" t="str">
        <f>HYPERLINK("http://141.218.60.56/~jnz1568/getInfo.php?workbook=14_09.xlsx&amp;sheet=A0&amp;row=1859&amp;col=7&amp;number=0&amp;sourceID=14","0")</f>
        <v>0</v>
      </c>
    </row>
    <row r="1860" spans="1:7">
      <c r="A1860" s="3">
        <v>14</v>
      </c>
      <c r="B1860" s="3">
        <v>9</v>
      </c>
      <c r="C1860" s="3">
        <v>107</v>
      </c>
      <c r="D1860" s="3">
        <v>36</v>
      </c>
      <c r="E1860" s="3">
        <v>-468.407</v>
      </c>
      <c r="F1860" s="4" t="str">
        <f>HYPERLINK("http://141.218.60.56/~jnz1568/getInfo.php?workbook=14_09.xlsx&amp;sheet=A0&amp;row=1860&amp;col=6&amp;number=613000000&amp;sourceID=14","613000000")</f>
        <v>613000000</v>
      </c>
      <c r="G1860" s="4" t="str">
        <f>HYPERLINK("http://141.218.60.56/~jnz1568/getInfo.php?workbook=14_09.xlsx&amp;sheet=A0&amp;row=1860&amp;col=7&amp;number=0&amp;sourceID=14","0")</f>
        <v>0</v>
      </c>
    </row>
    <row r="1861" spans="1:7">
      <c r="A1861" s="3">
        <v>14</v>
      </c>
      <c r="B1861" s="3">
        <v>9</v>
      </c>
      <c r="C1861" s="3">
        <v>109</v>
      </c>
      <c r="D1861" s="3">
        <v>36</v>
      </c>
      <c r="E1861" s="3">
        <v>-467.533</v>
      </c>
      <c r="F1861" s="4" t="str">
        <f>HYPERLINK("http://141.218.60.56/~jnz1568/getInfo.php?workbook=14_09.xlsx&amp;sheet=A0&amp;row=1861&amp;col=6&amp;number=9400000&amp;sourceID=14","9400000")</f>
        <v>9400000</v>
      </c>
      <c r="G1861" s="4" t="str">
        <f>HYPERLINK("http://141.218.60.56/~jnz1568/getInfo.php?workbook=14_09.xlsx&amp;sheet=A0&amp;row=1861&amp;col=7&amp;number=0&amp;sourceID=14","0")</f>
        <v>0</v>
      </c>
    </row>
    <row r="1862" spans="1:7">
      <c r="A1862" s="3">
        <v>14</v>
      </c>
      <c r="B1862" s="3">
        <v>9</v>
      </c>
      <c r="C1862" s="3">
        <v>114</v>
      </c>
      <c r="D1862" s="3">
        <v>36</v>
      </c>
      <c r="E1862" s="3">
        <v>-466.008</v>
      </c>
      <c r="F1862" s="4" t="str">
        <f>HYPERLINK("http://141.218.60.56/~jnz1568/getInfo.php?workbook=14_09.xlsx&amp;sheet=A0&amp;row=1862&amp;col=6&amp;number=10700000000&amp;sourceID=14","10700000000")</f>
        <v>10700000000</v>
      </c>
      <c r="G1862" s="4" t="str">
        <f>HYPERLINK("http://141.218.60.56/~jnz1568/getInfo.php?workbook=14_09.xlsx&amp;sheet=A0&amp;row=1862&amp;col=7&amp;number=0&amp;sourceID=14","0")</f>
        <v>0</v>
      </c>
    </row>
    <row r="1863" spans="1:7">
      <c r="A1863" s="3">
        <v>14</v>
      </c>
      <c r="B1863" s="3">
        <v>9</v>
      </c>
      <c r="C1863" s="3">
        <v>118</v>
      </c>
      <c r="D1863" s="3">
        <v>36</v>
      </c>
      <c r="E1863" s="3">
        <v>-459.714</v>
      </c>
      <c r="F1863" s="4" t="str">
        <f>HYPERLINK("http://141.218.60.56/~jnz1568/getInfo.php?workbook=14_09.xlsx&amp;sheet=A0&amp;row=1863&amp;col=6&amp;number=948000&amp;sourceID=14","948000")</f>
        <v>948000</v>
      </c>
      <c r="G1863" s="4" t="str">
        <f>HYPERLINK("http://141.218.60.56/~jnz1568/getInfo.php?workbook=14_09.xlsx&amp;sheet=A0&amp;row=1863&amp;col=7&amp;number=0&amp;sourceID=14","0")</f>
        <v>0</v>
      </c>
    </row>
    <row r="1864" spans="1:7">
      <c r="A1864" s="3">
        <v>14</v>
      </c>
      <c r="B1864" s="3">
        <v>9</v>
      </c>
      <c r="C1864" s="3">
        <v>119</v>
      </c>
      <c r="D1864" s="3">
        <v>36</v>
      </c>
      <c r="E1864" s="3">
        <v>-458.902</v>
      </c>
      <c r="F1864" s="4" t="str">
        <f>HYPERLINK("http://141.218.60.56/~jnz1568/getInfo.php?workbook=14_09.xlsx&amp;sheet=A0&amp;row=1864&amp;col=6&amp;number=7770000000&amp;sourceID=14","7770000000")</f>
        <v>7770000000</v>
      </c>
      <c r="G1864" s="4" t="str">
        <f>HYPERLINK("http://141.218.60.56/~jnz1568/getInfo.php?workbook=14_09.xlsx&amp;sheet=A0&amp;row=1864&amp;col=7&amp;number=0&amp;sourceID=14","0")</f>
        <v>0</v>
      </c>
    </row>
    <row r="1865" spans="1:7">
      <c r="A1865" s="3">
        <v>14</v>
      </c>
      <c r="B1865" s="3">
        <v>9</v>
      </c>
      <c r="C1865" s="3">
        <v>120</v>
      </c>
      <c r="D1865" s="3">
        <v>36</v>
      </c>
      <c r="E1865" s="3">
        <v>-458.752</v>
      </c>
      <c r="F1865" s="4" t="str">
        <f>HYPERLINK("http://141.218.60.56/~jnz1568/getInfo.php?workbook=14_09.xlsx&amp;sheet=A0&amp;row=1865&amp;col=6&amp;number=721000000&amp;sourceID=14","721000000")</f>
        <v>721000000</v>
      </c>
      <c r="G1865" s="4" t="str">
        <f>HYPERLINK("http://141.218.60.56/~jnz1568/getInfo.php?workbook=14_09.xlsx&amp;sheet=A0&amp;row=1865&amp;col=7&amp;number=0&amp;sourceID=14","0")</f>
        <v>0</v>
      </c>
    </row>
    <row r="1866" spans="1:7">
      <c r="A1866" s="3">
        <v>14</v>
      </c>
      <c r="B1866" s="3">
        <v>9</v>
      </c>
      <c r="C1866" s="3">
        <v>121</v>
      </c>
      <c r="D1866" s="3">
        <v>36</v>
      </c>
      <c r="E1866" s="3">
        <v>-457.834</v>
      </c>
      <c r="F1866" s="4" t="str">
        <f>HYPERLINK("http://141.218.60.56/~jnz1568/getInfo.php?workbook=14_09.xlsx&amp;sheet=A0&amp;row=1866&amp;col=6&amp;number=643000000&amp;sourceID=14","643000000")</f>
        <v>643000000</v>
      </c>
      <c r="G1866" s="4" t="str">
        <f>HYPERLINK("http://141.218.60.56/~jnz1568/getInfo.php?workbook=14_09.xlsx&amp;sheet=A0&amp;row=1866&amp;col=7&amp;number=0&amp;sourceID=14","0")</f>
        <v>0</v>
      </c>
    </row>
    <row r="1867" spans="1:7">
      <c r="A1867" s="3">
        <v>14</v>
      </c>
      <c r="B1867" s="3">
        <v>9</v>
      </c>
      <c r="C1867" s="3">
        <v>122</v>
      </c>
      <c r="D1867" s="3">
        <v>36</v>
      </c>
      <c r="E1867" s="3">
        <v>-457.596</v>
      </c>
      <c r="F1867" s="4" t="str">
        <f>HYPERLINK("http://141.218.60.56/~jnz1568/getInfo.php?workbook=14_09.xlsx&amp;sheet=A0&amp;row=1867&amp;col=6&amp;number=8280000&amp;sourceID=14","8280000")</f>
        <v>8280000</v>
      </c>
      <c r="G1867" s="4" t="str">
        <f>HYPERLINK("http://141.218.60.56/~jnz1568/getInfo.php?workbook=14_09.xlsx&amp;sheet=A0&amp;row=1867&amp;col=7&amp;number=0&amp;sourceID=14","0")</f>
        <v>0</v>
      </c>
    </row>
    <row r="1868" spans="1:7">
      <c r="A1868" s="3">
        <v>14</v>
      </c>
      <c r="B1868" s="3">
        <v>9</v>
      </c>
      <c r="C1868" s="3">
        <v>123</v>
      </c>
      <c r="D1868" s="3">
        <v>36</v>
      </c>
      <c r="E1868" s="3">
        <v>-455.285</v>
      </c>
      <c r="F1868" s="4" t="str">
        <f>HYPERLINK("http://141.218.60.56/~jnz1568/getInfo.php?workbook=14_09.xlsx&amp;sheet=A0&amp;row=1868&amp;col=6&amp;number=45800000&amp;sourceID=14","45800000")</f>
        <v>45800000</v>
      </c>
      <c r="G1868" s="4" t="str">
        <f>HYPERLINK("http://141.218.60.56/~jnz1568/getInfo.php?workbook=14_09.xlsx&amp;sheet=A0&amp;row=1868&amp;col=7&amp;number=0&amp;sourceID=14","0")</f>
        <v>0</v>
      </c>
    </row>
    <row r="1869" spans="1:7">
      <c r="A1869" s="3">
        <v>14</v>
      </c>
      <c r="B1869" s="3">
        <v>9</v>
      </c>
      <c r="C1869" s="3">
        <v>124</v>
      </c>
      <c r="D1869" s="3">
        <v>36</v>
      </c>
      <c r="E1869" s="3">
        <v>-455.246</v>
      </c>
      <c r="F1869" s="4" t="str">
        <f>HYPERLINK("http://141.218.60.56/~jnz1568/getInfo.php?workbook=14_09.xlsx&amp;sheet=A0&amp;row=1869&amp;col=6&amp;number=21600000&amp;sourceID=14","21600000")</f>
        <v>21600000</v>
      </c>
      <c r="G1869" s="4" t="str">
        <f>HYPERLINK("http://141.218.60.56/~jnz1568/getInfo.php?workbook=14_09.xlsx&amp;sheet=A0&amp;row=1869&amp;col=7&amp;number=0&amp;sourceID=14","0")</f>
        <v>0</v>
      </c>
    </row>
    <row r="1870" spans="1:7">
      <c r="A1870" s="3">
        <v>14</v>
      </c>
      <c r="B1870" s="3">
        <v>9</v>
      </c>
      <c r="C1870" s="3">
        <v>143</v>
      </c>
      <c r="D1870" s="3">
        <v>36</v>
      </c>
      <c r="E1870" s="3">
        <v>-382.102</v>
      </c>
      <c r="F1870" s="4" t="str">
        <f>HYPERLINK("http://141.218.60.56/~jnz1568/getInfo.php?workbook=14_09.xlsx&amp;sheet=A0&amp;row=1870&amp;col=6&amp;number=330000&amp;sourceID=14","330000")</f>
        <v>330000</v>
      </c>
      <c r="G1870" s="4" t="str">
        <f>HYPERLINK("http://141.218.60.56/~jnz1568/getInfo.php?workbook=14_09.xlsx&amp;sheet=A0&amp;row=1870&amp;col=7&amp;number=0&amp;sourceID=14","0")</f>
        <v>0</v>
      </c>
    </row>
    <row r="1871" spans="1:7">
      <c r="A1871" s="3">
        <v>14</v>
      </c>
      <c r="B1871" s="3">
        <v>9</v>
      </c>
      <c r="C1871" s="3">
        <v>146</v>
      </c>
      <c r="D1871" s="3">
        <v>36</v>
      </c>
      <c r="E1871" s="3">
        <v>-380.33</v>
      </c>
      <c r="F1871" s="4" t="str">
        <f>HYPERLINK("http://141.218.60.56/~jnz1568/getInfo.php?workbook=14_09.xlsx&amp;sheet=A0&amp;row=1871&amp;col=6&amp;number=949000&amp;sourceID=14","949000")</f>
        <v>949000</v>
      </c>
      <c r="G1871" s="4" t="str">
        <f>HYPERLINK("http://141.218.60.56/~jnz1568/getInfo.php?workbook=14_09.xlsx&amp;sheet=A0&amp;row=1871&amp;col=7&amp;number=0&amp;sourceID=14","0")</f>
        <v>0</v>
      </c>
    </row>
    <row r="1872" spans="1:7">
      <c r="A1872" s="3">
        <v>14</v>
      </c>
      <c r="B1872" s="3">
        <v>9</v>
      </c>
      <c r="C1872" s="3">
        <v>150</v>
      </c>
      <c r="D1872" s="3">
        <v>36</v>
      </c>
      <c r="E1872" s="3">
        <v>-379.636</v>
      </c>
      <c r="F1872" s="4" t="str">
        <f>HYPERLINK("http://141.218.60.56/~jnz1568/getInfo.php?workbook=14_09.xlsx&amp;sheet=A0&amp;row=1872&amp;col=6&amp;number=3940000&amp;sourceID=14","3940000")</f>
        <v>3940000</v>
      </c>
      <c r="G1872" s="4" t="str">
        <f>HYPERLINK("http://141.218.60.56/~jnz1568/getInfo.php?workbook=14_09.xlsx&amp;sheet=A0&amp;row=1872&amp;col=7&amp;number=0&amp;sourceID=14","0")</f>
        <v>0</v>
      </c>
    </row>
    <row r="1873" spans="1:7">
      <c r="A1873" s="3">
        <v>14</v>
      </c>
      <c r="B1873" s="3">
        <v>9</v>
      </c>
      <c r="C1873" s="3">
        <v>170</v>
      </c>
      <c r="D1873" s="3">
        <v>36</v>
      </c>
      <c r="E1873" s="3">
        <v>-274.34</v>
      </c>
      <c r="F1873" s="4" t="str">
        <f>HYPERLINK("http://141.218.60.56/~jnz1568/getInfo.php?workbook=14_09.xlsx&amp;sheet=A0&amp;row=1873&amp;col=6&amp;number=8360000&amp;sourceID=14","8360000")</f>
        <v>8360000</v>
      </c>
      <c r="G1873" s="4" t="str">
        <f>HYPERLINK("http://141.218.60.56/~jnz1568/getInfo.php?workbook=14_09.xlsx&amp;sheet=A0&amp;row=1873&amp;col=7&amp;number=0&amp;sourceID=14","0")</f>
        <v>0</v>
      </c>
    </row>
    <row r="1874" spans="1:7">
      <c r="A1874" s="3">
        <v>14</v>
      </c>
      <c r="B1874" s="3">
        <v>9</v>
      </c>
      <c r="C1874" s="3">
        <v>171</v>
      </c>
      <c r="D1874" s="3">
        <v>36</v>
      </c>
      <c r="E1874" s="3">
        <v>-272.594</v>
      </c>
      <c r="F1874" s="4" t="str">
        <f>HYPERLINK("http://141.218.60.56/~jnz1568/getInfo.php?workbook=14_09.xlsx&amp;sheet=A0&amp;row=1874&amp;col=6&amp;number=1510000000&amp;sourceID=14","1510000000")</f>
        <v>1510000000</v>
      </c>
      <c r="G1874" s="4" t="str">
        <f>HYPERLINK("http://141.218.60.56/~jnz1568/getInfo.php?workbook=14_09.xlsx&amp;sheet=A0&amp;row=1874&amp;col=7&amp;number=0&amp;sourceID=14","0")</f>
        <v>0</v>
      </c>
    </row>
    <row r="1875" spans="1:7">
      <c r="A1875" s="3">
        <v>14</v>
      </c>
      <c r="B1875" s="3">
        <v>9</v>
      </c>
      <c r="C1875" s="3">
        <v>172</v>
      </c>
      <c r="D1875" s="3">
        <v>36</v>
      </c>
      <c r="E1875" s="3">
        <v>-271.541</v>
      </c>
      <c r="F1875" s="4" t="str">
        <f>HYPERLINK("http://141.218.60.56/~jnz1568/getInfo.php?workbook=14_09.xlsx&amp;sheet=A0&amp;row=1875&amp;col=6&amp;number=9220000000&amp;sourceID=14","9220000000")</f>
        <v>9220000000</v>
      </c>
      <c r="G1875" s="4" t="str">
        <f>HYPERLINK("http://141.218.60.56/~jnz1568/getInfo.php?workbook=14_09.xlsx&amp;sheet=A0&amp;row=1875&amp;col=7&amp;number=0&amp;sourceID=14","0")</f>
        <v>0</v>
      </c>
    </row>
    <row r="1876" spans="1:7">
      <c r="A1876" s="3">
        <v>14</v>
      </c>
      <c r="B1876" s="3">
        <v>9</v>
      </c>
      <c r="C1876" s="3">
        <v>173</v>
      </c>
      <c r="D1876" s="3">
        <v>36</v>
      </c>
      <c r="E1876" s="3">
        <v>-270.523</v>
      </c>
      <c r="F1876" s="4" t="str">
        <f>HYPERLINK("http://141.218.60.56/~jnz1568/getInfo.php?workbook=14_09.xlsx&amp;sheet=A0&amp;row=1876&amp;col=6&amp;number=740000000&amp;sourceID=14","740000000")</f>
        <v>740000000</v>
      </c>
      <c r="G1876" s="4" t="str">
        <f>HYPERLINK("http://141.218.60.56/~jnz1568/getInfo.php?workbook=14_09.xlsx&amp;sheet=A0&amp;row=1876&amp;col=7&amp;number=0&amp;sourceID=14","0")</f>
        <v>0</v>
      </c>
    </row>
    <row r="1877" spans="1:7">
      <c r="A1877" s="3">
        <v>14</v>
      </c>
      <c r="B1877" s="3">
        <v>9</v>
      </c>
      <c r="C1877" s="3">
        <v>175</v>
      </c>
      <c r="D1877" s="3">
        <v>36</v>
      </c>
      <c r="E1877" s="3">
        <v>-265.713</v>
      </c>
      <c r="F1877" s="4" t="str">
        <f>HYPERLINK("http://141.218.60.56/~jnz1568/getInfo.php?workbook=14_09.xlsx&amp;sheet=A0&amp;row=1877&amp;col=6&amp;number=106000000&amp;sourceID=14","106000000")</f>
        <v>106000000</v>
      </c>
      <c r="G1877" s="4" t="str">
        <f>HYPERLINK("http://141.218.60.56/~jnz1568/getInfo.php?workbook=14_09.xlsx&amp;sheet=A0&amp;row=1877&amp;col=7&amp;number=0&amp;sourceID=14","0")</f>
        <v>0</v>
      </c>
    </row>
    <row r="1878" spans="1:7">
      <c r="A1878" s="3">
        <v>14</v>
      </c>
      <c r="B1878" s="3">
        <v>9</v>
      </c>
      <c r="C1878" s="3">
        <v>176</v>
      </c>
      <c r="D1878" s="3">
        <v>36</v>
      </c>
      <c r="E1878" s="3">
        <v>-264.36</v>
      </c>
      <c r="F1878" s="4" t="str">
        <f>HYPERLINK("http://141.218.60.56/~jnz1568/getInfo.php?workbook=14_09.xlsx&amp;sheet=A0&amp;row=1878&amp;col=6&amp;number=8860000000&amp;sourceID=14","8860000000")</f>
        <v>8860000000</v>
      </c>
      <c r="G1878" s="4" t="str">
        <f>HYPERLINK("http://141.218.60.56/~jnz1568/getInfo.php?workbook=14_09.xlsx&amp;sheet=A0&amp;row=1878&amp;col=7&amp;number=0&amp;sourceID=14","0")</f>
        <v>0</v>
      </c>
    </row>
    <row r="1879" spans="1:7">
      <c r="A1879" s="3">
        <v>14</v>
      </c>
      <c r="B1879" s="3">
        <v>9</v>
      </c>
      <c r="C1879" s="3">
        <v>177</v>
      </c>
      <c r="D1879" s="3">
        <v>36</v>
      </c>
      <c r="E1879" s="3">
        <v>-264.242</v>
      </c>
      <c r="F1879" s="4" t="str">
        <f>HYPERLINK("http://141.218.60.56/~jnz1568/getInfo.php?workbook=14_09.xlsx&amp;sheet=A0&amp;row=1879&amp;col=6&amp;number=628000000&amp;sourceID=14","628000000")</f>
        <v>628000000</v>
      </c>
      <c r="G1879" s="4" t="str">
        <f>HYPERLINK("http://141.218.60.56/~jnz1568/getInfo.php?workbook=14_09.xlsx&amp;sheet=A0&amp;row=1879&amp;col=7&amp;number=0&amp;sourceID=14","0")</f>
        <v>0</v>
      </c>
    </row>
    <row r="1880" spans="1:7">
      <c r="A1880" s="3">
        <v>14</v>
      </c>
      <c r="B1880" s="3">
        <v>9</v>
      </c>
      <c r="C1880" s="3">
        <v>180</v>
      </c>
      <c r="D1880" s="3">
        <v>36</v>
      </c>
      <c r="E1880" s="3">
        <v>-263.327</v>
      </c>
      <c r="F1880" s="4" t="str">
        <f>HYPERLINK("http://141.218.60.56/~jnz1568/getInfo.php?workbook=14_09.xlsx&amp;sheet=A0&amp;row=1880&amp;col=6&amp;number=1130000000&amp;sourceID=14","1130000000")</f>
        <v>1130000000</v>
      </c>
      <c r="G1880" s="4" t="str">
        <f>HYPERLINK("http://141.218.60.56/~jnz1568/getInfo.php?workbook=14_09.xlsx&amp;sheet=A0&amp;row=1880&amp;col=7&amp;number=0&amp;sourceID=14","0")</f>
        <v>0</v>
      </c>
    </row>
    <row r="1881" spans="1:7">
      <c r="A1881" s="3">
        <v>14</v>
      </c>
      <c r="B1881" s="3">
        <v>9</v>
      </c>
      <c r="C1881" s="3">
        <v>181</v>
      </c>
      <c r="D1881" s="3">
        <v>36</v>
      </c>
      <c r="E1881" s="3">
        <v>-260.37</v>
      </c>
      <c r="F1881" s="4" t="str">
        <f>HYPERLINK("http://141.218.60.56/~jnz1568/getInfo.php?workbook=14_09.xlsx&amp;sheet=A0&amp;row=1881&amp;col=6&amp;number=464000000&amp;sourceID=14","464000000")</f>
        <v>464000000</v>
      </c>
      <c r="G1881" s="4" t="str">
        <f>HYPERLINK("http://141.218.60.56/~jnz1568/getInfo.php?workbook=14_09.xlsx&amp;sheet=A0&amp;row=1881&amp;col=7&amp;number=0&amp;sourceID=14","0")</f>
        <v>0</v>
      </c>
    </row>
    <row r="1882" spans="1:7">
      <c r="A1882" s="3">
        <v>14</v>
      </c>
      <c r="B1882" s="3">
        <v>9</v>
      </c>
      <c r="C1882" s="3">
        <v>190</v>
      </c>
      <c r="D1882" s="3">
        <v>36</v>
      </c>
      <c r="E1882" s="3">
        <v>-190.229</v>
      </c>
      <c r="F1882" s="4" t="str">
        <f>HYPERLINK("http://141.218.60.56/~jnz1568/getInfo.php?workbook=14_09.xlsx&amp;sheet=A0&amp;row=1882&amp;col=6&amp;number=106000000&amp;sourceID=14","106000000")</f>
        <v>106000000</v>
      </c>
      <c r="G1882" s="4" t="str">
        <f>HYPERLINK("http://141.218.60.56/~jnz1568/getInfo.php?workbook=14_09.xlsx&amp;sheet=A0&amp;row=1882&amp;col=7&amp;number=0&amp;sourceID=14","0")</f>
        <v>0</v>
      </c>
    </row>
    <row r="1883" spans="1:7">
      <c r="A1883" s="3">
        <v>14</v>
      </c>
      <c r="B1883" s="3">
        <v>9</v>
      </c>
      <c r="C1883" s="3">
        <v>191</v>
      </c>
      <c r="D1883" s="3">
        <v>36</v>
      </c>
      <c r="E1883" s="3">
        <v>-190.198</v>
      </c>
      <c r="F1883" s="4" t="str">
        <f>HYPERLINK("http://141.218.60.56/~jnz1568/getInfo.php?workbook=14_09.xlsx&amp;sheet=A0&amp;row=1883&amp;col=6&amp;number=9260000&amp;sourceID=14","9260000")</f>
        <v>9260000</v>
      </c>
      <c r="G1883" s="4" t="str">
        <f>HYPERLINK("http://141.218.60.56/~jnz1568/getInfo.php?workbook=14_09.xlsx&amp;sheet=A0&amp;row=1883&amp;col=7&amp;number=0&amp;sourceID=14","0")</f>
        <v>0</v>
      </c>
    </row>
    <row r="1884" spans="1:7">
      <c r="A1884" s="3">
        <v>14</v>
      </c>
      <c r="B1884" s="3">
        <v>9</v>
      </c>
      <c r="C1884" s="3">
        <v>195</v>
      </c>
      <c r="D1884" s="3">
        <v>36</v>
      </c>
      <c r="E1884" s="3">
        <v>-187.823</v>
      </c>
      <c r="F1884" s="4" t="str">
        <f>HYPERLINK("http://141.218.60.56/~jnz1568/getInfo.php?workbook=14_09.xlsx&amp;sheet=A0&amp;row=1884&amp;col=6&amp;number=3910000&amp;sourceID=14","3910000")</f>
        <v>3910000</v>
      </c>
      <c r="G1884" s="4" t="str">
        <f>HYPERLINK("http://141.218.60.56/~jnz1568/getInfo.php?workbook=14_09.xlsx&amp;sheet=A0&amp;row=1884&amp;col=7&amp;number=0&amp;sourceID=14","0")</f>
        <v>0</v>
      </c>
    </row>
    <row r="1885" spans="1:7">
      <c r="A1885" s="3">
        <v>14</v>
      </c>
      <c r="B1885" s="3">
        <v>9</v>
      </c>
      <c r="C1885" s="3">
        <v>66</v>
      </c>
      <c r="D1885" s="3">
        <v>37</v>
      </c>
      <c r="E1885" s="3">
        <v>-646.013</v>
      </c>
      <c r="F1885" s="4" t="str">
        <f>HYPERLINK("http://141.218.60.56/~jnz1568/getInfo.php?workbook=14_09.xlsx&amp;sheet=A0&amp;row=1885&amp;col=6&amp;number=303000&amp;sourceID=14","303000")</f>
        <v>303000</v>
      </c>
      <c r="G1885" s="4" t="str">
        <f>HYPERLINK("http://141.218.60.56/~jnz1568/getInfo.php?workbook=14_09.xlsx&amp;sheet=A0&amp;row=1885&amp;col=7&amp;number=0&amp;sourceID=14","0")</f>
        <v>0</v>
      </c>
    </row>
    <row r="1886" spans="1:7">
      <c r="A1886" s="3">
        <v>14</v>
      </c>
      <c r="B1886" s="3">
        <v>9</v>
      </c>
      <c r="C1886" s="3">
        <v>67</v>
      </c>
      <c r="D1886" s="3">
        <v>37</v>
      </c>
      <c r="E1886" s="3">
        <v>-639.788</v>
      </c>
      <c r="F1886" s="4" t="str">
        <f>HYPERLINK("http://141.218.60.56/~jnz1568/getInfo.php?workbook=14_09.xlsx&amp;sheet=A0&amp;row=1886&amp;col=6&amp;number=5030000&amp;sourceID=14","5030000")</f>
        <v>5030000</v>
      </c>
      <c r="G1886" s="4" t="str">
        <f>HYPERLINK("http://141.218.60.56/~jnz1568/getInfo.php?workbook=14_09.xlsx&amp;sheet=A0&amp;row=1886&amp;col=7&amp;number=0&amp;sourceID=14","0")</f>
        <v>0</v>
      </c>
    </row>
    <row r="1887" spans="1:7">
      <c r="A1887" s="3">
        <v>14</v>
      </c>
      <c r="B1887" s="3">
        <v>9</v>
      </c>
      <c r="C1887" s="3">
        <v>69</v>
      </c>
      <c r="D1887" s="3">
        <v>37</v>
      </c>
      <c r="E1887" s="3">
        <v>-617.453</v>
      </c>
      <c r="F1887" s="4" t="str">
        <f>HYPERLINK("http://141.218.60.56/~jnz1568/getInfo.php?workbook=14_09.xlsx&amp;sheet=A0&amp;row=1887&amp;col=6&amp;number=3110000&amp;sourceID=14","3110000")</f>
        <v>3110000</v>
      </c>
      <c r="G1887" s="4" t="str">
        <f>HYPERLINK("http://141.218.60.56/~jnz1568/getInfo.php?workbook=14_09.xlsx&amp;sheet=A0&amp;row=1887&amp;col=7&amp;number=0&amp;sourceID=14","0")</f>
        <v>0</v>
      </c>
    </row>
    <row r="1888" spans="1:7">
      <c r="A1888" s="3">
        <v>14</v>
      </c>
      <c r="B1888" s="3">
        <v>9</v>
      </c>
      <c r="C1888" s="3">
        <v>70</v>
      </c>
      <c r="D1888" s="3">
        <v>37</v>
      </c>
      <c r="E1888" s="3">
        <v>-612.671</v>
      </c>
      <c r="F1888" s="4" t="str">
        <f>HYPERLINK("http://141.218.60.56/~jnz1568/getInfo.php?workbook=14_09.xlsx&amp;sheet=A0&amp;row=1888&amp;col=6&amp;number=234000000&amp;sourceID=14","234000000")</f>
        <v>234000000</v>
      </c>
      <c r="G1888" s="4" t="str">
        <f>HYPERLINK("http://141.218.60.56/~jnz1568/getInfo.php?workbook=14_09.xlsx&amp;sheet=A0&amp;row=1888&amp;col=7&amp;number=0&amp;sourceID=14","0")</f>
        <v>0</v>
      </c>
    </row>
    <row r="1889" spans="1:7">
      <c r="A1889" s="3">
        <v>14</v>
      </c>
      <c r="B1889" s="3">
        <v>9</v>
      </c>
      <c r="C1889" s="3">
        <v>71</v>
      </c>
      <c r="D1889" s="3">
        <v>37</v>
      </c>
      <c r="E1889" s="3">
        <v>-604.969</v>
      </c>
      <c r="F1889" s="4" t="str">
        <f>HYPERLINK("http://141.218.60.56/~jnz1568/getInfo.php?workbook=14_09.xlsx&amp;sheet=A0&amp;row=1889&amp;col=6&amp;number=1590000000&amp;sourceID=14","1590000000")</f>
        <v>1590000000</v>
      </c>
      <c r="G1889" s="4" t="str">
        <f>HYPERLINK("http://141.218.60.56/~jnz1568/getInfo.php?workbook=14_09.xlsx&amp;sheet=A0&amp;row=1889&amp;col=7&amp;number=0&amp;sourceID=14","0")</f>
        <v>0</v>
      </c>
    </row>
    <row r="1890" spans="1:7">
      <c r="A1890" s="3">
        <v>14</v>
      </c>
      <c r="B1890" s="3">
        <v>9</v>
      </c>
      <c r="C1890" s="3">
        <v>72</v>
      </c>
      <c r="D1890" s="3">
        <v>37</v>
      </c>
      <c r="E1890" s="3">
        <v>-602.16</v>
      </c>
      <c r="F1890" s="4" t="str">
        <f>HYPERLINK("http://141.218.60.56/~jnz1568/getInfo.php?workbook=14_09.xlsx&amp;sheet=A0&amp;row=1890&amp;col=6&amp;number=56700000&amp;sourceID=14","56700000")</f>
        <v>56700000</v>
      </c>
      <c r="G1890" s="4" t="str">
        <f>HYPERLINK("http://141.218.60.56/~jnz1568/getInfo.php?workbook=14_09.xlsx&amp;sheet=A0&amp;row=1890&amp;col=7&amp;number=0&amp;sourceID=14","0")</f>
        <v>0</v>
      </c>
    </row>
    <row r="1891" spans="1:7">
      <c r="A1891" s="3">
        <v>14</v>
      </c>
      <c r="B1891" s="3">
        <v>9</v>
      </c>
      <c r="C1891" s="3">
        <v>75</v>
      </c>
      <c r="D1891" s="3">
        <v>37</v>
      </c>
      <c r="E1891" s="3">
        <v>-594.57</v>
      </c>
      <c r="F1891" s="4" t="str">
        <f>HYPERLINK("http://141.218.60.56/~jnz1568/getInfo.php?workbook=14_09.xlsx&amp;sheet=A0&amp;row=1891&amp;col=6&amp;number=1960000&amp;sourceID=14","1960000")</f>
        <v>1960000</v>
      </c>
      <c r="G1891" s="4" t="str">
        <f>HYPERLINK("http://141.218.60.56/~jnz1568/getInfo.php?workbook=14_09.xlsx&amp;sheet=A0&amp;row=1891&amp;col=7&amp;number=0&amp;sourceID=14","0")</f>
        <v>0</v>
      </c>
    </row>
    <row r="1892" spans="1:7">
      <c r="A1892" s="3">
        <v>14</v>
      </c>
      <c r="B1892" s="3">
        <v>9</v>
      </c>
      <c r="C1892" s="3">
        <v>76</v>
      </c>
      <c r="D1892" s="3">
        <v>37</v>
      </c>
      <c r="E1892" s="3">
        <v>-593.561</v>
      </c>
      <c r="F1892" s="4" t="str">
        <f>HYPERLINK("http://141.218.60.56/~jnz1568/getInfo.php?workbook=14_09.xlsx&amp;sheet=A0&amp;row=1892&amp;col=6&amp;number=35500000&amp;sourceID=14","35500000")</f>
        <v>35500000</v>
      </c>
      <c r="G1892" s="4" t="str">
        <f>HYPERLINK("http://141.218.60.56/~jnz1568/getInfo.php?workbook=14_09.xlsx&amp;sheet=A0&amp;row=1892&amp;col=7&amp;number=0&amp;sourceID=14","0")</f>
        <v>0</v>
      </c>
    </row>
    <row r="1893" spans="1:7">
      <c r="A1893" s="3">
        <v>14</v>
      </c>
      <c r="B1893" s="3">
        <v>9</v>
      </c>
      <c r="C1893" s="3">
        <v>81</v>
      </c>
      <c r="D1893" s="3">
        <v>37</v>
      </c>
      <c r="E1893" s="3">
        <v>-555.051</v>
      </c>
      <c r="F1893" s="4" t="str">
        <f>HYPERLINK("http://141.218.60.56/~jnz1568/getInfo.php?workbook=14_09.xlsx&amp;sheet=A0&amp;row=1893&amp;col=6&amp;number=5420000&amp;sourceID=14","5420000")</f>
        <v>5420000</v>
      </c>
      <c r="G1893" s="4" t="str">
        <f>HYPERLINK("http://141.218.60.56/~jnz1568/getInfo.php?workbook=14_09.xlsx&amp;sheet=A0&amp;row=1893&amp;col=7&amp;number=0&amp;sourceID=14","0")</f>
        <v>0</v>
      </c>
    </row>
    <row r="1894" spans="1:7">
      <c r="A1894" s="3">
        <v>14</v>
      </c>
      <c r="B1894" s="3">
        <v>9</v>
      </c>
      <c r="C1894" s="3">
        <v>82</v>
      </c>
      <c r="D1894" s="3">
        <v>37</v>
      </c>
      <c r="E1894" s="3">
        <v>-546.706</v>
      </c>
      <c r="F1894" s="4" t="str">
        <f>HYPERLINK("http://141.218.60.56/~jnz1568/getInfo.php?workbook=14_09.xlsx&amp;sheet=A0&amp;row=1894&amp;col=6&amp;number=6930000&amp;sourceID=14","6930000")</f>
        <v>6930000</v>
      </c>
      <c r="G1894" s="4" t="str">
        <f>HYPERLINK("http://141.218.60.56/~jnz1568/getInfo.php?workbook=14_09.xlsx&amp;sheet=A0&amp;row=1894&amp;col=7&amp;number=0&amp;sourceID=14","0")</f>
        <v>0</v>
      </c>
    </row>
    <row r="1895" spans="1:7">
      <c r="A1895" s="3">
        <v>14</v>
      </c>
      <c r="B1895" s="3">
        <v>9</v>
      </c>
      <c r="C1895" s="3">
        <v>101</v>
      </c>
      <c r="D1895" s="3">
        <v>37</v>
      </c>
      <c r="E1895" s="3">
        <v>-476.884</v>
      </c>
      <c r="F1895" s="4" t="str">
        <f>HYPERLINK("http://141.218.60.56/~jnz1568/getInfo.php?workbook=14_09.xlsx&amp;sheet=A0&amp;row=1895&amp;col=6&amp;number=3430000&amp;sourceID=14","3430000")</f>
        <v>3430000</v>
      </c>
      <c r="G1895" s="4" t="str">
        <f>HYPERLINK("http://141.218.60.56/~jnz1568/getInfo.php?workbook=14_09.xlsx&amp;sheet=A0&amp;row=1895&amp;col=7&amp;number=0&amp;sourceID=14","0")</f>
        <v>0</v>
      </c>
    </row>
    <row r="1896" spans="1:7">
      <c r="A1896" s="3">
        <v>14</v>
      </c>
      <c r="B1896" s="3">
        <v>9</v>
      </c>
      <c r="C1896" s="3">
        <v>102</v>
      </c>
      <c r="D1896" s="3">
        <v>37</v>
      </c>
      <c r="E1896" s="3">
        <v>-476.4</v>
      </c>
      <c r="F1896" s="4" t="str">
        <f>HYPERLINK("http://141.218.60.56/~jnz1568/getInfo.php?workbook=14_09.xlsx&amp;sheet=A0&amp;row=1896&amp;col=6&amp;number=7180000&amp;sourceID=14","7180000")</f>
        <v>7180000</v>
      </c>
      <c r="G1896" s="4" t="str">
        <f>HYPERLINK("http://141.218.60.56/~jnz1568/getInfo.php?workbook=14_09.xlsx&amp;sheet=A0&amp;row=1896&amp;col=7&amp;number=0&amp;sourceID=14","0")</f>
        <v>0</v>
      </c>
    </row>
    <row r="1897" spans="1:7">
      <c r="A1897" s="3">
        <v>14</v>
      </c>
      <c r="B1897" s="3">
        <v>9</v>
      </c>
      <c r="C1897" s="3">
        <v>105</v>
      </c>
      <c r="D1897" s="3">
        <v>37</v>
      </c>
      <c r="E1897" s="3">
        <v>-472.785</v>
      </c>
      <c r="F1897" s="4" t="str">
        <f>HYPERLINK("http://141.218.60.56/~jnz1568/getInfo.php?workbook=14_09.xlsx&amp;sheet=A0&amp;row=1897&amp;col=6&amp;number=187000000&amp;sourceID=14","187000000")</f>
        <v>187000000</v>
      </c>
      <c r="G1897" s="4" t="str">
        <f>HYPERLINK("http://141.218.60.56/~jnz1568/getInfo.php?workbook=14_09.xlsx&amp;sheet=A0&amp;row=1897&amp;col=7&amp;number=0&amp;sourceID=14","0")</f>
        <v>0</v>
      </c>
    </row>
    <row r="1898" spans="1:7">
      <c r="A1898" s="3">
        <v>14</v>
      </c>
      <c r="B1898" s="3">
        <v>9</v>
      </c>
      <c r="C1898" s="3">
        <v>106</v>
      </c>
      <c r="D1898" s="3">
        <v>37</v>
      </c>
      <c r="E1898" s="3">
        <v>-472.457</v>
      </c>
      <c r="F1898" s="4" t="str">
        <f>HYPERLINK("http://141.218.60.56/~jnz1568/getInfo.php?workbook=14_09.xlsx&amp;sheet=A0&amp;row=1898&amp;col=6&amp;number=1080000000&amp;sourceID=14","1080000000")</f>
        <v>1080000000</v>
      </c>
      <c r="G1898" s="4" t="str">
        <f>HYPERLINK("http://141.218.60.56/~jnz1568/getInfo.php?workbook=14_09.xlsx&amp;sheet=A0&amp;row=1898&amp;col=7&amp;number=0&amp;sourceID=14","0")</f>
        <v>0</v>
      </c>
    </row>
    <row r="1899" spans="1:7">
      <c r="A1899" s="3">
        <v>14</v>
      </c>
      <c r="B1899" s="3">
        <v>9</v>
      </c>
      <c r="C1899" s="3">
        <v>107</v>
      </c>
      <c r="D1899" s="3">
        <v>37</v>
      </c>
      <c r="E1899" s="3">
        <v>-471.826</v>
      </c>
      <c r="F1899" s="4" t="str">
        <f>HYPERLINK("http://141.218.60.56/~jnz1568/getInfo.php?workbook=14_09.xlsx&amp;sheet=A0&amp;row=1899&amp;col=6&amp;number=2070000000&amp;sourceID=14","2070000000")</f>
        <v>2070000000</v>
      </c>
      <c r="G1899" s="4" t="str">
        <f>HYPERLINK("http://141.218.60.56/~jnz1568/getInfo.php?workbook=14_09.xlsx&amp;sheet=A0&amp;row=1899&amp;col=7&amp;number=0&amp;sourceID=14","0")</f>
        <v>0</v>
      </c>
    </row>
    <row r="1900" spans="1:7">
      <c r="A1900" s="3">
        <v>14</v>
      </c>
      <c r="B1900" s="3">
        <v>9</v>
      </c>
      <c r="C1900" s="3">
        <v>108</v>
      </c>
      <c r="D1900" s="3">
        <v>37</v>
      </c>
      <c r="E1900" s="3">
        <v>-471.539</v>
      </c>
      <c r="F1900" s="4" t="str">
        <f>HYPERLINK("http://141.218.60.56/~jnz1568/getInfo.php?workbook=14_09.xlsx&amp;sheet=A0&amp;row=1900&amp;col=6&amp;number=283000000&amp;sourceID=14","283000000")</f>
        <v>283000000</v>
      </c>
      <c r="G1900" s="4" t="str">
        <f>HYPERLINK("http://141.218.60.56/~jnz1568/getInfo.php?workbook=14_09.xlsx&amp;sheet=A0&amp;row=1900&amp;col=7&amp;number=0&amp;sourceID=14","0")</f>
        <v>0</v>
      </c>
    </row>
    <row r="1901" spans="1:7">
      <c r="A1901" s="3">
        <v>14</v>
      </c>
      <c r="B1901" s="3">
        <v>9</v>
      </c>
      <c r="C1901" s="3">
        <v>109</v>
      </c>
      <c r="D1901" s="3">
        <v>37</v>
      </c>
      <c r="E1901" s="3">
        <v>-470.939</v>
      </c>
      <c r="F1901" s="4" t="str">
        <f>HYPERLINK("http://141.218.60.56/~jnz1568/getInfo.php?workbook=14_09.xlsx&amp;sheet=A0&amp;row=1901&amp;col=6&amp;number=203000000&amp;sourceID=14","203000000")</f>
        <v>203000000</v>
      </c>
      <c r="G1901" s="4" t="str">
        <f>HYPERLINK("http://141.218.60.56/~jnz1568/getInfo.php?workbook=14_09.xlsx&amp;sheet=A0&amp;row=1901&amp;col=7&amp;number=0&amp;sourceID=14","0")</f>
        <v>0</v>
      </c>
    </row>
    <row r="1902" spans="1:7">
      <c r="A1902" s="3">
        <v>14</v>
      </c>
      <c r="B1902" s="3">
        <v>9</v>
      </c>
      <c r="C1902" s="3">
        <v>113</v>
      </c>
      <c r="D1902" s="3">
        <v>37</v>
      </c>
      <c r="E1902" s="3">
        <v>-469.427</v>
      </c>
      <c r="F1902" s="4" t="str">
        <f>HYPERLINK("http://141.218.60.56/~jnz1568/getInfo.php?workbook=14_09.xlsx&amp;sheet=A0&amp;row=1902&amp;col=6&amp;number=404000&amp;sourceID=14","404000")</f>
        <v>404000</v>
      </c>
      <c r="G1902" s="4" t="str">
        <f>HYPERLINK("http://141.218.60.56/~jnz1568/getInfo.php?workbook=14_09.xlsx&amp;sheet=A0&amp;row=1902&amp;col=7&amp;number=0&amp;sourceID=14","0")</f>
        <v>0</v>
      </c>
    </row>
    <row r="1903" spans="1:7">
      <c r="A1903" s="3">
        <v>14</v>
      </c>
      <c r="B1903" s="3">
        <v>9</v>
      </c>
      <c r="C1903" s="3">
        <v>115</v>
      </c>
      <c r="D1903" s="3">
        <v>37</v>
      </c>
      <c r="E1903" s="3">
        <v>-469.097</v>
      </c>
      <c r="F1903" s="4" t="str">
        <f>HYPERLINK("http://141.218.60.56/~jnz1568/getInfo.php?workbook=14_09.xlsx&amp;sheet=A0&amp;row=1903&amp;col=6&amp;number=325000&amp;sourceID=14","325000")</f>
        <v>325000</v>
      </c>
      <c r="G1903" s="4" t="str">
        <f>HYPERLINK("http://141.218.60.56/~jnz1568/getInfo.php?workbook=14_09.xlsx&amp;sheet=A0&amp;row=1903&amp;col=7&amp;number=0&amp;sourceID=14","0")</f>
        <v>0</v>
      </c>
    </row>
    <row r="1904" spans="1:7">
      <c r="A1904" s="3">
        <v>14</v>
      </c>
      <c r="B1904" s="3">
        <v>9</v>
      </c>
      <c r="C1904" s="3">
        <v>116</v>
      </c>
      <c r="D1904" s="3">
        <v>37</v>
      </c>
      <c r="E1904" s="3">
        <v>-469.035</v>
      </c>
      <c r="F1904" s="4" t="str">
        <f>HYPERLINK("http://141.218.60.56/~jnz1568/getInfo.php?workbook=14_09.xlsx&amp;sheet=A0&amp;row=1904&amp;col=6&amp;number=478000&amp;sourceID=14","478000")</f>
        <v>478000</v>
      </c>
      <c r="G1904" s="4" t="str">
        <f>HYPERLINK("http://141.218.60.56/~jnz1568/getInfo.php?workbook=14_09.xlsx&amp;sheet=A0&amp;row=1904&amp;col=7&amp;number=0&amp;sourceID=14","0")</f>
        <v>0</v>
      </c>
    </row>
    <row r="1905" spans="1:7">
      <c r="A1905" s="3">
        <v>14</v>
      </c>
      <c r="B1905" s="3">
        <v>9</v>
      </c>
      <c r="C1905" s="3">
        <v>117</v>
      </c>
      <c r="D1905" s="3">
        <v>37</v>
      </c>
      <c r="E1905" s="3">
        <v>-463.165</v>
      </c>
      <c r="F1905" s="4" t="str">
        <f>HYPERLINK("http://141.218.60.56/~jnz1568/getInfo.php?workbook=14_09.xlsx&amp;sheet=A0&amp;row=1905&amp;col=6&amp;number=26000000&amp;sourceID=14","26000000")</f>
        <v>26000000</v>
      </c>
      <c r="G1905" s="4" t="str">
        <f>HYPERLINK("http://141.218.60.56/~jnz1568/getInfo.php?workbook=14_09.xlsx&amp;sheet=A0&amp;row=1905&amp;col=7&amp;number=0&amp;sourceID=14","0")</f>
        <v>0</v>
      </c>
    </row>
    <row r="1906" spans="1:7">
      <c r="A1906" s="3">
        <v>14</v>
      </c>
      <c r="B1906" s="3">
        <v>9</v>
      </c>
      <c r="C1906" s="3">
        <v>118</v>
      </c>
      <c r="D1906" s="3">
        <v>37</v>
      </c>
      <c r="E1906" s="3">
        <v>-463.007</v>
      </c>
      <c r="F1906" s="4" t="str">
        <f>HYPERLINK("http://141.218.60.56/~jnz1568/getInfo.php?workbook=14_09.xlsx&amp;sheet=A0&amp;row=1906&amp;col=6&amp;number=365000000&amp;sourceID=14","365000000")</f>
        <v>365000000</v>
      </c>
      <c r="G1906" s="4" t="str">
        <f>HYPERLINK("http://141.218.60.56/~jnz1568/getInfo.php?workbook=14_09.xlsx&amp;sheet=A0&amp;row=1906&amp;col=7&amp;number=0&amp;sourceID=14","0")</f>
        <v>0</v>
      </c>
    </row>
    <row r="1907" spans="1:7">
      <c r="A1907" s="3">
        <v>14</v>
      </c>
      <c r="B1907" s="3">
        <v>9</v>
      </c>
      <c r="C1907" s="3">
        <v>120</v>
      </c>
      <c r="D1907" s="3">
        <v>37</v>
      </c>
      <c r="E1907" s="3">
        <v>-462.031</v>
      </c>
      <c r="F1907" s="4" t="str">
        <f>HYPERLINK("http://141.218.60.56/~jnz1568/getInfo.php?workbook=14_09.xlsx&amp;sheet=A0&amp;row=1907&amp;col=6&amp;number=11400000000&amp;sourceID=14","11400000000")</f>
        <v>11400000000</v>
      </c>
      <c r="G1907" s="4" t="str">
        <f>HYPERLINK("http://141.218.60.56/~jnz1568/getInfo.php?workbook=14_09.xlsx&amp;sheet=A0&amp;row=1907&amp;col=7&amp;number=0&amp;sourceID=14","0")</f>
        <v>0</v>
      </c>
    </row>
    <row r="1908" spans="1:7">
      <c r="A1908" s="3">
        <v>14</v>
      </c>
      <c r="B1908" s="3">
        <v>9</v>
      </c>
      <c r="C1908" s="3">
        <v>121</v>
      </c>
      <c r="D1908" s="3">
        <v>37</v>
      </c>
      <c r="E1908" s="3">
        <v>-461.1</v>
      </c>
      <c r="F1908" s="4" t="str">
        <f>HYPERLINK("http://141.218.60.56/~jnz1568/getInfo.php?workbook=14_09.xlsx&amp;sheet=A0&amp;row=1908&amp;col=6&amp;number=930000000&amp;sourceID=14","930000000")</f>
        <v>930000000</v>
      </c>
      <c r="G1908" s="4" t="str">
        <f>HYPERLINK("http://141.218.60.56/~jnz1568/getInfo.php?workbook=14_09.xlsx&amp;sheet=A0&amp;row=1908&amp;col=7&amp;number=0&amp;sourceID=14","0")</f>
        <v>0</v>
      </c>
    </row>
    <row r="1909" spans="1:7">
      <c r="A1909" s="3">
        <v>14</v>
      </c>
      <c r="B1909" s="3">
        <v>9</v>
      </c>
      <c r="C1909" s="3">
        <v>122</v>
      </c>
      <c r="D1909" s="3">
        <v>37</v>
      </c>
      <c r="E1909" s="3">
        <v>-460.858</v>
      </c>
      <c r="F1909" s="4" t="str">
        <f>HYPERLINK("http://141.218.60.56/~jnz1568/getInfo.php?workbook=14_09.xlsx&amp;sheet=A0&amp;row=1909&amp;col=6&amp;number=1410000000&amp;sourceID=14","1410000000")</f>
        <v>1410000000</v>
      </c>
      <c r="G1909" s="4" t="str">
        <f>HYPERLINK("http://141.218.60.56/~jnz1568/getInfo.php?workbook=14_09.xlsx&amp;sheet=A0&amp;row=1909&amp;col=7&amp;number=0&amp;sourceID=14","0")</f>
        <v>0</v>
      </c>
    </row>
    <row r="1910" spans="1:7">
      <c r="A1910" s="3">
        <v>14</v>
      </c>
      <c r="B1910" s="3">
        <v>9</v>
      </c>
      <c r="C1910" s="3">
        <v>123</v>
      </c>
      <c r="D1910" s="3">
        <v>37</v>
      </c>
      <c r="E1910" s="3">
        <v>-458.514</v>
      </c>
      <c r="F1910" s="4" t="str">
        <f>HYPERLINK("http://141.218.60.56/~jnz1568/getInfo.php?workbook=14_09.xlsx&amp;sheet=A0&amp;row=1910&amp;col=6&amp;number=2960000000&amp;sourceID=14","2960000000")</f>
        <v>2960000000</v>
      </c>
      <c r="G1910" s="4" t="str">
        <f>HYPERLINK("http://141.218.60.56/~jnz1568/getInfo.php?workbook=14_09.xlsx&amp;sheet=A0&amp;row=1910&amp;col=7&amp;number=0&amp;sourceID=14","0")</f>
        <v>0</v>
      </c>
    </row>
    <row r="1911" spans="1:7">
      <c r="A1911" s="3">
        <v>14</v>
      </c>
      <c r="B1911" s="3">
        <v>9</v>
      </c>
      <c r="C1911" s="3">
        <v>124</v>
      </c>
      <c r="D1911" s="3">
        <v>37</v>
      </c>
      <c r="E1911" s="3">
        <v>-458.475</v>
      </c>
      <c r="F1911" s="4" t="str">
        <f>HYPERLINK("http://141.218.60.56/~jnz1568/getInfo.php?workbook=14_09.xlsx&amp;sheet=A0&amp;row=1911&amp;col=6&amp;number=557000000&amp;sourceID=14","557000000")</f>
        <v>557000000</v>
      </c>
      <c r="G1911" s="4" t="str">
        <f>HYPERLINK("http://141.218.60.56/~jnz1568/getInfo.php?workbook=14_09.xlsx&amp;sheet=A0&amp;row=1911&amp;col=7&amp;number=0&amp;sourceID=14","0")</f>
        <v>0</v>
      </c>
    </row>
    <row r="1912" spans="1:7">
      <c r="A1912" s="3">
        <v>14</v>
      </c>
      <c r="B1912" s="3">
        <v>9</v>
      </c>
      <c r="C1912" s="3">
        <v>141</v>
      </c>
      <c r="D1912" s="3">
        <v>37</v>
      </c>
      <c r="E1912" s="3">
        <v>-384.588</v>
      </c>
      <c r="F1912" s="4" t="str">
        <f>HYPERLINK("http://141.218.60.56/~jnz1568/getInfo.php?workbook=14_09.xlsx&amp;sheet=A0&amp;row=1912&amp;col=6&amp;number=2050000&amp;sourceID=14","2050000")</f>
        <v>2050000</v>
      </c>
      <c r="G1912" s="4" t="str">
        <f>HYPERLINK("http://141.218.60.56/~jnz1568/getInfo.php?workbook=14_09.xlsx&amp;sheet=A0&amp;row=1912&amp;col=7&amp;number=0&amp;sourceID=14","0")</f>
        <v>0</v>
      </c>
    </row>
    <row r="1913" spans="1:7">
      <c r="A1913" s="3">
        <v>14</v>
      </c>
      <c r="B1913" s="3">
        <v>9</v>
      </c>
      <c r="C1913" s="3">
        <v>146</v>
      </c>
      <c r="D1913" s="3">
        <v>37</v>
      </c>
      <c r="E1913" s="3">
        <v>-382.581</v>
      </c>
      <c r="F1913" s="4" t="str">
        <f>HYPERLINK("http://141.218.60.56/~jnz1568/getInfo.php?workbook=14_09.xlsx&amp;sheet=A0&amp;row=1913&amp;col=6&amp;number=3400000&amp;sourceID=14","3400000")</f>
        <v>3400000</v>
      </c>
      <c r="G1913" s="4" t="str">
        <f>HYPERLINK("http://141.218.60.56/~jnz1568/getInfo.php?workbook=14_09.xlsx&amp;sheet=A0&amp;row=1913&amp;col=7&amp;number=0&amp;sourceID=14","0")</f>
        <v>0</v>
      </c>
    </row>
    <row r="1914" spans="1:7">
      <c r="A1914" s="3">
        <v>14</v>
      </c>
      <c r="B1914" s="3">
        <v>9</v>
      </c>
      <c r="C1914" s="3">
        <v>149</v>
      </c>
      <c r="D1914" s="3">
        <v>37</v>
      </c>
      <c r="E1914" s="3">
        <v>-381.906</v>
      </c>
      <c r="F1914" s="4" t="str">
        <f>HYPERLINK("http://141.218.60.56/~jnz1568/getInfo.php?workbook=14_09.xlsx&amp;sheet=A0&amp;row=1914&amp;col=6&amp;number=1640000&amp;sourceID=14","1640000")</f>
        <v>1640000</v>
      </c>
      <c r="G1914" s="4" t="str">
        <f>HYPERLINK("http://141.218.60.56/~jnz1568/getInfo.php?workbook=14_09.xlsx&amp;sheet=A0&amp;row=1914&amp;col=7&amp;number=0&amp;sourceID=14","0")</f>
        <v>0</v>
      </c>
    </row>
    <row r="1915" spans="1:7">
      <c r="A1915" s="3">
        <v>14</v>
      </c>
      <c r="B1915" s="3">
        <v>9</v>
      </c>
      <c r="C1915" s="3">
        <v>165</v>
      </c>
      <c r="D1915" s="3">
        <v>37</v>
      </c>
      <c r="E1915" s="3">
        <v>-303.24</v>
      </c>
      <c r="F1915" s="4" t="str">
        <f>HYPERLINK("http://141.218.60.56/~jnz1568/getInfo.php?workbook=14_09.xlsx&amp;sheet=A0&amp;row=1915&amp;col=6&amp;number=517000&amp;sourceID=14","517000")</f>
        <v>517000</v>
      </c>
      <c r="G1915" s="4" t="str">
        <f>HYPERLINK("http://141.218.60.56/~jnz1568/getInfo.php?workbook=14_09.xlsx&amp;sheet=A0&amp;row=1915&amp;col=7&amp;number=0&amp;sourceID=14","0")</f>
        <v>0</v>
      </c>
    </row>
    <row r="1916" spans="1:7">
      <c r="A1916" s="3">
        <v>14</v>
      </c>
      <c r="B1916" s="3">
        <v>9</v>
      </c>
      <c r="C1916" s="3">
        <v>169</v>
      </c>
      <c r="D1916" s="3">
        <v>37</v>
      </c>
      <c r="E1916" s="3">
        <v>-276.642</v>
      </c>
      <c r="F1916" s="4" t="str">
        <f>HYPERLINK("http://141.218.60.56/~jnz1568/getInfo.php?workbook=14_09.xlsx&amp;sheet=A0&amp;row=1916&amp;col=6&amp;number=30300000&amp;sourceID=14","30300000")</f>
        <v>30300000</v>
      </c>
      <c r="G1916" s="4" t="str">
        <f>HYPERLINK("http://141.218.60.56/~jnz1568/getInfo.php?workbook=14_09.xlsx&amp;sheet=A0&amp;row=1916&amp;col=7&amp;number=0&amp;sourceID=14","0")</f>
        <v>0</v>
      </c>
    </row>
    <row r="1917" spans="1:7">
      <c r="A1917" s="3">
        <v>14</v>
      </c>
      <c r="B1917" s="3">
        <v>9</v>
      </c>
      <c r="C1917" s="3">
        <v>170</v>
      </c>
      <c r="D1917" s="3">
        <v>37</v>
      </c>
      <c r="E1917" s="3">
        <v>-275.509</v>
      </c>
      <c r="F1917" s="4" t="str">
        <f>HYPERLINK("http://141.218.60.56/~jnz1568/getInfo.php?workbook=14_09.xlsx&amp;sheet=A0&amp;row=1917&amp;col=6&amp;number=22300000&amp;sourceID=14","22300000")</f>
        <v>22300000</v>
      </c>
      <c r="G1917" s="4" t="str">
        <f>HYPERLINK("http://141.218.60.56/~jnz1568/getInfo.php?workbook=14_09.xlsx&amp;sheet=A0&amp;row=1917&amp;col=7&amp;number=0&amp;sourceID=14","0")</f>
        <v>0</v>
      </c>
    </row>
    <row r="1918" spans="1:7">
      <c r="A1918" s="3">
        <v>14</v>
      </c>
      <c r="B1918" s="3">
        <v>9</v>
      </c>
      <c r="C1918" s="3">
        <v>172</v>
      </c>
      <c r="D1918" s="3">
        <v>37</v>
      </c>
      <c r="E1918" s="3">
        <v>-272.687</v>
      </c>
      <c r="F1918" s="4" t="str">
        <f>HYPERLINK("http://141.218.60.56/~jnz1568/getInfo.php?workbook=14_09.xlsx&amp;sheet=A0&amp;row=1918&amp;col=6&amp;number=2320000000&amp;sourceID=14","2320000000")</f>
        <v>2320000000</v>
      </c>
      <c r="G1918" s="4" t="str">
        <f>HYPERLINK("http://141.218.60.56/~jnz1568/getInfo.php?workbook=14_09.xlsx&amp;sheet=A0&amp;row=1918&amp;col=7&amp;number=0&amp;sourceID=14","0")</f>
        <v>0</v>
      </c>
    </row>
    <row r="1919" spans="1:7">
      <c r="A1919" s="3">
        <v>14</v>
      </c>
      <c r="B1919" s="3">
        <v>9</v>
      </c>
      <c r="C1919" s="3">
        <v>173</v>
      </c>
      <c r="D1919" s="3">
        <v>37</v>
      </c>
      <c r="E1919" s="3">
        <v>-271.66</v>
      </c>
      <c r="F1919" s="4" t="str">
        <f>HYPERLINK("http://141.218.60.56/~jnz1568/getInfo.php?workbook=14_09.xlsx&amp;sheet=A0&amp;row=1919&amp;col=6&amp;number=8660000000&amp;sourceID=14","8660000000")</f>
        <v>8660000000</v>
      </c>
      <c r="G1919" s="4" t="str">
        <f>HYPERLINK("http://141.218.60.56/~jnz1568/getInfo.php?workbook=14_09.xlsx&amp;sheet=A0&amp;row=1919&amp;col=7&amp;number=0&amp;sourceID=14","0")</f>
        <v>0</v>
      </c>
    </row>
    <row r="1920" spans="1:7">
      <c r="A1920" s="3">
        <v>14</v>
      </c>
      <c r="B1920" s="3">
        <v>9</v>
      </c>
      <c r="C1920" s="3">
        <v>174</v>
      </c>
      <c r="D1920" s="3">
        <v>37</v>
      </c>
      <c r="E1920" s="3">
        <v>-270.788</v>
      </c>
      <c r="F1920" s="4" t="str">
        <f>HYPERLINK("http://141.218.60.56/~jnz1568/getInfo.php?workbook=14_09.xlsx&amp;sheet=A0&amp;row=1920&amp;col=6&amp;number=1080000000&amp;sourceID=14","1080000000")</f>
        <v>1080000000</v>
      </c>
      <c r="G1920" s="4" t="str">
        <f>HYPERLINK("http://141.218.60.56/~jnz1568/getInfo.php?workbook=14_09.xlsx&amp;sheet=A0&amp;row=1920&amp;col=7&amp;number=0&amp;sourceID=14","0")</f>
        <v>0</v>
      </c>
    </row>
    <row r="1921" spans="1:7">
      <c r="A1921" s="3">
        <v>14</v>
      </c>
      <c r="B1921" s="3">
        <v>9</v>
      </c>
      <c r="C1921" s="3">
        <v>175</v>
      </c>
      <c r="D1921" s="3">
        <v>37</v>
      </c>
      <c r="E1921" s="3">
        <v>-266.809</v>
      </c>
      <c r="F1921" s="4" t="str">
        <f>HYPERLINK("http://141.218.60.56/~jnz1568/getInfo.php?workbook=14_09.xlsx&amp;sheet=A0&amp;row=1921&amp;col=6&amp;number=54000000&amp;sourceID=14","54000000")</f>
        <v>54000000</v>
      </c>
      <c r="G1921" s="4" t="str">
        <f>HYPERLINK("http://141.218.60.56/~jnz1568/getInfo.php?workbook=14_09.xlsx&amp;sheet=A0&amp;row=1921&amp;col=7&amp;number=0&amp;sourceID=14","0")</f>
        <v>0</v>
      </c>
    </row>
    <row r="1922" spans="1:7">
      <c r="A1922" s="3">
        <v>14</v>
      </c>
      <c r="B1922" s="3">
        <v>9</v>
      </c>
      <c r="C1922" s="3">
        <v>176</v>
      </c>
      <c r="D1922" s="3">
        <v>37</v>
      </c>
      <c r="E1922" s="3">
        <v>-265.445</v>
      </c>
      <c r="F1922" s="4" t="str">
        <f>HYPERLINK("http://141.218.60.56/~jnz1568/getInfo.php?workbook=14_09.xlsx&amp;sheet=A0&amp;row=1922&amp;col=6&amp;number=185000000&amp;sourceID=14","185000000")</f>
        <v>185000000</v>
      </c>
      <c r="G1922" s="4" t="str">
        <f>HYPERLINK("http://141.218.60.56/~jnz1568/getInfo.php?workbook=14_09.xlsx&amp;sheet=A0&amp;row=1922&amp;col=7&amp;number=0&amp;sourceID=14","0")</f>
        <v>0</v>
      </c>
    </row>
    <row r="1923" spans="1:7">
      <c r="A1923" s="3">
        <v>14</v>
      </c>
      <c r="B1923" s="3">
        <v>9</v>
      </c>
      <c r="C1923" s="3">
        <v>177</v>
      </c>
      <c r="D1923" s="3">
        <v>37</v>
      </c>
      <c r="E1923" s="3">
        <v>-265.326</v>
      </c>
      <c r="F1923" s="4" t="str">
        <f>HYPERLINK("http://141.218.60.56/~jnz1568/getInfo.php?workbook=14_09.xlsx&amp;sheet=A0&amp;row=1923&amp;col=6&amp;number=5800000&amp;sourceID=14","5800000")</f>
        <v>5800000</v>
      </c>
      <c r="G1923" s="4" t="str">
        <f>HYPERLINK("http://141.218.60.56/~jnz1568/getInfo.php?workbook=14_09.xlsx&amp;sheet=A0&amp;row=1923&amp;col=7&amp;number=0&amp;sourceID=14","0")</f>
        <v>0</v>
      </c>
    </row>
    <row r="1924" spans="1:7">
      <c r="A1924" s="3">
        <v>14</v>
      </c>
      <c r="B1924" s="3">
        <v>9</v>
      </c>
      <c r="C1924" s="3">
        <v>179</v>
      </c>
      <c r="D1924" s="3">
        <v>37</v>
      </c>
      <c r="E1924" s="3">
        <v>-265.183</v>
      </c>
      <c r="F1924" s="4" t="str">
        <f>HYPERLINK("http://141.218.60.56/~jnz1568/getInfo.php?workbook=14_09.xlsx&amp;sheet=A0&amp;row=1924&amp;col=6&amp;number=10100000000&amp;sourceID=14","10100000000")</f>
        <v>10100000000</v>
      </c>
      <c r="G1924" s="4" t="str">
        <f>HYPERLINK("http://141.218.60.56/~jnz1568/getInfo.php?workbook=14_09.xlsx&amp;sheet=A0&amp;row=1924&amp;col=7&amp;number=0&amp;sourceID=14","0")</f>
        <v>0</v>
      </c>
    </row>
    <row r="1925" spans="1:7">
      <c r="A1925" s="3">
        <v>14</v>
      </c>
      <c r="B1925" s="3">
        <v>9</v>
      </c>
      <c r="C1925" s="3">
        <v>180</v>
      </c>
      <c r="D1925" s="3">
        <v>37</v>
      </c>
      <c r="E1925" s="3">
        <v>-264.404</v>
      </c>
      <c r="F1925" s="4" t="str">
        <f>HYPERLINK("http://141.218.60.56/~jnz1568/getInfo.php?workbook=14_09.xlsx&amp;sheet=A0&amp;row=1925&amp;col=6&amp;number=311000000&amp;sourceID=14","311000000")</f>
        <v>311000000</v>
      </c>
      <c r="G1925" s="4" t="str">
        <f>HYPERLINK("http://141.218.60.56/~jnz1568/getInfo.php?workbook=14_09.xlsx&amp;sheet=A0&amp;row=1925&amp;col=7&amp;number=0&amp;sourceID=14","0")</f>
        <v>0</v>
      </c>
    </row>
    <row r="1926" spans="1:7">
      <c r="A1926" s="3">
        <v>14</v>
      </c>
      <c r="B1926" s="3">
        <v>9</v>
      </c>
      <c r="C1926" s="3">
        <v>181</v>
      </c>
      <c r="D1926" s="3">
        <v>37</v>
      </c>
      <c r="E1926" s="3">
        <v>-261.423</v>
      </c>
      <c r="F1926" s="4" t="str">
        <f>HYPERLINK("http://141.218.60.56/~jnz1568/getInfo.php?workbook=14_09.xlsx&amp;sheet=A0&amp;row=1926&amp;col=6&amp;number=42900000&amp;sourceID=14","42900000")</f>
        <v>42900000</v>
      </c>
      <c r="G1926" s="4" t="str">
        <f>HYPERLINK("http://141.218.60.56/~jnz1568/getInfo.php?workbook=14_09.xlsx&amp;sheet=A0&amp;row=1926&amp;col=7&amp;number=0&amp;sourceID=14","0")</f>
        <v>0</v>
      </c>
    </row>
    <row r="1927" spans="1:7">
      <c r="A1927" s="3">
        <v>14</v>
      </c>
      <c r="B1927" s="3">
        <v>9</v>
      </c>
      <c r="C1927" s="3">
        <v>182</v>
      </c>
      <c r="D1927" s="3">
        <v>37</v>
      </c>
      <c r="E1927" s="3">
        <v>-261.356</v>
      </c>
      <c r="F1927" s="4" t="str">
        <f>HYPERLINK("http://141.218.60.56/~jnz1568/getInfo.php?workbook=14_09.xlsx&amp;sheet=A0&amp;row=1927&amp;col=6&amp;number=258000000&amp;sourceID=14","258000000")</f>
        <v>258000000</v>
      </c>
      <c r="G1927" s="4" t="str">
        <f>HYPERLINK("http://141.218.60.56/~jnz1568/getInfo.php?workbook=14_09.xlsx&amp;sheet=A0&amp;row=1927&amp;col=7&amp;number=0&amp;sourceID=14","0")</f>
        <v>0</v>
      </c>
    </row>
    <row r="1928" spans="1:7">
      <c r="A1928" s="3">
        <v>14</v>
      </c>
      <c r="B1928" s="3">
        <v>9</v>
      </c>
      <c r="C1928" s="3">
        <v>194</v>
      </c>
      <c r="D1928" s="3">
        <v>37</v>
      </c>
      <c r="E1928" s="3">
        <v>-188.394</v>
      </c>
      <c r="F1928" s="4" t="str">
        <f>HYPERLINK("http://141.218.60.56/~jnz1568/getInfo.php?workbook=14_09.xlsx&amp;sheet=A0&amp;row=1928&amp;col=6&amp;number=35400000&amp;sourceID=14","35400000")</f>
        <v>35400000</v>
      </c>
      <c r="G1928" s="4" t="str">
        <f>HYPERLINK("http://141.218.60.56/~jnz1568/getInfo.php?workbook=14_09.xlsx&amp;sheet=A0&amp;row=1928&amp;col=7&amp;number=0&amp;sourceID=14","0")</f>
        <v>0</v>
      </c>
    </row>
    <row r="1929" spans="1:7">
      <c r="A1929" s="3">
        <v>14</v>
      </c>
      <c r="B1929" s="3">
        <v>9</v>
      </c>
      <c r="C1929" s="3">
        <v>195</v>
      </c>
      <c r="D1929" s="3">
        <v>37</v>
      </c>
      <c r="E1929" s="3">
        <v>-188.37</v>
      </c>
      <c r="F1929" s="4" t="str">
        <f>HYPERLINK("http://141.218.60.56/~jnz1568/getInfo.php?workbook=14_09.xlsx&amp;sheet=A0&amp;row=1929&amp;col=6&amp;number=3100000&amp;sourceID=14","3100000")</f>
        <v>3100000</v>
      </c>
      <c r="G1929" s="4" t="str">
        <f>HYPERLINK("http://141.218.60.56/~jnz1568/getInfo.php?workbook=14_09.xlsx&amp;sheet=A0&amp;row=1929&amp;col=7&amp;number=0&amp;sourceID=14","0")</f>
        <v>0</v>
      </c>
    </row>
    <row r="1930" spans="1:7">
      <c r="A1930" s="3">
        <v>14</v>
      </c>
      <c r="B1930" s="3">
        <v>9</v>
      </c>
      <c r="C1930" s="3">
        <v>66</v>
      </c>
      <c r="D1930" s="3">
        <v>38</v>
      </c>
      <c r="E1930" s="3">
        <v>-650.336</v>
      </c>
      <c r="F1930" s="4" t="str">
        <f>HYPERLINK("http://141.218.60.56/~jnz1568/getInfo.php?workbook=14_09.xlsx&amp;sheet=A0&amp;row=1930&amp;col=6&amp;number=1250000&amp;sourceID=14","1250000")</f>
        <v>1250000</v>
      </c>
      <c r="G1930" s="4" t="str">
        <f>HYPERLINK("http://141.218.60.56/~jnz1568/getInfo.php?workbook=14_09.xlsx&amp;sheet=A0&amp;row=1930&amp;col=7&amp;number=0&amp;sourceID=14","0")</f>
        <v>0</v>
      </c>
    </row>
    <row r="1931" spans="1:7">
      <c r="A1931" s="3">
        <v>14</v>
      </c>
      <c r="B1931" s="3">
        <v>9</v>
      </c>
      <c r="C1931" s="3">
        <v>68</v>
      </c>
      <c r="D1931" s="3">
        <v>38</v>
      </c>
      <c r="E1931" s="3">
        <v>-637.996</v>
      </c>
      <c r="F1931" s="4" t="str">
        <f>HYPERLINK("http://141.218.60.56/~jnz1568/getInfo.php?workbook=14_09.xlsx&amp;sheet=A0&amp;row=1931&amp;col=6&amp;number=13200000&amp;sourceID=14","13200000")</f>
        <v>13200000</v>
      </c>
      <c r="G1931" s="4" t="str">
        <f>HYPERLINK("http://141.218.60.56/~jnz1568/getInfo.php?workbook=14_09.xlsx&amp;sheet=A0&amp;row=1931&amp;col=7&amp;number=0&amp;sourceID=14","0")</f>
        <v>0</v>
      </c>
    </row>
    <row r="1932" spans="1:7">
      <c r="A1932" s="3">
        <v>14</v>
      </c>
      <c r="B1932" s="3">
        <v>9</v>
      </c>
      <c r="C1932" s="3">
        <v>70</v>
      </c>
      <c r="D1932" s="3">
        <v>38</v>
      </c>
      <c r="E1932" s="3">
        <v>-616.558</v>
      </c>
      <c r="F1932" s="4" t="str">
        <f>HYPERLINK("http://141.218.60.56/~jnz1568/getInfo.php?workbook=14_09.xlsx&amp;sheet=A0&amp;row=1932&amp;col=6&amp;number=7320000&amp;sourceID=14","7320000")</f>
        <v>7320000</v>
      </c>
      <c r="G1932" s="4" t="str">
        <f>HYPERLINK("http://141.218.60.56/~jnz1568/getInfo.php?workbook=14_09.xlsx&amp;sheet=A0&amp;row=1932&amp;col=7&amp;number=0&amp;sourceID=14","0")</f>
        <v>0</v>
      </c>
    </row>
    <row r="1933" spans="1:7">
      <c r="A1933" s="3">
        <v>14</v>
      </c>
      <c r="B1933" s="3">
        <v>9</v>
      </c>
      <c r="C1933" s="3">
        <v>71</v>
      </c>
      <c r="D1933" s="3">
        <v>38</v>
      </c>
      <c r="E1933" s="3">
        <v>-608.759</v>
      </c>
      <c r="F1933" s="4" t="str">
        <f>HYPERLINK("http://141.218.60.56/~jnz1568/getInfo.php?workbook=14_09.xlsx&amp;sheet=A0&amp;row=1933&amp;col=6&amp;number=361000000&amp;sourceID=14","361000000")</f>
        <v>361000000</v>
      </c>
      <c r="G1933" s="4" t="str">
        <f>HYPERLINK("http://141.218.60.56/~jnz1568/getInfo.php?workbook=14_09.xlsx&amp;sheet=A0&amp;row=1933&amp;col=7&amp;number=0&amp;sourceID=14","0")</f>
        <v>0</v>
      </c>
    </row>
    <row r="1934" spans="1:7">
      <c r="A1934" s="3">
        <v>14</v>
      </c>
      <c r="B1934" s="3">
        <v>9</v>
      </c>
      <c r="C1934" s="3">
        <v>72</v>
      </c>
      <c r="D1934" s="3">
        <v>38</v>
      </c>
      <c r="E1934" s="3">
        <v>-605.915</v>
      </c>
      <c r="F1934" s="4" t="str">
        <f>HYPERLINK("http://141.218.60.56/~jnz1568/getInfo.php?workbook=14_09.xlsx&amp;sheet=A0&amp;row=1934&amp;col=6&amp;number=1890000&amp;sourceID=14","1890000")</f>
        <v>1890000</v>
      </c>
      <c r="G1934" s="4" t="str">
        <f>HYPERLINK("http://141.218.60.56/~jnz1568/getInfo.php?workbook=14_09.xlsx&amp;sheet=A0&amp;row=1934&amp;col=7&amp;number=0&amp;sourceID=14","0")</f>
        <v>0</v>
      </c>
    </row>
    <row r="1935" spans="1:7">
      <c r="A1935" s="3">
        <v>14</v>
      </c>
      <c r="B1935" s="3">
        <v>9</v>
      </c>
      <c r="C1935" s="3">
        <v>73</v>
      </c>
      <c r="D1935" s="3">
        <v>38</v>
      </c>
      <c r="E1935" s="3">
        <v>-604.622</v>
      </c>
      <c r="F1935" s="4" t="str">
        <f>HYPERLINK("http://141.218.60.56/~jnz1568/getInfo.php?workbook=14_09.xlsx&amp;sheet=A0&amp;row=1935&amp;col=6&amp;number=1920000000&amp;sourceID=14","1920000000")</f>
        <v>1920000000</v>
      </c>
      <c r="G1935" s="4" t="str">
        <f>HYPERLINK("http://141.218.60.56/~jnz1568/getInfo.php?workbook=14_09.xlsx&amp;sheet=A0&amp;row=1935&amp;col=7&amp;number=0&amp;sourceID=14","0")</f>
        <v>0</v>
      </c>
    </row>
    <row r="1936" spans="1:7">
      <c r="A1936" s="3">
        <v>14</v>
      </c>
      <c r="B1936" s="3">
        <v>9</v>
      </c>
      <c r="C1936" s="3">
        <v>74</v>
      </c>
      <c r="D1936" s="3">
        <v>38</v>
      </c>
      <c r="E1936" s="3">
        <v>-600.23</v>
      </c>
      <c r="F1936" s="4" t="str">
        <f>HYPERLINK("http://141.218.60.56/~jnz1568/getInfo.php?workbook=14_09.xlsx&amp;sheet=A0&amp;row=1936&amp;col=6&amp;number=23500000&amp;sourceID=14","23500000")</f>
        <v>23500000</v>
      </c>
      <c r="G1936" s="4" t="str">
        <f>HYPERLINK("http://141.218.60.56/~jnz1568/getInfo.php?workbook=14_09.xlsx&amp;sheet=A0&amp;row=1936&amp;col=7&amp;number=0&amp;sourceID=14","0")</f>
        <v>0</v>
      </c>
    </row>
    <row r="1937" spans="1:7">
      <c r="A1937" s="3">
        <v>14</v>
      </c>
      <c r="B1937" s="3">
        <v>9</v>
      </c>
      <c r="C1937" s="3">
        <v>75</v>
      </c>
      <c r="D1937" s="3">
        <v>38</v>
      </c>
      <c r="E1937" s="3">
        <v>-598.23</v>
      </c>
      <c r="F1937" s="4" t="str">
        <f>HYPERLINK("http://141.218.60.56/~jnz1568/getInfo.php?workbook=14_09.xlsx&amp;sheet=A0&amp;row=1937&amp;col=6&amp;number=652000&amp;sourceID=14","652000")</f>
        <v>652000</v>
      </c>
      <c r="G1937" s="4" t="str">
        <f>HYPERLINK("http://141.218.60.56/~jnz1568/getInfo.php?workbook=14_09.xlsx&amp;sheet=A0&amp;row=1937&amp;col=7&amp;number=0&amp;sourceID=14","0")</f>
        <v>0</v>
      </c>
    </row>
    <row r="1938" spans="1:7">
      <c r="A1938" s="3">
        <v>14</v>
      </c>
      <c r="B1938" s="3">
        <v>9</v>
      </c>
      <c r="C1938" s="3">
        <v>76</v>
      </c>
      <c r="D1938" s="3">
        <v>38</v>
      </c>
      <c r="E1938" s="3">
        <v>-597.209</v>
      </c>
      <c r="F1938" s="4" t="str">
        <f>HYPERLINK("http://141.218.60.56/~jnz1568/getInfo.php?workbook=14_09.xlsx&amp;sheet=A0&amp;row=1938&amp;col=6&amp;number=31200000&amp;sourceID=14","31200000")</f>
        <v>31200000</v>
      </c>
      <c r="G1938" s="4" t="str">
        <f>HYPERLINK("http://141.218.60.56/~jnz1568/getInfo.php?workbook=14_09.xlsx&amp;sheet=A0&amp;row=1938&amp;col=7&amp;number=0&amp;sourceID=14","0")</f>
        <v>0</v>
      </c>
    </row>
    <row r="1939" spans="1:7">
      <c r="A1939" s="3">
        <v>14</v>
      </c>
      <c r="B1939" s="3">
        <v>9</v>
      </c>
      <c r="C1939" s="3">
        <v>78</v>
      </c>
      <c r="D1939" s="3">
        <v>38</v>
      </c>
      <c r="E1939" s="3">
        <v>-570.026</v>
      </c>
      <c r="F1939" s="4" t="str">
        <f>HYPERLINK("http://141.218.60.56/~jnz1568/getInfo.php?workbook=14_09.xlsx&amp;sheet=A0&amp;row=1939&amp;col=6&amp;number=333000&amp;sourceID=14","333000")</f>
        <v>333000</v>
      </c>
      <c r="G1939" s="4" t="str">
        <f>HYPERLINK("http://141.218.60.56/~jnz1568/getInfo.php?workbook=14_09.xlsx&amp;sheet=A0&amp;row=1939&amp;col=7&amp;number=0&amp;sourceID=14","0")</f>
        <v>0</v>
      </c>
    </row>
    <row r="1940" spans="1:7">
      <c r="A1940" s="3">
        <v>14</v>
      </c>
      <c r="B1940" s="3">
        <v>9</v>
      </c>
      <c r="C1940" s="3">
        <v>81</v>
      </c>
      <c r="D1940" s="3">
        <v>38</v>
      </c>
      <c r="E1940" s="3">
        <v>-558.239</v>
      </c>
      <c r="F1940" s="4" t="str">
        <f>HYPERLINK("http://141.218.60.56/~jnz1568/getInfo.php?workbook=14_09.xlsx&amp;sheet=A0&amp;row=1940&amp;col=6&amp;number=1040000&amp;sourceID=14","1040000")</f>
        <v>1040000</v>
      </c>
      <c r="G1940" s="4" t="str">
        <f>HYPERLINK("http://141.218.60.56/~jnz1568/getInfo.php?workbook=14_09.xlsx&amp;sheet=A0&amp;row=1940&amp;col=7&amp;number=0&amp;sourceID=14","0")</f>
        <v>0</v>
      </c>
    </row>
    <row r="1941" spans="1:7">
      <c r="A1941" s="3">
        <v>14</v>
      </c>
      <c r="B1941" s="3">
        <v>9</v>
      </c>
      <c r="C1941" s="3">
        <v>82</v>
      </c>
      <c r="D1941" s="3">
        <v>38</v>
      </c>
      <c r="E1941" s="3">
        <v>-549.799</v>
      </c>
      <c r="F1941" s="4" t="str">
        <f>HYPERLINK("http://141.218.60.56/~jnz1568/getInfo.php?workbook=14_09.xlsx&amp;sheet=A0&amp;row=1941&amp;col=6&amp;number=3160000&amp;sourceID=14","3160000")</f>
        <v>3160000</v>
      </c>
      <c r="G1941" s="4" t="str">
        <f>HYPERLINK("http://141.218.60.56/~jnz1568/getInfo.php?workbook=14_09.xlsx&amp;sheet=A0&amp;row=1941&amp;col=7&amp;number=0&amp;sourceID=14","0")</f>
        <v>0</v>
      </c>
    </row>
    <row r="1942" spans="1:7">
      <c r="A1942" s="3">
        <v>14</v>
      </c>
      <c r="B1942" s="3">
        <v>9</v>
      </c>
      <c r="C1942" s="3">
        <v>83</v>
      </c>
      <c r="D1942" s="3">
        <v>38</v>
      </c>
      <c r="E1942" s="3">
        <v>-544.812</v>
      </c>
      <c r="F1942" s="4" t="str">
        <f>HYPERLINK("http://141.218.60.56/~jnz1568/getInfo.php?workbook=14_09.xlsx&amp;sheet=A0&amp;row=1942&amp;col=6&amp;number=603000&amp;sourceID=14","603000")</f>
        <v>603000</v>
      </c>
      <c r="G1942" s="4" t="str">
        <f>HYPERLINK("http://141.218.60.56/~jnz1568/getInfo.php?workbook=14_09.xlsx&amp;sheet=A0&amp;row=1942&amp;col=7&amp;number=0&amp;sourceID=14","0")</f>
        <v>0</v>
      </c>
    </row>
    <row r="1943" spans="1:7">
      <c r="A1943" s="3">
        <v>14</v>
      </c>
      <c r="B1943" s="3">
        <v>9</v>
      </c>
      <c r="C1943" s="3">
        <v>101</v>
      </c>
      <c r="D1943" s="3">
        <v>38</v>
      </c>
      <c r="E1943" s="3">
        <v>-479.236</v>
      </c>
      <c r="F1943" s="4" t="str">
        <f>HYPERLINK("http://141.218.60.56/~jnz1568/getInfo.php?workbook=14_09.xlsx&amp;sheet=A0&amp;row=1943&amp;col=6&amp;number=3190000&amp;sourceID=14","3190000")</f>
        <v>3190000</v>
      </c>
      <c r="G1943" s="4" t="str">
        <f>HYPERLINK("http://141.218.60.56/~jnz1568/getInfo.php?workbook=14_09.xlsx&amp;sheet=A0&amp;row=1943&amp;col=7&amp;number=0&amp;sourceID=14","0")</f>
        <v>0</v>
      </c>
    </row>
    <row r="1944" spans="1:7">
      <c r="A1944" s="3">
        <v>14</v>
      </c>
      <c r="B1944" s="3">
        <v>9</v>
      </c>
      <c r="C1944" s="3">
        <v>106</v>
      </c>
      <c r="D1944" s="3">
        <v>38</v>
      </c>
      <c r="E1944" s="3">
        <v>-474.765</v>
      </c>
      <c r="F1944" s="4" t="str">
        <f>HYPERLINK("http://141.218.60.56/~jnz1568/getInfo.php?workbook=14_09.xlsx&amp;sheet=A0&amp;row=1944&amp;col=6&amp;number=136000000&amp;sourceID=14","136000000")</f>
        <v>136000000</v>
      </c>
      <c r="G1944" s="4" t="str">
        <f>HYPERLINK("http://141.218.60.56/~jnz1568/getInfo.php?workbook=14_09.xlsx&amp;sheet=A0&amp;row=1944&amp;col=7&amp;number=0&amp;sourceID=14","0")</f>
        <v>0</v>
      </c>
    </row>
    <row r="1945" spans="1:7">
      <c r="A1945" s="3">
        <v>14</v>
      </c>
      <c r="B1945" s="3">
        <v>9</v>
      </c>
      <c r="C1945" s="3">
        <v>108</v>
      </c>
      <c r="D1945" s="3">
        <v>38</v>
      </c>
      <c r="E1945" s="3">
        <v>-473.838</v>
      </c>
      <c r="F1945" s="4" t="str">
        <f>HYPERLINK("http://141.218.60.56/~jnz1568/getInfo.php?workbook=14_09.xlsx&amp;sheet=A0&amp;row=1945&amp;col=6&amp;number=349000000&amp;sourceID=14","349000000")</f>
        <v>349000000</v>
      </c>
      <c r="G1945" s="4" t="str">
        <f>HYPERLINK("http://141.218.60.56/~jnz1568/getInfo.php?workbook=14_09.xlsx&amp;sheet=A0&amp;row=1945&amp;col=7&amp;number=0&amp;sourceID=14","0")</f>
        <v>0</v>
      </c>
    </row>
    <row r="1946" spans="1:7">
      <c r="A1946" s="3">
        <v>14</v>
      </c>
      <c r="B1946" s="3">
        <v>9</v>
      </c>
      <c r="C1946" s="3">
        <v>109</v>
      </c>
      <c r="D1946" s="3">
        <v>38</v>
      </c>
      <c r="E1946" s="3">
        <v>-473.233</v>
      </c>
      <c r="F1946" s="4" t="str">
        <f>HYPERLINK("http://141.218.60.56/~jnz1568/getInfo.php?workbook=14_09.xlsx&amp;sheet=A0&amp;row=1946&amp;col=6&amp;number=937000000&amp;sourceID=14","937000000")</f>
        <v>937000000</v>
      </c>
      <c r="G1946" s="4" t="str">
        <f>HYPERLINK("http://141.218.60.56/~jnz1568/getInfo.php?workbook=14_09.xlsx&amp;sheet=A0&amp;row=1946&amp;col=7&amp;number=0&amp;sourceID=14","0")</f>
        <v>0</v>
      </c>
    </row>
    <row r="1947" spans="1:7">
      <c r="A1947" s="3">
        <v>14</v>
      </c>
      <c r="B1947" s="3">
        <v>9</v>
      </c>
      <c r="C1947" s="3">
        <v>112</v>
      </c>
      <c r="D1947" s="3">
        <v>38</v>
      </c>
      <c r="E1947" s="3">
        <v>-471.706</v>
      </c>
      <c r="F1947" s="4" t="str">
        <f>HYPERLINK("http://141.218.60.56/~jnz1568/getInfo.php?workbook=14_09.xlsx&amp;sheet=A0&amp;row=1947&amp;col=6&amp;number=11700000&amp;sourceID=14","11700000")</f>
        <v>11700000</v>
      </c>
      <c r="G1947" s="4" t="str">
        <f>HYPERLINK("http://141.218.60.56/~jnz1568/getInfo.php?workbook=14_09.xlsx&amp;sheet=A0&amp;row=1947&amp;col=7&amp;number=0&amp;sourceID=14","0")</f>
        <v>0</v>
      </c>
    </row>
    <row r="1948" spans="1:7">
      <c r="A1948" s="3">
        <v>14</v>
      </c>
      <c r="B1948" s="3">
        <v>9</v>
      </c>
      <c r="C1948" s="3">
        <v>113</v>
      </c>
      <c r="D1948" s="3">
        <v>38</v>
      </c>
      <c r="E1948" s="3">
        <v>-471.706</v>
      </c>
      <c r="F1948" s="4" t="str">
        <f>HYPERLINK("http://141.218.60.56/~jnz1568/getInfo.php?workbook=14_09.xlsx&amp;sheet=A0&amp;row=1948&amp;col=6&amp;number=17100000&amp;sourceID=14","17100000")</f>
        <v>17100000</v>
      </c>
      <c r="G1948" s="4" t="str">
        <f>HYPERLINK("http://141.218.60.56/~jnz1568/getInfo.php?workbook=14_09.xlsx&amp;sheet=A0&amp;row=1948&amp;col=7&amp;number=0&amp;sourceID=14","0")</f>
        <v>0</v>
      </c>
    </row>
    <row r="1949" spans="1:7">
      <c r="A1949" s="3">
        <v>14</v>
      </c>
      <c r="B1949" s="3">
        <v>9</v>
      </c>
      <c r="C1949" s="3">
        <v>115</v>
      </c>
      <c r="D1949" s="3">
        <v>38</v>
      </c>
      <c r="E1949" s="3">
        <v>-471.372</v>
      </c>
      <c r="F1949" s="4" t="str">
        <f>HYPERLINK("http://141.218.60.56/~jnz1568/getInfo.php?workbook=14_09.xlsx&amp;sheet=A0&amp;row=1949&amp;col=6&amp;number=330000&amp;sourceID=14","330000")</f>
        <v>330000</v>
      </c>
      <c r="G1949" s="4" t="str">
        <f>HYPERLINK("http://141.218.60.56/~jnz1568/getInfo.php?workbook=14_09.xlsx&amp;sheet=A0&amp;row=1949&amp;col=7&amp;number=0&amp;sourceID=14","0")</f>
        <v>0</v>
      </c>
    </row>
    <row r="1950" spans="1:7">
      <c r="A1950" s="3">
        <v>14</v>
      </c>
      <c r="B1950" s="3">
        <v>9</v>
      </c>
      <c r="C1950" s="3">
        <v>116</v>
      </c>
      <c r="D1950" s="3">
        <v>38</v>
      </c>
      <c r="E1950" s="3">
        <v>-471.31</v>
      </c>
      <c r="F1950" s="4" t="str">
        <f>HYPERLINK("http://141.218.60.56/~jnz1568/getInfo.php?workbook=14_09.xlsx&amp;sheet=A0&amp;row=1950&amp;col=6&amp;number=363000000&amp;sourceID=14","363000000")</f>
        <v>363000000</v>
      </c>
      <c r="G1950" s="4" t="str">
        <f>HYPERLINK("http://141.218.60.56/~jnz1568/getInfo.php?workbook=14_09.xlsx&amp;sheet=A0&amp;row=1950&amp;col=7&amp;number=0&amp;sourceID=14","0")</f>
        <v>0</v>
      </c>
    </row>
    <row r="1951" spans="1:7">
      <c r="A1951" s="3">
        <v>14</v>
      </c>
      <c r="B1951" s="3">
        <v>9</v>
      </c>
      <c r="C1951" s="3">
        <v>117</v>
      </c>
      <c r="D1951" s="3">
        <v>38</v>
      </c>
      <c r="E1951" s="3">
        <v>-465.383</v>
      </c>
      <c r="F1951" s="4" t="str">
        <f>HYPERLINK("http://141.218.60.56/~jnz1568/getInfo.php?workbook=14_09.xlsx&amp;sheet=A0&amp;row=1951&amp;col=6&amp;number=713000000&amp;sourceID=14","713000000")</f>
        <v>713000000</v>
      </c>
      <c r="G1951" s="4" t="str">
        <f>HYPERLINK("http://141.218.60.56/~jnz1568/getInfo.php?workbook=14_09.xlsx&amp;sheet=A0&amp;row=1951&amp;col=7&amp;number=0&amp;sourceID=14","0")</f>
        <v>0</v>
      </c>
    </row>
    <row r="1952" spans="1:7">
      <c r="A1952" s="3">
        <v>14</v>
      </c>
      <c r="B1952" s="3">
        <v>9</v>
      </c>
      <c r="C1952" s="3">
        <v>118</v>
      </c>
      <c r="D1952" s="3">
        <v>38</v>
      </c>
      <c r="E1952" s="3">
        <v>-465.223</v>
      </c>
      <c r="F1952" s="4" t="str">
        <f>HYPERLINK("http://141.218.60.56/~jnz1568/getInfo.php?workbook=14_09.xlsx&amp;sheet=A0&amp;row=1952&amp;col=6&amp;number=49200000&amp;sourceID=14","49200000")</f>
        <v>49200000</v>
      </c>
      <c r="G1952" s="4" t="str">
        <f>HYPERLINK("http://141.218.60.56/~jnz1568/getInfo.php?workbook=14_09.xlsx&amp;sheet=A0&amp;row=1952&amp;col=7&amp;number=0&amp;sourceID=14","0")</f>
        <v>0</v>
      </c>
    </row>
    <row r="1953" spans="1:7">
      <c r="A1953" s="3">
        <v>14</v>
      </c>
      <c r="B1953" s="3">
        <v>9</v>
      </c>
      <c r="C1953" s="3">
        <v>122</v>
      </c>
      <c r="D1953" s="3">
        <v>38</v>
      </c>
      <c r="E1953" s="3">
        <v>-463.054</v>
      </c>
      <c r="F1953" s="4" t="str">
        <f>HYPERLINK("http://141.218.60.56/~jnz1568/getInfo.php?workbook=14_09.xlsx&amp;sheet=A0&amp;row=1953&amp;col=6&amp;number=7060000000&amp;sourceID=14","7060000000")</f>
        <v>7060000000</v>
      </c>
      <c r="G1953" s="4" t="str">
        <f>HYPERLINK("http://141.218.60.56/~jnz1568/getInfo.php?workbook=14_09.xlsx&amp;sheet=A0&amp;row=1953&amp;col=7&amp;number=0&amp;sourceID=14","0")</f>
        <v>0</v>
      </c>
    </row>
    <row r="1954" spans="1:7">
      <c r="A1954" s="3">
        <v>14</v>
      </c>
      <c r="B1954" s="3">
        <v>9</v>
      </c>
      <c r="C1954" s="3">
        <v>124</v>
      </c>
      <c r="D1954" s="3">
        <v>38</v>
      </c>
      <c r="E1954" s="3">
        <v>-460.648</v>
      </c>
      <c r="F1954" s="4" t="str">
        <f>HYPERLINK("http://141.218.60.56/~jnz1568/getInfo.php?workbook=14_09.xlsx&amp;sheet=A0&amp;row=1954&amp;col=6&amp;number=9030000000&amp;sourceID=14","9030000000")</f>
        <v>9030000000</v>
      </c>
      <c r="G1954" s="4" t="str">
        <f>HYPERLINK("http://141.218.60.56/~jnz1568/getInfo.php?workbook=14_09.xlsx&amp;sheet=A0&amp;row=1954&amp;col=7&amp;number=0&amp;sourceID=14","0")</f>
        <v>0</v>
      </c>
    </row>
    <row r="1955" spans="1:7">
      <c r="A1955" s="3">
        <v>14</v>
      </c>
      <c r="B1955" s="3">
        <v>9</v>
      </c>
      <c r="C1955" s="3">
        <v>138</v>
      </c>
      <c r="D1955" s="3">
        <v>38</v>
      </c>
      <c r="E1955" s="3">
        <v>-388.195</v>
      </c>
      <c r="F1955" s="4" t="str">
        <f>HYPERLINK("http://141.218.60.56/~jnz1568/getInfo.php?workbook=14_09.xlsx&amp;sheet=A0&amp;row=1955&amp;col=6&amp;number=252000&amp;sourceID=14","252000")</f>
        <v>252000</v>
      </c>
      <c r="G1955" s="4" t="str">
        <f>HYPERLINK("http://141.218.60.56/~jnz1568/getInfo.php?workbook=14_09.xlsx&amp;sheet=A0&amp;row=1955&amp;col=7&amp;number=0&amp;sourceID=14","0")</f>
        <v>0</v>
      </c>
    </row>
    <row r="1956" spans="1:7">
      <c r="A1956" s="3">
        <v>14</v>
      </c>
      <c r="B1956" s="3">
        <v>9</v>
      </c>
      <c r="C1956" s="3">
        <v>142</v>
      </c>
      <c r="D1956" s="3">
        <v>38</v>
      </c>
      <c r="E1956" s="3">
        <v>-386.1</v>
      </c>
      <c r="F1956" s="4" t="str">
        <f>HYPERLINK("http://141.218.60.56/~jnz1568/getInfo.php?workbook=14_09.xlsx&amp;sheet=A0&amp;row=1956&amp;col=6&amp;number=2250000&amp;sourceID=14","2250000")</f>
        <v>2250000</v>
      </c>
      <c r="G1956" s="4" t="str">
        <f>HYPERLINK("http://141.218.60.56/~jnz1568/getInfo.php?workbook=14_09.xlsx&amp;sheet=A0&amp;row=1956&amp;col=7&amp;number=0&amp;sourceID=14","0")</f>
        <v>0</v>
      </c>
    </row>
    <row r="1957" spans="1:7">
      <c r="A1957" s="3">
        <v>14</v>
      </c>
      <c r="B1957" s="3">
        <v>9</v>
      </c>
      <c r="C1957" s="3">
        <v>147</v>
      </c>
      <c r="D1957" s="3">
        <v>38</v>
      </c>
      <c r="E1957" s="3">
        <v>-384.09</v>
      </c>
      <c r="F1957" s="4" t="str">
        <f>HYPERLINK("http://141.218.60.56/~jnz1568/getInfo.php?workbook=14_09.xlsx&amp;sheet=A0&amp;row=1957&amp;col=6&amp;number=3090000&amp;sourceID=14","3090000")</f>
        <v>3090000</v>
      </c>
      <c r="G1957" s="4" t="str">
        <f>HYPERLINK("http://141.218.60.56/~jnz1568/getInfo.php?workbook=14_09.xlsx&amp;sheet=A0&amp;row=1957&amp;col=7&amp;number=0&amp;sourceID=14","0")</f>
        <v>0</v>
      </c>
    </row>
    <row r="1958" spans="1:7">
      <c r="A1958" s="3">
        <v>14</v>
      </c>
      <c r="B1958" s="3">
        <v>9</v>
      </c>
      <c r="C1958" s="3">
        <v>164</v>
      </c>
      <c r="D1958" s="3">
        <v>38</v>
      </c>
      <c r="E1958" s="3">
        <v>-304.199</v>
      </c>
      <c r="F1958" s="4" t="str">
        <f>HYPERLINK("http://141.218.60.56/~jnz1568/getInfo.php?workbook=14_09.xlsx&amp;sheet=A0&amp;row=1958&amp;col=6&amp;number=790000&amp;sourceID=14","790000")</f>
        <v>790000</v>
      </c>
      <c r="G1958" s="4" t="str">
        <f>HYPERLINK("http://141.218.60.56/~jnz1568/getInfo.php?workbook=14_09.xlsx&amp;sheet=A0&amp;row=1958&amp;col=7&amp;number=0&amp;sourceID=14","0")</f>
        <v>0</v>
      </c>
    </row>
    <row r="1959" spans="1:7">
      <c r="A1959" s="3">
        <v>14</v>
      </c>
      <c r="B1959" s="3">
        <v>9</v>
      </c>
      <c r="C1959" s="3">
        <v>168</v>
      </c>
      <c r="D1959" s="3">
        <v>38</v>
      </c>
      <c r="E1959" s="3">
        <v>-278.069</v>
      </c>
      <c r="F1959" s="4" t="str">
        <f>HYPERLINK("http://141.218.60.56/~jnz1568/getInfo.php?workbook=14_09.xlsx&amp;sheet=A0&amp;row=1959&amp;col=6&amp;number=63000000&amp;sourceID=14","63000000")</f>
        <v>63000000</v>
      </c>
      <c r="G1959" s="4" t="str">
        <f>HYPERLINK("http://141.218.60.56/~jnz1568/getInfo.php?workbook=14_09.xlsx&amp;sheet=A0&amp;row=1959&amp;col=7&amp;number=0&amp;sourceID=14","0")</f>
        <v>0</v>
      </c>
    </row>
    <row r="1960" spans="1:7">
      <c r="A1960" s="3">
        <v>14</v>
      </c>
      <c r="B1960" s="3">
        <v>9</v>
      </c>
      <c r="C1960" s="3">
        <v>169</v>
      </c>
      <c r="D1960" s="3">
        <v>38</v>
      </c>
      <c r="E1960" s="3">
        <v>-277.432</v>
      </c>
      <c r="F1960" s="4" t="str">
        <f>HYPERLINK("http://141.218.60.56/~jnz1568/getInfo.php?workbook=14_09.xlsx&amp;sheet=A0&amp;row=1960&amp;col=6&amp;number=5890000&amp;sourceID=14","5890000")</f>
        <v>5890000</v>
      </c>
      <c r="G1960" s="4" t="str">
        <f>HYPERLINK("http://141.218.60.56/~jnz1568/getInfo.php?workbook=14_09.xlsx&amp;sheet=A0&amp;row=1960&amp;col=7&amp;number=0&amp;sourceID=14","0")</f>
        <v>0</v>
      </c>
    </row>
    <row r="1961" spans="1:7">
      <c r="A1961" s="3">
        <v>14</v>
      </c>
      <c r="B1961" s="3">
        <v>9</v>
      </c>
      <c r="C1961" s="3">
        <v>170</v>
      </c>
      <c r="D1961" s="3">
        <v>38</v>
      </c>
      <c r="E1961" s="3">
        <v>-276.292</v>
      </c>
      <c r="F1961" s="4" t="str">
        <f>HYPERLINK("http://141.218.60.56/~jnz1568/getInfo.php?workbook=14_09.xlsx&amp;sheet=A0&amp;row=1961&amp;col=6&amp;number=45900000&amp;sourceID=14","45900000")</f>
        <v>45900000</v>
      </c>
      <c r="G1961" s="4" t="str">
        <f>HYPERLINK("http://141.218.60.56/~jnz1568/getInfo.php?workbook=14_09.xlsx&amp;sheet=A0&amp;row=1961&amp;col=7&amp;number=0&amp;sourceID=14","0")</f>
        <v>0</v>
      </c>
    </row>
    <row r="1962" spans="1:7">
      <c r="A1962" s="3">
        <v>14</v>
      </c>
      <c r="B1962" s="3">
        <v>9</v>
      </c>
      <c r="C1962" s="3">
        <v>173</v>
      </c>
      <c r="D1962" s="3">
        <v>38</v>
      </c>
      <c r="E1962" s="3">
        <v>-272.421</v>
      </c>
      <c r="F1962" s="4" t="str">
        <f>HYPERLINK("http://141.218.60.56/~jnz1568/getInfo.php?workbook=14_09.xlsx&amp;sheet=A0&amp;row=1962&amp;col=6&amp;number=2130000000&amp;sourceID=14","2130000000")</f>
        <v>2130000000</v>
      </c>
      <c r="G1962" s="4" t="str">
        <f>HYPERLINK("http://141.218.60.56/~jnz1568/getInfo.php?workbook=14_09.xlsx&amp;sheet=A0&amp;row=1962&amp;col=7&amp;number=0&amp;sourceID=14","0")</f>
        <v>0</v>
      </c>
    </row>
    <row r="1963" spans="1:7">
      <c r="A1963" s="3">
        <v>14</v>
      </c>
      <c r="B1963" s="3">
        <v>9</v>
      </c>
      <c r="C1963" s="3">
        <v>174</v>
      </c>
      <c r="D1963" s="3">
        <v>38</v>
      </c>
      <c r="E1963" s="3">
        <v>-271.545</v>
      </c>
      <c r="F1963" s="4" t="str">
        <f>HYPERLINK("http://141.218.60.56/~jnz1568/getInfo.php?workbook=14_09.xlsx&amp;sheet=A0&amp;row=1963&amp;col=6&amp;number=10100000000&amp;sourceID=14","10100000000")</f>
        <v>10100000000</v>
      </c>
      <c r="G1963" s="4" t="str">
        <f>HYPERLINK("http://141.218.60.56/~jnz1568/getInfo.php?workbook=14_09.xlsx&amp;sheet=A0&amp;row=1963&amp;col=7&amp;number=0&amp;sourceID=14","0")</f>
        <v>0</v>
      </c>
    </row>
    <row r="1964" spans="1:7">
      <c r="A1964" s="3">
        <v>14</v>
      </c>
      <c r="B1964" s="3">
        <v>9</v>
      </c>
      <c r="C1964" s="3">
        <v>176</v>
      </c>
      <c r="D1964" s="3">
        <v>38</v>
      </c>
      <c r="E1964" s="3">
        <v>-266.172</v>
      </c>
      <c r="F1964" s="4" t="str">
        <f>HYPERLINK("http://141.218.60.56/~jnz1568/getInfo.php?workbook=14_09.xlsx&amp;sheet=A0&amp;row=1964&amp;col=6&amp;number=115000000&amp;sourceID=14","115000000")</f>
        <v>115000000</v>
      </c>
      <c r="G1964" s="4" t="str">
        <f>HYPERLINK("http://141.218.60.56/~jnz1568/getInfo.php?workbook=14_09.xlsx&amp;sheet=A0&amp;row=1964&amp;col=7&amp;number=0&amp;sourceID=14","0")</f>
        <v>0</v>
      </c>
    </row>
    <row r="1965" spans="1:7">
      <c r="A1965" s="3">
        <v>14</v>
      </c>
      <c r="B1965" s="3">
        <v>9</v>
      </c>
      <c r="C1965" s="3">
        <v>178</v>
      </c>
      <c r="D1965" s="3">
        <v>38</v>
      </c>
      <c r="E1965" s="3">
        <v>-265.932</v>
      </c>
      <c r="F1965" s="4" t="str">
        <f>HYPERLINK("http://141.218.60.56/~jnz1568/getInfo.php?workbook=14_09.xlsx&amp;sheet=A0&amp;row=1965&amp;col=6&amp;number=11500000000&amp;sourceID=14","11500000000")</f>
        <v>11500000000</v>
      </c>
      <c r="G1965" s="4" t="str">
        <f>HYPERLINK("http://141.218.60.56/~jnz1568/getInfo.php?workbook=14_09.xlsx&amp;sheet=A0&amp;row=1965&amp;col=7&amp;number=0&amp;sourceID=14","0")</f>
        <v>0</v>
      </c>
    </row>
    <row r="1966" spans="1:7">
      <c r="A1966" s="3">
        <v>14</v>
      </c>
      <c r="B1966" s="3">
        <v>9</v>
      </c>
      <c r="C1966" s="3">
        <v>179</v>
      </c>
      <c r="D1966" s="3">
        <v>38</v>
      </c>
      <c r="E1966" s="3">
        <v>-265.909</v>
      </c>
      <c r="F1966" s="4" t="str">
        <f>HYPERLINK("http://141.218.60.56/~jnz1568/getInfo.php?workbook=14_09.xlsx&amp;sheet=A0&amp;row=1966&amp;col=6&amp;number=422000000&amp;sourceID=14","422000000")</f>
        <v>422000000</v>
      </c>
      <c r="G1966" s="4" t="str">
        <f>HYPERLINK("http://141.218.60.56/~jnz1568/getInfo.php?workbook=14_09.xlsx&amp;sheet=A0&amp;row=1966&amp;col=7&amp;number=0&amp;sourceID=14","0")</f>
        <v>0</v>
      </c>
    </row>
    <row r="1967" spans="1:7">
      <c r="A1967" s="3">
        <v>14</v>
      </c>
      <c r="B1967" s="3">
        <v>9</v>
      </c>
      <c r="C1967" s="3">
        <v>180</v>
      </c>
      <c r="D1967" s="3">
        <v>38</v>
      </c>
      <c r="E1967" s="3">
        <v>-265.125</v>
      </c>
      <c r="F1967" s="4" t="str">
        <f>HYPERLINK("http://141.218.60.56/~jnz1568/getInfo.php?workbook=14_09.xlsx&amp;sheet=A0&amp;row=1967&amp;col=6&amp;number=74600000&amp;sourceID=14","74600000")</f>
        <v>74600000</v>
      </c>
      <c r="G1967" s="4" t="str">
        <f>HYPERLINK("http://141.218.60.56/~jnz1568/getInfo.php?workbook=14_09.xlsx&amp;sheet=A0&amp;row=1967&amp;col=7&amp;number=0&amp;sourceID=14","0")</f>
        <v>0</v>
      </c>
    </row>
    <row r="1968" spans="1:7">
      <c r="A1968" s="3">
        <v>14</v>
      </c>
      <c r="B1968" s="3">
        <v>9</v>
      </c>
      <c r="C1968" s="3">
        <v>182</v>
      </c>
      <c r="D1968" s="3">
        <v>38</v>
      </c>
      <c r="E1968" s="3">
        <v>-262.061</v>
      </c>
      <c r="F1968" s="4" t="str">
        <f>HYPERLINK("http://141.218.60.56/~jnz1568/getInfo.php?workbook=14_09.xlsx&amp;sheet=A0&amp;row=1968&amp;col=6&amp;number=38400000&amp;sourceID=14","38400000")</f>
        <v>38400000</v>
      </c>
      <c r="G1968" s="4" t="str">
        <f>HYPERLINK("http://141.218.60.56/~jnz1568/getInfo.php?workbook=14_09.xlsx&amp;sheet=A0&amp;row=1968&amp;col=7&amp;number=0&amp;sourceID=14","0")</f>
        <v>0</v>
      </c>
    </row>
    <row r="1969" spans="1:7">
      <c r="A1969" s="3">
        <v>14</v>
      </c>
      <c r="B1969" s="3">
        <v>9</v>
      </c>
      <c r="C1969" s="3">
        <v>183</v>
      </c>
      <c r="D1969" s="3">
        <v>38</v>
      </c>
      <c r="E1969" s="3">
        <v>-256.364</v>
      </c>
      <c r="F1969" s="4" t="str">
        <f>HYPERLINK("http://141.218.60.56/~jnz1568/getInfo.php?workbook=14_09.xlsx&amp;sheet=A0&amp;row=1969&amp;col=6&amp;number=11700000&amp;sourceID=14","11700000")</f>
        <v>11700000</v>
      </c>
      <c r="G1969" s="4" t="str">
        <f>HYPERLINK("http://141.218.60.56/~jnz1568/getInfo.php?workbook=14_09.xlsx&amp;sheet=A0&amp;row=1969&amp;col=7&amp;number=0&amp;sourceID=14","0")</f>
        <v>0</v>
      </c>
    </row>
    <row r="1970" spans="1:7">
      <c r="A1970" s="3">
        <v>14</v>
      </c>
      <c r="B1970" s="3">
        <v>9</v>
      </c>
      <c r="C1970" s="3">
        <v>190</v>
      </c>
      <c r="D1970" s="3">
        <v>38</v>
      </c>
      <c r="E1970" s="3">
        <v>-191.166</v>
      </c>
      <c r="F1970" s="4" t="str">
        <f>HYPERLINK("http://141.218.60.56/~jnz1568/getInfo.php?workbook=14_09.xlsx&amp;sheet=A0&amp;row=1970&amp;col=6&amp;number=1520000&amp;sourceID=14","1520000")</f>
        <v>1520000</v>
      </c>
      <c r="G1970" s="4" t="str">
        <f>HYPERLINK("http://141.218.60.56/~jnz1568/getInfo.php?workbook=14_09.xlsx&amp;sheet=A0&amp;row=1970&amp;col=7&amp;number=0&amp;sourceID=14","0")</f>
        <v>0</v>
      </c>
    </row>
    <row r="1971" spans="1:7">
      <c r="A1971" s="3">
        <v>14</v>
      </c>
      <c r="B1971" s="3">
        <v>9</v>
      </c>
      <c r="C1971" s="3">
        <v>193</v>
      </c>
      <c r="D1971" s="3">
        <v>38</v>
      </c>
      <c r="E1971" s="3">
        <v>-189.777</v>
      </c>
      <c r="F1971" s="4" t="str">
        <f>HYPERLINK("http://141.218.60.56/~jnz1568/getInfo.php?workbook=14_09.xlsx&amp;sheet=A0&amp;row=1971&amp;col=6&amp;number=3590000&amp;sourceID=14","3590000")</f>
        <v>3590000</v>
      </c>
      <c r="G1971" s="4" t="str">
        <f>HYPERLINK("http://141.218.60.56/~jnz1568/getInfo.php?workbook=14_09.xlsx&amp;sheet=A0&amp;row=1971&amp;col=7&amp;number=0&amp;sourceID=14","0")</f>
        <v>0</v>
      </c>
    </row>
    <row r="1972" spans="1:7">
      <c r="A1972" s="3">
        <v>14</v>
      </c>
      <c r="B1972" s="3">
        <v>9</v>
      </c>
      <c r="C1972" s="3">
        <v>194</v>
      </c>
      <c r="D1972" s="3">
        <v>38</v>
      </c>
      <c r="E1972" s="3">
        <v>-188.76</v>
      </c>
      <c r="F1972" s="4" t="str">
        <f>HYPERLINK("http://141.218.60.56/~jnz1568/getInfo.php?workbook=14_09.xlsx&amp;sheet=A0&amp;row=1972&amp;col=6&amp;number=27800000&amp;sourceID=14","27800000")</f>
        <v>27800000</v>
      </c>
      <c r="G1972" s="4" t="str">
        <f>HYPERLINK("http://141.218.60.56/~jnz1568/getInfo.php?workbook=14_09.xlsx&amp;sheet=A0&amp;row=1972&amp;col=7&amp;number=0&amp;sourceID=14","0")</f>
        <v>0</v>
      </c>
    </row>
    <row r="1973" spans="1:7">
      <c r="A1973" s="3">
        <v>14</v>
      </c>
      <c r="B1973" s="3">
        <v>9</v>
      </c>
      <c r="C1973" s="3">
        <v>195</v>
      </c>
      <c r="D1973" s="3">
        <v>38</v>
      </c>
      <c r="E1973" s="3">
        <v>-188.736</v>
      </c>
      <c r="F1973" s="4" t="str">
        <f>HYPERLINK("http://141.218.60.56/~jnz1568/getInfo.php?workbook=14_09.xlsx&amp;sheet=A0&amp;row=1973&amp;col=6&amp;number=2990000&amp;sourceID=14","2990000")</f>
        <v>2990000</v>
      </c>
      <c r="G1973" s="4" t="str">
        <f>HYPERLINK("http://141.218.60.56/~jnz1568/getInfo.php?workbook=14_09.xlsx&amp;sheet=A0&amp;row=1973&amp;col=7&amp;number=0&amp;sourceID=14","0")</f>
        <v>0</v>
      </c>
    </row>
    <row r="1974" spans="1:7">
      <c r="A1974" s="3">
        <v>14</v>
      </c>
      <c r="B1974" s="3">
        <v>9</v>
      </c>
      <c r="C1974" s="3">
        <v>67</v>
      </c>
      <c r="D1974" s="3">
        <v>39</v>
      </c>
      <c r="E1974" s="3">
        <v>-644.851</v>
      </c>
      <c r="F1974" s="4" t="str">
        <f>HYPERLINK("http://141.218.60.56/~jnz1568/getInfo.php?workbook=14_09.xlsx&amp;sheet=A0&amp;row=1974&amp;col=6&amp;number=215000000&amp;sourceID=14","215000000")</f>
        <v>215000000</v>
      </c>
      <c r="G1974" s="4" t="str">
        <f>HYPERLINK("http://141.218.60.56/~jnz1568/getInfo.php?workbook=14_09.xlsx&amp;sheet=A0&amp;row=1974&amp;col=7&amp;number=0&amp;sourceID=14","0")</f>
        <v>0</v>
      </c>
    </row>
    <row r="1975" spans="1:7">
      <c r="A1975" s="3">
        <v>14</v>
      </c>
      <c r="B1975" s="3">
        <v>9</v>
      </c>
      <c r="C1975" s="3">
        <v>68</v>
      </c>
      <c r="D1975" s="3">
        <v>39</v>
      </c>
      <c r="E1975" s="3">
        <v>-638.803</v>
      </c>
      <c r="F1975" s="4" t="str">
        <f>HYPERLINK("http://141.218.60.56/~jnz1568/getInfo.php?workbook=14_09.xlsx&amp;sheet=A0&amp;row=1975&amp;col=6&amp;number=104000000&amp;sourceID=14","104000000")</f>
        <v>104000000</v>
      </c>
      <c r="G1975" s="4" t="str">
        <f>HYPERLINK("http://141.218.60.56/~jnz1568/getInfo.php?workbook=14_09.xlsx&amp;sheet=A0&amp;row=1975&amp;col=7&amp;number=0&amp;sourceID=14","0")</f>
        <v>0</v>
      </c>
    </row>
    <row r="1976" spans="1:7">
      <c r="A1976" s="3">
        <v>14</v>
      </c>
      <c r="B1976" s="3">
        <v>9</v>
      </c>
      <c r="C1976" s="3">
        <v>71</v>
      </c>
      <c r="D1976" s="3">
        <v>39</v>
      </c>
      <c r="E1976" s="3">
        <v>-609.493</v>
      </c>
      <c r="F1976" s="4" t="str">
        <f>HYPERLINK("http://141.218.60.56/~jnz1568/getInfo.php?workbook=14_09.xlsx&amp;sheet=A0&amp;row=1976&amp;col=6&amp;number=2450000&amp;sourceID=14","2450000")</f>
        <v>2450000</v>
      </c>
      <c r="G1976" s="4" t="str">
        <f>HYPERLINK("http://141.218.60.56/~jnz1568/getInfo.php?workbook=14_09.xlsx&amp;sheet=A0&amp;row=1976&amp;col=7&amp;number=0&amp;sourceID=14","0")</f>
        <v>0</v>
      </c>
    </row>
    <row r="1977" spans="1:7">
      <c r="A1977" s="3">
        <v>14</v>
      </c>
      <c r="B1977" s="3">
        <v>9</v>
      </c>
      <c r="C1977" s="3">
        <v>73</v>
      </c>
      <c r="D1977" s="3">
        <v>39</v>
      </c>
      <c r="E1977" s="3">
        <v>-605.346</v>
      </c>
      <c r="F1977" s="4" t="str">
        <f>HYPERLINK("http://141.218.60.56/~jnz1568/getInfo.php?workbook=14_09.xlsx&amp;sheet=A0&amp;row=1977&amp;col=6&amp;number=57600000&amp;sourceID=14","57600000")</f>
        <v>57600000</v>
      </c>
      <c r="G1977" s="4" t="str">
        <f>HYPERLINK("http://141.218.60.56/~jnz1568/getInfo.php?workbook=14_09.xlsx&amp;sheet=A0&amp;row=1977&amp;col=7&amp;number=0&amp;sourceID=14","0")</f>
        <v>0</v>
      </c>
    </row>
    <row r="1978" spans="1:7">
      <c r="A1978" s="3">
        <v>14</v>
      </c>
      <c r="B1978" s="3">
        <v>9</v>
      </c>
      <c r="C1978" s="3">
        <v>74</v>
      </c>
      <c r="D1978" s="3">
        <v>39</v>
      </c>
      <c r="E1978" s="3">
        <v>-600.945</v>
      </c>
      <c r="F1978" s="4" t="str">
        <f>HYPERLINK("http://141.218.60.56/~jnz1568/getInfo.php?workbook=14_09.xlsx&amp;sheet=A0&amp;row=1978&amp;col=6&amp;number=1350000&amp;sourceID=14","1350000")</f>
        <v>1350000</v>
      </c>
      <c r="G1978" s="4" t="str">
        <f>HYPERLINK("http://141.218.60.56/~jnz1568/getInfo.php?workbook=14_09.xlsx&amp;sheet=A0&amp;row=1978&amp;col=7&amp;number=0&amp;sourceID=14","0")</f>
        <v>0</v>
      </c>
    </row>
    <row r="1979" spans="1:7">
      <c r="A1979" s="3">
        <v>14</v>
      </c>
      <c r="B1979" s="3">
        <v>9</v>
      </c>
      <c r="C1979" s="3">
        <v>75</v>
      </c>
      <c r="D1979" s="3">
        <v>39</v>
      </c>
      <c r="E1979" s="3">
        <v>-598.94</v>
      </c>
      <c r="F1979" s="4" t="str">
        <f>HYPERLINK("http://141.218.60.56/~jnz1568/getInfo.php?workbook=14_09.xlsx&amp;sheet=A0&amp;row=1979&amp;col=6&amp;number=349000000&amp;sourceID=14","349000000")</f>
        <v>349000000</v>
      </c>
      <c r="G1979" s="4" t="str">
        <f>HYPERLINK("http://141.218.60.56/~jnz1568/getInfo.php?workbook=14_09.xlsx&amp;sheet=A0&amp;row=1979&amp;col=7&amp;number=0&amp;sourceID=14","0")</f>
        <v>0</v>
      </c>
    </row>
    <row r="1980" spans="1:7">
      <c r="A1980" s="3">
        <v>14</v>
      </c>
      <c r="B1980" s="3">
        <v>9</v>
      </c>
      <c r="C1980" s="3">
        <v>76</v>
      </c>
      <c r="D1980" s="3">
        <v>39</v>
      </c>
      <c r="E1980" s="3">
        <v>-597.916</v>
      </c>
      <c r="F1980" s="4" t="str">
        <f>HYPERLINK("http://141.218.60.56/~jnz1568/getInfo.php?workbook=14_09.xlsx&amp;sheet=A0&amp;row=1980&amp;col=6&amp;number=9210000&amp;sourceID=14","9210000")</f>
        <v>9210000</v>
      </c>
      <c r="G1980" s="4" t="str">
        <f>HYPERLINK("http://141.218.60.56/~jnz1568/getInfo.php?workbook=14_09.xlsx&amp;sheet=A0&amp;row=1980&amp;col=7&amp;number=0&amp;sourceID=14","0")</f>
        <v>0</v>
      </c>
    </row>
    <row r="1981" spans="1:7">
      <c r="A1981" s="3">
        <v>14</v>
      </c>
      <c r="B1981" s="3">
        <v>9</v>
      </c>
      <c r="C1981" s="3">
        <v>77</v>
      </c>
      <c r="D1981" s="3">
        <v>39</v>
      </c>
      <c r="E1981" s="3">
        <v>-573.53</v>
      </c>
      <c r="F1981" s="4" t="str">
        <f>HYPERLINK("http://141.218.60.56/~jnz1568/getInfo.php?workbook=14_09.xlsx&amp;sheet=A0&amp;row=1981&amp;col=6&amp;number=477000&amp;sourceID=14","477000")</f>
        <v>477000</v>
      </c>
      <c r="G1981" s="4" t="str">
        <f>HYPERLINK("http://141.218.60.56/~jnz1568/getInfo.php?workbook=14_09.xlsx&amp;sheet=A0&amp;row=1981&amp;col=7&amp;number=0&amp;sourceID=14","0")</f>
        <v>0</v>
      </c>
    </row>
    <row r="1982" spans="1:7">
      <c r="A1982" s="3">
        <v>14</v>
      </c>
      <c r="B1982" s="3">
        <v>9</v>
      </c>
      <c r="C1982" s="3">
        <v>78</v>
      </c>
      <c r="D1982" s="3">
        <v>39</v>
      </c>
      <c r="E1982" s="3">
        <v>-570.67</v>
      </c>
      <c r="F1982" s="4" t="str">
        <f>HYPERLINK("http://141.218.60.56/~jnz1568/getInfo.php?workbook=14_09.xlsx&amp;sheet=A0&amp;row=1982&amp;col=6&amp;number=140000&amp;sourceID=14","140000")</f>
        <v>140000</v>
      </c>
      <c r="G1982" s="4" t="str">
        <f>HYPERLINK("http://141.218.60.56/~jnz1568/getInfo.php?workbook=14_09.xlsx&amp;sheet=A0&amp;row=1982&amp;col=7&amp;number=0&amp;sourceID=14","0")</f>
        <v>0</v>
      </c>
    </row>
    <row r="1983" spans="1:7">
      <c r="A1983" s="3">
        <v>14</v>
      </c>
      <c r="B1983" s="3">
        <v>9</v>
      </c>
      <c r="C1983" s="3">
        <v>82</v>
      </c>
      <c r="D1983" s="3">
        <v>39</v>
      </c>
      <c r="E1983" s="3">
        <v>-550.398</v>
      </c>
      <c r="F1983" s="4" t="str">
        <f>HYPERLINK("http://141.218.60.56/~jnz1568/getInfo.php?workbook=14_09.xlsx&amp;sheet=A0&amp;row=1983&amp;col=6&amp;number=23800000&amp;sourceID=14","23800000")</f>
        <v>23800000</v>
      </c>
      <c r="G1983" s="4" t="str">
        <f>HYPERLINK("http://141.218.60.56/~jnz1568/getInfo.php?workbook=14_09.xlsx&amp;sheet=A0&amp;row=1983&amp;col=7&amp;number=0&amp;sourceID=14","0")</f>
        <v>0</v>
      </c>
    </row>
    <row r="1984" spans="1:7">
      <c r="A1984" s="3">
        <v>14</v>
      </c>
      <c r="B1984" s="3">
        <v>9</v>
      </c>
      <c r="C1984" s="3">
        <v>83</v>
      </c>
      <c r="D1984" s="3">
        <v>39</v>
      </c>
      <c r="E1984" s="3">
        <v>-545.4</v>
      </c>
      <c r="F1984" s="4" t="str">
        <f>HYPERLINK("http://141.218.60.56/~jnz1568/getInfo.php?workbook=14_09.xlsx&amp;sheet=A0&amp;row=1984&amp;col=6&amp;number=25400000&amp;sourceID=14","25400000")</f>
        <v>25400000</v>
      </c>
      <c r="G1984" s="4" t="str">
        <f>HYPERLINK("http://141.218.60.56/~jnz1568/getInfo.php?workbook=14_09.xlsx&amp;sheet=A0&amp;row=1984&amp;col=7&amp;number=0&amp;sourceID=14","0")</f>
        <v>0</v>
      </c>
    </row>
    <row r="1985" spans="1:7">
      <c r="A1985" s="3">
        <v>14</v>
      </c>
      <c r="B1985" s="3">
        <v>9</v>
      </c>
      <c r="C1985" s="3">
        <v>108</v>
      </c>
      <c r="D1985" s="3">
        <v>39</v>
      </c>
      <c r="E1985" s="3">
        <v>-474.283</v>
      </c>
      <c r="F1985" s="4" t="str">
        <f>HYPERLINK("http://141.218.60.56/~jnz1568/getInfo.php?workbook=14_09.xlsx&amp;sheet=A0&amp;row=1985&amp;col=6&amp;number=1050000000&amp;sourceID=14","1050000000")</f>
        <v>1050000000</v>
      </c>
      <c r="G1985" s="4" t="str">
        <f>HYPERLINK("http://141.218.60.56/~jnz1568/getInfo.php?workbook=14_09.xlsx&amp;sheet=A0&amp;row=1985&amp;col=7&amp;number=0&amp;sourceID=14","0")</f>
        <v>0</v>
      </c>
    </row>
    <row r="1986" spans="1:7">
      <c r="A1986" s="3">
        <v>14</v>
      </c>
      <c r="B1986" s="3">
        <v>9</v>
      </c>
      <c r="C1986" s="3">
        <v>112</v>
      </c>
      <c r="D1986" s="3">
        <v>39</v>
      </c>
      <c r="E1986" s="3">
        <v>-472.147</v>
      </c>
      <c r="F1986" s="4" t="str">
        <f>HYPERLINK("http://141.218.60.56/~jnz1568/getInfo.php?workbook=14_09.xlsx&amp;sheet=A0&amp;row=1986&amp;col=6&amp;number=12300000000&amp;sourceID=14","12300000000")</f>
        <v>12300000000</v>
      </c>
      <c r="G1986" s="4" t="str">
        <f>HYPERLINK("http://141.218.60.56/~jnz1568/getInfo.php?workbook=14_09.xlsx&amp;sheet=A0&amp;row=1986&amp;col=7&amp;number=0&amp;sourceID=14","0")</f>
        <v>0</v>
      </c>
    </row>
    <row r="1987" spans="1:7">
      <c r="A1987" s="3">
        <v>14</v>
      </c>
      <c r="B1987" s="3">
        <v>9</v>
      </c>
      <c r="C1987" s="3">
        <v>113</v>
      </c>
      <c r="D1987" s="3">
        <v>39</v>
      </c>
      <c r="E1987" s="3">
        <v>-472.147</v>
      </c>
      <c r="F1987" s="4" t="str">
        <f>HYPERLINK("http://141.218.60.56/~jnz1568/getInfo.php?workbook=14_09.xlsx&amp;sheet=A0&amp;row=1987&amp;col=6&amp;number=311000000&amp;sourceID=14","311000000")</f>
        <v>311000000</v>
      </c>
      <c r="G1987" s="4" t="str">
        <f>HYPERLINK("http://141.218.60.56/~jnz1568/getInfo.php?workbook=14_09.xlsx&amp;sheet=A0&amp;row=1987&amp;col=7&amp;number=0&amp;sourceID=14","0")</f>
        <v>0</v>
      </c>
    </row>
    <row r="1988" spans="1:7">
      <c r="A1988" s="3">
        <v>14</v>
      </c>
      <c r="B1988" s="3">
        <v>9</v>
      </c>
      <c r="C1988" s="3">
        <v>116</v>
      </c>
      <c r="D1988" s="3">
        <v>39</v>
      </c>
      <c r="E1988" s="3">
        <v>-471.75</v>
      </c>
      <c r="F1988" s="4" t="str">
        <f>HYPERLINK("http://141.218.60.56/~jnz1568/getInfo.php?workbook=14_09.xlsx&amp;sheet=A0&amp;row=1988&amp;col=6&amp;number=3340000000&amp;sourceID=14","3340000000")</f>
        <v>3340000000</v>
      </c>
      <c r="G1988" s="4" t="str">
        <f>HYPERLINK("http://141.218.60.56/~jnz1568/getInfo.php?workbook=14_09.xlsx&amp;sheet=A0&amp;row=1988&amp;col=7&amp;number=0&amp;sourceID=14","0")</f>
        <v>0</v>
      </c>
    </row>
    <row r="1989" spans="1:7">
      <c r="A1989" s="3">
        <v>14</v>
      </c>
      <c r="B1989" s="3">
        <v>9</v>
      </c>
      <c r="C1989" s="3">
        <v>117</v>
      </c>
      <c r="D1989" s="3">
        <v>39</v>
      </c>
      <c r="E1989" s="3">
        <v>-465.813</v>
      </c>
      <c r="F1989" s="4" t="str">
        <f>HYPERLINK("http://141.218.60.56/~jnz1568/getInfo.php?workbook=14_09.xlsx&amp;sheet=A0&amp;row=1989&amp;col=6&amp;number=2270000000&amp;sourceID=14","2270000000")</f>
        <v>2270000000</v>
      </c>
      <c r="G1989" s="4" t="str">
        <f>HYPERLINK("http://141.218.60.56/~jnz1568/getInfo.php?workbook=14_09.xlsx&amp;sheet=A0&amp;row=1989&amp;col=7&amp;number=0&amp;sourceID=14","0")</f>
        <v>0</v>
      </c>
    </row>
    <row r="1990" spans="1:7">
      <c r="A1990" s="3">
        <v>14</v>
      </c>
      <c r="B1990" s="3">
        <v>9</v>
      </c>
      <c r="C1990" s="3">
        <v>138</v>
      </c>
      <c r="D1990" s="3">
        <v>39</v>
      </c>
      <c r="E1990" s="3">
        <v>-388.494</v>
      </c>
      <c r="F1990" s="4" t="str">
        <f>HYPERLINK("http://141.218.60.56/~jnz1568/getInfo.php?workbook=14_09.xlsx&amp;sheet=A0&amp;row=1990&amp;col=6&amp;number=606000&amp;sourceID=14","606000")</f>
        <v>606000</v>
      </c>
      <c r="G1990" s="4" t="str">
        <f>HYPERLINK("http://141.218.60.56/~jnz1568/getInfo.php?workbook=14_09.xlsx&amp;sheet=A0&amp;row=1990&amp;col=7&amp;number=0&amp;sourceID=14","0")</f>
        <v>0</v>
      </c>
    </row>
    <row r="1991" spans="1:7">
      <c r="A1991" s="3">
        <v>14</v>
      </c>
      <c r="B1991" s="3">
        <v>9</v>
      </c>
      <c r="C1991" s="3">
        <v>142</v>
      </c>
      <c r="D1991" s="3">
        <v>39</v>
      </c>
      <c r="E1991" s="3">
        <v>-386.395</v>
      </c>
      <c r="F1991" s="4" t="str">
        <f>HYPERLINK("http://141.218.60.56/~jnz1568/getInfo.php?workbook=14_09.xlsx&amp;sheet=A0&amp;row=1991&amp;col=6&amp;number=240000&amp;sourceID=14","240000")</f>
        <v>240000</v>
      </c>
      <c r="G1991" s="4" t="str">
        <f>HYPERLINK("http://141.218.60.56/~jnz1568/getInfo.php?workbook=14_09.xlsx&amp;sheet=A0&amp;row=1991&amp;col=7&amp;number=0&amp;sourceID=14","0")</f>
        <v>0</v>
      </c>
    </row>
    <row r="1992" spans="1:7">
      <c r="A1992" s="3">
        <v>14</v>
      </c>
      <c r="B1992" s="3">
        <v>9</v>
      </c>
      <c r="C1992" s="3">
        <v>159</v>
      </c>
      <c r="D1992" s="3">
        <v>39</v>
      </c>
      <c r="E1992" s="3">
        <v>-357.186</v>
      </c>
      <c r="F1992" s="4" t="str">
        <f>HYPERLINK("http://141.218.60.56/~jnz1568/getInfo.php?workbook=14_09.xlsx&amp;sheet=A0&amp;row=1992&amp;col=6&amp;number=181000&amp;sourceID=14","181000")</f>
        <v>181000</v>
      </c>
      <c r="G1992" s="4" t="str">
        <f>HYPERLINK("http://141.218.60.56/~jnz1568/getInfo.php?workbook=14_09.xlsx&amp;sheet=A0&amp;row=1992&amp;col=7&amp;number=0&amp;sourceID=14","0")</f>
        <v>0</v>
      </c>
    </row>
    <row r="1993" spans="1:7">
      <c r="A1993" s="3">
        <v>14</v>
      </c>
      <c r="B1993" s="3">
        <v>9</v>
      </c>
      <c r="C1993" s="3">
        <v>160</v>
      </c>
      <c r="D1993" s="3">
        <v>39</v>
      </c>
      <c r="E1993" s="3">
        <v>-357.026</v>
      </c>
      <c r="F1993" s="4" t="str">
        <f>HYPERLINK("http://141.218.60.56/~jnz1568/getInfo.php?workbook=14_09.xlsx&amp;sheet=A0&amp;row=1993&amp;col=6&amp;number=172000&amp;sourceID=14","172000")</f>
        <v>172000</v>
      </c>
      <c r="G1993" s="4" t="str">
        <f>HYPERLINK("http://141.218.60.56/~jnz1568/getInfo.php?workbook=14_09.xlsx&amp;sheet=A0&amp;row=1993&amp;col=7&amp;number=0&amp;sourceID=14","0")</f>
        <v>0</v>
      </c>
    </row>
    <row r="1994" spans="1:7">
      <c r="A1994" s="3">
        <v>14</v>
      </c>
      <c r="B1994" s="3">
        <v>9</v>
      </c>
      <c r="C1994" s="3">
        <v>168</v>
      </c>
      <c r="D1994" s="3">
        <v>39</v>
      </c>
      <c r="E1994" s="3">
        <v>-278.222</v>
      </c>
      <c r="F1994" s="4" t="str">
        <f>HYPERLINK("http://141.218.60.56/~jnz1568/getInfo.php?workbook=14_09.xlsx&amp;sheet=A0&amp;row=1994&amp;col=6&amp;number=646000000&amp;sourceID=14","646000000")</f>
        <v>646000000</v>
      </c>
      <c r="G1994" s="4" t="str">
        <f>HYPERLINK("http://141.218.60.56/~jnz1568/getInfo.php?workbook=14_09.xlsx&amp;sheet=A0&amp;row=1994&amp;col=7&amp;number=0&amp;sourceID=14","0")</f>
        <v>0</v>
      </c>
    </row>
    <row r="1995" spans="1:7">
      <c r="A1995" s="3">
        <v>14</v>
      </c>
      <c r="B1995" s="3">
        <v>9</v>
      </c>
      <c r="C1995" s="3">
        <v>169</v>
      </c>
      <c r="D1995" s="3">
        <v>39</v>
      </c>
      <c r="E1995" s="3">
        <v>-277.585</v>
      </c>
      <c r="F1995" s="4" t="str">
        <f>HYPERLINK("http://141.218.60.56/~jnz1568/getInfo.php?workbook=14_09.xlsx&amp;sheet=A0&amp;row=1995&amp;col=6&amp;number=2740000000&amp;sourceID=14","2740000000")</f>
        <v>2740000000</v>
      </c>
      <c r="G1995" s="4" t="str">
        <f>HYPERLINK("http://141.218.60.56/~jnz1568/getInfo.php?workbook=14_09.xlsx&amp;sheet=A0&amp;row=1995&amp;col=7&amp;number=0&amp;sourceID=14","0")</f>
        <v>0</v>
      </c>
    </row>
    <row r="1996" spans="1:7">
      <c r="A1996" s="3">
        <v>14</v>
      </c>
      <c r="B1996" s="3">
        <v>9</v>
      </c>
      <c r="C1996" s="3">
        <v>174</v>
      </c>
      <c r="D1996" s="3">
        <v>39</v>
      </c>
      <c r="E1996" s="3">
        <v>-271.691</v>
      </c>
      <c r="F1996" s="4" t="str">
        <f>HYPERLINK("http://141.218.60.56/~jnz1568/getInfo.php?workbook=14_09.xlsx&amp;sheet=A0&amp;row=1996&amp;col=6&amp;number=3880000&amp;sourceID=14","3880000")</f>
        <v>3880000</v>
      </c>
      <c r="G1996" s="4" t="str">
        <f>HYPERLINK("http://141.218.60.56/~jnz1568/getInfo.php?workbook=14_09.xlsx&amp;sheet=A0&amp;row=1996&amp;col=7&amp;number=0&amp;sourceID=14","0")</f>
        <v>0</v>
      </c>
    </row>
    <row r="1997" spans="1:7">
      <c r="A1997" s="3">
        <v>14</v>
      </c>
      <c r="B1997" s="3">
        <v>9</v>
      </c>
      <c r="C1997" s="3">
        <v>178</v>
      </c>
      <c r="D1997" s="3">
        <v>39</v>
      </c>
      <c r="E1997" s="3">
        <v>-266.072</v>
      </c>
      <c r="F1997" s="4" t="str">
        <f>HYPERLINK("http://141.218.60.56/~jnz1568/getInfo.php?workbook=14_09.xlsx&amp;sheet=A0&amp;row=1997&amp;col=6&amp;number=6090000000&amp;sourceID=14","6090000000")</f>
        <v>6090000000</v>
      </c>
      <c r="G1997" s="4" t="str">
        <f>HYPERLINK("http://141.218.60.56/~jnz1568/getInfo.php?workbook=14_09.xlsx&amp;sheet=A0&amp;row=1997&amp;col=7&amp;number=0&amp;sourceID=14","0")</f>
        <v>0</v>
      </c>
    </row>
    <row r="1998" spans="1:7">
      <c r="A1998" s="3">
        <v>14</v>
      </c>
      <c r="B1998" s="3">
        <v>9</v>
      </c>
      <c r="C1998" s="3">
        <v>179</v>
      </c>
      <c r="D1998" s="3">
        <v>39</v>
      </c>
      <c r="E1998" s="3">
        <v>-266.049</v>
      </c>
      <c r="F1998" s="4" t="str">
        <f>HYPERLINK("http://141.218.60.56/~jnz1568/getInfo.php?workbook=14_09.xlsx&amp;sheet=A0&amp;row=1998&amp;col=6&amp;number=2870000000&amp;sourceID=14","2870000000")</f>
        <v>2870000000</v>
      </c>
      <c r="G1998" s="4" t="str">
        <f>HYPERLINK("http://141.218.60.56/~jnz1568/getInfo.php?workbook=14_09.xlsx&amp;sheet=A0&amp;row=1998&amp;col=7&amp;number=0&amp;sourceID=14","0")</f>
        <v>0</v>
      </c>
    </row>
    <row r="1999" spans="1:7">
      <c r="A1999" s="3">
        <v>14</v>
      </c>
      <c r="B1999" s="3">
        <v>9</v>
      </c>
      <c r="C1999" s="3">
        <v>182</v>
      </c>
      <c r="D1999" s="3">
        <v>39</v>
      </c>
      <c r="E1999" s="3">
        <v>-262.197</v>
      </c>
      <c r="F1999" s="4" t="str">
        <f>HYPERLINK("http://141.218.60.56/~jnz1568/getInfo.php?workbook=14_09.xlsx&amp;sheet=A0&amp;row=1999&amp;col=6&amp;number=23800000&amp;sourceID=14","23800000")</f>
        <v>23800000</v>
      </c>
      <c r="G1999" s="4" t="str">
        <f>HYPERLINK("http://141.218.60.56/~jnz1568/getInfo.php?workbook=14_09.xlsx&amp;sheet=A0&amp;row=1999&amp;col=7&amp;number=0&amp;sourceID=14","0")</f>
        <v>0</v>
      </c>
    </row>
    <row r="2000" spans="1:7">
      <c r="A2000" s="3">
        <v>14</v>
      </c>
      <c r="B2000" s="3">
        <v>9</v>
      </c>
      <c r="C2000" s="3">
        <v>183</v>
      </c>
      <c r="D2000" s="3">
        <v>39</v>
      </c>
      <c r="E2000" s="3">
        <v>-256.494</v>
      </c>
      <c r="F2000" s="4" t="str">
        <f>HYPERLINK("http://141.218.60.56/~jnz1568/getInfo.php?workbook=14_09.xlsx&amp;sheet=A0&amp;row=2000&amp;col=6&amp;number=18200000&amp;sourceID=14","18200000")</f>
        <v>18200000</v>
      </c>
      <c r="G2000" s="4" t="str">
        <f>HYPERLINK("http://141.218.60.56/~jnz1568/getInfo.php?workbook=14_09.xlsx&amp;sheet=A0&amp;row=2000&amp;col=7&amp;number=0&amp;sourceID=14","0")</f>
        <v>0</v>
      </c>
    </row>
    <row r="2001" spans="1:7">
      <c r="A2001" s="3">
        <v>14</v>
      </c>
      <c r="B2001" s="3">
        <v>9</v>
      </c>
      <c r="C2001" s="3">
        <v>192</v>
      </c>
      <c r="D2001" s="3">
        <v>39</v>
      </c>
      <c r="E2001" s="3">
        <v>-189.897</v>
      </c>
      <c r="F2001" s="4" t="str">
        <f>HYPERLINK("http://141.218.60.56/~jnz1568/getInfo.php?workbook=14_09.xlsx&amp;sheet=A0&amp;row=2001&amp;col=6&amp;number=16400000&amp;sourceID=14","16400000")</f>
        <v>16400000</v>
      </c>
      <c r="G2001" s="4" t="str">
        <f>HYPERLINK("http://141.218.60.56/~jnz1568/getInfo.php?workbook=14_09.xlsx&amp;sheet=A0&amp;row=2001&amp;col=7&amp;number=0&amp;sourceID=14","0")</f>
        <v>0</v>
      </c>
    </row>
    <row r="2002" spans="1:7">
      <c r="A2002" s="3">
        <v>14</v>
      </c>
      <c r="B2002" s="3">
        <v>9</v>
      </c>
      <c r="C2002" s="3">
        <v>193</v>
      </c>
      <c r="D2002" s="3">
        <v>39</v>
      </c>
      <c r="E2002" s="3">
        <v>-189.848</v>
      </c>
      <c r="F2002" s="4" t="str">
        <f>HYPERLINK("http://141.218.60.56/~jnz1568/getInfo.php?workbook=14_09.xlsx&amp;sheet=A0&amp;row=2002&amp;col=6&amp;number=53700000&amp;sourceID=14","53700000")</f>
        <v>53700000</v>
      </c>
      <c r="G2002" s="4" t="str">
        <f>HYPERLINK("http://141.218.60.56/~jnz1568/getInfo.php?workbook=14_09.xlsx&amp;sheet=A0&amp;row=2002&amp;col=7&amp;number=0&amp;sourceID=14","0")</f>
        <v>0</v>
      </c>
    </row>
    <row r="2003" spans="1:7">
      <c r="A2003" s="3">
        <v>14</v>
      </c>
      <c r="B2003" s="3">
        <v>9</v>
      </c>
      <c r="C2003" s="3">
        <v>194</v>
      </c>
      <c r="D2003" s="3">
        <v>39</v>
      </c>
      <c r="E2003" s="3">
        <v>-188.831</v>
      </c>
      <c r="F2003" s="4" t="str">
        <f>HYPERLINK("http://141.218.60.56/~jnz1568/getInfo.php?workbook=14_09.xlsx&amp;sheet=A0&amp;row=2003&amp;col=6&amp;number=2520000&amp;sourceID=14","2520000")</f>
        <v>2520000</v>
      </c>
      <c r="G2003" s="4" t="str">
        <f>HYPERLINK("http://141.218.60.56/~jnz1568/getInfo.php?workbook=14_09.xlsx&amp;sheet=A0&amp;row=2003&amp;col=7&amp;number=0&amp;sourceID=14","0")</f>
        <v>0</v>
      </c>
    </row>
    <row r="2004" spans="1:7">
      <c r="A2004" s="3">
        <v>14</v>
      </c>
      <c r="B2004" s="3">
        <v>9</v>
      </c>
      <c r="C2004" s="3">
        <v>66</v>
      </c>
      <c r="D2004" s="3">
        <v>40</v>
      </c>
      <c r="E2004" s="3">
        <v>-655.988</v>
      </c>
      <c r="F2004" s="4" t="str">
        <f>HYPERLINK("http://141.218.60.56/~jnz1568/getInfo.php?workbook=14_09.xlsx&amp;sheet=A0&amp;row=2004&amp;col=6&amp;number=96100000&amp;sourceID=14","96100000")</f>
        <v>96100000</v>
      </c>
      <c r="G2004" s="4" t="str">
        <f>HYPERLINK("http://141.218.60.56/~jnz1568/getInfo.php?workbook=14_09.xlsx&amp;sheet=A0&amp;row=2004&amp;col=7&amp;number=0&amp;sourceID=14","0")</f>
        <v>0</v>
      </c>
    </row>
    <row r="2005" spans="1:7">
      <c r="A2005" s="3">
        <v>14</v>
      </c>
      <c r="B2005" s="3">
        <v>9</v>
      </c>
      <c r="C2005" s="3">
        <v>67</v>
      </c>
      <c r="D2005" s="3">
        <v>40</v>
      </c>
      <c r="E2005" s="3">
        <v>-649.571</v>
      </c>
      <c r="F2005" s="4" t="str">
        <f>HYPERLINK("http://141.218.60.56/~jnz1568/getInfo.php?workbook=14_09.xlsx&amp;sheet=A0&amp;row=2005&amp;col=6&amp;number=58400000&amp;sourceID=14","58400000")</f>
        <v>58400000</v>
      </c>
      <c r="G2005" s="4" t="str">
        <f>HYPERLINK("http://141.218.60.56/~jnz1568/getInfo.php?workbook=14_09.xlsx&amp;sheet=A0&amp;row=2005&amp;col=7&amp;number=0&amp;sourceID=14","0")</f>
        <v>0</v>
      </c>
    </row>
    <row r="2006" spans="1:7">
      <c r="A2006" s="3">
        <v>14</v>
      </c>
      <c r="B2006" s="3">
        <v>9</v>
      </c>
      <c r="C2006" s="3">
        <v>68</v>
      </c>
      <c r="D2006" s="3">
        <v>40</v>
      </c>
      <c r="E2006" s="3">
        <v>-643.436</v>
      </c>
      <c r="F2006" s="4" t="str">
        <f>HYPERLINK("http://141.218.60.56/~jnz1568/getInfo.php?workbook=14_09.xlsx&amp;sheet=A0&amp;row=2006&amp;col=6&amp;number=372000000&amp;sourceID=14","372000000")</f>
        <v>372000000</v>
      </c>
      <c r="G2006" s="4" t="str">
        <f>HYPERLINK("http://141.218.60.56/~jnz1568/getInfo.php?workbook=14_09.xlsx&amp;sheet=A0&amp;row=2006&amp;col=7&amp;number=0&amp;sourceID=14","0")</f>
        <v>0</v>
      </c>
    </row>
    <row r="2007" spans="1:7">
      <c r="A2007" s="3">
        <v>14</v>
      </c>
      <c r="B2007" s="3">
        <v>9</v>
      </c>
      <c r="C2007" s="3">
        <v>70</v>
      </c>
      <c r="D2007" s="3">
        <v>40</v>
      </c>
      <c r="E2007" s="3">
        <v>-621.636</v>
      </c>
      <c r="F2007" s="4" t="str">
        <f>HYPERLINK("http://141.218.60.56/~jnz1568/getInfo.php?workbook=14_09.xlsx&amp;sheet=A0&amp;row=2007&amp;col=6&amp;number=13100000&amp;sourceID=14","13100000")</f>
        <v>13100000</v>
      </c>
      <c r="G2007" s="4" t="str">
        <f>HYPERLINK("http://141.218.60.56/~jnz1568/getInfo.php?workbook=14_09.xlsx&amp;sheet=A0&amp;row=2007&amp;col=7&amp;number=0&amp;sourceID=14","0")</f>
        <v>0</v>
      </c>
    </row>
    <row r="2008" spans="1:7">
      <c r="A2008" s="3">
        <v>14</v>
      </c>
      <c r="B2008" s="3">
        <v>9</v>
      </c>
      <c r="C2008" s="3">
        <v>71</v>
      </c>
      <c r="D2008" s="3">
        <v>40</v>
      </c>
      <c r="E2008" s="3">
        <v>-613.709</v>
      </c>
      <c r="F2008" s="4" t="str">
        <f>HYPERLINK("http://141.218.60.56/~jnz1568/getInfo.php?workbook=14_09.xlsx&amp;sheet=A0&amp;row=2008&amp;col=6&amp;number=55600000&amp;sourceID=14","55600000")</f>
        <v>55600000</v>
      </c>
      <c r="G2008" s="4" t="str">
        <f>HYPERLINK("http://141.218.60.56/~jnz1568/getInfo.php?workbook=14_09.xlsx&amp;sheet=A0&amp;row=2008&amp;col=7&amp;number=0&amp;sourceID=14","0")</f>
        <v>0</v>
      </c>
    </row>
    <row r="2009" spans="1:7">
      <c r="A2009" s="3">
        <v>14</v>
      </c>
      <c r="B2009" s="3">
        <v>9</v>
      </c>
      <c r="C2009" s="3">
        <v>72</v>
      </c>
      <c r="D2009" s="3">
        <v>40</v>
      </c>
      <c r="E2009" s="3">
        <v>-610.819</v>
      </c>
      <c r="F2009" s="4" t="str">
        <f>HYPERLINK("http://141.218.60.56/~jnz1568/getInfo.php?workbook=14_09.xlsx&amp;sheet=A0&amp;row=2009&amp;col=6&amp;number=10700000&amp;sourceID=14","10700000")</f>
        <v>10700000</v>
      </c>
      <c r="G2009" s="4" t="str">
        <f>HYPERLINK("http://141.218.60.56/~jnz1568/getInfo.php?workbook=14_09.xlsx&amp;sheet=A0&amp;row=2009&amp;col=7&amp;number=0&amp;sourceID=14","0")</f>
        <v>0</v>
      </c>
    </row>
    <row r="2010" spans="1:7">
      <c r="A2010" s="3">
        <v>14</v>
      </c>
      <c r="B2010" s="3">
        <v>9</v>
      </c>
      <c r="C2010" s="3">
        <v>73</v>
      </c>
      <c r="D2010" s="3">
        <v>40</v>
      </c>
      <c r="E2010" s="3">
        <v>-609.505</v>
      </c>
      <c r="F2010" s="4" t="str">
        <f>HYPERLINK("http://141.218.60.56/~jnz1568/getInfo.php?workbook=14_09.xlsx&amp;sheet=A0&amp;row=2010&amp;col=6&amp;number=117000000&amp;sourceID=14","117000000")</f>
        <v>117000000</v>
      </c>
      <c r="G2010" s="4" t="str">
        <f>HYPERLINK("http://141.218.60.56/~jnz1568/getInfo.php?workbook=14_09.xlsx&amp;sheet=A0&amp;row=2010&amp;col=7&amp;number=0&amp;sourceID=14","0")</f>
        <v>0</v>
      </c>
    </row>
    <row r="2011" spans="1:7">
      <c r="A2011" s="3">
        <v>14</v>
      </c>
      <c r="B2011" s="3">
        <v>9</v>
      </c>
      <c r="C2011" s="3">
        <v>74</v>
      </c>
      <c r="D2011" s="3">
        <v>40</v>
      </c>
      <c r="E2011" s="3">
        <v>-605.042</v>
      </c>
      <c r="F2011" s="4" t="str">
        <f>HYPERLINK("http://141.218.60.56/~jnz1568/getInfo.php?workbook=14_09.xlsx&amp;sheet=A0&amp;row=2011&amp;col=6&amp;number=2190000&amp;sourceID=14","2190000")</f>
        <v>2190000</v>
      </c>
      <c r="G2011" s="4" t="str">
        <f>HYPERLINK("http://141.218.60.56/~jnz1568/getInfo.php?workbook=14_09.xlsx&amp;sheet=A0&amp;row=2011&amp;col=7&amp;number=0&amp;sourceID=14","0")</f>
        <v>0</v>
      </c>
    </row>
    <row r="2012" spans="1:7">
      <c r="A2012" s="3">
        <v>14</v>
      </c>
      <c r="B2012" s="3">
        <v>9</v>
      </c>
      <c r="C2012" s="3">
        <v>75</v>
      </c>
      <c r="D2012" s="3">
        <v>40</v>
      </c>
      <c r="E2012" s="3">
        <v>-603.01</v>
      </c>
      <c r="F2012" s="4" t="str">
        <f>HYPERLINK("http://141.218.60.56/~jnz1568/getInfo.php?workbook=14_09.xlsx&amp;sheet=A0&amp;row=2012&amp;col=6&amp;number=692000000&amp;sourceID=14","692000000")</f>
        <v>692000000</v>
      </c>
      <c r="G2012" s="4" t="str">
        <f>HYPERLINK("http://141.218.60.56/~jnz1568/getInfo.php?workbook=14_09.xlsx&amp;sheet=A0&amp;row=2012&amp;col=7&amp;number=0&amp;sourceID=14","0")</f>
        <v>0</v>
      </c>
    </row>
    <row r="2013" spans="1:7">
      <c r="A2013" s="3">
        <v>14</v>
      </c>
      <c r="B2013" s="3">
        <v>9</v>
      </c>
      <c r="C2013" s="3">
        <v>76</v>
      </c>
      <c r="D2013" s="3">
        <v>40</v>
      </c>
      <c r="E2013" s="3">
        <v>-601.972</v>
      </c>
      <c r="F2013" s="4" t="str">
        <f>HYPERLINK("http://141.218.60.56/~jnz1568/getInfo.php?workbook=14_09.xlsx&amp;sheet=A0&amp;row=2013&amp;col=6&amp;number=55700000&amp;sourceID=14","55700000")</f>
        <v>55700000</v>
      </c>
      <c r="G2013" s="4" t="str">
        <f>HYPERLINK("http://141.218.60.56/~jnz1568/getInfo.php?workbook=14_09.xlsx&amp;sheet=A0&amp;row=2013&amp;col=7&amp;number=0&amp;sourceID=14","0")</f>
        <v>0</v>
      </c>
    </row>
    <row r="2014" spans="1:7">
      <c r="A2014" s="3">
        <v>14</v>
      </c>
      <c r="B2014" s="3">
        <v>9</v>
      </c>
      <c r="C2014" s="3">
        <v>77</v>
      </c>
      <c r="D2014" s="3">
        <v>40</v>
      </c>
      <c r="E2014" s="3">
        <v>-577.262</v>
      </c>
      <c r="F2014" s="4" t="str">
        <f>HYPERLINK("http://141.218.60.56/~jnz1568/getInfo.php?workbook=14_09.xlsx&amp;sheet=A0&amp;row=2014&amp;col=6&amp;number=256000&amp;sourceID=14","256000")</f>
        <v>256000</v>
      </c>
      <c r="G2014" s="4" t="str">
        <f>HYPERLINK("http://141.218.60.56/~jnz1568/getInfo.php?workbook=14_09.xlsx&amp;sheet=A0&amp;row=2014&amp;col=7&amp;number=0&amp;sourceID=14","0")</f>
        <v>0</v>
      </c>
    </row>
    <row r="2015" spans="1:7">
      <c r="A2015" s="3">
        <v>14</v>
      </c>
      <c r="B2015" s="3">
        <v>9</v>
      </c>
      <c r="C2015" s="3">
        <v>78</v>
      </c>
      <c r="D2015" s="3">
        <v>40</v>
      </c>
      <c r="E2015" s="3">
        <v>-574.364</v>
      </c>
      <c r="F2015" s="4" t="str">
        <f>HYPERLINK("http://141.218.60.56/~jnz1568/getInfo.php?workbook=14_09.xlsx&amp;sheet=A0&amp;row=2015&amp;col=6&amp;number=4880000&amp;sourceID=14","4880000")</f>
        <v>4880000</v>
      </c>
      <c r="G2015" s="4" t="str">
        <f>HYPERLINK("http://141.218.60.56/~jnz1568/getInfo.php?workbook=14_09.xlsx&amp;sheet=A0&amp;row=2015&amp;col=7&amp;number=0&amp;sourceID=14","0")</f>
        <v>0</v>
      </c>
    </row>
    <row r="2016" spans="1:7">
      <c r="A2016" s="3">
        <v>14</v>
      </c>
      <c r="B2016" s="3">
        <v>9</v>
      </c>
      <c r="C2016" s="3">
        <v>81</v>
      </c>
      <c r="D2016" s="3">
        <v>40</v>
      </c>
      <c r="E2016" s="3">
        <v>-562.399</v>
      </c>
      <c r="F2016" s="4" t="str">
        <f>HYPERLINK("http://141.218.60.56/~jnz1568/getInfo.php?workbook=14_09.xlsx&amp;sheet=A0&amp;row=2016&amp;col=6&amp;number=26200000&amp;sourceID=14","26200000")</f>
        <v>26200000</v>
      </c>
      <c r="G2016" s="4" t="str">
        <f>HYPERLINK("http://141.218.60.56/~jnz1568/getInfo.php?workbook=14_09.xlsx&amp;sheet=A0&amp;row=2016&amp;col=7&amp;number=0&amp;sourceID=14","0")</f>
        <v>0</v>
      </c>
    </row>
    <row r="2017" spans="1:7">
      <c r="A2017" s="3">
        <v>14</v>
      </c>
      <c r="B2017" s="3">
        <v>9</v>
      </c>
      <c r="C2017" s="3">
        <v>82</v>
      </c>
      <c r="D2017" s="3">
        <v>40</v>
      </c>
      <c r="E2017" s="3">
        <v>-553.834</v>
      </c>
      <c r="F2017" s="4" t="str">
        <f>HYPERLINK("http://141.218.60.56/~jnz1568/getInfo.php?workbook=14_09.xlsx&amp;sheet=A0&amp;row=2017&amp;col=6&amp;number=448000&amp;sourceID=14","448000")</f>
        <v>448000</v>
      </c>
      <c r="G2017" s="4" t="str">
        <f>HYPERLINK("http://141.218.60.56/~jnz1568/getInfo.php?workbook=14_09.xlsx&amp;sheet=A0&amp;row=2017&amp;col=7&amp;number=0&amp;sourceID=14","0")</f>
        <v>0</v>
      </c>
    </row>
    <row r="2018" spans="1:7">
      <c r="A2018" s="3">
        <v>14</v>
      </c>
      <c r="B2018" s="3">
        <v>9</v>
      </c>
      <c r="C2018" s="3">
        <v>83</v>
      </c>
      <c r="D2018" s="3">
        <v>40</v>
      </c>
      <c r="E2018" s="3">
        <v>-548.773</v>
      </c>
      <c r="F2018" s="4" t="str">
        <f>HYPERLINK("http://141.218.60.56/~jnz1568/getInfo.php?workbook=14_09.xlsx&amp;sheet=A0&amp;row=2018&amp;col=6&amp;number=120000000&amp;sourceID=14","120000000")</f>
        <v>120000000</v>
      </c>
      <c r="G2018" s="4" t="str">
        <f>HYPERLINK("http://141.218.60.56/~jnz1568/getInfo.php?workbook=14_09.xlsx&amp;sheet=A0&amp;row=2018&amp;col=7&amp;number=0&amp;sourceID=14","0")</f>
        <v>0</v>
      </c>
    </row>
    <row r="2019" spans="1:7">
      <c r="A2019" s="3">
        <v>14</v>
      </c>
      <c r="B2019" s="3">
        <v>9</v>
      </c>
      <c r="C2019" s="3">
        <v>101</v>
      </c>
      <c r="D2019" s="3">
        <v>40</v>
      </c>
      <c r="E2019" s="3">
        <v>-482.298</v>
      </c>
      <c r="F2019" s="4" t="str">
        <f>HYPERLINK("http://141.218.60.56/~jnz1568/getInfo.php?workbook=14_09.xlsx&amp;sheet=A0&amp;row=2019&amp;col=6&amp;number=520000&amp;sourceID=14","520000")</f>
        <v>520000</v>
      </c>
      <c r="G2019" s="4" t="str">
        <f>HYPERLINK("http://141.218.60.56/~jnz1568/getInfo.php?workbook=14_09.xlsx&amp;sheet=A0&amp;row=2019&amp;col=7&amp;number=0&amp;sourceID=14","0")</f>
        <v>0</v>
      </c>
    </row>
    <row r="2020" spans="1:7">
      <c r="A2020" s="3">
        <v>14</v>
      </c>
      <c r="B2020" s="3">
        <v>9</v>
      </c>
      <c r="C2020" s="3">
        <v>106</v>
      </c>
      <c r="D2020" s="3">
        <v>40</v>
      </c>
      <c r="E2020" s="3">
        <v>-477.77</v>
      </c>
      <c r="F2020" s="4" t="str">
        <f>HYPERLINK("http://141.218.60.56/~jnz1568/getInfo.php?workbook=14_09.xlsx&amp;sheet=A0&amp;row=2020&amp;col=6&amp;number=631000000&amp;sourceID=14","631000000")</f>
        <v>631000000</v>
      </c>
      <c r="G2020" s="4" t="str">
        <f>HYPERLINK("http://141.218.60.56/~jnz1568/getInfo.php?workbook=14_09.xlsx&amp;sheet=A0&amp;row=2020&amp;col=7&amp;number=0&amp;sourceID=14","0")</f>
        <v>0</v>
      </c>
    </row>
    <row r="2021" spans="1:7">
      <c r="A2021" s="3">
        <v>14</v>
      </c>
      <c r="B2021" s="3">
        <v>9</v>
      </c>
      <c r="C2021" s="3">
        <v>108</v>
      </c>
      <c r="D2021" s="3">
        <v>40</v>
      </c>
      <c r="E2021" s="3">
        <v>-476.832</v>
      </c>
      <c r="F2021" s="4" t="str">
        <f>HYPERLINK("http://141.218.60.56/~jnz1568/getInfo.php?workbook=14_09.xlsx&amp;sheet=A0&amp;row=2021&amp;col=6&amp;number=1280000000&amp;sourceID=14","1280000000")</f>
        <v>1280000000</v>
      </c>
      <c r="G2021" s="4" t="str">
        <f>HYPERLINK("http://141.218.60.56/~jnz1568/getInfo.php?workbook=14_09.xlsx&amp;sheet=A0&amp;row=2021&amp;col=7&amp;number=0&amp;sourceID=14","0")</f>
        <v>0</v>
      </c>
    </row>
    <row r="2022" spans="1:7">
      <c r="A2022" s="3">
        <v>14</v>
      </c>
      <c r="B2022" s="3">
        <v>9</v>
      </c>
      <c r="C2022" s="3">
        <v>109</v>
      </c>
      <c r="D2022" s="3">
        <v>40</v>
      </c>
      <c r="E2022" s="3">
        <v>-476.219</v>
      </c>
      <c r="F2022" s="4" t="str">
        <f>HYPERLINK("http://141.218.60.56/~jnz1568/getInfo.php?workbook=14_09.xlsx&amp;sheet=A0&amp;row=2022&amp;col=6&amp;number=2700000000&amp;sourceID=14","2700000000")</f>
        <v>2700000000</v>
      </c>
      <c r="G2022" s="4" t="str">
        <f>HYPERLINK("http://141.218.60.56/~jnz1568/getInfo.php?workbook=14_09.xlsx&amp;sheet=A0&amp;row=2022&amp;col=7&amp;number=0&amp;sourceID=14","0")</f>
        <v>0</v>
      </c>
    </row>
    <row r="2023" spans="1:7">
      <c r="A2023" s="3">
        <v>14</v>
      </c>
      <c r="B2023" s="3">
        <v>9</v>
      </c>
      <c r="C2023" s="3">
        <v>112</v>
      </c>
      <c r="D2023" s="3">
        <v>40</v>
      </c>
      <c r="E2023" s="3">
        <v>-474.672</v>
      </c>
      <c r="F2023" s="4" t="str">
        <f>HYPERLINK("http://141.218.60.56/~jnz1568/getInfo.php?workbook=14_09.xlsx&amp;sheet=A0&amp;row=2023&amp;col=6&amp;number=2170000000&amp;sourceID=14","2170000000")</f>
        <v>2170000000</v>
      </c>
      <c r="G2023" s="4" t="str">
        <f>HYPERLINK("http://141.218.60.56/~jnz1568/getInfo.php?workbook=14_09.xlsx&amp;sheet=A0&amp;row=2023&amp;col=7&amp;number=0&amp;sourceID=14","0")</f>
        <v>0</v>
      </c>
    </row>
    <row r="2024" spans="1:7">
      <c r="A2024" s="3">
        <v>14</v>
      </c>
      <c r="B2024" s="3">
        <v>9</v>
      </c>
      <c r="C2024" s="3">
        <v>113</v>
      </c>
      <c r="D2024" s="3">
        <v>40</v>
      </c>
      <c r="E2024" s="3">
        <v>-474.672</v>
      </c>
      <c r="F2024" s="4" t="str">
        <f>HYPERLINK("http://141.218.60.56/~jnz1568/getInfo.php?workbook=14_09.xlsx&amp;sheet=A0&amp;row=2024&amp;col=6&amp;number=346000000&amp;sourceID=14","346000000")</f>
        <v>346000000</v>
      </c>
      <c r="G2024" s="4" t="str">
        <f>HYPERLINK("http://141.218.60.56/~jnz1568/getInfo.php?workbook=14_09.xlsx&amp;sheet=A0&amp;row=2024&amp;col=7&amp;number=0&amp;sourceID=14","0")</f>
        <v>0</v>
      </c>
    </row>
    <row r="2025" spans="1:7">
      <c r="A2025" s="3">
        <v>14</v>
      </c>
      <c r="B2025" s="3">
        <v>9</v>
      </c>
      <c r="C2025" s="3">
        <v>116</v>
      </c>
      <c r="D2025" s="3">
        <v>40</v>
      </c>
      <c r="E2025" s="3">
        <v>-474.272</v>
      </c>
      <c r="F2025" s="4" t="str">
        <f>HYPERLINK("http://141.218.60.56/~jnz1568/getInfo.php?workbook=14_09.xlsx&amp;sheet=A0&amp;row=2025&amp;col=6&amp;number=3560000000&amp;sourceID=14","3560000000")</f>
        <v>3560000000</v>
      </c>
      <c r="G2025" s="4" t="str">
        <f>HYPERLINK("http://141.218.60.56/~jnz1568/getInfo.php?workbook=14_09.xlsx&amp;sheet=A0&amp;row=2025&amp;col=7&amp;number=0&amp;sourceID=14","0")</f>
        <v>0</v>
      </c>
    </row>
    <row r="2026" spans="1:7">
      <c r="A2026" s="3">
        <v>14</v>
      </c>
      <c r="B2026" s="3">
        <v>9</v>
      </c>
      <c r="C2026" s="3">
        <v>117</v>
      </c>
      <c r="D2026" s="3">
        <v>40</v>
      </c>
      <c r="E2026" s="3">
        <v>-468.271</v>
      </c>
      <c r="F2026" s="4" t="str">
        <f>HYPERLINK("http://141.218.60.56/~jnz1568/getInfo.php?workbook=14_09.xlsx&amp;sheet=A0&amp;row=2026&amp;col=6&amp;number=2060000000&amp;sourceID=14","2060000000")</f>
        <v>2060000000</v>
      </c>
      <c r="G2026" s="4" t="str">
        <f>HYPERLINK("http://141.218.60.56/~jnz1568/getInfo.php?workbook=14_09.xlsx&amp;sheet=A0&amp;row=2026&amp;col=7&amp;number=0&amp;sourceID=14","0")</f>
        <v>0</v>
      </c>
    </row>
    <row r="2027" spans="1:7">
      <c r="A2027" s="3">
        <v>14</v>
      </c>
      <c r="B2027" s="3">
        <v>9</v>
      </c>
      <c r="C2027" s="3">
        <v>118</v>
      </c>
      <c r="D2027" s="3">
        <v>40</v>
      </c>
      <c r="E2027" s="3">
        <v>-468.109</v>
      </c>
      <c r="F2027" s="4" t="str">
        <f>HYPERLINK("http://141.218.60.56/~jnz1568/getInfo.php?workbook=14_09.xlsx&amp;sheet=A0&amp;row=2027&amp;col=6&amp;number=6720000000&amp;sourceID=14","6720000000")</f>
        <v>6720000000</v>
      </c>
      <c r="G2027" s="4" t="str">
        <f>HYPERLINK("http://141.218.60.56/~jnz1568/getInfo.php?workbook=14_09.xlsx&amp;sheet=A0&amp;row=2027&amp;col=7&amp;number=0&amp;sourceID=14","0")</f>
        <v>0</v>
      </c>
    </row>
    <row r="2028" spans="1:7">
      <c r="A2028" s="3">
        <v>14</v>
      </c>
      <c r="B2028" s="3">
        <v>9</v>
      </c>
      <c r="C2028" s="3">
        <v>122</v>
      </c>
      <c r="D2028" s="3">
        <v>40</v>
      </c>
      <c r="E2028" s="3">
        <v>-465.912</v>
      </c>
      <c r="F2028" s="4" t="str">
        <f>HYPERLINK("http://141.218.60.56/~jnz1568/getInfo.php?workbook=14_09.xlsx&amp;sheet=A0&amp;row=2028&amp;col=6&amp;number=430000000&amp;sourceID=14","430000000")</f>
        <v>430000000</v>
      </c>
      <c r="G2028" s="4" t="str">
        <f>HYPERLINK("http://141.218.60.56/~jnz1568/getInfo.php?workbook=14_09.xlsx&amp;sheet=A0&amp;row=2028&amp;col=7&amp;number=0&amp;sourceID=14","0")</f>
        <v>0</v>
      </c>
    </row>
    <row r="2029" spans="1:7">
      <c r="A2029" s="3">
        <v>14</v>
      </c>
      <c r="B2029" s="3">
        <v>9</v>
      </c>
      <c r="C2029" s="3">
        <v>124</v>
      </c>
      <c r="D2029" s="3">
        <v>40</v>
      </c>
      <c r="E2029" s="3">
        <v>-463.477</v>
      </c>
      <c r="F2029" s="4" t="str">
        <f>HYPERLINK("http://141.218.60.56/~jnz1568/getInfo.php?workbook=14_09.xlsx&amp;sheet=A0&amp;row=2029&amp;col=6&amp;number=1490000000&amp;sourceID=14","1490000000")</f>
        <v>1490000000</v>
      </c>
      <c r="G2029" s="4" t="str">
        <f>HYPERLINK("http://141.218.60.56/~jnz1568/getInfo.php?workbook=14_09.xlsx&amp;sheet=A0&amp;row=2029&amp;col=7&amp;number=0&amp;sourceID=14","0")</f>
        <v>0</v>
      </c>
    </row>
    <row r="2030" spans="1:7">
      <c r="A2030" s="3">
        <v>14</v>
      </c>
      <c r="B2030" s="3">
        <v>9</v>
      </c>
      <c r="C2030" s="3">
        <v>138</v>
      </c>
      <c r="D2030" s="3">
        <v>40</v>
      </c>
      <c r="E2030" s="3">
        <v>-390.202</v>
      </c>
      <c r="F2030" s="4" t="str">
        <f>HYPERLINK("http://141.218.60.56/~jnz1568/getInfo.php?workbook=14_09.xlsx&amp;sheet=A0&amp;row=2030&amp;col=6&amp;number=804000&amp;sourceID=14","804000")</f>
        <v>804000</v>
      </c>
      <c r="G2030" s="4" t="str">
        <f>HYPERLINK("http://141.218.60.56/~jnz1568/getInfo.php?workbook=14_09.xlsx&amp;sheet=A0&amp;row=2030&amp;col=7&amp;number=0&amp;sourceID=14","0")</f>
        <v>0</v>
      </c>
    </row>
    <row r="2031" spans="1:7">
      <c r="A2031" s="3">
        <v>14</v>
      </c>
      <c r="B2031" s="3">
        <v>9</v>
      </c>
      <c r="C2031" s="3">
        <v>139</v>
      </c>
      <c r="D2031" s="3">
        <v>40</v>
      </c>
      <c r="E2031" s="3">
        <v>-390.175</v>
      </c>
      <c r="F2031" s="4" t="str">
        <f>HYPERLINK("http://141.218.60.56/~jnz1568/getInfo.php?workbook=14_09.xlsx&amp;sheet=A0&amp;row=2031&amp;col=6&amp;number=298000&amp;sourceID=14","298000")</f>
        <v>298000</v>
      </c>
      <c r="G2031" s="4" t="str">
        <f>HYPERLINK("http://141.218.60.56/~jnz1568/getInfo.php?workbook=14_09.xlsx&amp;sheet=A0&amp;row=2031&amp;col=7&amp;number=0&amp;sourceID=14","0")</f>
        <v>0</v>
      </c>
    </row>
    <row r="2032" spans="1:7">
      <c r="A2032" s="3">
        <v>14</v>
      </c>
      <c r="B2032" s="3">
        <v>9</v>
      </c>
      <c r="C2032" s="3">
        <v>142</v>
      </c>
      <c r="D2032" s="3">
        <v>40</v>
      </c>
      <c r="E2032" s="3">
        <v>-388.085</v>
      </c>
      <c r="F2032" s="4" t="str">
        <f>HYPERLINK("http://141.218.60.56/~jnz1568/getInfo.php?workbook=14_09.xlsx&amp;sheet=A0&amp;row=2032&amp;col=6&amp;number=1940000&amp;sourceID=14","1940000")</f>
        <v>1940000</v>
      </c>
      <c r="G2032" s="4" t="str">
        <f>HYPERLINK("http://141.218.60.56/~jnz1568/getInfo.php?workbook=14_09.xlsx&amp;sheet=A0&amp;row=2032&amp;col=7&amp;number=0&amp;sourceID=14","0")</f>
        <v>0</v>
      </c>
    </row>
    <row r="2033" spans="1:7">
      <c r="A2033" s="3">
        <v>14</v>
      </c>
      <c r="B2033" s="3">
        <v>9</v>
      </c>
      <c r="C2033" s="3">
        <v>147</v>
      </c>
      <c r="D2033" s="3">
        <v>40</v>
      </c>
      <c r="E2033" s="3">
        <v>-386.055</v>
      </c>
      <c r="F2033" s="4" t="str">
        <f>HYPERLINK("http://141.218.60.56/~jnz1568/getInfo.php?workbook=14_09.xlsx&amp;sheet=A0&amp;row=2033&amp;col=6&amp;number=2110000&amp;sourceID=14","2110000")</f>
        <v>2110000</v>
      </c>
      <c r="G2033" s="4" t="str">
        <f>HYPERLINK("http://141.218.60.56/~jnz1568/getInfo.php?workbook=14_09.xlsx&amp;sheet=A0&amp;row=2033&amp;col=7&amp;number=0&amp;sourceID=14","0")</f>
        <v>0</v>
      </c>
    </row>
    <row r="2034" spans="1:7">
      <c r="A2034" s="3">
        <v>14</v>
      </c>
      <c r="B2034" s="3">
        <v>9</v>
      </c>
      <c r="C2034" s="3">
        <v>164</v>
      </c>
      <c r="D2034" s="3">
        <v>40</v>
      </c>
      <c r="E2034" s="3">
        <v>-305.43</v>
      </c>
      <c r="F2034" s="4" t="str">
        <f>HYPERLINK("http://141.218.60.56/~jnz1568/getInfo.php?workbook=14_09.xlsx&amp;sheet=A0&amp;row=2034&amp;col=6&amp;number=223000&amp;sourceID=14","223000")</f>
        <v>223000</v>
      </c>
      <c r="G2034" s="4" t="str">
        <f>HYPERLINK("http://141.218.60.56/~jnz1568/getInfo.php?workbook=14_09.xlsx&amp;sheet=A0&amp;row=2034&amp;col=7&amp;number=0&amp;sourceID=14","0")</f>
        <v>0</v>
      </c>
    </row>
    <row r="2035" spans="1:7">
      <c r="A2035" s="3">
        <v>14</v>
      </c>
      <c r="B2035" s="3">
        <v>9</v>
      </c>
      <c r="C2035" s="3">
        <v>168</v>
      </c>
      <c r="D2035" s="3">
        <v>40</v>
      </c>
      <c r="E2035" s="3">
        <v>-279.097</v>
      </c>
      <c r="F2035" s="4" t="str">
        <f>HYPERLINK("http://141.218.60.56/~jnz1568/getInfo.php?workbook=14_09.xlsx&amp;sheet=A0&amp;row=2035&amp;col=6&amp;number=2440000000&amp;sourceID=14","2440000000")</f>
        <v>2440000000</v>
      </c>
      <c r="G2035" s="4" t="str">
        <f>HYPERLINK("http://141.218.60.56/~jnz1568/getInfo.php?workbook=14_09.xlsx&amp;sheet=A0&amp;row=2035&amp;col=7&amp;number=0&amp;sourceID=14","0")</f>
        <v>0</v>
      </c>
    </row>
    <row r="2036" spans="1:7">
      <c r="A2036" s="3">
        <v>14</v>
      </c>
      <c r="B2036" s="3">
        <v>9</v>
      </c>
      <c r="C2036" s="3">
        <v>169</v>
      </c>
      <c r="D2036" s="3">
        <v>40</v>
      </c>
      <c r="E2036" s="3">
        <v>-278.456</v>
      </c>
      <c r="F2036" s="4" t="str">
        <f>HYPERLINK("http://141.218.60.56/~jnz1568/getInfo.php?workbook=14_09.xlsx&amp;sheet=A0&amp;row=2036&amp;col=6&amp;number=700000000&amp;sourceID=14","700000000")</f>
        <v>700000000</v>
      </c>
      <c r="G2036" s="4" t="str">
        <f>HYPERLINK("http://141.218.60.56/~jnz1568/getInfo.php?workbook=14_09.xlsx&amp;sheet=A0&amp;row=2036&amp;col=7&amp;number=0&amp;sourceID=14","0")</f>
        <v>0</v>
      </c>
    </row>
    <row r="2037" spans="1:7">
      <c r="A2037" s="3">
        <v>14</v>
      </c>
      <c r="B2037" s="3">
        <v>9</v>
      </c>
      <c r="C2037" s="3">
        <v>170</v>
      </c>
      <c r="D2037" s="3">
        <v>40</v>
      </c>
      <c r="E2037" s="3">
        <v>-277.308</v>
      </c>
      <c r="F2037" s="4" t="str">
        <f>HYPERLINK("http://141.218.60.56/~jnz1568/getInfo.php?workbook=14_09.xlsx&amp;sheet=A0&amp;row=2037&amp;col=6&amp;number=2410000000&amp;sourceID=14","2410000000")</f>
        <v>2410000000</v>
      </c>
      <c r="G2037" s="4" t="str">
        <f>HYPERLINK("http://141.218.60.56/~jnz1568/getInfo.php?workbook=14_09.xlsx&amp;sheet=A0&amp;row=2037&amp;col=7&amp;number=0&amp;sourceID=14","0")</f>
        <v>0</v>
      </c>
    </row>
    <row r="2038" spans="1:7">
      <c r="A2038" s="3">
        <v>14</v>
      </c>
      <c r="B2038" s="3">
        <v>9</v>
      </c>
      <c r="C2038" s="3">
        <v>173</v>
      </c>
      <c r="D2038" s="3">
        <v>40</v>
      </c>
      <c r="E2038" s="3">
        <v>-273.408</v>
      </c>
      <c r="F2038" s="4" t="str">
        <f>HYPERLINK("http://141.218.60.56/~jnz1568/getInfo.php?workbook=14_09.xlsx&amp;sheet=A0&amp;row=2038&amp;col=6&amp;number=7330000&amp;sourceID=14","7330000")</f>
        <v>7330000</v>
      </c>
      <c r="G2038" s="4" t="str">
        <f>HYPERLINK("http://141.218.60.56/~jnz1568/getInfo.php?workbook=14_09.xlsx&amp;sheet=A0&amp;row=2038&amp;col=7&amp;number=0&amp;sourceID=14","0")</f>
        <v>0</v>
      </c>
    </row>
    <row r="2039" spans="1:7">
      <c r="A2039" s="3">
        <v>14</v>
      </c>
      <c r="B2039" s="3">
        <v>9</v>
      </c>
      <c r="C2039" s="3">
        <v>174</v>
      </c>
      <c r="D2039" s="3">
        <v>40</v>
      </c>
      <c r="E2039" s="3">
        <v>-272.525</v>
      </c>
      <c r="F2039" s="4" t="str">
        <f>HYPERLINK("http://141.218.60.56/~jnz1568/getInfo.php?workbook=14_09.xlsx&amp;sheet=A0&amp;row=2039&amp;col=6&amp;number=241000000&amp;sourceID=14","241000000")</f>
        <v>241000000</v>
      </c>
      <c r="G2039" s="4" t="str">
        <f>HYPERLINK("http://141.218.60.56/~jnz1568/getInfo.php?workbook=14_09.xlsx&amp;sheet=A0&amp;row=2039&amp;col=7&amp;number=0&amp;sourceID=14","0")</f>
        <v>0</v>
      </c>
    </row>
    <row r="2040" spans="1:7">
      <c r="A2040" s="3">
        <v>14</v>
      </c>
      <c r="B2040" s="3">
        <v>9</v>
      </c>
      <c r="C2040" s="3">
        <v>176</v>
      </c>
      <c r="D2040" s="3">
        <v>40</v>
      </c>
      <c r="E2040" s="3">
        <v>-267.115</v>
      </c>
      <c r="F2040" s="4" t="str">
        <f>HYPERLINK("http://141.218.60.56/~jnz1568/getInfo.php?workbook=14_09.xlsx&amp;sheet=A0&amp;row=2040&amp;col=6&amp;number=4540000000&amp;sourceID=14","4540000000")</f>
        <v>4540000000</v>
      </c>
      <c r="G2040" s="4" t="str">
        <f>HYPERLINK("http://141.218.60.56/~jnz1568/getInfo.php?workbook=14_09.xlsx&amp;sheet=A0&amp;row=2040&amp;col=7&amp;number=0&amp;sourceID=14","0")</f>
        <v>0</v>
      </c>
    </row>
    <row r="2041" spans="1:7">
      <c r="A2041" s="3">
        <v>14</v>
      </c>
      <c r="B2041" s="3">
        <v>9</v>
      </c>
      <c r="C2041" s="3">
        <v>178</v>
      </c>
      <c r="D2041" s="3">
        <v>40</v>
      </c>
      <c r="E2041" s="3">
        <v>-266.872</v>
      </c>
      <c r="F2041" s="4" t="str">
        <f>HYPERLINK("http://141.218.60.56/~jnz1568/getInfo.php?workbook=14_09.xlsx&amp;sheet=A0&amp;row=2041&amp;col=6&amp;number=619000000&amp;sourceID=14","619000000")</f>
        <v>619000000</v>
      </c>
      <c r="G2041" s="4" t="str">
        <f>HYPERLINK("http://141.218.60.56/~jnz1568/getInfo.php?workbook=14_09.xlsx&amp;sheet=A0&amp;row=2041&amp;col=7&amp;number=0&amp;sourceID=14","0")</f>
        <v>0</v>
      </c>
    </row>
    <row r="2042" spans="1:7">
      <c r="A2042" s="3">
        <v>14</v>
      </c>
      <c r="B2042" s="3">
        <v>9</v>
      </c>
      <c r="C2042" s="3">
        <v>179</v>
      </c>
      <c r="D2042" s="3">
        <v>40</v>
      </c>
      <c r="E2042" s="3">
        <v>-266.849</v>
      </c>
      <c r="F2042" s="4" t="str">
        <f>HYPERLINK("http://141.218.60.56/~jnz1568/getInfo.php?workbook=14_09.xlsx&amp;sheet=A0&amp;row=2042&amp;col=6&amp;number=4520000000&amp;sourceID=14","4520000000")</f>
        <v>4520000000</v>
      </c>
      <c r="G2042" s="4" t="str">
        <f>HYPERLINK("http://141.218.60.56/~jnz1568/getInfo.php?workbook=14_09.xlsx&amp;sheet=A0&amp;row=2042&amp;col=7&amp;number=0&amp;sourceID=14","0")</f>
        <v>0</v>
      </c>
    </row>
    <row r="2043" spans="1:7">
      <c r="A2043" s="3">
        <v>14</v>
      </c>
      <c r="B2043" s="3">
        <v>9</v>
      </c>
      <c r="C2043" s="3">
        <v>180</v>
      </c>
      <c r="D2043" s="3">
        <v>40</v>
      </c>
      <c r="E2043" s="3">
        <v>-266.06</v>
      </c>
      <c r="F2043" s="4" t="str">
        <f>HYPERLINK("http://141.218.60.56/~jnz1568/getInfo.php?workbook=14_09.xlsx&amp;sheet=A0&amp;row=2043&amp;col=6&amp;number=258000000&amp;sourceID=14","258000000")</f>
        <v>258000000</v>
      </c>
      <c r="G2043" s="4" t="str">
        <f>HYPERLINK("http://141.218.60.56/~jnz1568/getInfo.php?workbook=14_09.xlsx&amp;sheet=A0&amp;row=2043&amp;col=7&amp;number=0&amp;sourceID=14","0")</f>
        <v>0</v>
      </c>
    </row>
    <row r="2044" spans="1:7">
      <c r="A2044" s="3">
        <v>14</v>
      </c>
      <c r="B2044" s="3">
        <v>9</v>
      </c>
      <c r="C2044" s="3">
        <v>181</v>
      </c>
      <c r="D2044" s="3">
        <v>40</v>
      </c>
      <c r="E2044" s="3">
        <v>-263.041</v>
      </c>
      <c r="F2044" s="4" t="str">
        <f>HYPERLINK("http://141.218.60.56/~jnz1568/getInfo.php?workbook=14_09.xlsx&amp;sheet=A0&amp;row=2044&amp;col=6&amp;number=42500000&amp;sourceID=14","42500000")</f>
        <v>42500000</v>
      </c>
      <c r="G2044" s="4" t="str">
        <f>HYPERLINK("http://141.218.60.56/~jnz1568/getInfo.php?workbook=14_09.xlsx&amp;sheet=A0&amp;row=2044&amp;col=7&amp;number=0&amp;sourceID=14","0")</f>
        <v>0</v>
      </c>
    </row>
    <row r="2045" spans="1:7">
      <c r="A2045" s="3">
        <v>14</v>
      </c>
      <c r="B2045" s="3">
        <v>9</v>
      </c>
      <c r="C2045" s="3">
        <v>182</v>
      </c>
      <c r="D2045" s="3">
        <v>40</v>
      </c>
      <c r="E2045" s="3">
        <v>-262.974</v>
      </c>
      <c r="F2045" s="4" t="str">
        <f>HYPERLINK("http://141.218.60.56/~jnz1568/getInfo.php?workbook=14_09.xlsx&amp;sheet=A0&amp;row=2045&amp;col=6&amp;number=97700000&amp;sourceID=14","97700000")</f>
        <v>97700000</v>
      </c>
      <c r="G2045" s="4" t="str">
        <f>HYPERLINK("http://141.218.60.56/~jnz1568/getInfo.php?workbook=14_09.xlsx&amp;sheet=A0&amp;row=2045&amp;col=7&amp;number=0&amp;sourceID=14","0")</f>
        <v>0</v>
      </c>
    </row>
    <row r="2046" spans="1:7">
      <c r="A2046" s="3">
        <v>14</v>
      </c>
      <c r="B2046" s="3">
        <v>9</v>
      </c>
      <c r="C2046" s="3">
        <v>183</v>
      </c>
      <c r="D2046" s="3">
        <v>40</v>
      </c>
      <c r="E2046" s="3">
        <v>-257.238</v>
      </c>
      <c r="F2046" s="4" t="str">
        <f>HYPERLINK("http://141.218.60.56/~jnz1568/getInfo.php?workbook=14_09.xlsx&amp;sheet=A0&amp;row=2046&amp;col=6&amp;number=34400000&amp;sourceID=14","34400000")</f>
        <v>34400000</v>
      </c>
      <c r="G2046" s="4" t="str">
        <f>HYPERLINK("http://141.218.60.56/~jnz1568/getInfo.php?workbook=14_09.xlsx&amp;sheet=A0&amp;row=2046&amp;col=7&amp;number=0&amp;sourceID=14","0")</f>
        <v>0</v>
      </c>
    </row>
    <row r="2047" spans="1:7">
      <c r="A2047" s="3">
        <v>14</v>
      </c>
      <c r="B2047" s="3">
        <v>9</v>
      </c>
      <c r="C2047" s="3">
        <v>184</v>
      </c>
      <c r="D2047" s="3">
        <v>40</v>
      </c>
      <c r="E2047" s="3">
        <v>-255.668</v>
      </c>
      <c r="F2047" s="4" t="str">
        <f>HYPERLINK("http://141.218.60.56/~jnz1568/getInfo.php?workbook=14_09.xlsx&amp;sheet=A0&amp;row=2047&amp;col=6&amp;number=12900000&amp;sourceID=14","12900000")</f>
        <v>12900000</v>
      </c>
      <c r="G2047" s="4" t="str">
        <f>HYPERLINK("http://141.218.60.56/~jnz1568/getInfo.php?workbook=14_09.xlsx&amp;sheet=A0&amp;row=2047&amp;col=7&amp;number=0&amp;sourceID=14","0")</f>
        <v>0</v>
      </c>
    </row>
    <row r="2048" spans="1:7">
      <c r="A2048" s="3">
        <v>14</v>
      </c>
      <c r="B2048" s="3">
        <v>9</v>
      </c>
      <c r="C2048" s="3">
        <v>190</v>
      </c>
      <c r="D2048" s="3">
        <v>40</v>
      </c>
      <c r="E2048" s="3">
        <v>-191.651</v>
      </c>
      <c r="F2048" s="4" t="str">
        <f>HYPERLINK("http://141.218.60.56/~jnz1568/getInfo.php?workbook=14_09.xlsx&amp;sheet=A0&amp;row=2048&amp;col=6&amp;number=2160000&amp;sourceID=14","2160000")</f>
        <v>2160000</v>
      </c>
      <c r="G2048" s="4" t="str">
        <f>HYPERLINK("http://141.218.60.56/~jnz1568/getInfo.php?workbook=14_09.xlsx&amp;sheet=A0&amp;row=2048&amp;col=7&amp;number=0&amp;sourceID=14","0")</f>
        <v>0</v>
      </c>
    </row>
    <row r="2049" spans="1:7">
      <c r="A2049" s="3">
        <v>14</v>
      </c>
      <c r="B2049" s="3">
        <v>9</v>
      </c>
      <c r="C2049" s="3">
        <v>192</v>
      </c>
      <c r="D2049" s="3">
        <v>40</v>
      </c>
      <c r="E2049" s="3">
        <v>-190.305</v>
      </c>
      <c r="F2049" s="4" t="str">
        <f>HYPERLINK("http://141.218.60.56/~jnz1568/getInfo.php?workbook=14_09.xlsx&amp;sheet=A0&amp;row=2049&amp;col=6&amp;number=30000000&amp;sourceID=14","30000000")</f>
        <v>30000000</v>
      </c>
      <c r="G2049" s="4" t="str">
        <f>HYPERLINK("http://141.218.60.56/~jnz1568/getInfo.php?workbook=14_09.xlsx&amp;sheet=A0&amp;row=2049&amp;col=7&amp;number=0&amp;sourceID=14","0")</f>
        <v>0</v>
      </c>
    </row>
    <row r="2050" spans="1:7">
      <c r="A2050" s="3">
        <v>14</v>
      </c>
      <c r="B2050" s="3">
        <v>9</v>
      </c>
      <c r="C2050" s="3">
        <v>194</v>
      </c>
      <c r="D2050" s="3">
        <v>40</v>
      </c>
      <c r="E2050" s="3">
        <v>-189.234</v>
      </c>
      <c r="F2050" s="4" t="str">
        <f>HYPERLINK("http://141.218.60.56/~jnz1568/getInfo.php?workbook=14_09.xlsx&amp;sheet=A0&amp;row=2050&amp;col=6&amp;number=4880000&amp;sourceID=14","4880000")</f>
        <v>4880000</v>
      </c>
      <c r="G2050" s="4" t="str">
        <f>HYPERLINK("http://141.218.60.56/~jnz1568/getInfo.php?workbook=14_09.xlsx&amp;sheet=A0&amp;row=2050&amp;col=7&amp;number=0&amp;sourceID=14","0")</f>
        <v>0</v>
      </c>
    </row>
    <row r="2051" spans="1:7">
      <c r="A2051" s="3">
        <v>14</v>
      </c>
      <c r="B2051" s="3">
        <v>9</v>
      </c>
      <c r="C2051" s="3">
        <v>195</v>
      </c>
      <c r="D2051" s="3">
        <v>40</v>
      </c>
      <c r="E2051" s="3">
        <v>-189.209</v>
      </c>
      <c r="F2051" s="4" t="str">
        <f>HYPERLINK("http://141.218.60.56/~jnz1568/getInfo.php?workbook=14_09.xlsx&amp;sheet=A0&amp;row=2051&amp;col=6&amp;number=7750000&amp;sourceID=14","7750000")</f>
        <v>7750000</v>
      </c>
      <c r="G2051" s="4" t="str">
        <f>HYPERLINK("http://141.218.60.56/~jnz1568/getInfo.php?workbook=14_09.xlsx&amp;sheet=A0&amp;row=2051&amp;col=7&amp;number=0&amp;sourceID=14","0")</f>
        <v>0</v>
      </c>
    </row>
    <row r="2052" spans="1:7">
      <c r="A2052" s="3">
        <v>14</v>
      </c>
      <c r="B2052" s="3">
        <v>9</v>
      </c>
      <c r="C2052" s="3">
        <v>66</v>
      </c>
      <c r="D2052" s="3">
        <v>41</v>
      </c>
      <c r="E2052" s="3">
        <v>-657.731</v>
      </c>
      <c r="F2052" s="4" t="str">
        <f>HYPERLINK("http://141.218.60.56/~jnz1568/getInfo.php?workbook=14_09.xlsx&amp;sheet=A0&amp;row=2052&amp;col=6&amp;number=635000&amp;sourceID=14","635000")</f>
        <v>635000</v>
      </c>
      <c r="G2052" s="4" t="str">
        <f>HYPERLINK("http://141.218.60.56/~jnz1568/getInfo.php?workbook=14_09.xlsx&amp;sheet=A0&amp;row=2052&amp;col=7&amp;number=0&amp;sourceID=14","0")</f>
        <v>0</v>
      </c>
    </row>
    <row r="2053" spans="1:7">
      <c r="A2053" s="3">
        <v>14</v>
      </c>
      <c r="B2053" s="3">
        <v>9</v>
      </c>
      <c r="C2053" s="3">
        <v>69</v>
      </c>
      <c r="D2053" s="3">
        <v>41</v>
      </c>
      <c r="E2053" s="3">
        <v>-628.15</v>
      </c>
      <c r="F2053" s="4" t="str">
        <f>HYPERLINK("http://141.218.60.56/~jnz1568/getInfo.php?workbook=14_09.xlsx&amp;sheet=A0&amp;row=2053&amp;col=6&amp;number=7350000&amp;sourceID=14","7350000")</f>
        <v>7350000</v>
      </c>
      <c r="G2053" s="4" t="str">
        <f>HYPERLINK("http://141.218.60.56/~jnz1568/getInfo.php?workbook=14_09.xlsx&amp;sheet=A0&amp;row=2053&amp;col=7&amp;number=0&amp;sourceID=14","0")</f>
        <v>0</v>
      </c>
    </row>
    <row r="2054" spans="1:7">
      <c r="A2054" s="3">
        <v>14</v>
      </c>
      <c r="B2054" s="3">
        <v>9</v>
      </c>
      <c r="C2054" s="3">
        <v>70</v>
      </c>
      <c r="D2054" s="3">
        <v>41</v>
      </c>
      <c r="E2054" s="3">
        <v>-623.202</v>
      </c>
      <c r="F2054" s="4" t="str">
        <f>HYPERLINK("http://141.218.60.56/~jnz1568/getInfo.php?workbook=14_09.xlsx&amp;sheet=A0&amp;row=2054&amp;col=6&amp;number=238000000&amp;sourceID=14","238000000")</f>
        <v>238000000</v>
      </c>
      <c r="G2054" s="4" t="str">
        <f>HYPERLINK("http://141.218.60.56/~jnz1568/getInfo.php?workbook=14_09.xlsx&amp;sheet=A0&amp;row=2054&amp;col=7&amp;number=0&amp;sourceID=14","0")</f>
        <v>0</v>
      </c>
    </row>
    <row r="2055" spans="1:7">
      <c r="A2055" s="3">
        <v>14</v>
      </c>
      <c r="B2055" s="3">
        <v>9</v>
      </c>
      <c r="C2055" s="3">
        <v>72</v>
      </c>
      <c r="D2055" s="3">
        <v>41</v>
      </c>
      <c r="E2055" s="3">
        <v>-612.33</v>
      </c>
      <c r="F2055" s="4" t="str">
        <f>HYPERLINK("http://141.218.60.56/~jnz1568/getInfo.php?workbook=14_09.xlsx&amp;sheet=A0&amp;row=2055&amp;col=6&amp;number=1650000000&amp;sourceID=14","1650000000")</f>
        <v>1650000000</v>
      </c>
      <c r="G2055" s="4" t="str">
        <f>HYPERLINK("http://141.218.60.56/~jnz1568/getInfo.php?workbook=14_09.xlsx&amp;sheet=A0&amp;row=2055&amp;col=7&amp;number=0&amp;sourceID=14","0")</f>
        <v>0</v>
      </c>
    </row>
    <row r="2056" spans="1:7">
      <c r="A2056" s="3">
        <v>14</v>
      </c>
      <c r="B2056" s="3">
        <v>9</v>
      </c>
      <c r="C2056" s="3">
        <v>81</v>
      </c>
      <c r="D2056" s="3">
        <v>41</v>
      </c>
      <c r="E2056" s="3">
        <v>-563.68</v>
      </c>
      <c r="F2056" s="4" t="str">
        <f>HYPERLINK("http://141.218.60.56/~jnz1568/getInfo.php?workbook=14_09.xlsx&amp;sheet=A0&amp;row=2056&amp;col=6&amp;number=12500000&amp;sourceID=14","12500000")</f>
        <v>12500000</v>
      </c>
      <c r="G2056" s="4" t="str">
        <f>HYPERLINK("http://141.218.60.56/~jnz1568/getInfo.php?workbook=14_09.xlsx&amp;sheet=A0&amp;row=2056&amp;col=7&amp;number=0&amp;sourceID=14","0")</f>
        <v>0</v>
      </c>
    </row>
    <row r="2057" spans="1:7">
      <c r="A2057" s="3">
        <v>14</v>
      </c>
      <c r="B2057" s="3">
        <v>9</v>
      </c>
      <c r="C2057" s="3">
        <v>101</v>
      </c>
      <c r="D2057" s="3">
        <v>41</v>
      </c>
      <c r="E2057" s="3">
        <v>-483.24</v>
      </c>
      <c r="F2057" s="4" t="str">
        <f>HYPERLINK("http://141.218.60.56/~jnz1568/getInfo.php?workbook=14_09.xlsx&amp;sheet=A0&amp;row=2057&amp;col=6&amp;number=239000&amp;sourceID=14","239000")</f>
        <v>239000</v>
      </c>
      <c r="G2057" s="4" t="str">
        <f>HYPERLINK("http://141.218.60.56/~jnz1568/getInfo.php?workbook=14_09.xlsx&amp;sheet=A0&amp;row=2057&amp;col=7&amp;number=0&amp;sourceID=14","0")</f>
        <v>0</v>
      </c>
    </row>
    <row r="2058" spans="1:7">
      <c r="A2058" s="3">
        <v>14</v>
      </c>
      <c r="B2058" s="3">
        <v>9</v>
      </c>
      <c r="C2058" s="3">
        <v>102</v>
      </c>
      <c r="D2058" s="3">
        <v>41</v>
      </c>
      <c r="E2058" s="3">
        <v>-482.743</v>
      </c>
      <c r="F2058" s="4" t="str">
        <f>HYPERLINK("http://141.218.60.56/~jnz1568/getInfo.php?workbook=14_09.xlsx&amp;sheet=A0&amp;row=2058&amp;col=6&amp;number=7740000&amp;sourceID=14","7740000")</f>
        <v>7740000</v>
      </c>
      <c r="G2058" s="4" t="str">
        <f>HYPERLINK("http://141.218.60.56/~jnz1568/getInfo.php?workbook=14_09.xlsx&amp;sheet=A0&amp;row=2058&amp;col=7&amp;number=0&amp;sourceID=14","0")</f>
        <v>0</v>
      </c>
    </row>
    <row r="2059" spans="1:7">
      <c r="A2059" s="3">
        <v>14</v>
      </c>
      <c r="B2059" s="3">
        <v>9</v>
      </c>
      <c r="C2059" s="3">
        <v>104</v>
      </c>
      <c r="D2059" s="3">
        <v>41</v>
      </c>
      <c r="E2059" s="3">
        <v>-479.098</v>
      </c>
      <c r="F2059" s="4" t="str">
        <f>HYPERLINK("http://141.218.60.56/~jnz1568/getInfo.php?workbook=14_09.xlsx&amp;sheet=A0&amp;row=2059&amp;col=6&amp;number=809000000&amp;sourceID=14","809000000")</f>
        <v>809000000</v>
      </c>
      <c r="G2059" s="4" t="str">
        <f>HYPERLINK("http://141.218.60.56/~jnz1568/getInfo.php?workbook=14_09.xlsx&amp;sheet=A0&amp;row=2059&amp;col=7&amp;number=0&amp;sourceID=14","0")</f>
        <v>0</v>
      </c>
    </row>
    <row r="2060" spans="1:7">
      <c r="A2060" s="3">
        <v>14</v>
      </c>
      <c r="B2060" s="3">
        <v>9</v>
      </c>
      <c r="C2060" s="3">
        <v>105</v>
      </c>
      <c r="D2060" s="3">
        <v>41</v>
      </c>
      <c r="E2060" s="3">
        <v>-479.031</v>
      </c>
      <c r="F2060" s="4" t="str">
        <f>HYPERLINK("http://141.218.60.56/~jnz1568/getInfo.php?workbook=14_09.xlsx&amp;sheet=A0&amp;row=2060&amp;col=6&amp;number=29300000&amp;sourceID=14","29300000")</f>
        <v>29300000</v>
      </c>
      <c r="G2060" s="4" t="str">
        <f>HYPERLINK("http://141.218.60.56/~jnz1568/getInfo.php?workbook=14_09.xlsx&amp;sheet=A0&amp;row=2060&amp;col=7&amp;number=0&amp;sourceID=14","0")</f>
        <v>0</v>
      </c>
    </row>
    <row r="2061" spans="1:7">
      <c r="A2061" s="3">
        <v>14</v>
      </c>
      <c r="B2061" s="3">
        <v>9</v>
      </c>
      <c r="C2061" s="3">
        <v>106</v>
      </c>
      <c r="D2061" s="3">
        <v>41</v>
      </c>
      <c r="E2061" s="3">
        <v>-478.694</v>
      </c>
      <c r="F2061" s="4" t="str">
        <f>HYPERLINK("http://141.218.60.56/~jnz1568/getInfo.php?workbook=14_09.xlsx&amp;sheet=A0&amp;row=2061&amp;col=6&amp;number=1490000&amp;sourceID=14","1490000")</f>
        <v>1490000</v>
      </c>
      <c r="G2061" s="4" t="str">
        <f>HYPERLINK("http://141.218.60.56/~jnz1568/getInfo.php?workbook=14_09.xlsx&amp;sheet=A0&amp;row=2061&amp;col=7&amp;number=0&amp;sourceID=14","0")</f>
        <v>0</v>
      </c>
    </row>
    <row r="2062" spans="1:7">
      <c r="A2062" s="3">
        <v>14</v>
      </c>
      <c r="B2062" s="3">
        <v>9</v>
      </c>
      <c r="C2062" s="3">
        <v>107</v>
      </c>
      <c r="D2062" s="3">
        <v>41</v>
      </c>
      <c r="E2062" s="3">
        <v>-478.047</v>
      </c>
      <c r="F2062" s="4" t="str">
        <f>HYPERLINK("http://141.218.60.56/~jnz1568/getInfo.php?workbook=14_09.xlsx&amp;sheet=A0&amp;row=2062&amp;col=6&amp;number=1600000000&amp;sourceID=14","1600000000")</f>
        <v>1600000000</v>
      </c>
      <c r="G2062" s="4" t="str">
        <f>HYPERLINK("http://141.218.60.56/~jnz1568/getInfo.php?workbook=14_09.xlsx&amp;sheet=A0&amp;row=2062&amp;col=7&amp;number=0&amp;sourceID=14","0")</f>
        <v>0</v>
      </c>
    </row>
    <row r="2063" spans="1:7">
      <c r="A2063" s="3">
        <v>14</v>
      </c>
      <c r="B2063" s="3">
        <v>9</v>
      </c>
      <c r="C2063" s="3">
        <v>109</v>
      </c>
      <c r="D2063" s="3">
        <v>41</v>
      </c>
      <c r="E2063" s="3">
        <v>-477.137</v>
      </c>
      <c r="F2063" s="4" t="str">
        <f>HYPERLINK("http://141.218.60.56/~jnz1568/getInfo.php?workbook=14_09.xlsx&amp;sheet=A0&amp;row=2063&amp;col=6&amp;number=153000000&amp;sourceID=14","153000000")</f>
        <v>153000000</v>
      </c>
      <c r="G2063" s="4" t="str">
        <f>HYPERLINK("http://141.218.60.56/~jnz1568/getInfo.php?workbook=14_09.xlsx&amp;sheet=A0&amp;row=2063&amp;col=7&amp;number=0&amp;sourceID=14","0")</f>
        <v>0</v>
      </c>
    </row>
    <row r="2064" spans="1:7">
      <c r="A2064" s="3">
        <v>14</v>
      </c>
      <c r="B2064" s="3">
        <v>9</v>
      </c>
      <c r="C2064" s="3">
        <v>114</v>
      </c>
      <c r="D2064" s="3">
        <v>41</v>
      </c>
      <c r="E2064" s="3">
        <v>-475.548</v>
      </c>
      <c r="F2064" s="4" t="str">
        <f>HYPERLINK("http://141.218.60.56/~jnz1568/getInfo.php?workbook=14_09.xlsx&amp;sheet=A0&amp;row=2064&amp;col=6&amp;number=8380000000&amp;sourceID=14","8380000000")</f>
        <v>8380000000</v>
      </c>
      <c r="G2064" s="4" t="str">
        <f>HYPERLINK("http://141.218.60.56/~jnz1568/getInfo.php?workbook=14_09.xlsx&amp;sheet=A0&amp;row=2064&amp;col=7&amp;number=0&amp;sourceID=14","0")</f>
        <v>0</v>
      </c>
    </row>
    <row r="2065" spans="1:7">
      <c r="A2065" s="3">
        <v>14</v>
      </c>
      <c r="B2065" s="3">
        <v>9</v>
      </c>
      <c r="C2065" s="3">
        <v>115</v>
      </c>
      <c r="D2065" s="3">
        <v>41</v>
      </c>
      <c r="E2065" s="3">
        <v>-475.245</v>
      </c>
      <c r="F2065" s="4" t="str">
        <f>HYPERLINK("http://141.218.60.56/~jnz1568/getInfo.php?workbook=14_09.xlsx&amp;sheet=A0&amp;row=2065&amp;col=6&amp;number=202000&amp;sourceID=14","202000")</f>
        <v>202000</v>
      </c>
      <c r="G2065" s="4" t="str">
        <f>HYPERLINK("http://141.218.60.56/~jnz1568/getInfo.php?workbook=14_09.xlsx&amp;sheet=A0&amp;row=2065&amp;col=7&amp;number=0&amp;sourceID=14","0")</f>
        <v>0</v>
      </c>
    </row>
    <row r="2066" spans="1:7">
      <c r="A2066" s="3">
        <v>14</v>
      </c>
      <c r="B2066" s="3">
        <v>9</v>
      </c>
      <c r="C2066" s="3">
        <v>118</v>
      </c>
      <c r="D2066" s="3">
        <v>41</v>
      </c>
      <c r="E2066" s="3">
        <v>-468.996</v>
      </c>
      <c r="F2066" s="4" t="str">
        <f>HYPERLINK("http://141.218.60.56/~jnz1568/getInfo.php?workbook=14_09.xlsx&amp;sheet=A0&amp;row=2066&amp;col=6&amp;number=6350000&amp;sourceID=14","6350000")</f>
        <v>6350000</v>
      </c>
      <c r="G2066" s="4" t="str">
        <f>HYPERLINK("http://141.218.60.56/~jnz1568/getInfo.php?workbook=14_09.xlsx&amp;sheet=A0&amp;row=2066&amp;col=7&amp;number=0&amp;sourceID=14","0")</f>
        <v>0</v>
      </c>
    </row>
    <row r="2067" spans="1:7">
      <c r="A2067" s="3">
        <v>14</v>
      </c>
      <c r="B2067" s="3">
        <v>9</v>
      </c>
      <c r="C2067" s="3">
        <v>119</v>
      </c>
      <c r="D2067" s="3">
        <v>41</v>
      </c>
      <c r="E2067" s="3">
        <v>-468.15</v>
      </c>
      <c r="F2067" s="4" t="str">
        <f>HYPERLINK("http://141.218.60.56/~jnz1568/getInfo.php?workbook=14_09.xlsx&amp;sheet=A0&amp;row=2067&amp;col=6&amp;number=10200000000&amp;sourceID=14","10200000000")</f>
        <v>10200000000</v>
      </c>
      <c r="G2067" s="4" t="str">
        <f>HYPERLINK("http://141.218.60.56/~jnz1568/getInfo.php?workbook=14_09.xlsx&amp;sheet=A0&amp;row=2067&amp;col=7&amp;number=0&amp;sourceID=14","0")</f>
        <v>0</v>
      </c>
    </row>
    <row r="2068" spans="1:7">
      <c r="A2068" s="3">
        <v>14</v>
      </c>
      <c r="B2068" s="3">
        <v>9</v>
      </c>
      <c r="C2068" s="3">
        <v>120</v>
      </c>
      <c r="D2068" s="3">
        <v>41</v>
      </c>
      <c r="E2068" s="3">
        <v>-467.995</v>
      </c>
      <c r="F2068" s="4" t="str">
        <f>HYPERLINK("http://141.218.60.56/~jnz1568/getInfo.php?workbook=14_09.xlsx&amp;sheet=A0&amp;row=2068&amp;col=6&amp;number=141000000&amp;sourceID=14","141000000")</f>
        <v>141000000</v>
      </c>
      <c r="G2068" s="4" t="str">
        <f>HYPERLINK("http://141.218.60.56/~jnz1568/getInfo.php?workbook=14_09.xlsx&amp;sheet=A0&amp;row=2068&amp;col=7&amp;number=0&amp;sourceID=14","0")</f>
        <v>0</v>
      </c>
    </row>
    <row r="2069" spans="1:7">
      <c r="A2069" s="3">
        <v>14</v>
      </c>
      <c r="B2069" s="3">
        <v>9</v>
      </c>
      <c r="C2069" s="3">
        <v>121</v>
      </c>
      <c r="D2069" s="3">
        <v>41</v>
      </c>
      <c r="E2069" s="3">
        <v>-467.04</v>
      </c>
      <c r="F2069" s="4" t="str">
        <f>HYPERLINK("http://141.218.60.56/~jnz1568/getInfo.php?workbook=14_09.xlsx&amp;sheet=A0&amp;row=2069&amp;col=6&amp;number=733000000&amp;sourceID=14","733000000")</f>
        <v>733000000</v>
      </c>
      <c r="G2069" s="4" t="str">
        <f>HYPERLINK("http://141.218.60.56/~jnz1568/getInfo.php?workbook=14_09.xlsx&amp;sheet=A0&amp;row=2069&amp;col=7&amp;number=0&amp;sourceID=14","0")</f>
        <v>0</v>
      </c>
    </row>
    <row r="2070" spans="1:7">
      <c r="A2070" s="3">
        <v>14</v>
      </c>
      <c r="B2070" s="3">
        <v>9</v>
      </c>
      <c r="C2070" s="3">
        <v>122</v>
      </c>
      <c r="D2070" s="3">
        <v>41</v>
      </c>
      <c r="E2070" s="3">
        <v>-466.791</v>
      </c>
      <c r="F2070" s="4" t="str">
        <f>HYPERLINK("http://141.218.60.56/~jnz1568/getInfo.php?workbook=14_09.xlsx&amp;sheet=A0&amp;row=2070&amp;col=6&amp;number=71800000&amp;sourceID=14","71800000")</f>
        <v>71800000</v>
      </c>
      <c r="G2070" s="4" t="str">
        <f>HYPERLINK("http://141.218.60.56/~jnz1568/getInfo.php?workbook=14_09.xlsx&amp;sheet=A0&amp;row=2070&amp;col=7&amp;number=0&amp;sourceID=14","0")</f>
        <v>0</v>
      </c>
    </row>
    <row r="2071" spans="1:7">
      <c r="A2071" s="3">
        <v>14</v>
      </c>
      <c r="B2071" s="3">
        <v>9</v>
      </c>
      <c r="C2071" s="3">
        <v>123</v>
      </c>
      <c r="D2071" s="3">
        <v>41</v>
      </c>
      <c r="E2071" s="3">
        <v>-464.387</v>
      </c>
      <c r="F2071" s="4" t="str">
        <f>HYPERLINK("http://141.218.60.56/~jnz1568/getInfo.php?workbook=14_09.xlsx&amp;sheet=A0&amp;row=2071&amp;col=6&amp;number=71000000&amp;sourceID=14","71000000")</f>
        <v>71000000</v>
      </c>
      <c r="G2071" s="4" t="str">
        <f>HYPERLINK("http://141.218.60.56/~jnz1568/getInfo.php?workbook=14_09.xlsx&amp;sheet=A0&amp;row=2071&amp;col=7&amp;number=0&amp;sourceID=14","0")</f>
        <v>0</v>
      </c>
    </row>
    <row r="2072" spans="1:7">
      <c r="A2072" s="3">
        <v>14</v>
      </c>
      <c r="B2072" s="3">
        <v>9</v>
      </c>
      <c r="C2072" s="3">
        <v>124</v>
      </c>
      <c r="D2072" s="3">
        <v>41</v>
      </c>
      <c r="E2072" s="3">
        <v>-464.346</v>
      </c>
      <c r="F2072" s="4" t="str">
        <f>HYPERLINK("http://141.218.60.56/~jnz1568/getInfo.php?workbook=14_09.xlsx&amp;sheet=A0&amp;row=2072&amp;col=6&amp;number=1810000&amp;sourceID=14","1810000")</f>
        <v>1810000</v>
      </c>
      <c r="G2072" s="4" t="str">
        <f>HYPERLINK("http://141.218.60.56/~jnz1568/getInfo.php?workbook=14_09.xlsx&amp;sheet=A0&amp;row=2072&amp;col=7&amp;number=0&amp;sourceID=14","0")</f>
        <v>0</v>
      </c>
    </row>
    <row r="2073" spans="1:7">
      <c r="A2073" s="3">
        <v>14</v>
      </c>
      <c r="B2073" s="3">
        <v>9</v>
      </c>
      <c r="C2073" s="3">
        <v>141</v>
      </c>
      <c r="D2073" s="3">
        <v>41</v>
      </c>
      <c r="E2073" s="3">
        <v>-388.711</v>
      </c>
      <c r="F2073" s="4" t="str">
        <f>HYPERLINK("http://141.218.60.56/~jnz1568/getInfo.php?workbook=14_09.xlsx&amp;sheet=A0&amp;row=2073&amp;col=6&amp;number=225000&amp;sourceID=14","225000")</f>
        <v>225000</v>
      </c>
      <c r="G2073" s="4" t="str">
        <f>HYPERLINK("http://141.218.60.56/~jnz1568/getInfo.php?workbook=14_09.xlsx&amp;sheet=A0&amp;row=2073&amp;col=7&amp;number=0&amp;sourceID=14","0")</f>
        <v>0</v>
      </c>
    </row>
    <row r="2074" spans="1:7">
      <c r="A2074" s="3">
        <v>14</v>
      </c>
      <c r="B2074" s="3">
        <v>9</v>
      </c>
      <c r="C2074" s="3">
        <v>143</v>
      </c>
      <c r="D2074" s="3">
        <v>41</v>
      </c>
      <c r="E2074" s="3">
        <v>-388.492</v>
      </c>
      <c r="F2074" s="4" t="str">
        <f>HYPERLINK("http://141.218.60.56/~jnz1568/getInfo.php?workbook=14_09.xlsx&amp;sheet=A0&amp;row=2074&amp;col=6&amp;number=1320000&amp;sourceID=14","1320000")</f>
        <v>1320000</v>
      </c>
      <c r="G2074" s="4" t="str">
        <f>HYPERLINK("http://141.218.60.56/~jnz1568/getInfo.php?workbook=14_09.xlsx&amp;sheet=A0&amp;row=2074&amp;col=7&amp;number=0&amp;sourceID=14","0")</f>
        <v>0</v>
      </c>
    </row>
    <row r="2075" spans="1:7">
      <c r="A2075" s="3">
        <v>14</v>
      </c>
      <c r="B2075" s="3">
        <v>9</v>
      </c>
      <c r="C2075" s="3">
        <v>146</v>
      </c>
      <c r="D2075" s="3">
        <v>41</v>
      </c>
      <c r="E2075" s="3">
        <v>-386.661</v>
      </c>
      <c r="F2075" s="4" t="str">
        <f>HYPERLINK("http://141.218.60.56/~jnz1568/getInfo.php?workbook=14_09.xlsx&amp;sheet=A0&amp;row=2075&amp;col=6&amp;number=14700000&amp;sourceID=14","14700000")</f>
        <v>14700000</v>
      </c>
      <c r="G2075" s="4" t="str">
        <f>HYPERLINK("http://141.218.60.56/~jnz1568/getInfo.php?workbook=14_09.xlsx&amp;sheet=A0&amp;row=2075&amp;col=7&amp;number=0&amp;sourceID=14","0")</f>
        <v>0</v>
      </c>
    </row>
    <row r="2076" spans="1:7">
      <c r="A2076" s="3">
        <v>14</v>
      </c>
      <c r="B2076" s="3">
        <v>9</v>
      </c>
      <c r="C2076" s="3">
        <v>147</v>
      </c>
      <c r="D2076" s="3">
        <v>41</v>
      </c>
      <c r="E2076" s="3">
        <v>-386.658</v>
      </c>
      <c r="F2076" s="4" t="str">
        <f>HYPERLINK("http://141.218.60.56/~jnz1568/getInfo.php?workbook=14_09.xlsx&amp;sheet=A0&amp;row=2076&amp;col=6&amp;number=844000&amp;sourceID=14","844000")</f>
        <v>844000</v>
      </c>
      <c r="G2076" s="4" t="str">
        <f>HYPERLINK("http://141.218.60.56/~jnz1568/getInfo.php?workbook=14_09.xlsx&amp;sheet=A0&amp;row=2076&amp;col=7&amp;number=0&amp;sourceID=14","0")</f>
        <v>0</v>
      </c>
    </row>
    <row r="2077" spans="1:7">
      <c r="A2077" s="3">
        <v>14</v>
      </c>
      <c r="B2077" s="3">
        <v>9</v>
      </c>
      <c r="C2077" s="3">
        <v>150</v>
      </c>
      <c r="D2077" s="3">
        <v>41</v>
      </c>
      <c r="E2077" s="3">
        <v>-385.943</v>
      </c>
      <c r="F2077" s="4" t="str">
        <f>HYPERLINK("http://141.218.60.56/~jnz1568/getInfo.php?workbook=14_09.xlsx&amp;sheet=A0&amp;row=2077&amp;col=6&amp;number=27900000&amp;sourceID=14","27900000")</f>
        <v>27900000</v>
      </c>
      <c r="G2077" s="4" t="str">
        <f>HYPERLINK("http://141.218.60.56/~jnz1568/getInfo.php?workbook=14_09.xlsx&amp;sheet=A0&amp;row=2077&amp;col=7&amp;number=0&amp;sourceID=14","0")</f>
        <v>0</v>
      </c>
    </row>
    <row r="2078" spans="1:7">
      <c r="A2078" s="3">
        <v>14</v>
      </c>
      <c r="B2078" s="3">
        <v>9</v>
      </c>
      <c r="C2078" s="3">
        <v>165</v>
      </c>
      <c r="D2078" s="3">
        <v>41</v>
      </c>
      <c r="E2078" s="3">
        <v>-305.798</v>
      </c>
      <c r="F2078" s="4" t="str">
        <f>HYPERLINK("http://141.218.60.56/~jnz1568/getInfo.php?workbook=14_09.xlsx&amp;sheet=A0&amp;row=2078&amp;col=6&amp;number=1030000&amp;sourceID=14","1030000")</f>
        <v>1030000</v>
      </c>
      <c r="G2078" s="4" t="str">
        <f>HYPERLINK("http://141.218.60.56/~jnz1568/getInfo.php?workbook=14_09.xlsx&amp;sheet=A0&amp;row=2078&amp;col=7&amp;number=0&amp;sourceID=14","0")</f>
        <v>0</v>
      </c>
    </row>
    <row r="2079" spans="1:7">
      <c r="A2079" s="3">
        <v>14</v>
      </c>
      <c r="B2079" s="3">
        <v>9</v>
      </c>
      <c r="C2079" s="3">
        <v>170</v>
      </c>
      <c r="D2079" s="3">
        <v>41</v>
      </c>
      <c r="E2079" s="3">
        <v>-277.619</v>
      </c>
      <c r="F2079" s="4" t="str">
        <f>HYPERLINK("http://141.218.60.56/~jnz1568/getInfo.php?workbook=14_09.xlsx&amp;sheet=A0&amp;row=2079&amp;col=6&amp;number=4790000&amp;sourceID=14","4790000")</f>
        <v>4790000</v>
      </c>
      <c r="G2079" s="4" t="str">
        <f>HYPERLINK("http://141.218.60.56/~jnz1568/getInfo.php?workbook=14_09.xlsx&amp;sheet=A0&amp;row=2079&amp;col=7&amp;number=0&amp;sourceID=14","0")</f>
        <v>0</v>
      </c>
    </row>
    <row r="2080" spans="1:7">
      <c r="A2080" s="3">
        <v>14</v>
      </c>
      <c r="B2080" s="3">
        <v>9</v>
      </c>
      <c r="C2080" s="3">
        <v>171</v>
      </c>
      <c r="D2080" s="3">
        <v>41</v>
      </c>
      <c r="E2080" s="3">
        <v>-275.831</v>
      </c>
      <c r="F2080" s="4" t="str">
        <f>HYPERLINK("http://141.218.60.56/~jnz1568/getInfo.php?workbook=14_09.xlsx&amp;sheet=A0&amp;row=2080&amp;col=6&amp;number=268000000&amp;sourceID=14","268000000")</f>
        <v>268000000</v>
      </c>
      <c r="G2080" s="4" t="str">
        <f>HYPERLINK("http://141.218.60.56/~jnz1568/getInfo.php?workbook=14_09.xlsx&amp;sheet=A0&amp;row=2080&amp;col=7&amp;number=0&amp;sourceID=14","0")</f>
        <v>0</v>
      </c>
    </row>
    <row r="2081" spans="1:7">
      <c r="A2081" s="3">
        <v>14</v>
      </c>
      <c r="B2081" s="3">
        <v>9</v>
      </c>
      <c r="C2081" s="3">
        <v>172</v>
      </c>
      <c r="D2081" s="3">
        <v>41</v>
      </c>
      <c r="E2081" s="3">
        <v>-274.753</v>
      </c>
      <c r="F2081" s="4" t="str">
        <f>HYPERLINK("http://141.218.60.56/~jnz1568/getInfo.php?workbook=14_09.xlsx&amp;sheet=A0&amp;row=2081&amp;col=6&amp;number=250000000&amp;sourceID=14","250000000")</f>
        <v>250000000</v>
      </c>
      <c r="G2081" s="4" t="str">
        <f>HYPERLINK("http://141.218.60.56/~jnz1568/getInfo.php?workbook=14_09.xlsx&amp;sheet=A0&amp;row=2081&amp;col=7&amp;number=0&amp;sourceID=14","0")</f>
        <v>0</v>
      </c>
    </row>
    <row r="2082" spans="1:7">
      <c r="A2082" s="3">
        <v>14</v>
      </c>
      <c r="B2082" s="3">
        <v>9</v>
      </c>
      <c r="C2082" s="3">
        <v>173</v>
      </c>
      <c r="D2082" s="3">
        <v>41</v>
      </c>
      <c r="E2082" s="3">
        <v>-273.711</v>
      </c>
      <c r="F2082" s="4" t="str">
        <f>HYPERLINK("http://141.218.60.56/~jnz1568/getInfo.php?workbook=14_09.xlsx&amp;sheet=A0&amp;row=2082&amp;col=6&amp;number=146000000&amp;sourceID=14","146000000")</f>
        <v>146000000</v>
      </c>
      <c r="G2082" s="4" t="str">
        <f>HYPERLINK("http://141.218.60.56/~jnz1568/getInfo.php?workbook=14_09.xlsx&amp;sheet=A0&amp;row=2082&amp;col=7&amp;number=0&amp;sourceID=14","0")</f>
        <v>0</v>
      </c>
    </row>
    <row r="2083" spans="1:7">
      <c r="A2083" s="3">
        <v>14</v>
      </c>
      <c r="B2083" s="3">
        <v>9</v>
      </c>
      <c r="C2083" s="3">
        <v>175</v>
      </c>
      <c r="D2083" s="3">
        <v>41</v>
      </c>
      <c r="E2083" s="3">
        <v>-268.787</v>
      </c>
      <c r="F2083" s="4" t="str">
        <f>HYPERLINK("http://141.218.60.56/~jnz1568/getInfo.php?workbook=14_09.xlsx&amp;sheet=A0&amp;row=2083&amp;col=6&amp;number=6560000000&amp;sourceID=14","6560000000")</f>
        <v>6560000000</v>
      </c>
      <c r="G2083" s="4" t="str">
        <f>HYPERLINK("http://141.218.60.56/~jnz1568/getInfo.php?workbook=14_09.xlsx&amp;sheet=A0&amp;row=2083&amp;col=7&amp;number=0&amp;sourceID=14","0")</f>
        <v>0</v>
      </c>
    </row>
    <row r="2084" spans="1:7">
      <c r="A2084" s="3">
        <v>14</v>
      </c>
      <c r="B2084" s="3">
        <v>9</v>
      </c>
      <c r="C2084" s="3">
        <v>176</v>
      </c>
      <c r="D2084" s="3">
        <v>41</v>
      </c>
      <c r="E2084" s="3">
        <v>-267.403</v>
      </c>
      <c r="F2084" s="4" t="str">
        <f>HYPERLINK("http://141.218.60.56/~jnz1568/getInfo.php?workbook=14_09.xlsx&amp;sheet=A0&amp;row=2084&amp;col=6&amp;number=512000000&amp;sourceID=14","512000000")</f>
        <v>512000000</v>
      </c>
      <c r="G2084" s="4" t="str">
        <f>HYPERLINK("http://141.218.60.56/~jnz1568/getInfo.php?workbook=14_09.xlsx&amp;sheet=A0&amp;row=2084&amp;col=7&amp;number=0&amp;sourceID=14","0")</f>
        <v>0</v>
      </c>
    </row>
    <row r="2085" spans="1:7">
      <c r="A2085" s="3">
        <v>14</v>
      </c>
      <c r="B2085" s="3">
        <v>9</v>
      </c>
      <c r="C2085" s="3">
        <v>177</v>
      </c>
      <c r="D2085" s="3">
        <v>41</v>
      </c>
      <c r="E2085" s="3">
        <v>-267.282</v>
      </c>
      <c r="F2085" s="4" t="str">
        <f>HYPERLINK("http://141.218.60.56/~jnz1568/getInfo.php?workbook=14_09.xlsx&amp;sheet=A0&amp;row=2085&amp;col=6&amp;number=5230000000&amp;sourceID=14","5230000000")</f>
        <v>5230000000</v>
      </c>
      <c r="G2085" s="4" t="str">
        <f>HYPERLINK("http://141.218.60.56/~jnz1568/getInfo.php?workbook=14_09.xlsx&amp;sheet=A0&amp;row=2085&amp;col=7&amp;number=0&amp;sourceID=14","0")</f>
        <v>0</v>
      </c>
    </row>
    <row r="2086" spans="1:7">
      <c r="A2086" s="3">
        <v>14</v>
      </c>
      <c r="B2086" s="3">
        <v>9</v>
      </c>
      <c r="C2086" s="3">
        <v>180</v>
      </c>
      <c r="D2086" s="3">
        <v>41</v>
      </c>
      <c r="E2086" s="3">
        <v>-266.346</v>
      </c>
      <c r="F2086" s="4" t="str">
        <f>HYPERLINK("http://141.218.60.56/~jnz1568/getInfo.php?workbook=14_09.xlsx&amp;sheet=A0&amp;row=2086&amp;col=6&amp;number=18700000&amp;sourceID=14","18700000")</f>
        <v>18700000</v>
      </c>
      <c r="G2086" s="4" t="str">
        <f>HYPERLINK("http://141.218.60.56/~jnz1568/getInfo.php?workbook=14_09.xlsx&amp;sheet=A0&amp;row=2086&amp;col=7&amp;number=0&amp;sourceID=14","0")</f>
        <v>0</v>
      </c>
    </row>
    <row r="2087" spans="1:7">
      <c r="A2087" s="3">
        <v>14</v>
      </c>
      <c r="B2087" s="3">
        <v>9</v>
      </c>
      <c r="C2087" s="3">
        <v>181</v>
      </c>
      <c r="D2087" s="3">
        <v>41</v>
      </c>
      <c r="E2087" s="3">
        <v>-263.321</v>
      </c>
      <c r="F2087" s="4" t="str">
        <f>HYPERLINK("http://141.218.60.56/~jnz1568/getInfo.php?workbook=14_09.xlsx&amp;sheet=A0&amp;row=2087&amp;col=6&amp;number=10200000000&amp;sourceID=14","10200000000")</f>
        <v>10200000000</v>
      </c>
      <c r="G2087" s="4" t="str">
        <f>HYPERLINK("http://141.218.60.56/~jnz1568/getInfo.php?workbook=14_09.xlsx&amp;sheet=A0&amp;row=2087&amp;col=7&amp;number=0&amp;sourceID=14","0")</f>
        <v>0</v>
      </c>
    </row>
    <row r="2088" spans="1:7">
      <c r="A2088" s="3">
        <v>14</v>
      </c>
      <c r="B2088" s="3">
        <v>9</v>
      </c>
      <c r="C2088" s="3">
        <v>190</v>
      </c>
      <c r="D2088" s="3">
        <v>41</v>
      </c>
      <c r="E2088" s="3">
        <v>-191.799</v>
      </c>
      <c r="F2088" s="4" t="str">
        <f>HYPERLINK("http://141.218.60.56/~jnz1568/getInfo.php?workbook=14_09.xlsx&amp;sheet=A0&amp;row=2088&amp;col=6&amp;number=78700000&amp;sourceID=14","78700000")</f>
        <v>78700000</v>
      </c>
      <c r="G2088" s="4" t="str">
        <f>HYPERLINK("http://141.218.60.56/~jnz1568/getInfo.php?workbook=14_09.xlsx&amp;sheet=A0&amp;row=2088&amp;col=7&amp;number=0&amp;sourceID=14","0")</f>
        <v>0</v>
      </c>
    </row>
    <row r="2089" spans="1:7">
      <c r="A2089" s="3">
        <v>14</v>
      </c>
      <c r="B2089" s="3">
        <v>9</v>
      </c>
      <c r="C2089" s="3">
        <v>191</v>
      </c>
      <c r="D2089" s="3">
        <v>41</v>
      </c>
      <c r="E2089" s="3">
        <v>-191.768</v>
      </c>
      <c r="F2089" s="4" t="str">
        <f>HYPERLINK("http://141.218.60.56/~jnz1568/getInfo.php?workbook=14_09.xlsx&amp;sheet=A0&amp;row=2089&amp;col=6&amp;number=75800000&amp;sourceID=14","75800000")</f>
        <v>75800000</v>
      </c>
      <c r="G2089" s="4" t="str">
        <f>HYPERLINK("http://141.218.60.56/~jnz1568/getInfo.php?workbook=14_09.xlsx&amp;sheet=A0&amp;row=2089&amp;col=7&amp;number=0&amp;sourceID=14","0")</f>
        <v>0</v>
      </c>
    </row>
    <row r="2090" spans="1:7">
      <c r="A2090" s="3">
        <v>14</v>
      </c>
      <c r="B2090" s="3">
        <v>9</v>
      </c>
      <c r="C2090" s="3">
        <v>195</v>
      </c>
      <c r="D2090" s="3">
        <v>41</v>
      </c>
      <c r="E2090" s="3">
        <v>-189.354</v>
      </c>
      <c r="F2090" s="4" t="str">
        <f>HYPERLINK("http://141.218.60.56/~jnz1568/getInfo.php?workbook=14_09.xlsx&amp;sheet=A0&amp;row=2090&amp;col=6&amp;number=93700000&amp;sourceID=14","93700000")</f>
        <v>93700000</v>
      </c>
      <c r="G2090" s="4" t="str">
        <f>HYPERLINK("http://141.218.60.56/~jnz1568/getInfo.php?workbook=14_09.xlsx&amp;sheet=A0&amp;row=2090&amp;col=7&amp;number=0&amp;sourceID=14","0")</f>
        <v>0</v>
      </c>
    </row>
    <row r="2091" spans="1:7">
      <c r="A2091" s="3">
        <v>14</v>
      </c>
      <c r="B2091" s="3">
        <v>9</v>
      </c>
      <c r="C2091" s="3">
        <v>66</v>
      </c>
      <c r="D2091" s="3">
        <v>42</v>
      </c>
      <c r="E2091" s="3">
        <v>-662.78</v>
      </c>
      <c r="F2091" s="4" t="str">
        <f>HYPERLINK("http://141.218.60.56/~jnz1568/getInfo.php?workbook=14_09.xlsx&amp;sheet=A0&amp;row=2091&amp;col=6&amp;number=151000000&amp;sourceID=14","151000000")</f>
        <v>151000000</v>
      </c>
      <c r="G2091" s="4" t="str">
        <f>HYPERLINK("http://141.218.60.56/~jnz1568/getInfo.php?workbook=14_09.xlsx&amp;sheet=A0&amp;row=2091&amp;col=7&amp;number=0&amp;sourceID=14","0")</f>
        <v>0</v>
      </c>
    </row>
    <row r="2092" spans="1:7">
      <c r="A2092" s="3">
        <v>14</v>
      </c>
      <c r="B2092" s="3">
        <v>9</v>
      </c>
      <c r="C2092" s="3">
        <v>67</v>
      </c>
      <c r="D2092" s="3">
        <v>42</v>
      </c>
      <c r="E2092" s="3">
        <v>-656.23</v>
      </c>
      <c r="F2092" s="4" t="str">
        <f>HYPERLINK("http://141.218.60.56/~jnz1568/getInfo.php?workbook=14_09.xlsx&amp;sheet=A0&amp;row=2092&amp;col=6&amp;number=87700000&amp;sourceID=14","87700000")</f>
        <v>87700000</v>
      </c>
      <c r="G2092" s="4" t="str">
        <f>HYPERLINK("http://141.218.60.56/~jnz1568/getInfo.php?workbook=14_09.xlsx&amp;sheet=A0&amp;row=2092&amp;col=7&amp;number=0&amp;sourceID=14","0")</f>
        <v>0</v>
      </c>
    </row>
    <row r="2093" spans="1:7">
      <c r="A2093" s="3">
        <v>14</v>
      </c>
      <c r="B2093" s="3">
        <v>9</v>
      </c>
      <c r="C2093" s="3">
        <v>69</v>
      </c>
      <c r="D2093" s="3">
        <v>42</v>
      </c>
      <c r="E2093" s="3">
        <v>-632.752</v>
      </c>
      <c r="F2093" s="4" t="str">
        <f>HYPERLINK("http://141.218.60.56/~jnz1568/getInfo.php?workbook=14_09.xlsx&amp;sheet=A0&amp;row=2093&amp;col=6&amp;number=50400000&amp;sourceID=14","50400000")</f>
        <v>50400000</v>
      </c>
      <c r="G2093" s="4" t="str">
        <f>HYPERLINK("http://141.218.60.56/~jnz1568/getInfo.php?workbook=14_09.xlsx&amp;sheet=A0&amp;row=2093&amp;col=7&amp;number=0&amp;sourceID=14","0")</f>
        <v>0</v>
      </c>
    </row>
    <row r="2094" spans="1:7">
      <c r="A2094" s="3">
        <v>14</v>
      </c>
      <c r="B2094" s="3">
        <v>9</v>
      </c>
      <c r="C2094" s="3">
        <v>70</v>
      </c>
      <c r="D2094" s="3">
        <v>42</v>
      </c>
      <c r="E2094" s="3">
        <v>-627.732</v>
      </c>
      <c r="F2094" s="4" t="str">
        <f>HYPERLINK("http://141.218.60.56/~jnz1568/getInfo.php?workbook=14_09.xlsx&amp;sheet=A0&amp;row=2094&amp;col=6&amp;number=44100000&amp;sourceID=14","44100000")</f>
        <v>44100000</v>
      </c>
      <c r="G2094" s="4" t="str">
        <f>HYPERLINK("http://141.218.60.56/~jnz1568/getInfo.php?workbook=14_09.xlsx&amp;sheet=A0&amp;row=2094&amp;col=7&amp;number=0&amp;sourceID=14","0")</f>
        <v>0</v>
      </c>
    </row>
    <row r="2095" spans="1:7">
      <c r="A2095" s="3">
        <v>14</v>
      </c>
      <c r="B2095" s="3">
        <v>9</v>
      </c>
      <c r="C2095" s="3">
        <v>71</v>
      </c>
      <c r="D2095" s="3">
        <v>42</v>
      </c>
      <c r="E2095" s="3">
        <v>-619.649</v>
      </c>
      <c r="F2095" s="4" t="str">
        <f>HYPERLINK("http://141.218.60.56/~jnz1568/getInfo.php?workbook=14_09.xlsx&amp;sheet=A0&amp;row=2095&amp;col=6&amp;number=8920000&amp;sourceID=14","8920000")</f>
        <v>8920000</v>
      </c>
      <c r="G2095" s="4" t="str">
        <f>HYPERLINK("http://141.218.60.56/~jnz1568/getInfo.php?workbook=14_09.xlsx&amp;sheet=A0&amp;row=2095&amp;col=7&amp;number=0&amp;sourceID=14","0")</f>
        <v>0</v>
      </c>
    </row>
    <row r="2096" spans="1:7">
      <c r="A2096" s="3">
        <v>14</v>
      </c>
      <c r="B2096" s="3">
        <v>9</v>
      </c>
      <c r="C2096" s="3">
        <v>72</v>
      </c>
      <c r="D2096" s="3">
        <v>42</v>
      </c>
      <c r="E2096" s="3">
        <v>-616.703</v>
      </c>
      <c r="F2096" s="4" t="str">
        <f>HYPERLINK("http://141.218.60.56/~jnz1568/getInfo.php?workbook=14_09.xlsx&amp;sheet=A0&amp;row=2096&amp;col=6&amp;number=748000&amp;sourceID=14","748000")</f>
        <v>748000</v>
      </c>
      <c r="G2096" s="4" t="str">
        <f>HYPERLINK("http://141.218.60.56/~jnz1568/getInfo.php?workbook=14_09.xlsx&amp;sheet=A0&amp;row=2096&amp;col=7&amp;number=0&amp;sourceID=14","0")</f>
        <v>0</v>
      </c>
    </row>
    <row r="2097" spans="1:7">
      <c r="A2097" s="3">
        <v>14</v>
      </c>
      <c r="B2097" s="3">
        <v>9</v>
      </c>
      <c r="C2097" s="3">
        <v>75</v>
      </c>
      <c r="D2097" s="3">
        <v>42</v>
      </c>
      <c r="E2097" s="3">
        <v>-608.744</v>
      </c>
      <c r="F2097" s="4" t="str">
        <f>HYPERLINK("http://141.218.60.56/~jnz1568/getInfo.php?workbook=14_09.xlsx&amp;sheet=A0&amp;row=2097&amp;col=6&amp;number=1370000000&amp;sourceID=14","1370000000")</f>
        <v>1370000000</v>
      </c>
      <c r="G2097" s="4" t="str">
        <f>HYPERLINK("http://141.218.60.56/~jnz1568/getInfo.php?workbook=14_09.xlsx&amp;sheet=A0&amp;row=2097&amp;col=7&amp;number=0&amp;sourceID=14","0")</f>
        <v>0</v>
      </c>
    </row>
    <row r="2098" spans="1:7">
      <c r="A2098" s="3">
        <v>14</v>
      </c>
      <c r="B2098" s="3">
        <v>9</v>
      </c>
      <c r="C2098" s="3">
        <v>76</v>
      </c>
      <c r="D2098" s="3">
        <v>42</v>
      </c>
      <c r="E2098" s="3">
        <v>-607.686</v>
      </c>
      <c r="F2098" s="4" t="str">
        <f>HYPERLINK("http://141.218.60.56/~jnz1568/getInfo.php?workbook=14_09.xlsx&amp;sheet=A0&amp;row=2098&amp;col=6&amp;number=3120000&amp;sourceID=14","3120000")</f>
        <v>3120000</v>
      </c>
      <c r="G2098" s="4" t="str">
        <f>HYPERLINK("http://141.218.60.56/~jnz1568/getInfo.php?workbook=14_09.xlsx&amp;sheet=A0&amp;row=2098&amp;col=7&amp;number=0&amp;sourceID=14","0")</f>
        <v>0</v>
      </c>
    </row>
    <row r="2099" spans="1:7">
      <c r="A2099" s="3">
        <v>14</v>
      </c>
      <c r="B2099" s="3">
        <v>9</v>
      </c>
      <c r="C2099" s="3">
        <v>77</v>
      </c>
      <c r="D2099" s="3">
        <v>42</v>
      </c>
      <c r="E2099" s="3">
        <v>-582.514</v>
      </c>
      <c r="F2099" s="4" t="str">
        <f>HYPERLINK("http://141.218.60.56/~jnz1568/getInfo.php?workbook=14_09.xlsx&amp;sheet=A0&amp;row=2099&amp;col=6&amp;number=14900000&amp;sourceID=14","14900000")</f>
        <v>14900000</v>
      </c>
      <c r="G2099" s="4" t="str">
        <f>HYPERLINK("http://141.218.60.56/~jnz1568/getInfo.php?workbook=14_09.xlsx&amp;sheet=A0&amp;row=2099&amp;col=7&amp;number=0&amp;sourceID=14","0")</f>
        <v>0</v>
      </c>
    </row>
    <row r="2100" spans="1:7">
      <c r="A2100" s="3">
        <v>14</v>
      </c>
      <c r="B2100" s="3">
        <v>9</v>
      </c>
      <c r="C2100" s="3">
        <v>81</v>
      </c>
      <c r="D2100" s="3">
        <v>42</v>
      </c>
      <c r="E2100" s="3">
        <v>-567.383</v>
      </c>
      <c r="F2100" s="4" t="str">
        <f>HYPERLINK("http://141.218.60.56/~jnz1568/getInfo.php?workbook=14_09.xlsx&amp;sheet=A0&amp;row=2100&amp;col=6&amp;number=60800000&amp;sourceID=14","60800000")</f>
        <v>60800000</v>
      </c>
      <c r="G2100" s="4" t="str">
        <f>HYPERLINK("http://141.218.60.56/~jnz1568/getInfo.php?workbook=14_09.xlsx&amp;sheet=A0&amp;row=2100&amp;col=7&amp;number=0&amp;sourceID=14","0")</f>
        <v>0</v>
      </c>
    </row>
    <row r="2101" spans="1:7">
      <c r="A2101" s="3">
        <v>14</v>
      </c>
      <c r="B2101" s="3">
        <v>9</v>
      </c>
      <c r="C2101" s="3">
        <v>82</v>
      </c>
      <c r="D2101" s="3">
        <v>42</v>
      </c>
      <c r="E2101" s="3">
        <v>-558.667</v>
      </c>
      <c r="F2101" s="4" t="str">
        <f>HYPERLINK("http://141.218.60.56/~jnz1568/getInfo.php?workbook=14_09.xlsx&amp;sheet=A0&amp;row=2101&amp;col=6&amp;number=116000000&amp;sourceID=14","116000000")</f>
        <v>116000000</v>
      </c>
      <c r="G2101" s="4" t="str">
        <f>HYPERLINK("http://141.218.60.56/~jnz1568/getInfo.php?workbook=14_09.xlsx&amp;sheet=A0&amp;row=2101&amp;col=7&amp;number=0&amp;sourceID=14","0")</f>
        <v>0</v>
      </c>
    </row>
    <row r="2102" spans="1:7">
      <c r="A2102" s="3">
        <v>14</v>
      </c>
      <c r="B2102" s="3">
        <v>9</v>
      </c>
      <c r="C2102" s="3">
        <v>101</v>
      </c>
      <c r="D2102" s="3">
        <v>42</v>
      </c>
      <c r="E2102" s="3">
        <v>-485.959</v>
      </c>
      <c r="F2102" s="4" t="str">
        <f>HYPERLINK("http://141.218.60.56/~jnz1568/getInfo.php?workbook=14_09.xlsx&amp;sheet=A0&amp;row=2102&amp;col=6&amp;number=588000&amp;sourceID=14","588000")</f>
        <v>588000</v>
      </c>
      <c r="G2102" s="4" t="str">
        <f>HYPERLINK("http://141.218.60.56/~jnz1568/getInfo.php?workbook=14_09.xlsx&amp;sheet=A0&amp;row=2102&amp;col=7&amp;number=0&amp;sourceID=14","0")</f>
        <v>0</v>
      </c>
    </row>
    <row r="2103" spans="1:7">
      <c r="A2103" s="3">
        <v>14</v>
      </c>
      <c r="B2103" s="3">
        <v>9</v>
      </c>
      <c r="C2103" s="3">
        <v>102</v>
      </c>
      <c r="D2103" s="3">
        <v>42</v>
      </c>
      <c r="E2103" s="3">
        <v>-485.457</v>
      </c>
      <c r="F2103" s="4" t="str">
        <f>HYPERLINK("http://141.218.60.56/~jnz1568/getInfo.php?workbook=14_09.xlsx&amp;sheet=A0&amp;row=2103&amp;col=6&amp;number=3340000&amp;sourceID=14","3340000")</f>
        <v>3340000</v>
      </c>
      <c r="G2103" s="4" t="str">
        <f>HYPERLINK("http://141.218.60.56/~jnz1568/getInfo.php?workbook=14_09.xlsx&amp;sheet=A0&amp;row=2103&amp;col=7&amp;number=0&amp;sourceID=14","0")</f>
        <v>0</v>
      </c>
    </row>
    <row r="2104" spans="1:7">
      <c r="A2104" s="3">
        <v>14</v>
      </c>
      <c r="B2104" s="3">
        <v>9</v>
      </c>
      <c r="C2104" s="3">
        <v>105</v>
      </c>
      <c r="D2104" s="3">
        <v>42</v>
      </c>
      <c r="E2104" s="3">
        <v>-481.703</v>
      </c>
      <c r="F2104" s="4" t="str">
        <f>HYPERLINK("http://141.218.60.56/~jnz1568/getInfo.php?workbook=14_09.xlsx&amp;sheet=A0&amp;row=2104&amp;col=6&amp;number=796000000&amp;sourceID=14","796000000")</f>
        <v>796000000</v>
      </c>
      <c r="G2104" s="4" t="str">
        <f>HYPERLINK("http://141.218.60.56/~jnz1568/getInfo.php?workbook=14_09.xlsx&amp;sheet=A0&amp;row=2104&amp;col=7&amp;number=0&amp;sourceID=14","0")</f>
        <v>0</v>
      </c>
    </row>
    <row r="2105" spans="1:7">
      <c r="A2105" s="3">
        <v>14</v>
      </c>
      <c r="B2105" s="3">
        <v>9</v>
      </c>
      <c r="C2105" s="3">
        <v>106</v>
      </c>
      <c r="D2105" s="3">
        <v>42</v>
      </c>
      <c r="E2105" s="3">
        <v>-481.363</v>
      </c>
      <c r="F2105" s="4" t="str">
        <f>HYPERLINK("http://141.218.60.56/~jnz1568/getInfo.php?workbook=14_09.xlsx&amp;sheet=A0&amp;row=2105&amp;col=6&amp;number=191000000&amp;sourceID=14","191000000")</f>
        <v>191000000</v>
      </c>
      <c r="G2105" s="4" t="str">
        <f>HYPERLINK("http://141.218.60.56/~jnz1568/getInfo.php?workbook=14_09.xlsx&amp;sheet=A0&amp;row=2105&amp;col=7&amp;number=0&amp;sourceID=14","0")</f>
        <v>0</v>
      </c>
    </row>
    <row r="2106" spans="1:7">
      <c r="A2106" s="3">
        <v>14</v>
      </c>
      <c r="B2106" s="3">
        <v>9</v>
      </c>
      <c r="C2106" s="3">
        <v>107</v>
      </c>
      <c r="D2106" s="3">
        <v>42</v>
      </c>
      <c r="E2106" s="3">
        <v>-480.708</v>
      </c>
      <c r="F2106" s="4" t="str">
        <f>HYPERLINK("http://141.218.60.56/~jnz1568/getInfo.php?workbook=14_09.xlsx&amp;sheet=A0&amp;row=2106&amp;col=6&amp;number=2260000000&amp;sourceID=14","2260000000")</f>
        <v>2260000000</v>
      </c>
      <c r="G2106" s="4" t="str">
        <f>HYPERLINK("http://141.218.60.56/~jnz1568/getInfo.php?workbook=14_09.xlsx&amp;sheet=A0&amp;row=2106&amp;col=7&amp;number=0&amp;sourceID=14","0")</f>
        <v>0</v>
      </c>
    </row>
    <row r="2107" spans="1:7">
      <c r="A2107" s="3">
        <v>14</v>
      </c>
      <c r="B2107" s="3">
        <v>9</v>
      </c>
      <c r="C2107" s="3">
        <v>108</v>
      </c>
      <c r="D2107" s="3">
        <v>42</v>
      </c>
      <c r="E2107" s="3">
        <v>-480.41</v>
      </c>
      <c r="F2107" s="4" t="str">
        <f>HYPERLINK("http://141.218.60.56/~jnz1568/getInfo.php?workbook=14_09.xlsx&amp;sheet=A0&amp;row=2107&amp;col=6&amp;number=94100000&amp;sourceID=14","94100000")</f>
        <v>94100000</v>
      </c>
      <c r="G2107" s="4" t="str">
        <f>HYPERLINK("http://141.218.60.56/~jnz1568/getInfo.php?workbook=14_09.xlsx&amp;sheet=A0&amp;row=2107&amp;col=7&amp;number=0&amp;sourceID=14","0")</f>
        <v>0</v>
      </c>
    </row>
    <row r="2108" spans="1:7">
      <c r="A2108" s="3">
        <v>14</v>
      </c>
      <c r="B2108" s="3">
        <v>9</v>
      </c>
      <c r="C2108" s="3">
        <v>109</v>
      </c>
      <c r="D2108" s="3">
        <v>42</v>
      </c>
      <c r="E2108" s="3">
        <v>-479.788</v>
      </c>
      <c r="F2108" s="4" t="str">
        <f>HYPERLINK("http://141.218.60.56/~jnz1568/getInfo.php?workbook=14_09.xlsx&amp;sheet=A0&amp;row=2108&amp;col=6&amp;number=1380000000&amp;sourceID=14","1380000000")</f>
        <v>1380000000</v>
      </c>
      <c r="G2108" s="4" t="str">
        <f>HYPERLINK("http://141.218.60.56/~jnz1568/getInfo.php?workbook=14_09.xlsx&amp;sheet=A0&amp;row=2108&amp;col=7&amp;number=0&amp;sourceID=14","0")</f>
        <v>0</v>
      </c>
    </row>
    <row r="2109" spans="1:7">
      <c r="A2109" s="3">
        <v>14</v>
      </c>
      <c r="B2109" s="3">
        <v>9</v>
      </c>
      <c r="C2109" s="3">
        <v>113</v>
      </c>
      <c r="D2109" s="3">
        <v>42</v>
      </c>
      <c r="E2109" s="3">
        <v>-478.218</v>
      </c>
      <c r="F2109" s="4" t="str">
        <f>HYPERLINK("http://141.218.60.56/~jnz1568/getInfo.php?workbook=14_09.xlsx&amp;sheet=A0&amp;row=2109&amp;col=6&amp;number=35100000&amp;sourceID=14","35100000")</f>
        <v>35100000</v>
      </c>
      <c r="G2109" s="4" t="str">
        <f>HYPERLINK("http://141.218.60.56/~jnz1568/getInfo.php?workbook=14_09.xlsx&amp;sheet=A0&amp;row=2109&amp;col=7&amp;number=0&amp;sourceID=14","0")</f>
        <v>0</v>
      </c>
    </row>
    <row r="2110" spans="1:7">
      <c r="A2110" s="3">
        <v>14</v>
      </c>
      <c r="B2110" s="3">
        <v>9</v>
      </c>
      <c r="C2110" s="3">
        <v>115</v>
      </c>
      <c r="D2110" s="3">
        <v>42</v>
      </c>
      <c r="E2110" s="3">
        <v>-477.875</v>
      </c>
      <c r="F2110" s="4" t="str">
        <f>HYPERLINK("http://141.218.60.56/~jnz1568/getInfo.php?workbook=14_09.xlsx&amp;sheet=A0&amp;row=2110&amp;col=6&amp;number=247000&amp;sourceID=14","247000")</f>
        <v>247000</v>
      </c>
      <c r="G2110" s="4" t="str">
        <f>HYPERLINK("http://141.218.60.56/~jnz1568/getInfo.php?workbook=14_09.xlsx&amp;sheet=A0&amp;row=2110&amp;col=7&amp;number=0&amp;sourceID=14","0")</f>
        <v>0</v>
      </c>
    </row>
    <row r="2111" spans="1:7">
      <c r="A2111" s="3">
        <v>14</v>
      </c>
      <c r="B2111" s="3">
        <v>9</v>
      </c>
      <c r="C2111" s="3">
        <v>116</v>
      </c>
      <c r="D2111" s="3">
        <v>42</v>
      </c>
      <c r="E2111" s="3">
        <v>-477.811</v>
      </c>
      <c r="F2111" s="4" t="str">
        <f>HYPERLINK("http://141.218.60.56/~jnz1568/getInfo.php?workbook=14_09.xlsx&amp;sheet=A0&amp;row=2111&amp;col=6&amp;number=341000000&amp;sourceID=14","341000000")</f>
        <v>341000000</v>
      </c>
      <c r="G2111" s="4" t="str">
        <f>HYPERLINK("http://141.218.60.56/~jnz1568/getInfo.php?workbook=14_09.xlsx&amp;sheet=A0&amp;row=2111&amp;col=7&amp;number=0&amp;sourceID=14","0")</f>
        <v>0</v>
      </c>
    </row>
    <row r="2112" spans="1:7">
      <c r="A2112" s="3">
        <v>14</v>
      </c>
      <c r="B2112" s="3">
        <v>9</v>
      </c>
      <c r="C2112" s="3">
        <v>117</v>
      </c>
      <c r="D2112" s="3">
        <v>42</v>
      </c>
      <c r="E2112" s="3">
        <v>-471.721</v>
      </c>
      <c r="F2112" s="4" t="str">
        <f>HYPERLINK("http://141.218.60.56/~jnz1568/getInfo.php?workbook=14_09.xlsx&amp;sheet=A0&amp;row=2112&amp;col=6&amp;number=122000000&amp;sourceID=14","122000000")</f>
        <v>122000000</v>
      </c>
      <c r="G2112" s="4" t="str">
        <f>HYPERLINK("http://141.218.60.56/~jnz1568/getInfo.php?workbook=14_09.xlsx&amp;sheet=A0&amp;row=2112&amp;col=7&amp;number=0&amp;sourceID=14","0")</f>
        <v>0</v>
      </c>
    </row>
    <row r="2113" spans="1:7">
      <c r="A2113" s="3">
        <v>14</v>
      </c>
      <c r="B2113" s="3">
        <v>9</v>
      </c>
      <c r="C2113" s="3">
        <v>118</v>
      </c>
      <c r="D2113" s="3">
        <v>42</v>
      </c>
      <c r="E2113" s="3">
        <v>-471.557</v>
      </c>
      <c r="F2113" s="4" t="str">
        <f>HYPERLINK("http://141.218.60.56/~jnz1568/getInfo.php?workbook=14_09.xlsx&amp;sheet=A0&amp;row=2113&amp;col=6&amp;number=1930000000&amp;sourceID=14","1930000000")</f>
        <v>1930000000</v>
      </c>
      <c r="G2113" s="4" t="str">
        <f>HYPERLINK("http://141.218.60.56/~jnz1568/getInfo.php?workbook=14_09.xlsx&amp;sheet=A0&amp;row=2113&amp;col=7&amp;number=0&amp;sourceID=14","0")</f>
        <v>0</v>
      </c>
    </row>
    <row r="2114" spans="1:7">
      <c r="A2114" s="3">
        <v>14</v>
      </c>
      <c r="B2114" s="3">
        <v>9</v>
      </c>
      <c r="C2114" s="3">
        <v>120</v>
      </c>
      <c r="D2114" s="3">
        <v>42</v>
      </c>
      <c r="E2114" s="3">
        <v>-470.545</v>
      </c>
      <c r="F2114" s="4" t="str">
        <f>HYPERLINK("http://141.218.60.56/~jnz1568/getInfo.php?workbook=14_09.xlsx&amp;sheet=A0&amp;row=2114&amp;col=6&amp;number=176000000&amp;sourceID=14","176000000")</f>
        <v>176000000</v>
      </c>
      <c r="G2114" s="4" t="str">
        <f>HYPERLINK("http://141.218.60.56/~jnz1568/getInfo.php?workbook=14_09.xlsx&amp;sheet=A0&amp;row=2114&amp;col=7&amp;number=0&amp;sourceID=14","0")</f>
        <v>0</v>
      </c>
    </row>
    <row r="2115" spans="1:7">
      <c r="A2115" s="3">
        <v>14</v>
      </c>
      <c r="B2115" s="3">
        <v>9</v>
      </c>
      <c r="C2115" s="3">
        <v>121</v>
      </c>
      <c r="D2115" s="3">
        <v>42</v>
      </c>
      <c r="E2115" s="3">
        <v>-469.579</v>
      </c>
      <c r="F2115" s="4" t="str">
        <f>HYPERLINK("http://141.218.60.56/~jnz1568/getInfo.php?workbook=14_09.xlsx&amp;sheet=A0&amp;row=2115&amp;col=6&amp;number=8210000000&amp;sourceID=14","8210000000")</f>
        <v>8210000000</v>
      </c>
      <c r="G2115" s="4" t="str">
        <f>HYPERLINK("http://141.218.60.56/~jnz1568/getInfo.php?workbook=14_09.xlsx&amp;sheet=A0&amp;row=2115&amp;col=7&amp;number=0&amp;sourceID=14","0")</f>
        <v>0</v>
      </c>
    </row>
    <row r="2116" spans="1:7">
      <c r="A2116" s="3">
        <v>14</v>
      </c>
      <c r="B2116" s="3">
        <v>9</v>
      </c>
      <c r="C2116" s="3">
        <v>122</v>
      </c>
      <c r="D2116" s="3">
        <v>42</v>
      </c>
      <c r="E2116" s="3">
        <v>-469.328</v>
      </c>
      <c r="F2116" s="4" t="str">
        <f>HYPERLINK("http://141.218.60.56/~jnz1568/getInfo.php?workbook=14_09.xlsx&amp;sheet=A0&amp;row=2116&amp;col=6&amp;number=122000000&amp;sourceID=14","122000000")</f>
        <v>122000000</v>
      </c>
      <c r="G2116" s="4" t="str">
        <f>HYPERLINK("http://141.218.60.56/~jnz1568/getInfo.php?workbook=14_09.xlsx&amp;sheet=A0&amp;row=2116&amp;col=7&amp;number=0&amp;sourceID=14","0")</f>
        <v>0</v>
      </c>
    </row>
    <row r="2117" spans="1:7">
      <c r="A2117" s="3">
        <v>14</v>
      </c>
      <c r="B2117" s="3">
        <v>9</v>
      </c>
      <c r="C2117" s="3">
        <v>123</v>
      </c>
      <c r="D2117" s="3">
        <v>42</v>
      </c>
      <c r="E2117" s="3">
        <v>-466.898</v>
      </c>
      <c r="F2117" s="4" t="str">
        <f>HYPERLINK("http://141.218.60.56/~jnz1568/getInfo.php?workbook=14_09.xlsx&amp;sheet=A0&amp;row=2117&amp;col=6&amp;number=5020000000&amp;sourceID=14","5020000000")</f>
        <v>5020000000</v>
      </c>
      <c r="G2117" s="4" t="str">
        <f>HYPERLINK("http://141.218.60.56/~jnz1568/getInfo.php?workbook=14_09.xlsx&amp;sheet=A0&amp;row=2117&amp;col=7&amp;number=0&amp;sourceID=14","0")</f>
        <v>0</v>
      </c>
    </row>
    <row r="2118" spans="1:7">
      <c r="A2118" s="3">
        <v>14</v>
      </c>
      <c r="B2118" s="3">
        <v>9</v>
      </c>
      <c r="C2118" s="3">
        <v>124</v>
      </c>
      <c r="D2118" s="3">
        <v>42</v>
      </c>
      <c r="E2118" s="3">
        <v>-466.856</v>
      </c>
      <c r="F2118" s="4" t="str">
        <f>HYPERLINK("http://141.218.60.56/~jnz1568/getInfo.php?workbook=14_09.xlsx&amp;sheet=A0&amp;row=2118&amp;col=6&amp;number=295000000&amp;sourceID=14","295000000")</f>
        <v>295000000</v>
      </c>
      <c r="G2118" s="4" t="str">
        <f>HYPERLINK("http://141.218.60.56/~jnz1568/getInfo.php?workbook=14_09.xlsx&amp;sheet=A0&amp;row=2118&amp;col=7&amp;number=0&amp;sourceID=14","0")</f>
        <v>0</v>
      </c>
    </row>
    <row r="2119" spans="1:7">
      <c r="A2119" s="3">
        <v>14</v>
      </c>
      <c r="B2119" s="3">
        <v>9</v>
      </c>
      <c r="C2119" s="3">
        <v>139</v>
      </c>
      <c r="D2119" s="3">
        <v>42</v>
      </c>
      <c r="E2119" s="3">
        <v>-392.567</v>
      </c>
      <c r="F2119" s="4" t="str">
        <f>HYPERLINK("http://141.218.60.56/~jnz1568/getInfo.php?workbook=14_09.xlsx&amp;sheet=A0&amp;row=2119&amp;col=6&amp;number=1490000&amp;sourceID=14","1490000")</f>
        <v>1490000</v>
      </c>
      <c r="G2119" s="4" t="str">
        <f>HYPERLINK("http://141.218.60.56/~jnz1568/getInfo.php?workbook=14_09.xlsx&amp;sheet=A0&amp;row=2119&amp;col=7&amp;number=0&amp;sourceID=14","0")</f>
        <v>0</v>
      </c>
    </row>
    <row r="2120" spans="1:7">
      <c r="A2120" s="3">
        <v>14</v>
      </c>
      <c r="B2120" s="3">
        <v>9</v>
      </c>
      <c r="C2120" s="3">
        <v>141</v>
      </c>
      <c r="D2120" s="3">
        <v>42</v>
      </c>
      <c r="E2120" s="3">
        <v>-390.469</v>
      </c>
      <c r="F2120" s="4" t="str">
        <f>HYPERLINK("http://141.218.60.56/~jnz1568/getInfo.php?workbook=14_09.xlsx&amp;sheet=A0&amp;row=2120&amp;col=6&amp;number=9920000&amp;sourceID=14","9920000")</f>
        <v>9920000</v>
      </c>
      <c r="G2120" s="4" t="str">
        <f>HYPERLINK("http://141.218.60.56/~jnz1568/getInfo.php?workbook=14_09.xlsx&amp;sheet=A0&amp;row=2120&amp;col=7&amp;number=0&amp;sourceID=14","0")</f>
        <v>0</v>
      </c>
    </row>
    <row r="2121" spans="1:7">
      <c r="A2121" s="3">
        <v>14</v>
      </c>
      <c r="B2121" s="3">
        <v>9</v>
      </c>
      <c r="C2121" s="3">
        <v>142</v>
      </c>
      <c r="D2121" s="3">
        <v>42</v>
      </c>
      <c r="E2121" s="3">
        <v>-390.452</v>
      </c>
      <c r="F2121" s="4" t="str">
        <f>HYPERLINK("http://141.218.60.56/~jnz1568/getInfo.php?workbook=14_09.xlsx&amp;sheet=A0&amp;row=2121&amp;col=6&amp;number=777000&amp;sourceID=14","777000")</f>
        <v>777000</v>
      </c>
      <c r="G2121" s="4" t="str">
        <f>HYPERLINK("http://141.218.60.56/~jnz1568/getInfo.php?workbook=14_09.xlsx&amp;sheet=A0&amp;row=2121&amp;col=7&amp;number=0&amp;sourceID=14","0")</f>
        <v>0</v>
      </c>
    </row>
    <row r="2122" spans="1:7">
      <c r="A2122" s="3">
        <v>14</v>
      </c>
      <c r="B2122" s="3">
        <v>9</v>
      </c>
      <c r="C2122" s="3">
        <v>146</v>
      </c>
      <c r="D2122" s="3">
        <v>42</v>
      </c>
      <c r="E2122" s="3">
        <v>-388.4</v>
      </c>
      <c r="F2122" s="4" t="str">
        <f>HYPERLINK("http://141.218.60.56/~jnz1568/getInfo.php?workbook=14_09.xlsx&amp;sheet=A0&amp;row=2122&amp;col=6&amp;number=15000000&amp;sourceID=14","15000000")</f>
        <v>15000000</v>
      </c>
      <c r="G2122" s="4" t="str">
        <f>HYPERLINK("http://141.218.60.56/~jnz1568/getInfo.php?workbook=14_09.xlsx&amp;sheet=A0&amp;row=2122&amp;col=7&amp;number=0&amp;sourceID=14","0")</f>
        <v>0</v>
      </c>
    </row>
    <row r="2123" spans="1:7">
      <c r="A2123" s="3">
        <v>14</v>
      </c>
      <c r="B2123" s="3">
        <v>9</v>
      </c>
      <c r="C2123" s="3">
        <v>147</v>
      </c>
      <c r="D2123" s="3">
        <v>42</v>
      </c>
      <c r="E2123" s="3">
        <v>-388.397</v>
      </c>
      <c r="F2123" s="4" t="str">
        <f>HYPERLINK("http://141.218.60.56/~jnz1568/getInfo.php?workbook=14_09.xlsx&amp;sheet=A0&amp;row=2123&amp;col=6&amp;number=342000&amp;sourceID=14","342000")</f>
        <v>342000</v>
      </c>
      <c r="G2123" s="4" t="str">
        <f>HYPERLINK("http://141.218.60.56/~jnz1568/getInfo.php?workbook=14_09.xlsx&amp;sheet=A0&amp;row=2123&amp;col=7&amp;number=0&amp;sourceID=14","0")</f>
        <v>0</v>
      </c>
    </row>
    <row r="2124" spans="1:7">
      <c r="A2124" s="3">
        <v>14</v>
      </c>
      <c r="B2124" s="3">
        <v>9</v>
      </c>
      <c r="C2124" s="3">
        <v>149</v>
      </c>
      <c r="D2124" s="3">
        <v>42</v>
      </c>
      <c r="E2124" s="3">
        <v>-387.704</v>
      </c>
      <c r="F2124" s="4" t="str">
        <f>HYPERLINK("http://141.218.60.56/~jnz1568/getInfo.php?workbook=14_09.xlsx&amp;sheet=A0&amp;row=2124&amp;col=6&amp;number=249000&amp;sourceID=14","249000")</f>
        <v>249000</v>
      </c>
      <c r="G2124" s="4" t="str">
        <f>HYPERLINK("http://141.218.60.56/~jnz1568/getInfo.php?workbook=14_09.xlsx&amp;sheet=A0&amp;row=2124&amp;col=7&amp;number=0&amp;sourceID=14","0")</f>
        <v>0</v>
      </c>
    </row>
    <row r="2125" spans="1:7">
      <c r="A2125" s="3">
        <v>14</v>
      </c>
      <c r="B2125" s="3">
        <v>9</v>
      </c>
      <c r="C2125" s="3">
        <v>165</v>
      </c>
      <c r="D2125" s="3">
        <v>42</v>
      </c>
      <c r="E2125" s="3">
        <v>-306.885</v>
      </c>
      <c r="F2125" s="4" t="str">
        <f>HYPERLINK("http://141.218.60.56/~jnz1568/getInfo.php?workbook=14_09.xlsx&amp;sheet=A0&amp;row=2125&amp;col=6&amp;number=1600000&amp;sourceID=14","1600000")</f>
        <v>1600000</v>
      </c>
      <c r="G2125" s="4" t="str">
        <f>HYPERLINK("http://141.218.60.56/~jnz1568/getInfo.php?workbook=14_09.xlsx&amp;sheet=A0&amp;row=2125&amp;col=7&amp;number=0&amp;sourceID=14","0")</f>
        <v>0</v>
      </c>
    </row>
    <row r="2126" spans="1:7">
      <c r="A2126" s="3">
        <v>14</v>
      </c>
      <c r="B2126" s="3">
        <v>9</v>
      </c>
      <c r="C2126" s="3">
        <v>169</v>
      </c>
      <c r="D2126" s="3">
        <v>42</v>
      </c>
      <c r="E2126" s="3">
        <v>-279.672</v>
      </c>
      <c r="F2126" s="4" t="str">
        <f>HYPERLINK("http://141.218.60.56/~jnz1568/getInfo.php?workbook=14_09.xlsx&amp;sheet=A0&amp;row=2126&amp;col=6&amp;number=1030000000&amp;sourceID=14","1030000000")</f>
        <v>1030000000</v>
      </c>
      <c r="G2126" s="4" t="str">
        <f>HYPERLINK("http://141.218.60.56/~jnz1568/getInfo.php?workbook=14_09.xlsx&amp;sheet=A0&amp;row=2126&amp;col=7&amp;number=0&amp;sourceID=14","0")</f>
        <v>0</v>
      </c>
    </row>
    <row r="2127" spans="1:7">
      <c r="A2127" s="3">
        <v>14</v>
      </c>
      <c r="B2127" s="3">
        <v>9</v>
      </c>
      <c r="C2127" s="3">
        <v>170</v>
      </c>
      <c r="D2127" s="3">
        <v>42</v>
      </c>
      <c r="E2127" s="3">
        <v>-278.514</v>
      </c>
      <c r="F2127" s="4" t="str">
        <f>HYPERLINK("http://141.218.60.56/~jnz1568/getInfo.php?workbook=14_09.xlsx&amp;sheet=A0&amp;row=2127&amp;col=6&amp;number=2970000000&amp;sourceID=14","2970000000")</f>
        <v>2970000000</v>
      </c>
      <c r="G2127" s="4" t="str">
        <f>HYPERLINK("http://141.218.60.56/~jnz1568/getInfo.php?workbook=14_09.xlsx&amp;sheet=A0&amp;row=2127&amp;col=7&amp;number=0&amp;sourceID=14","0")</f>
        <v>0</v>
      </c>
    </row>
    <row r="2128" spans="1:7">
      <c r="A2128" s="3">
        <v>14</v>
      </c>
      <c r="B2128" s="3">
        <v>9</v>
      </c>
      <c r="C2128" s="3">
        <v>172</v>
      </c>
      <c r="D2128" s="3">
        <v>42</v>
      </c>
      <c r="E2128" s="3">
        <v>-275.63</v>
      </c>
      <c r="F2128" s="4" t="str">
        <f>HYPERLINK("http://141.218.60.56/~jnz1568/getInfo.php?workbook=14_09.xlsx&amp;sheet=A0&amp;row=2128&amp;col=6&amp;number=1550000&amp;sourceID=14","1550000")</f>
        <v>1550000</v>
      </c>
      <c r="G2128" s="4" t="str">
        <f>HYPERLINK("http://141.218.60.56/~jnz1568/getInfo.php?workbook=14_09.xlsx&amp;sheet=A0&amp;row=2128&amp;col=7&amp;number=0&amp;sourceID=14","0")</f>
        <v>0</v>
      </c>
    </row>
    <row r="2129" spans="1:7">
      <c r="A2129" s="3">
        <v>14</v>
      </c>
      <c r="B2129" s="3">
        <v>9</v>
      </c>
      <c r="C2129" s="3">
        <v>173</v>
      </c>
      <c r="D2129" s="3">
        <v>42</v>
      </c>
      <c r="E2129" s="3">
        <v>-274.581</v>
      </c>
      <c r="F2129" s="4" t="str">
        <f>HYPERLINK("http://141.218.60.56/~jnz1568/getInfo.php?workbook=14_09.xlsx&amp;sheet=A0&amp;row=2129&amp;col=6&amp;number=148000000&amp;sourceID=14","148000000")</f>
        <v>148000000</v>
      </c>
      <c r="G2129" s="4" t="str">
        <f>HYPERLINK("http://141.218.60.56/~jnz1568/getInfo.php?workbook=14_09.xlsx&amp;sheet=A0&amp;row=2129&amp;col=7&amp;number=0&amp;sourceID=14","0")</f>
        <v>0</v>
      </c>
    </row>
    <row r="2130" spans="1:7">
      <c r="A2130" s="3">
        <v>14</v>
      </c>
      <c r="B2130" s="3">
        <v>9</v>
      </c>
      <c r="C2130" s="3">
        <v>174</v>
      </c>
      <c r="D2130" s="3">
        <v>42</v>
      </c>
      <c r="E2130" s="3">
        <v>-273.69</v>
      </c>
      <c r="F2130" s="4" t="str">
        <f>HYPERLINK("http://141.218.60.56/~jnz1568/getInfo.php?workbook=14_09.xlsx&amp;sheet=A0&amp;row=2130&amp;col=6&amp;number=33800000&amp;sourceID=14","33800000")</f>
        <v>33800000</v>
      </c>
      <c r="G2130" s="4" t="str">
        <f>HYPERLINK("http://141.218.60.56/~jnz1568/getInfo.php?workbook=14_09.xlsx&amp;sheet=A0&amp;row=2130&amp;col=7&amp;number=0&amp;sourceID=14","0")</f>
        <v>0</v>
      </c>
    </row>
    <row r="2131" spans="1:7">
      <c r="A2131" s="3">
        <v>14</v>
      </c>
      <c r="B2131" s="3">
        <v>9</v>
      </c>
      <c r="C2131" s="3">
        <v>175</v>
      </c>
      <c r="D2131" s="3">
        <v>42</v>
      </c>
      <c r="E2131" s="3">
        <v>-269.627</v>
      </c>
      <c r="F2131" s="4" t="str">
        <f>HYPERLINK("http://141.218.60.56/~jnz1568/getInfo.php?workbook=14_09.xlsx&amp;sheet=A0&amp;row=2131&amp;col=6&amp;number=4240000000&amp;sourceID=14","4240000000")</f>
        <v>4240000000</v>
      </c>
      <c r="G2131" s="4" t="str">
        <f>HYPERLINK("http://141.218.60.56/~jnz1568/getInfo.php?workbook=14_09.xlsx&amp;sheet=A0&amp;row=2131&amp;col=7&amp;number=0&amp;sourceID=14","0")</f>
        <v>0</v>
      </c>
    </row>
    <row r="2132" spans="1:7">
      <c r="A2132" s="3">
        <v>14</v>
      </c>
      <c r="B2132" s="3">
        <v>9</v>
      </c>
      <c r="C2132" s="3">
        <v>176</v>
      </c>
      <c r="D2132" s="3">
        <v>42</v>
      </c>
      <c r="E2132" s="3">
        <v>-268.234</v>
      </c>
      <c r="F2132" s="4" t="str">
        <f>HYPERLINK("http://141.218.60.56/~jnz1568/getInfo.php?workbook=14_09.xlsx&amp;sheet=A0&amp;row=2132&amp;col=6&amp;number=3210000000&amp;sourceID=14","3210000000")</f>
        <v>3210000000</v>
      </c>
      <c r="G2132" s="4" t="str">
        <f>HYPERLINK("http://141.218.60.56/~jnz1568/getInfo.php?workbook=14_09.xlsx&amp;sheet=A0&amp;row=2132&amp;col=7&amp;number=0&amp;sourceID=14","0")</f>
        <v>0</v>
      </c>
    </row>
    <row r="2133" spans="1:7">
      <c r="A2133" s="3">
        <v>14</v>
      </c>
      <c r="B2133" s="3">
        <v>9</v>
      </c>
      <c r="C2133" s="3">
        <v>177</v>
      </c>
      <c r="D2133" s="3">
        <v>42</v>
      </c>
      <c r="E2133" s="3">
        <v>-268.112</v>
      </c>
      <c r="F2133" s="4" t="str">
        <f>HYPERLINK("http://141.218.60.56/~jnz1568/getInfo.php?workbook=14_09.xlsx&amp;sheet=A0&amp;row=2133&amp;col=6&amp;number=3590000000&amp;sourceID=14","3590000000")</f>
        <v>3590000000</v>
      </c>
      <c r="G2133" s="4" t="str">
        <f>HYPERLINK("http://141.218.60.56/~jnz1568/getInfo.php?workbook=14_09.xlsx&amp;sheet=A0&amp;row=2133&amp;col=7&amp;number=0&amp;sourceID=14","0")</f>
        <v>0</v>
      </c>
    </row>
    <row r="2134" spans="1:7">
      <c r="A2134" s="3">
        <v>14</v>
      </c>
      <c r="B2134" s="3">
        <v>9</v>
      </c>
      <c r="C2134" s="3">
        <v>179</v>
      </c>
      <c r="D2134" s="3">
        <v>42</v>
      </c>
      <c r="E2134" s="3">
        <v>-267.966</v>
      </c>
      <c r="F2134" s="4" t="str">
        <f>HYPERLINK("http://141.218.60.56/~jnz1568/getInfo.php?workbook=14_09.xlsx&amp;sheet=A0&amp;row=2134&amp;col=6&amp;number=188000000&amp;sourceID=14","188000000")</f>
        <v>188000000</v>
      </c>
      <c r="G2134" s="4" t="str">
        <f>HYPERLINK("http://141.218.60.56/~jnz1568/getInfo.php?workbook=14_09.xlsx&amp;sheet=A0&amp;row=2134&amp;col=7&amp;number=0&amp;sourceID=14","0")</f>
        <v>0</v>
      </c>
    </row>
    <row r="2135" spans="1:7">
      <c r="A2135" s="3">
        <v>14</v>
      </c>
      <c r="B2135" s="3">
        <v>9</v>
      </c>
      <c r="C2135" s="3">
        <v>180</v>
      </c>
      <c r="D2135" s="3">
        <v>42</v>
      </c>
      <c r="E2135" s="3">
        <v>-267.17</v>
      </c>
      <c r="F2135" s="4" t="str">
        <f>HYPERLINK("http://141.218.60.56/~jnz1568/getInfo.php?workbook=14_09.xlsx&amp;sheet=A0&amp;row=2135&amp;col=6&amp;number=14400000&amp;sourceID=14","14400000")</f>
        <v>14400000</v>
      </c>
      <c r="G2135" s="4" t="str">
        <f>HYPERLINK("http://141.218.60.56/~jnz1568/getInfo.php?workbook=14_09.xlsx&amp;sheet=A0&amp;row=2135&amp;col=7&amp;number=0&amp;sourceID=14","0")</f>
        <v>0</v>
      </c>
    </row>
    <row r="2136" spans="1:7">
      <c r="A2136" s="3">
        <v>14</v>
      </c>
      <c r="B2136" s="3">
        <v>9</v>
      </c>
      <c r="C2136" s="3">
        <v>181</v>
      </c>
      <c r="D2136" s="3">
        <v>42</v>
      </c>
      <c r="E2136" s="3">
        <v>-264.127</v>
      </c>
      <c r="F2136" s="4" t="str">
        <f>HYPERLINK("http://141.218.60.56/~jnz1568/getInfo.php?workbook=14_09.xlsx&amp;sheet=A0&amp;row=2136&amp;col=6&amp;number=124000000&amp;sourceID=14","124000000")</f>
        <v>124000000</v>
      </c>
      <c r="G2136" s="4" t="str">
        <f>HYPERLINK("http://141.218.60.56/~jnz1568/getInfo.php?workbook=14_09.xlsx&amp;sheet=A0&amp;row=2136&amp;col=7&amp;number=0&amp;sourceID=14","0")</f>
        <v>0</v>
      </c>
    </row>
    <row r="2137" spans="1:7">
      <c r="A2137" s="3">
        <v>14</v>
      </c>
      <c r="B2137" s="3">
        <v>9</v>
      </c>
      <c r="C2137" s="3">
        <v>182</v>
      </c>
      <c r="D2137" s="3">
        <v>42</v>
      </c>
      <c r="E2137" s="3">
        <v>-264.059</v>
      </c>
      <c r="F2137" s="4" t="str">
        <f>HYPERLINK("http://141.218.60.56/~jnz1568/getInfo.php?workbook=14_09.xlsx&amp;sheet=A0&amp;row=2137&amp;col=6&amp;number=98200000&amp;sourceID=14","98200000")</f>
        <v>98200000</v>
      </c>
      <c r="G2137" s="4" t="str">
        <f>HYPERLINK("http://141.218.60.56/~jnz1568/getInfo.php?workbook=14_09.xlsx&amp;sheet=A0&amp;row=2137&amp;col=7&amp;number=0&amp;sourceID=14","0")</f>
        <v>0</v>
      </c>
    </row>
    <row r="2138" spans="1:7">
      <c r="A2138" s="3">
        <v>14</v>
      </c>
      <c r="B2138" s="3">
        <v>9</v>
      </c>
      <c r="C2138" s="3">
        <v>184</v>
      </c>
      <c r="D2138" s="3">
        <v>42</v>
      </c>
      <c r="E2138" s="3">
        <v>-256.693</v>
      </c>
      <c r="F2138" s="4" t="str">
        <f>HYPERLINK("http://141.218.60.56/~jnz1568/getInfo.php?workbook=14_09.xlsx&amp;sheet=A0&amp;row=2138&amp;col=6&amp;number=228000000&amp;sourceID=14","228000000")</f>
        <v>228000000</v>
      </c>
      <c r="G2138" s="4" t="str">
        <f>HYPERLINK("http://141.218.60.56/~jnz1568/getInfo.php?workbook=14_09.xlsx&amp;sheet=A0&amp;row=2138&amp;col=7&amp;number=0&amp;sourceID=14","0")</f>
        <v>0</v>
      </c>
    </row>
    <row r="2139" spans="1:7">
      <c r="A2139" s="3">
        <v>14</v>
      </c>
      <c r="B2139" s="3">
        <v>9</v>
      </c>
      <c r="C2139" s="3">
        <v>190</v>
      </c>
      <c r="D2139" s="3">
        <v>42</v>
      </c>
      <c r="E2139" s="3">
        <v>-192.226</v>
      </c>
      <c r="F2139" s="4" t="str">
        <f>HYPERLINK("http://141.218.60.56/~jnz1568/getInfo.php?workbook=14_09.xlsx&amp;sheet=A0&amp;row=2139&amp;col=6&amp;number=1020000&amp;sourceID=14","1020000")</f>
        <v>1020000</v>
      </c>
      <c r="G2139" s="4" t="str">
        <f>HYPERLINK("http://141.218.60.56/~jnz1568/getInfo.php?workbook=14_09.xlsx&amp;sheet=A0&amp;row=2139&amp;col=7&amp;number=0&amp;sourceID=14","0")</f>
        <v>0</v>
      </c>
    </row>
    <row r="2140" spans="1:7">
      <c r="A2140" s="3">
        <v>14</v>
      </c>
      <c r="B2140" s="3">
        <v>9</v>
      </c>
      <c r="C2140" s="3">
        <v>191</v>
      </c>
      <c r="D2140" s="3">
        <v>42</v>
      </c>
      <c r="E2140" s="3">
        <v>-192.195</v>
      </c>
      <c r="F2140" s="4" t="str">
        <f>HYPERLINK("http://141.218.60.56/~jnz1568/getInfo.php?workbook=14_09.xlsx&amp;sheet=A0&amp;row=2140&amp;col=6&amp;number=6630000&amp;sourceID=14","6630000")</f>
        <v>6630000</v>
      </c>
      <c r="G2140" s="4" t="str">
        <f>HYPERLINK("http://141.218.60.56/~jnz1568/getInfo.php?workbook=14_09.xlsx&amp;sheet=A0&amp;row=2140&amp;col=7&amp;number=0&amp;sourceID=14","0")</f>
        <v>0</v>
      </c>
    </row>
    <row r="2141" spans="1:7">
      <c r="A2141" s="3">
        <v>14</v>
      </c>
      <c r="B2141" s="3">
        <v>9</v>
      </c>
      <c r="C2141" s="3">
        <v>192</v>
      </c>
      <c r="D2141" s="3">
        <v>42</v>
      </c>
      <c r="E2141" s="3">
        <v>-190.872</v>
      </c>
      <c r="F2141" s="4" t="str">
        <f>HYPERLINK("http://141.218.60.56/~jnz1568/getInfo.php?workbook=14_09.xlsx&amp;sheet=A0&amp;row=2141&amp;col=6&amp;number=7510000&amp;sourceID=14","7510000")</f>
        <v>7510000</v>
      </c>
      <c r="G2141" s="4" t="str">
        <f>HYPERLINK("http://141.218.60.56/~jnz1568/getInfo.php?workbook=14_09.xlsx&amp;sheet=A0&amp;row=2141&amp;col=7&amp;number=0&amp;sourceID=14","0")</f>
        <v>0</v>
      </c>
    </row>
    <row r="2142" spans="1:7">
      <c r="A2142" s="3">
        <v>14</v>
      </c>
      <c r="B2142" s="3">
        <v>9</v>
      </c>
      <c r="C2142" s="3">
        <v>195</v>
      </c>
      <c r="D2142" s="3">
        <v>42</v>
      </c>
      <c r="E2142" s="3">
        <v>-189.77</v>
      </c>
      <c r="F2142" s="4" t="str">
        <f>HYPERLINK("http://141.218.60.56/~jnz1568/getInfo.php?workbook=14_09.xlsx&amp;sheet=A0&amp;row=2142&amp;col=6&amp;number=8750000&amp;sourceID=14","8750000")</f>
        <v>8750000</v>
      </c>
      <c r="G2142" s="4" t="str">
        <f>HYPERLINK("http://141.218.60.56/~jnz1568/getInfo.php?workbook=14_09.xlsx&amp;sheet=A0&amp;row=2142&amp;col=7&amp;number=0&amp;sourceID=14","0")</f>
        <v>0</v>
      </c>
    </row>
    <row r="2143" spans="1:7">
      <c r="A2143" s="3">
        <v>14</v>
      </c>
      <c r="B2143" s="3">
        <v>9</v>
      </c>
      <c r="C2143" s="3">
        <v>66</v>
      </c>
      <c r="D2143" s="3">
        <v>43</v>
      </c>
      <c r="E2143" s="3">
        <v>-669.05</v>
      </c>
      <c r="F2143" s="4" t="str">
        <f>HYPERLINK("http://141.218.60.56/~jnz1568/getInfo.php?workbook=14_09.xlsx&amp;sheet=A0&amp;row=2143&amp;col=6&amp;number=1450000&amp;sourceID=14","1450000")</f>
        <v>1450000</v>
      </c>
      <c r="G2143" s="4" t="str">
        <f>HYPERLINK("http://141.218.60.56/~jnz1568/getInfo.php?workbook=14_09.xlsx&amp;sheet=A0&amp;row=2143&amp;col=7&amp;number=0&amp;sourceID=14","0")</f>
        <v>0</v>
      </c>
    </row>
    <row r="2144" spans="1:7">
      <c r="A2144" s="3">
        <v>14</v>
      </c>
      <c r="B2144" s="3">
        <v>9</v>
      </c>
      <c r="C2144" s="3">
        <v>67</v>
      </c>
      <c r="D2144" s="3">
        <v>43</v>
      </c>
      <c r="E2144" s="3">
        <v>-662.376</v>
      </c>
      <c r="F2144" s="4" t="str">
        <f>HYPERLINK("http://141.218.60.56/~jnz1568/getInfo.php?workbook=14_09.xlsx&amp;sheet=A0&amp;row=2144&amp;col=6&amp;number=1580000&amp;sourceID=14","1580000")</f>
        <v>1580000</v>
      </c>
      <c r="G2144" s="4" t="str">
        <f>HYPERLINK("http://141.218.60.56/~jnz1568/getInfo.php?workbook=14_09.xlsx&amp;sheet=A0&amp;row=2144&amp;col=7&amp;number=0&amp;sourceID=14","0")</f>
        <v>0</v>
      </c>
    </row>
    <row r="2145" spans="1:7">
      <c r="A2145" s="3">
        <v>14</v>
      </c>
      <c r="B2145" s="3">
        <v>9</v>
      </c>
      <c r="C2145" s="3">
        <v>69</v>
      </c>
      <c r="D2145" s="3">
        <v>43</v>
      </c>
      <c r="E2145" s="3">
        <v>-638.465</v>
      </c>
      <c r="F2145" s="4" t="str">
        <f>HYPERLINK("http://141.218.60.56/~jnz1568/getInfo.php?workbook=14_09.xlsx&amp;sheet=A0&amp;row=2145&amp;col=6&amp;number=399000&amp;sourceID=14","399000")</f>
        <v>399000</v>
      </c>
      <c r="G2145" s="4" t="str">
        <f>HYPERLINK("http://141.218.60.56/~jnz1568/getInfo.php?workbook=14_09.xlsx&amp;sheet=A0&amp;row=2145&amp;col=7&amp;number=0&amp;sourceID=14","0")</f>
        <v>0</v>
      </c>
    </row>
    <row r="2146" spans="1:7">
      <c r="A2146" s="3">
        <v>14</v>
      </c>
      <c r="B2146" s="3">
        <v>9</v>
      </c>
      <c r="C2146" s="3">
        <v>70</v>
      </c>
      <c r="D2146" s="3">
        <v>43</v>
      </c>
      <c r="E2146" s="3">
        <v>-633.354</v>
      </c>
      <c r="F2146" s="4" t="str">
        <f>HYPERLINK("http://141.218.60.56/~jnz1568/getInfo.php?workbook=14_09.xlsx&amp;sheet=A0&amp;row=2146&amp;col=6&amp;number=23600000&amp;sourceID=14","23600000")</f>
        <v>23600000</v>
      </c>
      <c r="G2146" s="4" t="str">
        <f>HYPERLINK("http://141.218.60.56/~jnz1568/getInfo.php?workbook=14_09.xlsx&amp;sheet=A0&amp;row=2146&amp;col=7&amp;number=0&amp;sourceID=14","0")</f>
        <v>0</v>
      </c>
    </row>
    <row r="2147" spans="1:7">
      <c r="A2147" s="3">
        <v>14</v>
      </c>
      <c r="B2147" s="3">
        <v>9</v>
      </c>
      <c r="C2147" s="3">
        <v>71</v>
      </c>
      <c r="D2147" s="3">
        <v>43</v>
      </c>
      <c r="E2147" s="3">
        <v>-625.126</v>
      </c>
      <c r="F2147" s="4" t="str">
        <f>HYPERLINK("http://141.218.60.56/~jnz1568/getInfo.php?workbook=14_09.xlsx&amp;sheet=A0&amp;row=2147&amp;col=6&amp;number=64700000&amp;sourceID=14","64700000")</f>
        <v>64700000</v>
      </c>
      <c r="G2147" s="4" t="str">
        <f>HYPERLINK("http://141.218.60.56/~jnz1568/getInfo.php?workbook=14_09.xlsx&amp;sheet=A0&amp;row=2147&amp;col=7&amp;number=0&amp;sourceID=14","0")</f>
        <v>0</v>
      </c>
    </row>
    <row r="2148" spans="1:7">
      <c r="A2148" s="3">
        <v>14</v>
      </c>
      <c r="B2148" s="3">
        <v>9</v>
      </c>
      <c r="C2148" s="3">
        <v>72</v>
      </c>
      <c r="D2148" s="3">
        <v>43</v>
      </c>
      <c r="E2148" s="3">
        <v>-622.128</v>
      </c>
      <c r="F2148" s="4" t="str">
        <f>HYPERLINK("http://141.218.60.56/~jnz1568/getInfo.php?workbook=14_09.xlsx&amp;sheet=A0&amp;row=2148&amp;col=6&amp;number=174000000&amp;sourceID=14","174000000")</f>
        <v>174000000</v>
      </c>
      <c r="G2148" s="4" t="str">
        <f>HYPERLINK("http://141.218.60.56/~jnz1568/getInfo.php?workbook=14_09.xlsx&amp;sheet=A0&amp;row=2148&amp;col=7&amp;number=0&amp;sourceID=14","0")</f>
        <v>0</v>
      </c>
    </row>
    <row r="2149" spans="1:7">
      <c r="A2149" s="3">
        <v>14</v>
      </c>
      <c r="B2149" s="3">
        <v>9</v>
      </c>
      <c r="C2149" s="3">
        <v>75</v>
      </c>
      <c r="D2149" s="3">
        <v>43</v>
      </c>
      <c r="E2149" s="3">
        <v>-614.029</v>
      </c>
      <c r="F2149" s="4" t="str">
        <f>HYPERLINK("http://141.218.60.56/~jnz1568/getInfo.php?workbook=14_09.xlsx&amp;sheet=A0&amp;row=2149&amp;col=6&amp;number=17200000&amp;sourceID=14","17200000")</f>
        <v>17200000</v>
      </c>
      <c r="G2149" s="4" t="str">
        <f>HYPERLINK("http://141.218.60.56/~jnz1568/getInfo.php?workbook=14_09.xlsx&amp;sheet=A0&amp;row=2149&amp;col=7&amp;number=0&amp;sourceID=14","0")</f>
        <v>0</v>
      </c>
    </row>
    <row r="2150" spans="1:7">
      <c r="A2150" s="3">
        <v>14</v>
      </c>
      <c r="B2150" s="3">
        <v>9</v>
      </c>
      <c r="C2150" s="3">
        <v>76</v>
      </c>
      <c r="D2150" s="3">
        <v>43</v>
      </c>
      <c r="E2150" s="3">
        <v>-612.953</v>
      </c>
      <c r="F2150" s="4" t="str">
        <f>HYPERLINK("http://141.218.60.56/~jnz1568/getInfo.php?workbook=14_09.xlsx&amp;sheet=A0&amp;row=2150&amp;col=6&amp;number=1770000000&amp;sourceID=14","1770000000")</f>
        <v>1770000000</v>
      </c>
      <c r="G2150" s="4" t="str">
        <f>HYPERLINK("http://141.218.60.56/~jnz1568/getInfo.php?workbook=14_09.xlsx&amp;sheet=A0&amp;row=2150&amp;col=7&amp;number=0&amp;sourceID=14","0")</f>
        <v>0</v>
      </c>
    </row>
    <row r="2151" spans="1:7">
      <c r="A2151" s="3">
        <v>14</v>
      </c>
      <c r="B2151" s="3">
        <v>9</v>
      </c>
      <c r="C2151" s="3">
        <v>77</v>
      </c>
      <c r="D2151" s="3">
        <v>43</v>
      </c>
      <c r="E2151" s="3">
        <v>-587.352</v>
      </c>
      <c r="F2151" s="4" t="str">
        <f>HYPERLINK("http://141.218.60.56/~jnz1568/getInfo.php?workbook=14_09.xlsx&amp;sheet=A0&amp;row=2151&amp;col=6&amp;number=6250000&amp;sourceID=14","6250000")</f>
        <v>6250000</v>
      </c>
      <c r="G2151" s="4" t="str">
        <f>HYPERLINK("http://141.218.60.56/~jnz1568/getInfo.php?workbook=14_09.xlsx&amp;sheet=A0&amp;row=2151&amp;col=7&amp;number=0&amp;sourceID=14","0")</f>
        <v>0</v>
      </c>
    </row>
    <row r="2152" spans="1:7">
      <c r="A2152" s="3">
        <v>14</v>
      </c>
      <c r="B2152" s="3">
        <v>9</v>
      </c>
      <c r="C2152" s="3">
        <v>81</v>
      </c>
      <c r="D2152" s="3">
        <v>43</v>
      </c>
      <c r="E2152" s="3">
        <v>-571.972</v>
      </c>
      <c r="F2152" s="4" t="str">
        <f>HYPERLINK("http://141.218.60.56/~jnz1568/getInfo.php?workbook=14_09.xlsx&amp;sheet=A0&amp;row=2152&amp;col=6&amp;number=4140000&amp;sourceID=14","4140000")</f>
        <v>4140000</v>
      </c>
      <c r="G2152" s="4" t="str">
        <f>HYPERLINK("http://141.218.60.56/~jnz1568/getInfo.php?workbook=14_09.xlsx&amp;sheet=A0&amp;row=2152&amp;col=7&amp;number=0&amp;sourceID=14","0")</f>
        <v>0</v>
      </c>
    </row>
    <row r="2153" spans="1:7">
      <c r="A2153" s="3">
        <v>14</v>
      </c>
      <c r="B2153" s="3">
        <v>9</v>
      </c>
      <c r="C2153" s="3">
        <v>82</v>
      </c>
      <c r="D2153" s="3">
        <v>43</v>
      </c>
      <c r="E2153" s="3">
        <v>-563.115</v>
      </c>
      <c r="F2153" s="4" t="str">
        <f>HYPERLINK("http://141.218.60.56/~jnz1568/getInfo.php?workbook=14_09.xlsx&amp;sheet=A0&amp;row=2153&amp;col=6&amp;number=1120000&amp;sourceID=14","1120000")</f>
        <v>1120000</v>
      </c>
      <c r="G2153" s="4" t="str">
        <f>HYPERLINK("http://141.218.60.56/~jnz1568/getInfo.php?workbook=14_09.xlsx&amp;sheet=A0&amp;row=2153&amp;col=7&amp;number=0&amp;sourceID=14","0")</f>
        <v>0</v>
      </c>
    </row>
    <row r="2154" spans="1:7">
      <c r="A2154" s="3">
        <v>14</v>
      </c>
      <c r="B2154" s="3">
        <v>9</v>
      </c>
      <c r="C2154" s="3">
        <v>84</v>
      </c>
      <c r="D2154" s="3">
        <v>43</v>
      </c>
      <c r="E2154" s="3">
        <v>-532.516</v>
      </c>
      <c r="F2154" s="4" t="str">
        <f>HYPERLINK("http://141.218.60.56/~jnz1568/getInfo.php?workbook=14_09.xlsx&amp;sheet=A0&amp;row=2154&amp;col=6&amp;number=905000&amp;sourceID=14","905000")</f>
        <v>905000</v>
      </c>
      <c r="G2154" s="4" t="str">
        <f>HYPERLINK("http://141.218.60.56/~jnz1568/getInfo.php?workbook=14_09.xlsx&amp;sheet=A0&amp;row=2154&amp;col=7&amp;number=0&amp;sourceID=14","0")</f>
        <v>0</v>
      </c>
    </row>
    <row r="2155" spans="1:7">
      <c r="A2155" s="3">
        <v>14</v>
      </c>
      <c r="B2155" s="3">
        <v>9</v>
      </c>
      <c r="C2155" s="3">
        <v>101</v>
      </c>
      <c r="D2155" s="3">
        <v>43</v>
      </c>
      <c r="E2155" s="3">
        <v>-489.322</v>
      </c>
      <c r="F2155" s="4" t="str">
        <f>HYPERLINK("http://141.218.60.56/~jnz1568/getInfo.php?workbook=14_09.xlsx&amp;sheet=A0&amp;row=2155&amp;col=6&amp;number=6510000&amp;sourceID=14","6510000")</f>
        <v>6510000</v>
      </c>
      <c r="G2155" s="4" t="str">
        <f>HYPERLINK("http://141.218.60.56/~jnz1568/getInfo.php?workbook=14_09.xlsx&amp;sheet=A0&amp;row=2155&amp;col=7&amp;number=0&amp;sourceID=14","0")</f>
        <v>0</v>
      </c>
    </row>
    <row r="2156" spans="1:7">
      <c r="A2156" s="3">
        <v>14</v>
      </c>
      <c r="B2156" s="3">
        <v>9</v>
      </c>
      <c r="C2156" s="3">
        <v>102</v>
      </c>
      <c r="D2156" s="3">
        <v>43</v>
      </c>
      <c r="E2156" s="3">
        <v>-488.812</v>
      </c>
      <c r="F2156" s="4" t="str">
        <f>HYPERLINK("http://141.218.60.56/~jnz1568/getInfo.php?workbook=14_09.xlsx&amp;sheet=A0&amp;row=2156&amp;col=6&amp;number=13700000&amp;sourceID=14","13700000")</f>
        <v>13700000</v>
      </c>
      <c r="G2156" s="4" t="str">
        <f>HYPERLINK("http://141.218.60.56/~jnz1568/getInfo.php?workbook=14_09.xlsx&amp;sheet=A0&amp;row=2156&amp;col=7&amp;number=0&amp;sourceID=14","0")</f>
        <v>0</v>
      </c>
    </row>
    <row r="2157" spans="1:7">
      <c r="A2157" s="3">
        <v>14</v>
      </c>
      <c r="B2157" s="3">
        <v>9</v>
      </c>
      <c r="C2157" s="3">
        <v>105</v>
      </c>
      <c r="D2157" s="3">
        <v>43</v>
      </c>
      <c r="E2157" s="3">
        <v>-485.007</v>
      </c>
      <c r="F2157" s="4" t="str">
        <f>HYPERLINK("http://141.218.60.56/~jnz1568/getInfo.php?workbook=14_09.xlsx&amp;sheet=A0&amp;row=2157&amp;col=6&amp;number=19400000&amp;sourceID=14","19400000")</f>
        <v>19400000</v>
      </c>
      <c r="G2157" s="4" t="str">
        <f>HYPERLINK("http://141.218.60.56/~jnz1568/getInfo.php?workbook=14_09.xlsx&amp;sheet=A0&amp;row=2157&amp;col=7&amp;number=0&amp;sourceID=14","0")</f>
        <v>0</v>
      </c>
    </row>
    <row r="2158" spans="1:7">
      <c r="A2158" s="3">
        <v>14</v>
      </c>
      <c r="B2158" s="3">
        <v>9</v>
      </c>
      <c r="C2158" s="3">
        <v>106</v>
      </c>
      <c r="D2158" s="3">
        <v>43</v>
      </c>
      <c r="E2158" s="3">
        <v>-484.661</v>
      </c>
      <c r="F2158" s="4" t="str">
        <f>HYPERLINK("http://141.218.60.56/~jnz1568/getInfo.php?workbook=14_09.xlsx&amp;sheet=A0&amp;row=2158&amp;col=6&amp;number=225000000&amp;sourceID=14","225000000")</f>
        <v>225000000</v>
      </c>
      <c r="G2158" s="4" t="str">
        <f>HYPERLINK("http://141.218.60.56/~jnz1568/getInfo.php?workbook=14_09.xlsx&amp;sheet=A0&amp;row=2158&amp;col=7&amp;number=0&amp;sourceID=14","0")</f>
        <v>0</v>
      </c>
    </row>
    <row r="2159" spans="1:7">
      <c r="A2159" s="3">
        <v>14</v>
      </c>
      <c r="B2159" s="3">
        <v>9</v>
      </c>
      <c r="C2159" s="3">
        <v>107</v>
      </c>
      <c r="D2159" s="3">
        <v>43</v>
      </c>
      <c r="E2159" s="3">
        <v>-483.998</v>
      </c>
      <c r="F2159" s="4" t="str">
        <f>HYPERLINK("http://141.218.60.56/~jnz1568/getInfo.php?workbook=14_09.xlsx&amp;sheet=A0&amp;row=2159&amp;col=6&amp;number=2790000000&amp;sourceID=14","2790000000")</f>
        <v>2790000000</v>
      </c>
      <c r="G2159" s="4" t="str">
        <f>HYPERLINK("http://141.218.60.56/~jnz1568/getInfo.php?workbook=14_09.xlsx&amp;sheet=A0&amp;row=2159&amp;col=7&amp;number=0&amp;sourceID=14","0")</f>
        <v>0</v>
      </c>
    </row>
    <row r="2160" spans="1:7">
      <c r="A2160" s="3">
        <v>14</v>
      </c>
      <c r="B2160" s="3">
        <v>9</v>
      </c>
      <c r="C2160" s="3">
        <v>108</v>
      </c>
      <c r="D2160" s="3">
        <v>43</v>
      </c>
      <c r="E2160" s="3">
        <v>-483.695</v>
      </c>
      <c r="F2160" s="4" t="str">
        <f>HYPERLINK("http://141.218.60.56/~jnz1568/getInfo.php?workbook=14_09.xlsx&amp;sheet=A0&amp;row=2160&amp;col=6&amp;number=17100000&amp;sourceID=14","17100000")</f>
        <v>17100000</v>
      </c>
      <c r="G2160" s="4" t="str">
        <f>HYPERLINK("http://141.218.60.56/~jnz1568/getInfo.php?workbook=14_09.xlsx&amp;sheet=A0&amp;row=2160&amp;col=7&amp;number=0&amp;sourceID=14","0")</f>
        <v>0</v>
      </c>
    </row>
    <row r="2161" spans="1:7">
      <c r="A2161" s="3">
        <v>14</v>
      </c>
      <c r="B2161" s="3">
        <v>9</v>
      </c>
      <c r="C2161" s="3">
        <v>109</v>
      </c>
      <c r="D2161" s="3">
        <v>43</v>
      </c>
      <c r="E2161" s="3">
        <v>-483.065</v>
      </c>
      <c r="F2161" s="4" t="str">
        <f>HYPERLINK("http://141.218.60.56/~jnz1568/getInfo.php?workbook=14_09.xlsx&amp;sheet=A0&amp;row=2161&amp;col=6&amp;number=1050000000&amp;sourceID=14","1050000000")</f>
        <v>1050000000</v>
      </c>
      <c r="G2161" s="4" t="str">
        <f>HYPERLINK("http://141.218.60.56/~jnz1568/getInfo.php?workbook=14_09.xlsx&amp;sheet=A0&amp;row=2161&amp;col=7&amp;number=0&amp;sourceID=14","0")</f>
        <v>0</v>
      </c>
    </row>
    <row r="2162" spans="1:7">
      <c r="A2162" s="3">
        <v>14</v>
      </c>
      <c r="B2162" s="3">
        <v>9</v>
      </c>
      <c r="C2162" s="3">
        <v>113</v>
      </c>
      <c r="D2162" s="3">
        <v>43</v>
      </c>
      <c r="E2162" s="3">
        <v>-481.474</v>
      </c>
      <c r="F2162" s="4" t="str">
        <f>HYPERLINK("http://141.218.60.56/~jnz1568/getInfo.php?workbook=14_09.xlsx&amp;sheet=A0&amp;row=2162&amp;col=6&amp;number=10100000&amp;sourceID=14","10100000")</f>
        <v>10100000</v>
      </c>
      <c r="G2162" s="4" t="str">
        <f>HYPERLINK("http://141.218.60.56/~jnz1568/getInfo.php?workbook=14_09.xlsx&amp;sheet=A0&amp;row=2162&amp;col=7&amp;number=0&amp;sourceID=14","0")</f>
        <v>0</v>
      </c>
    </row>
    <row r="2163" spans="1:7">
      <c r="A2163" s="3">
        <v>14</v>
      </c>
      <c r="B2163" s="3">
        <v>9</v>
      </c>
      <c r="C2163" s="3">
        <v>115</v>
      </c>
      <c r="D2163" s="3">
        <v>43</v>
      </c>
      <c r="E2163" s="3">
        <v>-481.126</v>
      </c>
      <c r="F2163" s="4" t="str">
        <f>HYPERLINK("http://141.218.60.56/~jnz1568/getInfo.php?workbook=14_09.xlsx&amp;sheet=A0&amp;row=2163&amp;col=6&amp;number=515000&amp;sourceID=14","515000")</f>
        <v>515000</v>
      </c>
      <c r="G2163" s="4" t="str">
        <f>HYPERLINK("http://141.218.60.56/~jnz1568/getInfo.php?workbook=14_09.xlsx&amp;sheet=A0&amp;row=2163&amp;col=7&amp;number=0&amp;sourceID=14","0")</f>
        <v>0</v>
      </c>
    </row>
    <row r="2164" spans="1:7">
      <c r="A2164" s="3">
        <v>14</v>
      </c>
      <c r="B2164" s="3">
        <v>9</v>
      </c>
      <c r="C2164" s="3">
        <v>116</v>
      </c>
      <c r="D2164" s="3">
        <v>43</v>
      </c>
      <c r="E2164" s="3">
        <v>-481.062</v>
      </c>
      <c r="F2164" s="4" t="str">
        <f>HYPERLINK("http://141.218.60.56/~jnz1568/getInfo.php?workbook=14_09.xlsx&amp;sheet=A0&amp;row=2164&amp;col=6&amp;number=65200000&amp;sourceID=14","65200000")</f>
        <v>65200000</v>
      </c>
      <c r="G2164" s="4" t="str">
        <f>HYPERLINK("http://141.218.60.56/~jnz1568/getInfo.php?workbook=14_09.xlsx&amp;sheet=A0&amp;row=2164&amp;col=7&amp;number=0&amp;sourceID=14","0")</f>
        <v>0</v>
      </c>
    </row>
    <row r="2165" spans="1:7">
      <c r="A2165" s="3">
        <v>14</v>
      </c>
      <c r="B2165" s="3">
        <v>9</v>
      </c>
      <c r="C2165" s="3">
        <v>117</v>
      </c>
      <c r="D2165" s="3">
        <v>43</v>
      </c>
      <c r="E2165" s="3">
        <v>-474.889</v>
      </c>
      <c r="F2165" s="4" t="str">
        <f>HYPERLINK("http://141.218.60.56/~jnz1568/getInfo.php?workbook=14_09.xlsx&amp;sheet=A0&amp;row=2165&amp;col=6&amp;number=151000000&amp;sourceID=14","151000000")</f>
        <v>151000000</v>
      </c>
      <c r="G2165" s="4" t="str">
        <f>HYPERLINK("http://141.218.60.56/~jnz1568/getInfo.php?workbook=14_09.xlsx&amp;sheet=A0&amp;row=2165&amp;col=7&amp;number=0&amp;sourceID=14","0")</f>
        <v>0</v>
      </c>
    </row>
    <row r="2166" spans="1:7">
      <c r="A2166" s="3">
        <v>14</v>
      </c>
      <c r="B2166" s="3">
        <v>9</v>
      </c>
      <c r="C2166" s="3">
        <v>118</v>
      </c>
      <c r="D2166" s="3">
        <v>43</v>
      </c>
      <c r="E2166" s="3">
        <v>-474.722</v>
      </c>
      <c r="F2166" s="4" t="str">
        <f>HYPERLINK("http://141.218.60.56/~jnz1568/getInfo.php?workbook=14_09.xlsx&amp;sheet=A0&amp;row=2166&amp;col=6&amp;number=979000000&amp;sourceID=14","979000000")</f>
        <v>979000000</v>
      </c>
      <c r="G2166" s="4" t="str">
        <f>HYPERLINK("http://141.218.60.56/~jnz1568/getInfo.php?workbook=14_09.xlsx&amp;sheet=A0&amp;row=2166&amp;col=7&amp;number=0&amp;sourceID=14","0")</f>
        <v>0</v>
      </c>
    </row>
    <row r="2167" spans="1:7">
      <c r="A2167" s="3">
        <v>14</v>
      </c>
      <c r="B2167" s="3">
        <v>9</v>
      </c>
      <c r="C2167" s="3">
        <v>120</v>
      </c>
      <c r="D2167" s="3">
        <v>43</v>
      </c>
      <c r="E2167" s="3">
        <v>-473.697</v>
      </c>
      <c r="F2167" s="4" t="str">
        <f>HYPERLINK("http://141.218.60.56/~jnz1568/getInfo.php?workbook=14_09.xlsx&amp;sheet=A0&amp;row=2167&amp;col=6&amp;number=1880000000&amp;sourceID=14","1880000000")</f>
        <v>1880000000</v>
      </c>
      <c r="G2167" s="4" t="str">
        <f>HYPERLINK("http://141.218.60.56/~jnz1568/getInfo.php?workbook=14_09.xlsx&amp;sheet=A0&amp;row=2167&amp;col=7&amp;number=0&amp;sourceID=14","0")</f>
        <v>0</v>
      </c>
    </row>
    <row r="2168" spans="1:7">
      <c r="A2168" s="3">
        <v>14</v>
      </c>
      <c r="B2168" s="3">
        <v>9</v>
      </c>
      <c r="C2168" s="3">
        <v>121</v>
      </c>
      <c r="D2168" s="3">
        <v>43</v>
      </c>
      <c r="E2168" s="3">
        <v>-472.718</v>
      </c>
      <c r="F2168" s="4" t="str">
        <f>HYPERLINK("http://141.218.60.56/~jnz1568/getInfo.php?workbook=14_09.xlsx&amp;sheet=A0&amp;row=2168&amp;col=6&amp;number=6700000000&amp;sourceID=14","6700000000")</f>
        <v>6700000000</v>
      </c>
      <c r="G2168" s="4" t="str">
        <f>HYPERLINK("http://141.218.60.56/~jnz1568/getInfo.php?workbook=14_09.xlsx&amp;sheet=A0&amp;row=2168&amp;col=7&amp;number=0&amp;sourceID=14","0")</f>
        <v>0</v>
      </c>
    </row>
    <row r="2169" spans="1:7">
      <c r="A2169" s="3">
        <v>14</v>
      </c>
      <c r="B2169" s="3">
        <v>9</v>
      </c>
      <c r="C2169" s="3">
        <v>122</v>
      </c>
      <c r="D2169" s="3">
        <v>43</v>
      </c>
      <c r="E2169" s="3">
        <v>-472.463</v>
      </c>
      <c r="F2169" s="4" t="str">
        <f>HYPERLINK("http://141.218.60.56/~jnz1568/getInfo.php?workbook=14_09.xlsx&amp;sheet=A0&amp;row=2169&amp;col=6&amp;number=81600000&amp;sourceID=14","81600000")</f>
        <v>81600000</v>
      </c>
      <c r="G2169" s="4" t="str">
        <f>HYPERLINK("http://141.218.60.56/~jnz1568/getInfo.php?workbook=14_09.xlsx&amp;sheet=A0&amp;row=2169&amp;col=7&amp;number=0&amp;sourceID=14","0")</f>
        <v>0</v>
      </c>
    </row>
    <row r="2170" spans="1:7">
      <c r="A2170" s="3">
        <v>14</v>
      </c>
      <c r="B2170" s="3">
        <v>9</v>
      </c>
      <c r="C2170" s="3">
        <v>123</v>
      </c>
      <c r="D2170" s="3">
        <v>43</v>
      </c>
      <c r="E2170" s="3">
        <v>-470.001</v>
      </c>
      <c r="F2170" s="4" t="str">
        <f>HYPERLINK("http://141.218.60.56/~jnz1568/getInfo.php?workbook=14_09.xlsx&amp;sheet=A0&amp;row=2170&amp;col=6&amp;number=6700000000&amp;sourceID=14","6700000000")</f>
        <v>6700000000</v>
      </c>
      <c r="G2170" s="4" t="str">
        <f>HYPERLINK("http://141.218.60.56/~jnz1568/getInfo.php?workbook=14_09.xlsx&amp;sheet=A0&amp;row=2170&amp;col=7&amp;number=0&amp;sourceID=14","0")</f>
        <v>0</v>
      </c>
    </row>
    <row r="2171" spans="1:7">
      <c r="A2171" s="3">
        <v>14</v>
      </c>
      <c r="B2171" s="3">
        <v>9</v>
      </c>
      <c r="C2171" s="3">
        <v>124</v>
      </c>
      <c r="D2171" s="3">
        <v>43</v>
      </c>
      <c r="E2171" s="3">
        <v>-469.959</v>
      </c>
      <c r="F2171" s="4" t="str">
        <f>HYPERLINK("http://141.218.60.56/~jnz1568/getInfo.php?workbook=14_09.xlsx&amp;sheet=A0&amp;row=2171&amp;col=6&amp;number=206000000&amp;sourceID=14","206000000")</f>
        <v>206000000</v>
      </c>
      <c r="G2171" s="4" t="str">
        <f>HYPERLINK("http://141.218.60.56/~jnz1568/getInfo.php?workbook=14_09.xlsx&amp;sheet=A0&amp;row=2171&amp;col=7&amp;number=0&amp;sourceID=14","0")</f>
        <v>0</v>
      </c>
    </row>
    <row r="2172" spans="1:7">
      <c r="A2172" s="3">
        <v>14</v>
      </c>
      <c r="B2172" s="3">
        <v>9</v>
      </c>
      <c r="C2172" s="3">
        <v>125</v>
      </c>
      <c r="D2172" s="3">
        <v>43</v>
      </c>
      <c r="E2172" s="3">
        <v>-456.051</v>
      </c>
      <c r="F2172" s="4" t="str">
        <f>HYPERLINK("http://141.218.60.56/~jnz1568/getInfo.php?workbook=14_09.xlsx&amp;sheet=A0&amp;row=2172&amp;col=6&amp;number=162000&amp;sourceID=14","162000")</f>
        <v>162000</v>
      </c>
      <c r="G2172" s="4" t="str">
        <f>HYPERLINK("http://141.218.60.56/~jnz1568/getInfo.php?workbook=14_09.xlsx&amp;sheet=A0&amp;row=2172&amp;col=7&amp;number=0&amp;sourceID=14","0")</f>
        <v>0</v>
      </c>
    </row>
    <row r="2173" spans="1:7">
      <c r="A2173" s="3">
        <v>14</v>
      </c>
      <c r="B2173" s="3">
        <v>9</v>
      </c>
      <c r="C2173" s="3">
        <v>139</v>
      </c>
      <c r="D2173" s="3">
        <v>43</v>
      </c>
      <c r="E2173" s="3">
        <v>-394.758</v>
      </c>
      <c r="F2173" s="4" t="str">
        <f>HYPERLINK("http://141.218.60.56/~jnz1568/getInfo.php?workbook=14_09.xlsx&amp;sheet=A0&amp;row=2173&amp;col=6&amp;number=3270000&amp;sourceID=14","3270000")</f>
        <v>3270000</v>
      </c>
      <c r="G2173" s="4" t="str">
        <f>HYPERLINK("http://141.218.60.56/~jnz1568/getInfo.php?workbook=14_09.xlsx&amp;sheet=A0&amp;row=2173&amp;col=7&amp;number=0&amp;sourceID=14","0")</f>
        <v>0</v>
      </c>
    </row>
    <row r="2174" spans="1:7">
      <c r="A2174" s="3">
        <v>14</v>
      </c>
      <c r="B2174" s="3">
        <v>9</v>
      </c>
      <c r="C2174" s="3">
        <v>141</v>
      </c>
      <c r="D2174" s="3">
        <v>43</v>
      </c>
      <c r="E2174" s="3">
        <v>-392.636</v>
      </c>
      <c r="F2174" s="4" t="str">
        <f>HYPERLINK("http://141.218.60.56/~jnz1568/getInfo.php?workbook=14_09.xlsx&amp;sheet=A0&amp;row=2174&amp;col=6&amp;number=20400000&amp;sourceID=14","20400000")</f>
        <v>20400000</v>
      </c>
      <c r="G2174" s="4" t="str">
        <f>HYPERLINK("http://141.218.60.56/~jnz1568/getInfo.php?workbook=14_09.xlsx&amp;sheet=A0&amp;row=2174&amp;col=7&amp;number=0&amp;sourceID=14","0")</f>
        <v>0</v>
      </c>
    </row>
    <row r="2175" spans="1:7">
      <c r="A2175" s="3">
        <v>14</v>
      </c>
      <c r="B2175" s="3">
        <v>9</v>
      </c>
      <c r="C2175" s="3">
        <v>142</v>
      </c>
      <c r="D2175" s="3">
        <v>43</v>
      </c>
      <c r="E2175" s="3">
        <v>-392.62</v>
      </c>
      <c r="F2175" s="4" t="str">
        <f>HYPERLINK("http://141.218.60.56/~jnz1568/getInfo.php?workbook=14_09.xlsx&amp;sheet=A0&amp;row=2175&amp;col=6&amp;number=220000&amp;sourceID=14","220000")</f>
        <v>220000</v>
      </c>
      <c r="G2175" s="4" t="str">
        <f>HYPERLINK("http://141.218.60.56/~jnz1568/getInfo.php?workbook=14_09.xlsx&amp;sheet=A0&amp;row=2175&amp;col=7&amp;number=0&amp;sourceID=14","0")</f>
        <v>0</v>
      </c>
    </row>
    <row r="2176" spans="1:7">
      <c r="A2176" s="3">
        <v>14</v>
      </c>
      <c r="B2176" s="3">
        <v>9</v>
      </c>
      <c r="C2176" s="3">
        <v>146</v>
      </c>
      <c r="D2176" s="3">
        <v>43</v>
      </c>
      <c r="E2176" s="3">
        <v>-390.545</v>
      </c>
      <c r="F2176" s="4" t="str">
        <f>HYPERLINK("http://141.218.60.56/~jnz1568/getInfo.php?workbook=14_09.xlsx&amp;sheet=A0&amp;row=2176&amp;col=6&amp;number=45000000&amp;sourceID=14","45000000")</f>
        <v>45000000</v>
      </c>
      <c r="G2176" s="4" t="str">
        <f>HYPERLINK("http://141.218.60.56/~jnz1568/getInfo.php?workbook=14_09.xlsx&amp;sheet=A0&amp;row=2176&amp;col=7&amp;number=0&amp;sourceID=14","0")</f>
        <v>0</v>
      </c>
    </row>
    <row r="2177" spans="1:7">
      <c r="A2177" s="3">
        <v>14</v>
      </c>
      <c r="B2177" s="3">
        <v>9</v>
      </c>
      <c r="C2177" s="3">
        <v>147</v>
      </c>
      <c r="D2177" s="3">
        <v>43</v>
      </c>
      <c r="E2177" s="3">
        <v>-390.542</v>
      </c>
      <c r="F2177" s="4" t="str">
        <f>HYPERLINK("http://141.218.60.56/~jnz1568/getInfo.php?workbook=14_09.xlsx&amp;sheet=A0&amp;row=2177&amp;col=6&amp;number=4160000&amp;sourceID=14","4160000")</f>
        <v>4160000</v>
      </c>
      <c r="G2177" s="4" t="str">
        <f>HYPERLINK("http://141.218.60.56/~jnz1568/getInfo.php?workbook=14_09.xlsx&amp;sheet=A0&amp;row=2177&amp;col=7&amp;number=0&amp;sourceID=14","0")</f>
        <v>0</v>
      </c>
    </row>
    <row r="2178" spans="1:7">
      <c r="A2178" s="3">
        <v>14</v>
      </c>
      <c r="B2178" s="3">
        <v>9</v>
      </c>
      <c r="C2178" s="3">
        <v>149</v>
      </c>
      <c r="D2178" s="3">
        <v>43</v>
      </c>
      <c r="E2178" s="3">
        <v>-389.841</v>
      </c>
      <c r="F2178" s="4" t="str">
        <f>HYPERLINK("http://141.218.60.56/~jnz1568/getInfo.php?workbook=14_09.xlsx&amp;sheet=A0&amp;row=2178&amp;col=6&amp;number=27800000&amp;sourceID=14","27800000")</f>
        <v>27800000</v>
      </c>
      <c r="G2178" s="4" t="str">
        <f>HYPERLINK("http://141.218.60.56/~jnz1568/getInfo.php?workbook=14_09.xlsx&amp;sheet=A0&amp;row=2178&amp;col=7&amp;number=0&amp;sourceID=14","0")</f>
        <v>0</v>
      </c>
    </row>
    <row r="2179" spans="1:7">
      <c r="A2179" s="3">
        <v>14</v>
      </c>
      <c r="B2179" s="3">
        <v>9</v>
      </c>
      <c r="C2179" s="3">
        <v>165</v>
      </c>
      <c r="D2179" s="3">
        <v>43</v>
      </c>
      <c r="E2179" s="3">
        <v>-308.222</v>
      </c>
      <c r="F2179" s="4" t="str">
        <f>HYPERLINK("http://141.218.60.56/~jnz1568/getInfo.php?workbook=14_09.xlsx&amp;sheet=A0&amp;row=2179&amp;col=6&amp;number=4090000&amp;sourceID=14","4090000")</f>
        <v>4090000</v>
      </c>
      <c r="G2179" s="4" t="str">
        <f>HYPERLINK("http://141.218.60.56/~jnz1568/getInfo.php?workbook=14_09.xlsx&amp;sheet=A0&amp;row=2179&amp;col=7&amp;number=0&amp;sourceID=14","0")</f>
        <v>0</v>
      </c>
    </row>
    <row r="2180" spans="1:7">
      <c r="A2180" s="3">
        <v>14</v>
      </c>
      <c r="B2180" s="3">
        <v>9</v>
      </c>
      <c r="C2180" s="3">
        <v>169</v>
      </c>
      <c r="D2180" s="3">
        <v>43</v>
      </c>
      <c r="E2180" s="3">
        <v>-280.783</v>
      </c>
      <c r="F2180" s="4" t="str">
        <f>HYPERLINK("http://141.218.60.56/~jnz1568/getInfo.php?workbook=14_09.xlsx&amp;sheet=A0&amp;row=2180&amp;col=6&amp;number=13600000&amp;sourceID=14","13600000")</f>
        <v>13600000</v>
      </c>
      <c r="G2180" s="4" t="str">
        <f>HYPERLINK("http://141.218.60.56/~jnz1568/getInfo.php?workbook=14_09.xlsx&amp;sheet=A0&amp;row=2180&amp;col=7&amp;number=0&amp;sourceID=14","0")</f>
        <v>0</v>
      </c>
    </row>
    <row r="2181" spans="1:7">
      <c r="A2181" s="3">
        <v>14</v>
      </c>
      <c r="B2181" s="3">
        <v>9</v>
      </c>
      <c r="C2181" s="3">
        <v>170</v>
      </c>
      <c r="D2181" s="3">
        <v>43</v>
      </c>
      <c r="E2181" s="3">
        <v>-279.615</v>
      </c>
      <c r="F2181" s="4" t="str">
        <f>HYPERLINK("http://141.218.60.56/~jnz1568/getInfo.php?workbook=14_09.xlsx&amp;sheet=A0&amp;row=2181&amp;col=6&amp;number=113000000&amp;sourceID=14","113000000")</f>
        <v>113000000</v>
      </c>
      <c r="G2181" s="4" t="str">
        <f>HYPERLINK("http://141.218.60.56/~jnz1568/getInfo.php?workbook=14_09.xlsx&amp;sheet=A0&amp;row=2181&amp;col=7&amp;number=0&amp;sourceID=14","0")</f>
        <v>0</v>
      </c>
    </row>
    <row r="2182" spans="1:7">
      <c r="A2182" s="3">
        <v>14</v>
      </c>
      <c r="B2182" s="3">
        <v>9</v>
      </c>
      <c r="C2182" s="3">
        <v>172</v>
      </c>
      <c r="D2182" s="3">
        <v>43</v>
      </c>
      <c r="E2182" s="3">
        <v>-276.708</v>
      </c>
      <c r="F2182" s="4" t="str">
        <f>HYPERLINK("http://141.218.60.56/~jnz1568/getInfo.php?workbook=14_09.xlsx&amp;sheet=A0&amp;row=2182&amp;col=6&amp;number=96500000&amp;sourceID=14","96500000")</f>
        <v>96500000</v>
      </c>
      <c r="G2182" s="4" t="str">
        <f>HYPERLINK("http://141.218.60.56/~jnz1568/getInfo.php?workbook=14_09.xlsx&amp;sheet=A0&amp;row=2182&amp;col=7&amp;number=0&amp;sourceID=14","0")</f>
        <v>0</v>
      </c>
    </row>
    <row r="2183" spans="1:7">
      <c r="A2183" s="3">
        <v>14</v>
      </c>
      <c r="B2183" s="3">
        <v>9</v>
      </c>
      <c r="C2183" s="3">
        <v>173</v>
      </c>
      <c r="D2183" s="3">
        <v>43</v>
      </c>
      <c r="E2183" s="3">
        <v>-275.651</v>
      </c>
      <c r="F2183" s="4" t="str">
        <f>HYPERLINK("http://141.218.60.56/~jnz1568/getInfo.php?workbook=14_09.xlsx&amp;sheet=A0&amp;row=2183&amp;col=6&amp;number=20900000&amp;sourceID=14","20900000")</f>
        <v>20900000</v>
      </c>
      <c r="G2183" s="4" t="str">
        <f>HYPERLINK("http://141.218.60.56/~jnz1568/getInfo.php?workbook=14_09.xlsx&amp;sheet=A0&amp;row=2183&amp;col=7&amp;number=0&amp;sourceID=14","0")</f>
        <v>0</v>
      </c>
    </row>
    <row r="2184" spans="1:7">
      <c r="A2184" s="3">
        <v>14</v>
      </c>
      <c r="B2184" s="3">
        <v>9</v>
      </c>
      <c r="C2184" s="3">
        <v>174</v>
      </c>
      <c r="D2184" s="3">
        <v>43</v>
      </c>
      <c r="E2184" s="3">
        <v>-274.754</v>
      </c>
      <c r="F2184" s="4" t="str">
        <f>HYPERLINK("http://141.218.60.56/~jnz1568/getInfo.php?workbook=14_09.xlsx&amp;sheet=A0&amp;row=2184&amp;col=6&amp;number=201000000&amp;sourceID=14","201000000")</f>
        <v>201000000</v>
      </c>
      <c r="G2184" s="4" t="str">
        <f>HYPERLINK("http://141.218.60.56/~jnz1568/getInfo.php?workbook=14_09.xlsx&amp;sheet=A0&amp;row=2184&amp;col=7&amp;number=0&amp;sourceID=14","0")</f>
        <v>0</v>
      </c>
    </row>
    <row r="2185" spans="1:7">
      <c r="A2185" s="3">
        <v>14</v>
      </c>
      <c r="B2185" s="3">
        <v>9</v>
      </c>
      <c r="C2185" s="3">
        <v>175</v>
      </c>
      <c r="D2185" s="3">
        <v>43</v>
      </c>
      <c r="E2185" s="3">
        <v>-270.659</v>
      </c>
      <c r="F2185" s="4" t="str">
        <f>HYPERLINK("http://141.218.60.56/~jnz1568/getInfo.php?workbook=14_09.xlsx&amp;sheet=A0&amp;row=2185&amp;col=6&amp;number=182000000&amp;sourceID=14","182000000")</f>
        <v>182000000</v>
      </c>
      <c r="G2185" s="4" t="str">
        <f>HYPERLINK("http://141.218.60.56/~jnz1568/getInfo.php?workbook=14_09.xlsx&amp;sheet=A0&amp;row=2185&amp;col=7&amp;number=0&amp;sourceID=14","0")</f>
        <v>0</v>
      </c>
    </row>
    <row r="2186" spans="1:7">
      <c r="A2186" s="3">
        <v>14</v>
      </c>
      <c r="B2186" s="3">
        <v>9</v>
      </c>
      <c r="C2186" s="3">
        <v>176</v>
      </c>
      <c r="D2186" s="3">
        <v>43</v>
      </c>
      <c r="E2186" s="3">
        <v>-269.255</v>
      </c>
      <c r="F2186" s="4" t="str">
        <f>HYPERLINK("http://141.218.60.56/~jnz1568/getInfo.php?workbook=14_09.xlsx&amp;sheet=A0&amp;row=2186&amp;col=6&amp;number=780000000&amp;sourceID=14","780000000")</f>
        <v>780000000</v>
      </c>
      <c r="G2186" s="4" t="str">
        <f>HYPERLINK("http://141.218.60.56/~jnz1568/getInfo.php?workbook=14_09.xlsx&amp;sheet=A0&amp;row=2186&amp;col=7&amp;number=0&amp;sourceID=14","0")</f>
        <v>0</v>
      </c>
    </row>
    <row r="2187" spans="1:7">
      <c r="A2187" s="3">
        <v>14</v>
      </c>
      <c r="B2187" s="3">
        <v>9</v>
      </c>
      <c r="C2187" s="3">
        <v>177</v>
      </c>
      <c r="D2187" s="3">
        <v>43</v>
      </c>
      <c r="E2187" s="3">
        <v>-269.132</v>
      </c>
      <c r="F2187" s="4" t="str">
        <f>HYPERLINK("http://141.218.60.56/~jnz1568/getInfo.php?workbook=14_09.xlsx&amp;sheet=A0&amp;row=2187&amp;col=6&amp;number=26300000&amp;sourceID=14","26300000")</f>
        <v>26300000</v>
      </c>
      <c r="G2187" s="4" t="str">
        <f>HYPERLINK("http://141.218.60.56/~jnz1568/getInfo.php?workbook=14_09.xlsx&amp;sheet=A0&amp;row=2187&amp;col=7&amp;number=0&amp;sourceID=14","0")</f>
        <v>0</v>
      </c>
    </row>
    <row r="2188" spans="1:7">
      <c r="A2188" s="3">
        <v>14</v>
      </c>
      <c r="B2188" s="3">
        <v>9</v>
      </c>
      <c r="C2188" s="3">
        <v>179</v>
      </c>
      <c r="D2188" s="3">
        <v>43</v>
      </c>
      <c r="E2188" s="3">
        <v>-268.985</v>
      </c>
      <c r="F2188" s="4" t="str">
        <f>HYPERLINK("http://141.218.60.56/~jnz1568/getInfo.php?workbook=14_09.xlsx&amp;sheet=A0&amp;row=2188&amp;col=6&amp;number=230000000&amp;sourceID=14","230000000")</f>
        <v>230000000</v>
      </c>
      <c r="G2188" s="4" t="str">
        <f>HYPERLINK("http://141.218.60.56/~jnz1568/getInfo.php?workbook=14_09.xlsx&amp;sheet=A0&amp;row=2188&amp;col=7&amp;number=0&amp;sourceID=14","0")</f>
        <v>0</v>
      </c>
    </row>
    <row r="2189" spans="1:7">
      <c r="A2189" s="3">
        <v>14</v>
      </c>
      <c r="B2189" s="3">
        <v>9</v>
      </c>
      <c r="C2189" s="3">
        <v>180</v>
      </c>
      <c r="D2189" s="3">
        <v>43</v>
      </c>
      <c r="E2189" s="3">
        <v>-268.183</v>
      </c>
      <c r="F2189" s="4" t="str">
        <f>HYPERLINK("http://141.218.60.56/~jnz1568/getInfo.php?workbook=14_09.xlsx&amp;sheet=A0&amp;row=2189&amp;col=6&amp;number=12000000000&amp;sourceID=14","12000000000")</f>
        <v>12000000000</v>
      </c>
      <c r="G2189" s="4" t="str">
        <f>HYPERLINK("http://141.218.60.56/~jnz1568/getInfo.php?workbook=14_09.xlsx&amp;sheet=A0&amp;row=2189&amp;col=7&amp;number=0&amp;sourceID=14","0")</f>
        <v>0</v>
      </c>
    </row>
    <row r="2190" spans="1:7">
      <c r="A2190" s="3">
        <v>14</v>
      </c>
      <c r="B2190" s="3">
        <v>9</v>
      </c>
      <c r="C2190" s="3">
        <v>181</v>
      </c>
      <c r="D2190" s="3">
        <v>43</v>
      </c>
      <c r="E2190" s="3">
        <v>-265.117</v>
      </c>
      <c r="F2190" s="4" t="str">
        <f>HYPERLINK("http://141.218.60.56/~jnz1568/getInfo.php?workbook=14_09.xlsx&amp;sheet=A0&amp;row=2190&amp;col=6&amp;number=186000000&amp;sourceID=14","186000000")</f>
        <v>186000000</v>
      </c>
      <c r="G2190" s="4" t="str">
        <f>HYPERLINK("http://141.218.60.56/~jnz1568/getInfo.php?workbook=14_09.xlsx&amp;sheet=A0&amp;row=2190&amp;col=7&amp;number=0&amp;sourceID=14","0")</f>
        <v>0</v>
      </c>
    </row>
    <row r="2191" spans="1:7">
      <c r="A2191" s="3">
        <v>14</v>
      </c>
      <c r="B2191" s="3">
        <v>9</v>
      </c>
      <c r="C2191" s="3">
        <v>182</v>
      </c>
      <c r="D2191" s="3">
        <v>43</v>
      </c>
      <c r="E2191" s="3">
        <v>-265.049</v>
      </c>
      <c r="F2191" s="4" t="str">
        <f>HYPERLINK("http://141.218.60.56/~jnz1568/getInfo.php?workbook=14_09.xlsx&amp;sheet=A0&amp;row=2191&amp;col=6&amp;number=9540000000&amp;sourceID=14","9540000000")</f>
        <v>9540000000</v>
      </c>
      <c r="G2191" s="4" t="str">
        <f>HYPERLINK("http://141.218.60.56/~jnz1568/getInfo.php?workbook=14_09.xlsx&amp;sheet=A0&amp;row=2191&amp;col=7&amp;number=0&amp;sourceID=14","0")</f>
        <v>0</v>
      </c>
    </row>
    <row r="2192" spans="1:7">
      <c r="A2192" s="3">
        <v>14</v>
      </c>
      <c r="B2192" s="3">
        <v>9</v>
      </c>
      <c r="C2192" s="3">
        <v>184</v>
      </c>
      <c r="D2192" s="3">
        <v>43</v>
      </c>
      <c r="E2192" s="3">
        <v>-257.628</v>
      </c>
      <c r="F2192" s="4" t="str">
        <f>HYPERLINK("http://141.218.60.56/~jnz1568/getInfo.php?workbook=14_09.xlsx&amp;sheet=A0&amp;row=2192&amp;col=6&amp;number=109000000&amp;sourceID=14","109000000")</f>
        <v>109000000</v>
      </c>
      <c r="G2192" s="4" t="str">
        <f>HYPERLINK("http://141.218.60.56/~jnz1568/getInfo.php?workbook=14_09.xlsx&amp;sheet=A0&amp;row=2192&amp;col=7&amp;number=0&amp;sourceID=14","0")</f>
        <v>0</v>
      </c>
    </row>
    <row r="2193" spans="1:7">
      <c r="A2193" s="3">
        <v>14</v>
      </c>
      <c r="B2193" s="3">
        <v>9</v>
      </c>
      <c r="C2193" s="3">
        <v>190</v>
      </c>
      <c r="D2193" s="3">
        <v>43</v>
      </c>
      <c r="E2193" s="3">
        <v>-192.75</v>
      </c>
      <c r="F2193" s="4" t="str">
        <f>HYPERLINK("http://141.218.60.56/~jnz1568/getInfo.php?workbook=14_09.xlsx&amp;sheet=A0&amp;row=2193&amp;col=6&amp;number=6840000&amp;sourceID=14","6840000")</f>
        <v>6840000</v>
      </c>
      <c r="G2193" s="4" t="str">
        <f>HYPERLINK("http://141.218.60.56/~jnz1568/getInfo.php?workbook=14_09.xlsx&amp;sheet=A0&amp;row=2193&amp;col=7&amp;number=0&amp;sourceID=14","0")</f>
        <v>0</v>
      </c>
    </row>
    <row r="2194" spans="1:7">
      <c r="A2194" s="3">
        <v>14</v>
      </c>
      <c r="B2194" s="3">
        <v>9</v>
      </c>
      <c r="C2194" s="3">
        <v>191</v>
      </c>
      <c r="D2194" s="3">
        <v>43</v>
      </c>
      <c r="E2194" s="3">
        <v>-192.719</v>
      </c>
      <c r="F2194" s="4" t="str">
        <f>HYPERLINK("http://141.218.60.56/~jnz1568/getInfo.php?workbook=14_09.xlsx&amp;sheet=A0&amp;row=2194&amp;col=6&amp;number=43500000&amp;sourceID=14","43500000")</f>
        <v>43500000</v>
      </c>
      <c r="G2194" s="4" t="str">
        <f>HYPERLINK("http://141.218.60.56/~jnz1568/getInfo.php?workbook=14_09.xlsx&amp;sheet=A0&amp;row=2194&amp;col=7&amp;number=0&amp;sourceID=14","0")</f>
        <v>0</v>
      </c>
    </row>
    <row r="2195" spans="1:7">
      <c r="A2195" s="3">
        <v>14</v>
      </c>
      <c r="B2195" s="3">
        <v>9</v>
      </c>
      <c r="C2195" s="3">
        <v>192</v>
      </c>
      <c r="D2195" s="3">
        <v>43</v>
      </c>
      <c r="E2195" s="3">
        <v>-191.389</v>
      </c>
      <c r="F2195" s="4" t="str">
        <f>HYPERLINK("http://141.218.60.56/~jnz1568/getInfo.php?workbook=14_09.xlsx&amp;sheet=A0&amp;row=2195&amp;col=6&amp;number=29000000&amp;sourceID=14","29000000")</f>
        <v>29000000</v>
      </c>
      <c r="G2195" s="4" t="str">
        <f>HYPERLINK("http://141.218.60.56/~jnz1568/getInfo.php?workbook=14_09.xlsx&amp;sheet=A0&amp;row=2195&amp;col=7&amp;number=0&amp;sourceID=14","0")</f>
        <v>0</v>
      </c>
    </row>
    <row r="2196" spans="1:7">
      <c r="A2196" s="3">
        <v>14</v>
      </c>
      <c r="B2196" s="3">
        <v>9</v>
      </c>
      <c r="C2196" s="3">
        <v>195</v>
      </c>
      <c r="D2196" s="3">
        <v>43</v>
      </c>
      <c r="E2196" s="3">
        <v>-190.281</v>
      </c>
      <c r="F2196" s="4" t="str">
        <f>HYPERLINK("http://141.218.60.56/~jnz1568/getInfo.php?workbook=14_09.xlsx&amp;sheet=A0&amp;row=2196&amp;col=6&amp;number=10600000&amp;sourceID=14","10600000")</f>
        <v>10600000</v>
      </c>
      <c r="G2196" s="4" t="str">
        <f>HYPERLINK("http://141.218.60.56/~jnz1568/getInfo.php?workbook=14_09.xlsx&amp;sheet=A0&amp;row=2196&amp;col=7&amp;number=0&amp;sourceID=14","0")</f>
        <v>0</v>
      </c>
    </row>
    <row r="2197" spans="1:7">
      <c r="A2197" s="3">
        <v>14</v>
      </c>
      <c r="B2197" s="3">
        <v>9</v>
      </c>
      <c r="C2197" s="3">
        <v>59</v>
      </c>
      <c r="D2197" s="3">
        <v>44</v>
      </c>
      <c r="E2197" s="3">
        <v>-920.549</v>
      </c>
      <c r="F2197" s="4" t="str">
        <f>HYPERLINK("http://141.218.60.56/~jnz1568/getInfo.php?workbook=14_09.xlsx&amp;sheet=A0&amp;row=2197&amp;col=6&amp;number=2460000000&amp;sourceID=14","2460000000")</f>
        <v>2460000000</v>
      </c>
      <c r="G2197" s="4" t="str">
        <f>HYPERLINK("http://141.218.60.56/~jnz1568/getInfo.php?workbook=14_09.xlsx&amp;sheet=A0&amp;row=2197&amp;col=7&amp;number=0&amp;sourceID=14","0")</f>
        <v>0</v>
      </c>
    </row>
    <row r="2198" spans="1:7">
      <c r="A2198" s="3">
        <v>14</v>
      </c>
      <c r="B2198" s="3">
        <v>9</v>
      </c>
      <c r="C2198" s="3">
        <v>60</v>
      </c>
      <c r="D2198" s="3">
        <v>44</v>
      </c>
      <c r="E2198" s="3">
        <v>-918.604</v>
      </c>
      <c r="F2198" s="4" t="str">
        <f>HYPERLINK("http://141.218.60.56/~jnz1568/getInfo.php?workbook=14_09.xlsx&amp;sheet=A0&amp;row=2198&amp;col=6&amp;number=412000000&amp;sourceID=14","412000000")</f>
        <v>412000000</v>
      </c>
      <c r="G2198" s="4" t="str">
        <f>HYPERLINK("http://141.218.60.56/~jnz1568/getInfo.php?workbook=14_09.xlsx&amp;sheet=A0&amp;row=2198&amp;col=7&amp;number=0&amp;sourceID=14","0")</f>
        <v>0</v>
      </c>
    </row>
    <row r="2199" spans="1:7">
      <c r="A2199" s="3">
        <v>14</v>
      </c>
      <c r="B2199" s="3">
        <v>9</v>
      </c>
      <c r="C2199" s="3">
        <v>61</v>
      </c>
      <c r="D2199" s="3">
        <v>44</v>
      </c>
      <c r="E2199" s="3">
        <v>-824.812</v>
      </c>
      <c r="F2199" s="4" t="str">
        <f>HYPERLINK("http://141.218.60.56/~jnz1568/getInfo.php?workbook=14_09.xlsx&amp;sheet=A0&amp;row=2199&amp;col=6&amp;number=172000&amp;sourceID=14","172000")</f>
        <v>172000</v>
      </c>
      <c r="G2199" s="4" t="str">
        <f>HYPERLINK("http://141.218.60.56/~jnz1568/getInfo.php?workbook=14_09.xlsx&amp;sheet=A0&amp;row=2199&amp;col=7&amp;number=0&amp;sourceID=14","0")</f>
        <v>0</v>
      </c>
    </row>
    <row r="2200" spans="1:7">
      <c r="A2200" s="3">
        <v>14</v>
      </c>
      <c r="B2200" s="3">
        <v>9</v>
      </c>
      <c r="C2200" s="3">
        <v>62</v>
      </c>
      <c r="D2200" s="3">
        <v>44</v>
      </c>
      <c r="E2200" s="3">
        <v>-807.906</v>
      </c>
      <c r="F2200" s="4" t="str">
        <f>HYPERLINK("http://141.218.60.56/~jnz1568/getInfo.php?workbook=14_09.xlsx&amp;sheet=A0&amp;row=2200&amp;col=6&amp;number=13500000&amp;sourceID=14","13500000")</f>
        <v>13500000</v>
      </c>
      <c r="G2200" s="4" t="str">
        <f>HYPERLINK("http://141.218.60.56/~jnz1568/getInfo.php?workbook=14_09.xlsx&amp;sheet=A0&amp;row=2200&amp;col=7&amp;number=0&amp;sourceID=14","0")</f>
        <v>0</v>
      </c>
    </row>
    <row r="2201" spans="1:7">
      <c r="A2201" s="3">
        <v>14</v>
      </c>
      <c r="B2201" s="3">
        <v>9</v>
      </c>
      <c r="C2201" s="3">
        <v>63</v>
      </c>
      <c r="D2201" s="3">
        <v>44</v>
      </c>
      <c r="E2201" s="3">
        <v>-793.073</v>
      </c>
      <c r="F2201" s="4" t="str">
        <f>HYPERLINK("http://141.218.60.56/~jnz1568/getInfo.php?workbook=14_09.xlsx&amp;sheet=A0&amp;row=2201&amp;col=6&amp;number=501000&amp;sourceID=14","501000")</f>
        <v>501000</v>
      </c>
      <c r="G2201" s="4" t="str">
        <f>HYPERLINK("http://141.218.60.56/~jnz1568/getInfo.php?workbook=14_09.xlsx&amp;sheet=A0&amp;row=2201&amp;col=7&amp;number=0&amp;sourceID=14","0")</f>
        <v>0</v>
      </c>
    </row>
    <row r="2202" spans="1:7">
      <c r="A2202" s="3">
        <v>14</v>
      </c>
      <c r="B2202" s="3">
        <v>9</v>
      </c>
      <c r="C2202" s="3">
        <v>64</v>
      </c>
      <c r="D2202" s="3">
        <v>44</v>
      </c>
      <c r="E2202" s="3">
        <v>-784.53</v>
      </c>
      <c r="F2202" s="4" t="str">
        <f>HYPERLINK("http://141.218.60.56/~jnz1568/getInfo.php?workbook=14_09.xlsx&amp;sheet=A0&amp;row=2202&amp;col=6&amp;number=59300000&amp;sourceID=14","59300000")</f>
        <v>59300000</v>
      </c>
      <c r="G2202" s="4" t="str">
        <f>HYPERLINK("http://141.218.60.56/~jnz1568/getInfo.php?workbook=14_09.xlsx&amp;sheet=A0&amp;row=2202&amp;col=7&amp;number=0&amp;sourceID=14","0")</f>
        <v>0</v>
      </c>
    </row>
    <row r="2203" spans="1:7">
      <c r="A2203" s="3">
        <v>14</v>
      </c>
      <c r="B2203" s="3">
        <v>9</v>
      </c>
      <c r="C2203" s="3">
        <v>65</v>
      </c>
      <c r="D2203" s="3">
        <v>44</v>
      </c>
      <c r="E2203" s="3">
        <v>-765.194</v>
      </c>
      <c r="F2203" s="4" t="str">
        <f>HYPERLINK("http://141.218.60.56/~jnz1568/getInfo.php?workbook=14_09.xlsx&amp;sheet=A0&amp;row=2203&amp;col=6&amp;number=31000000&amp;sourceID=14","31000000")</f>
        <v>31000000</v>
      </c>
      <c r="G2203" s="4" t="str">
        <f>HYPERLINK("http://141.218.60.56/~jnz1568/getInfo.php?workbook=14_09.xlsx&amp;sheet=A0&amp;row=2203&amp;col=7&amp;number=0&amp;sourceID=14","0")</f>
        <v>0</v>
      </c>
    </row>
    <row r="2204" spans="1:7">
      <c r="A2204" s="3">
        <v>14</v>
      </c>
      <c r="B2204" s="3">
        <v>9</v>
      </c>
      <c r="C2204" s="3">
        <v>79</v>
      </c>
      <c r="D2204" s="3">
        <v>44</v>
      </c>
      <c r="E2204" s="3">
        <v>-584.321</v>
      </c>
      <c r="F2204" s="4" t="str">
        <f>HYPERLINK("http://141.218.60.56/~jnz1568/getInfo.php?workbook=14_09.xlsx&amp;sheet=A0&amp;row=2204&amp;col=6&amp;number=22800000&amp;sourceID=14","22800000")</f>
        <v>22800000</v>
      </c>
      <c r="G2204" s="4" t="str">
        <f>HYPERLINK("http://141.218.60.56/~jnz1568/getInfo.php?workbook=14_09.xlsx&amp;sheet=A0&amp;row=2204&amp;col=7&amp;number=0&amp;sourceID=14","0")</f>
        <v>0</v>
      </c>
    </row>
    <row r="2205" spans="1:7">
      <c r="A2205" s="3">
        <v>14</v>
      </c>
      <c r="B2205" s="3">
        <v>9</v>
      </c>
      <c r="C2205" s="3">
        <v>80</v>
      </c>
      <c r="D2205" s="3">
        <v>44</v>
      </c>
      <c r="E2205" s="3">
        <v>-584.263</v>
      </c>
      <c r="F2205" s="4" t="str">
        <f>HYPERLINK("http://141.218.60.56/~jnz1568/getInfo.php?workbook=14_09.xlsx&amp;sheet=A0&amp;row=2205&amp;col=6&amp;number=1510000&amp;sourceID=14","1510000")</f>
        <v>1510000</v>
      </c>
      <c r="G2205" s="4" t="str">
        <f>HYPERLINK("http://141.218.60.56/~jnz1568/getInfo.php?workbook=14_09.xlsx&amp;sheet=A0&amp;row=2205&amp;col=7&amp;number=0&amp;sourceID=14","0")</f>
        <v>0</v>
      </c>
    </row>
    <row r="2206" spans="1:7">
      <c r="A2206" s="3">
        <v>14</v>
      </c>
      <c r="B2206" s="3">
        <v>9</v>
      </c>
      <c r="C2206" s="3">
        <v>88</v>
      </c>
      <c r="D2206" s="3">
        <v>44</v>
      </c>
      <c r="E2206" s="3">
        <v>-521.26</v>
      </c>
      <c r="F2206" s="4" t="str">
        <f>HYPERLINK("http://141.218.60.56/~jnz1568/getInfo.php?workbook=14_09.xlsx&amp;sheet=A0&amp;row=2206&amp;col=6&amp;number=542000&amp;sourceID=14","542000")</f>
        <v>542000</v>
      </c>
      <c r="G2206" s="4" t="str">
        <f>HYPERLINK("http://141.218.60.56/~jnz1568/getInfo.php?workbook=14_09.xlsx&amp;sheet=A0&amp;row=2206&amp;col=7&amp;number=0&amp;sourceID=14","0")</f>
        <v>0</v>
      </c>
    </row>
    <row r="2207" spans="1:7">
      <c r="A2207" s="3">
        <v>14</v>
      </c>
      <c r="B2207" s="3">
        <v>9</v>
      </c>
      <c r="C2207" s="3">
        <v>89</v>
      </c>
      <c r="D2207" s="3">
        <v>44</v>
      </c>
      <c r="E2207" s="3">
        <v>-519.279</v>
      </c>
      <c r="F2207" s="4" t="str">
        <f>HYPERLINK("http://141.218.60.56/~jnz1568/getInfo.php?workbook=14_09.xlsx&amp;sheet=A0&amp;row=2207&amp;col=6&amp;number=522000&amp;sourceID=14","522000")</f>
        <v>522000</v>
      </c>
      <c r="G2207" s="4" t="str">
        <f>HYPERLINK("http://141.218.60.56/~jnz1568/getInfo.php?workbook=14_09.xlsx&amp;sheet=A0&amp;row=2207&amp;col=7&amp;number=0&amp;sourceID=14","0")</f>
        <v>0</v>
      </c>
    </row>
    <row r="2208" spans="1:7">
      <c r="A2208" s="3">
        <v>14</v>
      </c>
      <c r="B2208" s="3">
        <v>9</v>
      </c>
      <c r="C2208" s="3">
        <v>92</v>
      </c>
      <c r="D2208" s="3">
        <v>44</v>
      </c>
      <c r="E2208" s="3">
        <v>-511.019</v>
      </c>
      <c r="F2208" s="4" t="str">
        <f>HYPERLINK("http://141.218.60.56/~jnz1568/getInfo.php?workbook=14_09.xlsx&amp;sheet=A0&amp;row=2208&amp;col=6&amp;number=2570000&amp;sourceID=14","2570000")</f>
        <v>2570000</v>
      </c>
      <c r="G2208" s="4" t="str">
        <f>HYPERLINK("http://141.218.60.56/~jnz1568/getInfo.php?workbook=14_09.xlsx&amp;sheet=A0&amp;row=2208&amp;col=7&amp;number=0&amp;sourceID=14","0")</f>
        <v>0</v>
      </c>
    </row>
    <row r="2209" spans="1:7">
      <c r="A2209" s="3">
        <v>14</v>
      </c>
      <c r="B2209" s="3">
        <v>9</v>
      </c>
      <c r="C2209" s="3">
        <v>93</v>
      </c>
      <c r="D2209" s="3">
        <v>44</v>
      </c>
      <c r="E2209" s="3">
        <v>-508.852</v>
      </c>
      <c r="F2209" s="4" t="str">
        <f>HYPERLINK("http://141.218.60.56/~jnz1568/getInfo.php?workbook=14_09.xlsx&amp;sheet=A0&amp;row=2209&amp;col=6&amp;number=4760000&amp;sourceID=14","4760000")</f>
        <v>4760000</v>
      </c>
      <c r="G2209" s="4" t="str">
        <f>HYPERLINK("http://141.218.60.56/~jnz1568/getInfo.php?workbook=14_09.xlsx&amp;sheet=A0&amp;row=2209&amp;col=7&amp;number=0&amp;sourceID=14","0")</f>
        <v>0</v>
      </c>
    </row>
    <row r="2210" spans="1:7">
      <c r="A2210" s="3">
        <v>14</v>
      </c>
      <c r="B2210" s="3">
        <v>9</v>
      </c>
      <c r="C2210" s="3">
        <v>94</v>
      </c>
      <c r="D2210" s="3">
        <v>44</v>
      </c>
      <c r="E2210" s="3">
        <v>-508.281</v>
      </c>
      <c r="F2210" s="4" t="str">
        <f>HYPERLINK("http://141.218.60.56/~jnz1568/getInfo.php?workbook=14_09.xlsx&amp;sheet=A0&amp;row=2210&amp;col=6&amp;number=5170000&amp;sourceID=14","5170000")</f>
        <v>5170000</v>
      </c>
      <c r="G2210" s="4" t="str">
        <f>HYPERLINK("http://141.218.60.56/~jnz1568/getInfo.php?workbook=14_09.xlsx&amp;sheet=A0&amp;row=2210&amp;col=7&amp;number=0&amp;sourceID=14","0")</f>
        <v>0</v>
      </c>
    </row>
    <row r="2211" spans="1:7">
      <c r="A2211" s="3">
        <v>14</v>
      </c>
      <c r="B2211" s="3">
        <v>9</v>
      </c>
      <c r="C2211" s="3">
        <v>97</v>
      </c>
      <c r="D2211" s="3">
        <v>44</v>
      </c>
      <c r="E2211" s="3">
        <v>-503.706</v>
      </c>
      <c r="F2211" s="4" t="str">
        <f>HYPERLINK("http://141.218.60.56/~jnz1568/getInfo.php?workbook=14_09.xlsx&amp;sheet=A0&amp;row=2211&amp;col=6&amp;number=2180000&amp;sourceID=14","2180000")</f>
        <v>2180000</v>
      </c>
      <c r="G2211" s="4" t="str">
        <f>HYPERLINK("http://141.218.60.56/~jnz1568/getInfo.php?workbook=14_09.xlsx&amp;sheet=A0&amp;row=2211&amp;col=7&amp;number=0&amp;sourceID=14","0")</f>
        <v>0</v>
      </c>
    </row>
    <row r="2212" spans="1:7">
      <c r="A2212" s="3">
        <v>14</v>
      </c>
      <c r="B2212" s="3">
        <v>9</v>
      </c>
      <c r="C2212" s="3">
        <v>98</v>
      </c>
      <c r="D2212" s="3">
        <v>44</v>
      </c>
      <c r="E2212" s="3">
        <v>-501.611</v>
      </c>
      <c r="F2212" s="4" t="str">
        <f>HYPERLINK("http://141.218.60.56/~jnz1568/getInfo.php?workbook=14_09.xlsx&amp;sheet=A0&amp;row=2212&amp;col=6&amp;number=5790000&amp;sourceID=14","5790000")</f>
        <v>5790000</v>
      </c>
      <c r="G2212" s="4" t="str">
        <f>HYPERLINK("http://141.218.60.56/~jnz1568/getInfo.php?workbook=14_09.xlsx&amp;sheet=A0&amp;row=2212&amp;col=7&amp;number=0&amp;sourceID=14","0")</f>
        <v>0</v>
      </c>
    </row>
    <row r="2213" spans="1:7">
      <c r="A2213" s="3">
        <v>14</v>
      </c>
      <c r="B2213" s="3">
        <v>9</v>
      </c>
      <c r="C2213" s="3">
        <v>99</v>
      </c>
      <c r="D2213" s="3">
        <v>44</v>
      </c>
      <c r="E2213" s="3">
        <v>-497.86</v>
      </c>
      <c r="F2213" s="4" t="str">
        <f>HYPERLINK("http://141.218.60.56/~jnz1568/getInfo.php?workbook=14_09.xlsx&amp;sheet=A0&amp;row=2213&amp;col=6&amp;number=42200000&amp;sourceID=14","42200000")</f>
        <v>42200000</v>
      </c>
      <c r="G2213" s="4" t="str">
        <f>HYPERLINK("http://141.218.60.56/~jnz1568/getInfo.php?workbook=14_09.xlsx&amp;sheet=A0&amp;row=2213&amp;col=7&amp;number=0&amp;sourceID=14","0")</f>
        <v>0</v>
      </c>
    </row>
    <row r="2214" spans="1:7">
      <c r="A2214" s="3">
        <v>14</v>
      </c>
      <c r="B2214" s="3">
        <v>9</v>
      </c>
      <c r="C2214" s="3">
        <v>100</v>
      </c>
      <c r="D2214" s="3">
        <v>44</v>
      </c>
      <c r="E2214" s="3">
        <v>-496.075</v>
      </c>
      <c r="F2214" s="4" t="str">
        <f>HYPERLINK("http://141.218.60.56/~jnz1568/getInfo.php?workbook=14_09.xlsx&amp;sheet=A0&amp;row=2214&amp;col=6&amp;number=89800000&amp;sourceID=14","89800000")</f>
        <v>89800000</v>
      </c>
      <c r="G2214" s="4" t="str">
        <f>HYPERLINK("http://141.218.60.56/~jnz1568/getInfo.php?workbook=14_09.xlsx&amp;sheet=A0&amp;row=2214&amp;col=7&amp;number=0&amp;sourceID=14","0")</f>
        <v>0</v>
      </c>
    </row>
    <row r="2215" spans="1:7">
      <c r="A2215" s="3">
        <v>14</v>
      </c>
      <c r="B2215" s="3">
        <v>9</v>
      </c>
      <c r="C2215" s="3">
        <v>103</v>
      </c>
      <c r="D2215" s="3">
        <v>44</v>
      </c>
      <c r="E2215" s="3">
        <v>-491.476</v>
      </c>
      <c r="F2215" s="4" t="str">
        <f>HYPERLINK("http://141.218.60.56/~jnz1568/getInfo.php?workbook=14_09.xlsx&amp;sheet=A0&amp;row=2215&amp;col=6&amp;number=73700000&amp;sourceID=14","73700000")</f>
        <v>73700000</v>
      </c>
      <c r="G2215" s="4" t="str">
        <f>HYPERLINK("http://141.218.60.56/~jnz1568/getInfo.php?workbook=14_09.xlsx&amp;sheet=A0&amp;row=2215&amp;col=7&amp;number=0&amp;sourceID=14","0")</f>
        <v>0</v>
      </c>
    </row>
    <row r="2216" spans="1:7">
      <c r="A2216" s="3">
        <v>14</v>
      </c>
      <c r="B2216" s="3">
        <v>9</v>
      </c>
      <c r="C2216" s="3">
        <v>110</v>
      </c>
      <c r="D2216" s="3">
        <v>44</v>
      </c>
      <c r="E2216" s="3">
        <v>-487.932</v>
      </c>
      <c r="F2216" s="4" t="str">
        <f>HYPERLINK("http://141.218.60.56/~jnz1568/getInfo.php?workbook=14_09.xlsx&amp;sheet=A0&amp;row=2216&amp;col=6&amp;number=23900000&amp;sourceID=14","23900000")</f>
        <v>23900000</v>
      </c>
      <c r="G2216" s="4" t="str">
        <f>HYPERLINK("http://141.218.60.56/~jnz1568/getInfo.php?workbook=14_09.xlsx&amp;sheet=A0&amp;row=2216&amp;col=7&amp;number=0&amp;sourceID=14","0")</f>
        <v>0</v>
      </c>
    </row>
    <row r="2217" spans="1:7">
      <c r="A2217" s="3">
        <v>14</v>
      </c>
      <c r="B2217" s="3">
        <v>9</v>
      </c>
      <c r="C2217" s="3">
        <v>127</v>
      </c>
      <c r="D2217" s="3">
        <v>44</v>
      </c>
      <c r="E2217" s="3">
        <v>-420.589</v>
      </c>
      <c r="F2217" s="4" t="str">
        <f>HYPERLINK("http://141.218.60.56/~jnz1568/getInfo.php?workbook=14_09.xlsx&amp;sheet=A0&amp;row=2217&amp;col=6&amp;number=5520000000&amp;sourceID=14","5520000000")</f>
        <v>5520000000</v>
      </c>
      <c r="G2217" s="4" t="str">
        <f>HYPERLINK("http://141.218.60.56/~jnz1568/getInfo.php?workbook=14_09.xlsx&amp;sheet=A0&amp;row=2217&amp;col=7&amp;number=0&amp;sourceID=14","0")</f>
        <v>0</v>
      </c>
    </row>
    <row r="2218" spans="1:7">
      <c r="A2218" s="3">
        <v>14</v>
      </c>
      <c r="B2218" s="3">
        <v>9</v>
      </c>
      <c r="C2218" s="3">
        <v>131</v>
      </c>
      <c r="D2218" s="3">
        <v>44</v>
      </c>
      <c r="E2218" s="3">
        <v>-409.702</v>
      </c>
      <c r="F2218" s="4" t="str">
        <f>HYPERLINK("http://141.218.60.56/~jnz1568/getInfo.php?workbook=14_09.xlsx&amp;sheet=A0&amp;row=2218&amp;col=6&amp;number=1120000&amp;sourceID=14","1120000")</f>
        <v>1120000</v>
      </c>
      <c r="G2218" s="4" t="str">
        <f>HYPERLINK("http://141.218.60.56/~jnz1568/getInfo.php?workbook=14_09.xlsx&amp;sheet=A0&amp;row=2218&amp;col=7&amp;number=0&amp;sourceID=14","0")</f>
        <v>0</v>
      </c>
    </row>
    <row r="2219" spans="1:7">
      <c r="A2219" s="3">
        <v>14</v>
      </c>
      <c r="B2219" s="3">
        <v>9</v>
      </c>
      <c r="C2219" s="3">
        <v>134</v>
      </c>
      <c r="D2219" s="3">
        <v>44</v>
      </c>
      <c r="E2219" s="3">
        <v>-408.619</v>
      </c>
      <c r="F2219" s="4" t="str">
        <f>HYPERLINK("http://141.218.60.56/~jnz1568/getInfo.php?workbook=14_09.xlsx&amp;sheet=A0&amp;row=2219&amp;col=6&amp;number=53800000&amp;sourceID=14","53800000")</f>
        <v>53800000</v>
      </c>
      <c r="G2219" s="4" t="str">
        <f>HYPERLINK("http://141.218.60.56/~jnz1568/getInfo.php?workbook=14_09.xlsx&amp;sheet=A0&amp;row=2219&amp;col=7&amp;number=0&amp;sourceID=14","0")</f>
        <v>0</v>
      </c>
    </row>
    <row r="2220" spans="1:7">
      <c r="A2220" s="3">
        <v>14</v>
      </c>
      <c r="B2220" s="3">
        <v>9</v>
      </c>
      <c r="C2220" s="3">
        <v>135</v>
      </c>
      <c r="D2220" s="3">
        <v>44</v>
      </c>
      <c r="E2220" s="3">
        <v>-408.377</v>
      </c>
      <c r="F2220" s="4" t="str">
        <f>HYPERLINK("http://141.218.60.56/~jnz1568/getInfo.php?workbook=14_09.xlsx&amp;sheet=A0&amp;row=2220&amp;col=6&amp;number=74100000&amp;sourceID=14","74100000")</f>
        <v>74100000</v>
      </c>
      <c r="G2220" s="4" t="str">
        <f>HYPERLINK("http://141.218.60.56/~jnz1568/getInfo.php?workbook=14_09.xlsx&amp;sheet=A0&amp;row=2220&amp;col=7&amp;number=0&amp;sourceID=14","0")</f>
        <v>0</v>
      </c>
    </row>
    <row r="2221" spans="1:7">
      <c r="A2221" s="3">
        <v>14</v>
      </c>
      <c r="B2221" s="3">
        <v>9</v>
      </c>
      <c r="C2221" s="3">
        <v>136</v>
      </c>
      <c r="D2221" s="3">
        <v>44</v>
      </c>
      <c r="E2221" s="3">
        <v>-407.593</v>
      </c>
      <c r="F2221" s="4" t="str">
        <f>HYPERLINK("http://141.218.60.56/~jnz1568/getInfo.php?workbook=14_09.xlsx&amp;sheet=A0&amp;row=2221&amp;col=6&amp;number=17300000&amp;sourceID=14","17300000")</f>
        <v>17300000</v>
      </c>
      <c r="G2221" s="4" t="str">
        <f>HYPERLINK("http://141.218.60.56/~jnz1568/getInfo.php?workbook=14_09.xlsx&amp;sheet=A0&amp;row=2221&amp;col=7&amp;number=0&amp;sourceID=14","0")</f>
        <v>0</v>
      </c>
    </row>
    <row r="2222" spans="1:7">
      <c r="A2222" s="3">
        <v>14</v>
      </c>
      <c r="B2222" s="3">
        <v>9</v>
      </c>
      <c r="C2222" s="3">
        <v>137</v>
      </c>
      <c r="D2222" s="3">
        <v>44</v>
      </c>
      <c r="E2222" s="3">
        <v>-406.137</v>
      </c>
      <c r="F2222" s="4" t="str">
        <f>HYPERLINK("http://141.218.60.56/~jnz1568/getInfo.php?workbook=14_09.xlsx&amp;sheet=A0&amp;row=2222&amp;col=6&amp;number=1470000000&amp;sourceID=14","1470000000")</f>
        <v>1470000000</v>
      </c>
      <c r="G2222" s="4" t="str">
        <f>HYPERLINK("http://141.218.60.56/~jnz1568/getInfo.php?workbook=14_09.xlsx&amp;sheet=A0&amp;row=2222&amp;col=7&amp;number=0&amp;sourceID=14","0")</f>
        <v>0</v>
      </c>
    </row>
    <row r="2223" spans="1:7">
      <c r="A2223" s="3">
        <v>14</v>
      </c>
      <c r="B2223" s="3">
        <v>9</v>
      </c>
      <c r="C2223" s="3">
        <v>145</v>
      </c>
      <c r="D2223" s="3">
        <v>44</v>
      </c>
      <c r="E2223" s="3">
        <v>-396.423</v>
      </c>
      <c r="F2223" s="4" t="str">
        <f>HYPERLINK("http://141.218.60.56/~jnz1568/getInfo.php?workbook=14_09.xlsx&amp;sheet=A0&amp;row=2223&amp;col=6&amp;number=4460000&amp;sourceID=14","4460000")</f>
        <v>4460000</v>
      </c>
      <c r="G2223" s="4" t="str">
        <f>HYPERLINK("http://141.218.60.56/~jnz1568/getInfo.php?workbook=14_09.xlsx&amp;sheet=A0&amp;row=2223&amp;col=7&amp;number=0&amp;sourceID=14","0")</f>
        <v>0</v>
      </c>
    </row>
    <row r="2224" spans="1:7">
      <c r="A2224" s="3">
        <v>14</v>
      </c>
      <c r="B2224" s="3">
        <v>9</v>
      </c>
      <c r="C2224" s="3">
        <v>148</v>
      </c>
      <c r="D2224" s="3">
        <v>44</v>
      </c>
      <c r="E2224" s="3">
        <v>-394.178</v>
      </c>
      <c r="F2224" s="4" t="str">
        <f>HYPERLINK("http://141.218.60.56/~jnz1568/getInfo.php?workbook=14_09.xlsx&amp;sheet=A0&amp;row=2224&amp;col=6&amp;number=585000&amp;sourceID=14","585000")</f>
        <v>585000</v>
      </c>
      <c r="G2224" s="4" t="str">
        <f>HYPERLINK("http://141.218.60.56/~jnz1568/getInfo.php?workbook=14_09.xlsx&amp;sheet=A0&amp;row=2224&amp;col=7&amp;number=0&amp;sourceID=14","0")</f>
        <v>0</v>
      </c>
    </row>
    <row r="2225" spans="1:7">
      <c r="A2225" s="3">
        <v>14</v>
      </c>
      <c r="B2225" s="3">
        <v>9</v>
      </c>
      <c r="C2225" s="3">
        <v>152</v>
      </c>
      <c r="D2225" s="3">
        <v>44</v>
      </c>
      <c r="E2225" s="3">
        <v>-382.938</v>
      </c>
      <c r="F2225" s="4" t="str">
        <f>HYPERLINK("http://141.218.60.56/~jnz1568/getInfo.php?workbook=14_09.xlsx&amp;sheet=A0&amp;row=2225&amp;col=6&amp;number=62300000&amp;sourceID=14","62300000")</f>
        <v>62300000</v>
      </c>
      <c r="G2225" s="4" t="str">
        <f>HYPERLINK("http://141.218.60.56/~jnz1568/getInfo.php?workbook=14_09.xlsx&amp;sheet=A0&amp;row=2225&amp;col=7&amp;number=0&amp;sourceID=14","0")</f>
        <v>0</v>
      </c>
    </row>
    <row r="2226" spans="1:7">
      <c r="A2226" s="3">
        <v>14</v>
      </c>
      <c r="B2226" s="3">
        <v>9</v>
      </c>
      <c r="C2226" s="3">
        <v>153</v>
      </c>
      <c r="D2226" s="3">
        <v>44</v>
      </c>
      <c r="E2226" s="3">
        <v>-380.389</v>
      </c>
      <c r="F2226" s="4" t="str">
        <f>HYPERLINK("http://141.218.60.56/~jnz1568/getInfo.php?workbook=14_09.xlsx&amp;sheet=A0&amp;row=2226&amp;col=6&amp;number=111000000&amp;sourceID=14","111000000")</f>
        <v>111000000</v>
      </c>
      <c r="G2226" s="4" t="str">
        <f>HYPERLINK("http://141.218.60.56/~jnz1568/getInfo.php?workbook=14_09.xlsx&amp;sheet=A0&amp;row=2226&amp;col=7&amp;number=0&amp;sourceID=14","0")</f>
        <v>0</v>
      </c>
    </row>
    <row r="2227" spans="1:7">
      <c r="A2227" s="3">
        <v>14</v>
      </c>
      <c r="B2227" s="3">
        <v>9</v>
      </c>
      <c r="C2227" s="3">
        <v>154</v>
      </c>
      <c r="D2227" s="3">
        <v>44</v>
      </c>
      <c r="E2227" s="3">
        <v>-380.356</v>
      </c>
      <c r="F2227" s="4" t="str">
        <f>HYPERLINK("http://141.218.60.56/~jnz1568/getInfo.php?workbook=14_09.xlsx&amp;sheet=A0&amp;row=2227&amp;col=6&amp;number=6190000&amp;sourceID=14","6190000")</f>
        <v>6190000</v>
      </c>
      <c r="G2227" s="4" t="str">
        <f>HYPERLINK("http://141.218.60.56/~jnz1568/getInfo.php?workbook=14_09.xlsx&amp;sheet=A0&amp;row=2227&amp;col=7&amp;number=0&amp;sourceID=14","0")</f>
        <v>0</v>
      </c>
    </row>
    <row r="2228" spans="1:7">
      <c r="A2228" s="3">
        <v>14</v>
      </c>
      <c r="B2228" s="3">
        <v>9</v>
      </c>
      <c r="C2228" s="3">
        <v>155</v>
      </c>
      <c r="D2228" s="3">
        <v>44</v>
      </c>
      <c r="E2228" s="3">
        <v>-379.408</v>
      </c>
      <c r="F2228" s="4" t="str">
        <f>HYPERLINK("http://141.218.60.56/~jnz1568/getInfo.php?workbook=14_09.xlsx&amp;sheet=A0&amp;row=2228&amp;col=6&amp;number=378000&amp;sourceID=14","378000")</f>
        <v>378000</v>
      </c>
      <c r="G2228" s="4" t="str">
        <f>HYPERLINK("http://141.218.60.56/~jnz1568/getInfo.php?workbook=14_09.xlsx&amp;sheet=A0&amp;row=2228&amp;col=7&amp;number=0&amp;sourceID=14","0")</f>
        <v>0</v>
      </c>
    </row>
    <row r="2229" spans="1:7">
      <c r="A2229" s="3">
        <v>14</v>
      </c>
      <c r="B2229" s="3">
        <v>9</v>
      </c>
      <c r="C2229" s="3">
        <v>156</v>
      </c>
      <c r="D2229" s="3">
        <v>44</v>
      </c>
      <c r="E2229" s="3">
        <v>-378.084</v>
      </c>
      <c r="F2229" s="4" t="str">
        <f>HYPERLINK("http://141.218.60.56/~jnz1568/getInfo.php?workbook=14_09.xlsx&amp;sheet=A0&amp;row=2229&amp;col=6&amp;number=171000000&amp;sourceID=14","171000000")</f>
        <v>171000000</v>
      </c>
      <c r="G2229" s="4" t="str">
        <f>HYPERLINK("http://141.218.60.56/~jnz1568/getInfo.php?workbook=14_09.xlsx&amp;sheet=A0&amp;row=2229&amp;col=7&amp;number=0&amp;sourceID=14","0")</f>
        <v>0</v>
      </c>
    </row>
    <row r="2230" spans="1:7">
      <c r="A2230" s="3">
        <v>14</v>
      </c>
      <c r="B2230" s="3">
        <v>9</v>
      </c>
      <c r="C2230" s="3">
        <v>157</v>
      </c>
      <c r="D2230" s="3">
        <v>44</v>
      </c>
      <c r="E2230" s="3">
        <v>-374.462</v>
      </c>
      <c r="F2230" s="4" t="str">
        <f>HYPERLINK("http://141.218.60.56/~jnz1568/getInfo.php?workbook=14_09.xlsx&amp;sheet=A0&amp;row=2230&amp;col=6&amp;number=22900000&amp;sourceID=14","22900000")</f>
        <v>22900000</v>
      </c>
      <c r="G2230" s="4" t="str">
        <f>HYPERLINK("http://141.218.60.56/~jnz1568/getInfo.php?workbook=14_09.xlsx&amp;sheet=A0&amp;row=2230&amp;col=7&amp;number=0&amp;sourceID=14","0")</f>
        <v>0</v>
      </c>
    </row>
    <row r="2231" spans="1:7">
      <c r="A2231" s="3">
        <v>14</v>
      </c>
      <c r="B2231" s="3">
        <v>9</v>
      </c>
      <c r="C2231" s="3">
        <v>158</v>
      </c>
      <c r="D2231" s="3">
        <v>44</v>
      </c>
      <c r="E2231" s="3">
        <v>-373.716</v>
      </c>
      <c r="F2231" s="4" t="str">
        <f>HYPERLINK("http://141.218.60.56/~jnz1568/getInfo.php?workbook=14_09.xlsx&amp;sheet=A0&amp;row=2231&amp;col=6&amp;number=63200000&amp;sourceID=14","63200000")</f>
        <v>63200000</v>
      </c>
      <c r="G2231" s="4" t="str">
        <f>HYPERLINK("http://141.218.60.56/~jnz1568/getInfo.php?workbook=14_09.xlsx&amp;sheet=A0&amp;row=2231&amp;col=7&amp;number=0&amp;sourceID=14","0")</f>
        <v>0</v>
      </c>
    </row>
    <row r="2232" spans="1:7">
      <c r="A2232" s="3">
        <v>14</v>
      </c>
      <c r="B2232" s="3">
        <v>9</v>
      </c>
      <c r="C2232" s="3">
        <v>159</v>
      </c>
      <c r="D2232" s="3">
        <v>44</v>
      </c>
      <c r="E2232" s="3">
        <v>-365.997</v>
      </c>
      <c r="F2232" s="4" t="str">
        <f>HYPERLINK("http://141.218.60.56/~jnz1568/getInfo.php?workbook=14_09.xlsx&amp;sheet=A0&amp;row=2232&amp;col=6&amp;number=115000&amp;sourceID=14","115000")</f>
        <v>115000</v>
      </c>
      <c r="G2232" s="4" t="str">
        <f>HYPERLINK("http://141.218.60.56/~jnz1568/getInfo.php?workbook=14_09.xlsx&amp;sheet=A0&amp;row=2232&amp;col=7&amp;number=0&amp;sourceID=14","0")</f>
        <v>0</v>
      </c>
    </row>
    <row r="2233" spans="1:7">
      <c r="A2233" s="3">
        <v>14</v>
      </c>
      <c r="B2233" s="3">
        <v>9</v>
      </c>
      <c r="C2233" s="3">
        <v>160</v>
      </c>
      <c r="D2233" s="3">
        <v>44</v>
      </c>
      <c r="E2233" s="3">
        <v>-365.829</v>
      </c>
      <c r="F2233" s="4" t="str">
        <f>HYPERLINK("http://141.218.60.56/~jnz1568/getInfo.php?workbook=14_09.xlsx&amp;sheet=A0&amp;row=2233&amp;col=6&amp;number=230000&amp;sourceID=14","230000")</f>
        <v>230000</v>
      </c>
      <c r="G2233" s="4" t="str">
        <f>HYPERLINK("http://141.218.60.56/~jnz1568/getInfo.php?workbook=14_09.xlsx&amp;sheet=A0&amp;row=2233&amp;col=7&amp;number=0&amp;sourceID=14","0")</f>
        <v>0</v>
      </c>
    </row>
    <row r="2234" spans="1:7">
      <c r="A2234" s="3">
        <v>14</v>
      </c>
      <c r="B2234" s="3">
        <v>9</v>
      </c>
      <c r="C2234" s="3">
        <v>161</v>
      </c>
      <c r="D2234" s="3">
        <v>44</v>
      </c>
      <c r="E2234" s="3">
        <v>-328.9</v>
      </c>
      <c r="F2234" s="4" t="str">
        <f>HYPERLINK("http://141.218.60.56/~jnz1568/getInfo.php?workbook=14_09.xlsx&amp;sheet=A0&amp;row=2234&amp;col=6&amp;number=97700000&amp;sourceID=14","97700000")</f>
        <v>97700000</v>
      </c>
      <c r="G2234" s="4" t="str">
        <f>HYPERLINK("http://141.218.60.56/~jnz1568/getInfo.php?workbook=14_09.xlsx&amp;sheet=A0&amp;row=2234&amp;col=7&amp;number=0&amp;sourceID=14","0")</f>
        <v>0</v>
      </c>
    </row>
    <row r="2235" spans="1:7">
      <c r="A2235" s="3">
        <v>14</v>
      </c>
      <c r="B2235" s="3">
        <v>9</v>
      </c>
      <c r="C2235" s="3">
        <v>162</v>
      </c>
      <c r="D2235" s="3">
        <v>44</v>
      </c>
      <c r="E2235" s="3">
        <v>-320.519</v>
      </c>
      <c r="F2235" s="4" t="str">
        <f>HYPERLINK("http://141.218.60.56/~jnz1568/getInfo.php?workbook=14_09.xlsx&amp;sheet=A0&amp;row=2235&amp;col=6&amp;number=4600000000&amp;sourceID=14","4600000000")</f>
        <v>4600000000</v>
      </c>
      <c r="G2235" s="4" t="str">
        <f>HYPERLINK("http://141.218.60.56/~jnz1568/getInfo.php?workbook=14_09.xlsx&amp;sheet=A0&amp;row=2235&amp;col=7&amp;number=0&amp;sourceID=14","0")</f>
        <v>0</v>
      </c>
    </row>
    <row r="2236" spans="1:7">
      <c r="A2236" s="3">
        <v>14</v>
      </c>
      <c r="B2236" s="3">
        <v>9</v>
      </c>
      <c r="C2236" s="3">
        <v>163</v>
      </c>
      <c r="D2236" s="3">
        <v>44</v>
      </c>
      <c r="E2236" s="3">
        <v>-320.384</v>
      </c>
      <c r="F2236" s="4" t="str">
        <f>HYPERLINK("http://141.218.60.56/~jnz1568/getInfo.php?workbook=14_09.xlsx&amp;sheet=A0&amp;row=2236&amp;col=6&amp;number=763000000&amp;sourceID=14","763000000")</f>
        <v>763000000</v>
      </c>
      <c r="G2236" s="4" t="str">
        <f>HYPERLINK("http://141.218.60.56/~jnz1568/getInfo.php?workbook=14_09.xlsx&amp;sheet=A0&amp;row=2236&amp;col=7&amp;number=0&amp;sourceID=14","0")</f>
        <v>0</v>
      </c>
    </row>
    <row r="2237" spans="1:7">
      <c r="A2237" s="3">
        <v>14</v>
      </c>
      <c r="B2237" s="3">
        <v>9</v>
      </c>
      <c r="C2237" s="3">
        <v>164</v>
      </c>
      <c r="D2237" s="3">
        <v>44</v>
      </c>
      <c r="E2237" s="3">
        <v>-310.757</v>
      </c>
      <c r="F2237" s="4" t="str">
        <f>HYPERLINK("http://141.218.60.56/~jnz1568/getInfo.php?workbook=14_09.xlsx&amp;sheet=A0&amp;row=2237&amp;col=6&amp;number=245000&amp;sourceID=14","245000")</f>
        <v>245000</v>
      </c>
      <c r="G2237" s="4" t="str">
        <f>HYPERLINK("http://141.218.60.56/~jnz1568/getInfo.php?workbook=14_09.xlsx&amp;sheet=A0&amp;row=2237&amp;col=7&amp;number=0&amp;sourceID=14","0")</f>
        <v>0</v>
      </c>
    </row>
    <row r="2238" spans="1:7">
      <c r="A2238" s="3">
        <v>14</v>
      </c>
      <c r="B2238" s="3">
        <v>9</v>
      </c>
      <c r="C2238" s="3">
        <v>165</v>
      </c>
      <c r="D2238" s="3">
        <v>44</v>
      </c>
      <c r="E2238" s="3">
        <v>-310.748</v>
      </c>
      <c r="F2238" s="4" t="str">
        <f>HYPERLINK("http://141.218.60.56/~jnz1568/getInfo.php?workbook=14_09.xlsx&amp;sheet=A0&amp;row=2238&amp;col=6&amp;number=1100000&amp;sourceID=14","1100000")</f>
        <v>1100000</v>
      </c>
      <c r="G2238" s="4" t="str">
        <f>HYPERLINK("http://141.218.60.56/~jnz1568/getInfo.php?workbook=14_09.xlsx&amp;sheet=A0&amp;row=2238&amp;col=7&amp;number=0&amp;sourceID=14","0")</f>
        <v>0</v>
      </c>
    </row>
    <row r="2239" spans="1:7">
      <c r="A2239" s="3">
        <v>14</v>
      </c>
      <c r="B2239" s="3">
        <v>9</v>
      </c>
      <c r="C2239" s="3">
        <v>185</v>
      </c>
      <c r="D2239" s="3">
        <v>44</v>
      </c>
      <c r="E2239" s="3">
        <v>-243.98</v>
      </c>
      <c r="F2239" s="4" t="str">
        <f>HYPERLINK("http://141.218.60.56/~jnz1568/getInfo.php?workbook=14_09.xlsx&amp;sheet=A0&amp;row=2239&amp;col=6&amp;number=936000000&amp;sourceID=14","936000000")</f>
        <v>936000000</v>
      </c>
      <c r="G2239" s="4" t="str">
        <f>HYPERLINK("http://141.218.60.56/~jnz1568/getInfo.php?workbook=14_09.xlsx&amp;sheet=A0&amp;row=2239&amp;col=7&amp;number=0&amp;sourceID=14","0")</f>
        <v>0</v>
      </c>
    </row>
    <row r="2240" spans="1:7">
      <c r="A2240" s="3">
        <v>14</v>
      </c>
      <c r="B2240" s="3">
        <v>9</v>
      </c>
      <c r="C2240" s="3">
        <v>186</v>
      </c>
      <c r="D2240" s="3">
        <v>44</v>
      </c>
      <c r="E2240" s="3">
        <v>-243.602</v>
      </c>
      <c r="F2240" s="4" t="str">
        <f>HYPERLINK("http://141.218.60.56/~jnz1568/getInfo.php?workbook=14_09.xlsx&amp;sheet=A0&amp;row=2240&amp;col=6&amp;number=7260000000&amp;sourceID=14","7260000000")</f>
        <v>7260000000</v>
      </c>
      <c r="G2240" s="4" t="str">
        <f>HYPERLINK("http://141.218.60.56/~jnz1568/getInfo.php?workbook=14_09.xlsx&amp;sheet=A0&amp;row=2240&amp;col=7&amp;number=0&amp;sourceID=14","0")</f>
        <v>0</v>
      </c>
    </row>
    <row r="2241" spans="1:7">
      <c r="A2241" s="3">
        <v>14</v>
      </c>
      <c r="B2241" s="3">
        <v>9</v>
      </c>
      <c r="C2241" s="3">
        <v>187</v>
      </c>
      <c r="D2241" s="3">
        <v>44</v>
      </c>
      <c r="E2241" s="3">
        <v>-240.728</v>
      </c>
      <c r="F2241" s="4" t="str">
        <f>HYPERLINK("http://141.218.60.56/~jnz1568/getInfo.php?workbook=14_09.xlsx&amp;sheet=A0&amp;row=2241&amp;col=6&amp;number=2820000000&amp;sourceID=14","2820000000")</f>
        <v>2820000000</v>
      </c>
      <c r="G2241" s="4" t="str">
        <f>HYPERLINK("http://141.218.60.56/~jnz1568/getInfo.php?workbook=14_09.xlsx&amp;sheet=A0&amp;row=2241&amp;col=7&amp;number=0&amp;sourceID=14","0")</f>
        <v>0</v>
      </c>
    </row>
    <row r="2242" spans="1:7">
      <c r="A2242" s="3">
        <v>14</v>
      </c>
      <c r="B2242" s="3">
        <v>9</v>
      </c>
      <c r="C2242" s="3">
        <v>188</v>
      </c>
      <c r="D2242" s="3">
        <v>44</v>
      </c>
      <c r="E2242" s="3">
        <v>-240.546</v>
      </c>
      <c r="F2242" s="4" t="str">
        <f>HYPERLINK("http://141.218.60.56/~jnz1568/getInfo.php?workbook=14_09.xlsx&amp;sheet=A0&amp;row=2242&amp;col=6&amp;number=7490000000&amp;sourceID=14","7490000000")</f>
        <v>7490000000</v>
      </c>
      <c r="G2242" s="4" t="str">
        <f>HYPERLINK("http://141.218.60.56/~jnz1568/getInfo.php?workbook=14_09.xlsx&amp;sheet=A0&amp;row=2242&amp;col=7&amp;number=0&amp;sourceID=14","0")</f>
        <v>0</v>
      </c>
    </row>
    <row r="2243" spans="1:7">
      <c r="A2243" s="3">
        <v>14</v>
      </c>
      <c r="B2243" s="3">
        <v>9</v>
      </c>
      <c r="C2243" s="3">
        <v>189</v>
      </c>
      <c r="D2243" s="3">
        <v>44</v>
      </c>
      <c r="E2243" s="3">
        <v>-233.014</v>
      </c>
      <c r="F2243" s="4" t="str">
        <f>HYPERLINK("http://141.218.60.56/~jnz1568/getInfo.php?workbook=14_09.xlsx&amp;sheet=A0&amp;row=2243&amp;col=6&amp;number=4540000000&amp;sourceID=14","4540000000")</f>
        <v>4540000000</v>
      </c>
      <c r="G2243" s="4" t="str">
        <f>HYPERLINK("http://141.218.60.56/~jnz1568/getInfo.php?workbook=14_09.xlsx&amp;sheet=A0&amp;row=2243&amp;col=7&amp;number=0&amp;sourceID=14","0")</f>
        <v>0</v>
      </c>
    </row>
    <row r="2244" spans="1:7">
      <c r="A2244" s="3">
        <v>14</v>
      </c>
      <c r="B2244" s="3">
        <v>9</v>
      </c>
      <c r="C2244" s="3">
        <v>60</v>
      </c>
      <c r="D2244" s="3">
        <v>45</v>
      </c>
      <c r="E2244" s="3">
        <v>-921.44</v>
      </c>
      <c r="F2244" s="4" t="str">
        <f>HYPERLINK("http://141.218.60.56/~jnz1568/getInfo.php?workbook=14_09.xlsx&amp;sheet=A0&amp;row=2244&amp;col=6&amp;number=2030000000&amp;sourceID=14","2030000000")</f>
        <v>2030000000</v>
      </c>
      <c r="G2244" s="4" t="str">
        <f>HYPERLINK("http://141.218.60.56/~jnz1568/getInfo.php?workbook=14_09.xlsx&amp;sheet=A0&amp;row=2244&amp;col=7&amp;number=0&amp;sourceID=14","0")</f>
        <v>0</v>
      </c>
    </row>
    <row r="2245" spans="1:7">
      <c r="A2245" s="3">
        <v>14</v>
      </c>
      <c r="B2245" s="3">
        <v>9</v>
      </c>
      <c r="C2245" s="3">
        <v>62</v>
      </c>
      <c r="D2245" s="3">
        <v>45</v>
      </c>
      <c r="E2245" s="3">
        <v>-810.098</v>
      </c>
      <c r="F2245" s="4" t="str">
        <f>HYPERLINK("http://141.218.60.56/~jnz1568/getInfo.php?workbook=14_09.xlsx&amp;sheet=A0&amp;row=2245&amp;col=6&amp;number=2740000&amp;sourceID=14","2740000")</f>
        <v>2740000</v>
      </c>
      <c r="G2245" s="4" t="str">
        <f>HYPERLINK("http://141.218.60.56/~jnz1568/getInfo.php?workbook=14_09.xlsx&amp;sheet=A0&amp;row=2245&amp;col=7&amp;number=0&amp;sourceID=14","0")</f>
        <v>0</v>
      </c>
    </row>
    <row r="2246" spans="1:7">
      <c r="A2246" s="3">
        <v>14</v>
      </c>
      <c r="B2246" s="3">
        <v>9</v>
      </c>
      <c r="C2246" s="3">
        <v>63</v>
      </c>
      <c r="D2246" s="3">
        <v>45</v>
      </c>
      <c r="E2246" s="3">
        <v>-795.186</v>
      </c>
      <c r="F2246" s="4" t="str">
        <f>HYPERLINK("http://141.218.60.56/~jnz1568/getInfo.php?workbook=14_09.xlsx&amp;sheet=A0&amp;row=2246&amp;col=6&amp;number=2720000&amp;sourceID=14","2720000")</f>
        <v>2720000</v>
      </c>
      <c r="G2246" s="4" t="str">
        <f>HYPERLINK("http://141.218.60.56/~jnz1568/getInfo.php?workbook=14_09.xlsx&amp;sheet=A0&amp;row=2246&amp;col=7&amp;number=0&amp;sourceID=14","0")</f>
        <v>0</v>
      </c>
    </row>
    <row r="2247" spans="1:7">
      <c r="A2247" s="3">
        <v>14</v>
      </c>
      <c r="B2247" s="3">
        <v>9</v>
      </c>
      <c r="C2247" s="3">
        <v>64</v>
      </c>
      <c r="D2247" s="3">
        <v>45</v>
      </c>
      <c r="E2247" s="3">
        <v>-786.598</v>
      </c>
      <c r="F2247" s="4" t="str">
        <f>HYPERLINK("http://141.218.60.56/~jnz1568/getInfo.php?workbook=14_09.xlsx&amp;sheet=A0&amp;row=2247&amp;col=6&amp;number=15500000&amp;sourceID=14","15500000")</f>
        <v>15500000</v>
      </c>
      <c r="G2247" s="4" t="str">
        <f>HYPERLINK("http://141.218.60.56/~jnz1568/getInfo.php?workbook=14_09.xlsx&amp;sheet=A0&amp;row=2247&amp;col=7&amp;number=0&amp;sourceID=14","0")</f>
        <v>0</v>
      </c>
    </row>
    <row r="2248" spans="1:7">
      <c r="A2248" s="3">
        <v>14</v>
      </c>
      <c r="B2248" s="3">
        <v>9</v>
      </c>
      <c r="C2248" s="3">
        <v>65</v>
      </c>
      <c r="D2248" s="3">
        <v>45</v>
      </c>
      <c r="E2248" s="3">
        <v>-767.161</v>
      </c>
      <c r="F2248" s="4" t="str">
        <f>HYPERLINK("http://141.218.60.56/~jnz1568/getInfo.php?workbook=14_09.xlsx&amp;sheet=A0&amp;row=2248&amp;col=6&amp;number=83300000&amp;sourceID=14","83300000")</f>
        <v>83300000</v>
      </c>
      <c r="G2248" s="4" t="str">
        <f>HYPERLINK("http://141.218.60.56/~jnz1568/getInfo.php?workbook=14_09.xlsx&amp;sheet=A0&amp;row=2248&amp;col=7&amp;number=0&amp;sourceID=14","0")</f>
        <v>0</v>
      </c>
    </row>
    <row r="2249" spans="1:7">
      <c r="A2249" s="3">
        <v>14</v>
      </c>
      <c r="B2249" s="3">
        <v>9</v>
      </c>
      <c r="C2249" s="3">
        <v>80</v>
      </c>
      <c r="D2249" s="3">
        <v>45</v>
      </c>
      <c r="E2249" s="3">
        <v>-585.409</v>
      </c>
      <c r="F2249" s="4" t="str">
        <f>HYPERLINK("http://141.218.60.56/~jnz1568/getInfo.php?workbook=14_09.xlsx&amp;sheet=A0&amp;row=2249&amp;col=6&amp;number=38700000&amp;sourceID=14","38700000")</f>
        <v>38700000</v>
      </c>
      <c r="G2249" s="4" t="str">
        <f>HYPERLINK("http://141.218.60.56/~jnz1568/getInfo.php?workbook=14_09.xlsx&amp;sheet=A0&amp;row=2249&amp;col=7&amp;number=0&amp;sourceID=14","0")</f>
        <v>0</v>
      </c>
    </row>
    <row r="2250" spans="1:7">
      <c r="A2250" s="3">
        <v>14</v>
      </c>
      <c r="B2250" s="3">
        <v>9</v>
      </c>
      <c r="C2250" s="3">
        <v>89</v>
      </c>
      <c r="D2250" s="3">
        <v>45</v>
      </c>
      <c r="E2250" s="3">
        <v>-520.184</v>
      </c>
      <c r="F2250" s="4" t="str">
        <f>HYPERLINK("http://141.218.60.56/~jnz1568/getInfo.php?workbook=14_09.xlsx&amp;sheet=A0&amp;row=2250&amp;col=6&amp;number=2250000&amp;sourceID=14","2250000")</f>
        <v>2250000</v>
      </c>
      <c r="G2250" s="4" t="str">
        <f>HYPERLINK("http://141.218.60.56/~jnz1568/getInfo.php?workbook=14_09.xlsx&amp;sheet=A0&amp;row=2250&amp;col=7&amp;number=0&amp;sourceID=14","0")</f>
        <v>0</v>
      </c>
    </row>
    <row r="2251" spans="1:7">
      <c r="A2251" s="3">
        <v>14</v>
      </c>
      <c r="B2251" s="3">
        <v>9</v>
      </c>
      <c r="C2251" s="3">
        <v>92</v>
      </c>
      <c r="D2251" s="3">
        <v>45</v>
      </c>
      <c r="E2251" s="3">
        <v>-511.895</v>
      </c>
      <c r="F2251" s="4" t="str">
        <f>HYPERLINK("http://141.218.60.56/~jnz1568/getInfo.php?workbook=14_09.xlsx&amp;sheet=A0&amp;row=2251&amp;col=6&amp;number=961000&amp;sourceID=14","961000")</f>
        <v>961000</v>
      </c>
      <c r="G2251" s="4" t="str">
        <f>HYPERLINK("http://141.218.60.56/~jnz1568/getInfo.php?workbook=14_09.xlsx&amp;sheet=A0&amp;row=2251&amp;col=7&amp;number=0&amp;sourceID=14","0")</f>
        <v>0</v>
      </c>
    </row>
    <row r="2252" spans="1:7">
      <c r="A2252" s="3">
        <v>14</v>
      </c>
      <c r="B2252" s="3">
        <v>9</v>
      </c>
      <c r="C2252" s="3">
        <v>94</v>
      </c>
      <c r="D2252" s="3">
        <v>45</v>
      </c>
      <c r="E2252" s="3">
        <v>-509.148</v>
      </c>
      <c r="F2252" s="4" t="str">
        <f>HYPERLINK("http://141.218.60.56/~jnz1568/getInfo.php?workbook=14_09.xlsx&amp;sheet=A0&amp;row=2252&amp;col=6&amp;number=705000&amp;sourceID=14","705000")</f>
        <v>705000</v>
      </c>
      <c r="G2252" s="4" t="str">
        <f>HYPERLINK("http://141.218.60.56/~jnz1568/getInfo.php?workbook=14_09.xlsx&amp;sheet=A0&amp;row=2252&amp;col=7&amp;number=0&amp;sourceID=14","0")</f>
        <v>0</v>
      </c>
    </row>
    <row r="2253" spans="1:7">
      <c r="A2253" s="3">
        <v>14</v>
      </c>
      <c r="B2253" s="3">
        <v>9</v>
      </c>
      <c r="C2253" s="3">
        <v>96</v>
      </c>
      <c r="D2253" s="3">
        <v>45</v>
      </c>
      <c r="E2253" s="3">
        <v>-505.71</v>
      </c>
      <c r="F2253" s="4" t="str">
        <f>HYPERLINK("http://141.218.60.56/~jnz1568/getInfo.php?workbook=14_09.xlsx&amp;sheet=A0&amp;row=2253&amp;col=6&amp;number=1780000&amp;sourceID=14","1780000")</f>
        <v>1780000</v>
      </c>
      <c r="G2253" s="4" t="str">
        <f>HYPERLINK("http://141.218.60.56/~jnz1568/getInfo.php?workbook=14_09.xlsx&amp;sheet=A0&amp;row=2253&amp;col=7&amp;number=0&amp;sourceID=14","0")</f>
        <v>0</v>
      </c>
    </row>
    <row r="2254" spans="1:7">
      <c r="A2254" s="3">
        <v>14</v>
      </c>
      <c r="B2254" s="3">
        <v>9</v>
      </c>
      <c r="C2254" s="3">
        <v>99</v>
      </c>
      <c r="D2254" s="3">
        <v>45</v>
      </c>
      <c r="E2254" s="3">
        <v>-498.692</v>
      </c>
      <c r="F2254" s="4" t="str">
        <f>HYPERLINK("http://141.218.60.56/~jnz1568/getInfo.php?workbook=14_09.xlsx&amp;sheet=A0&amp;row=2254&amp;col=6&amp;number=96700000&amp;sourceID=14","96700000")</f>
        <v>96700000</v>
      </c>
      <c r="G2254" s="4" t="str">
        <f>HYPERLINK("http://141.218.60.56/~jnz1568/getInfo.php?workbook=14_09.xlsx&amp;sheet=A0&amp;row=2254&amp;col=7&amp;number=0&amp;sourceID=14","0")</f>
        <v>0</v>
      </c>
    </row>
    <row r="2255" spans="1:7">
      <c r="A2255" s="3">
        <v>14</v>
      </c>
      <c r="B2255" s="3">
        <v>9</v>
      </c>
      <c r="C2255" s="3">
        <v>100</v>
      </c>
      <c r="D2255" s="3">
        <v>45</v>
      </c>
      <c r="E2255" s="3">
        <v>-496.9</v>
      </c>
      <c r="F2255" s="4" t="str">
        <f>HYPERLINK("http://141.218.60.56/~jnz1568/getInfo.php?workbook=14_09.xlsx&amp;sheet=A0&amp;row=2255&amp;col=6&amp;number=10100000&amp;sourceID=14","10100000")</f>
        <v>10100000</v>
      </c>
      <c r="G2255" s="4" t="str">
        <f>HYPERLINK("http://141.218.60.56/~jnz1568/getInfo.php?workbook=14_09.xlsx&amp;sheet=A0&amp;row=2255&amp;col=7&amp;number=0&amp;sourceID=14","0")</f>
        <v>0</v>
      </c>
    </row>
    <row r="2256" spans="1:7">
      <c r="A2256" s="3">
        <v>14</v>
      </c>
      <c r="B2256" s="3">
        <v>9</v>
      </c>
      <c r="C2256" s="3">
        <v>110</v>
      </c>
      <c r="D2256" s="3">
        <v>45</v>
      </c>
      <c r="E2256" s="3">
        <v>-488.731</v>
      </c>
      <c r="F2256" s="4" t="str">
        <f>HYPERLINK("http://141.218.60.56/~jnz1568/getInfo.php?workbook=14_09.xlsx&amp;sheet=A0&amp;row=2256&amp;col=6&amp;number=123000000&amp;sourceID=14","123000000")</f>
        <v>123000000</v>
      </c>
      <c r="G2256" s="4" t="str">
        <f>HYPERLINK("http://141.218.60.56/~jnz1568/getInfo.php?workbook=14_09.xlsx&amp;sheet=A0&amp;row=2256&amp;col=7&amp;number=0&amp;sourceID=14","0")</f>
        <v>0</v>
      </c>
    </row>
    <row r="2257" spans="1:7">
      <c r="A2257" s="3">
        <v>14</v>
      </c>
      <c r="B2257" s="3">
        <v>9</v>
      </c>
      <c r="C2257" s="3">
        <v>127</v>
      </c>
      <c r="D2257" s="3">
        <v>45</v>
      </c>
      <c r="E2257" s="3">
        <v>-421.183</v>
      </c>
      <c r="F2257" s="4" t="str">
        <f>HYPERLINK("http://141.218.60.56/~jnz1568/getInfo.php?workbook=14_09.xlsx&amp;sheet=A0&amp;row=2257&amp;col=6&amp;number=2910000000&amp;sourceID=14","2910000000")</f>
        <v>2910000000</v>
      </c>
      <c r="G2257" s="4" t="str">
        <f>HYPERLINK("http://141.218.60.56/~jnz1568/getInfo.php?workbook=14_09.xlsx&amp;sheet=A0&amp;row=2257&amp;col=7&amp;number=0&amp;sourceID=14","0")</f>
        <v>0</v>
      </c>
    </row>
    <row r="2258" spans="1:7">
      <c r="A2258" s="3">
        <v>14</v>
      </c>
      <c r="B2258" s="3">
        <v>9</v>
      </c>
      <c r="C2258" s="3">
        <v>134</v>
      </c>
      <c r="D2258" s="3">
        <v>45</v>
      </c>
      <c r="E2258" s="3">
        <v>-409.179</v>
      </c>
      <c r="F2258" s="4" t="str">
        <f>HYPERLINK("http://141.218.60.56/~jnz1568/getInfo.php?workbook=14_09.xlsx&amp;sheet=A0&amp;row=2258&amp;col=6&amp;number=48200000&amp;sourceID=14","48200000")</f>
        <v>48200000</v>
      </c>
      <c r="G2258" s="4" t="str">
        <f>HYPERLINK("http://141.218.60.56/~jnz1568/getInfo.php?workbook=14_09.xlsx&amp;sheet=A0&amp;row=2258&amp;col=7&amp;number=0&amp;sourceID=14","0")</f>
        <v>0</v>
      </c>
    </row>
    <row r="2259" spans="1:7">
      <c r="A2259" s="3">
        <v>14</v>
      </c>
      <c r="B2259" s="3">
        <v>9</v>
      </c>
      <c r="C2259" s="3">
        <v>136</v>
      </c>
      <c r="D2259" s="3">
        <v>45</v>
      </c>
      <c r="E2259" s="3">
        <v>-408.151</v>
      </c>
      <c r="F2259" s="4" t="str">
        <f>HYPERLINK("http://141.218.60.56/~jnz1568/getInfo.php?workbook=14_09.xlsx&amp;sheet=A0&amp;row=2259&amp;col=6&amp;number=102000000&amp;sourceID=14","102000000")</f>
        <v>102000000</v>
      </c>
      <c r="G2259" s="4" t="str">
        <f>HYPERLINK("http://141.218.60.56/~jnz1568/getInfo.php?workbook=14_09.xlsx&amp;sheet=A0&amp;row=2259&amp;col=7&amp;number=0&amp;sourceID=14","0")</f>
        <v>0</v>
      </c>
    </row>
    <row r="2260" spans="1:7">
      <c r="A2260" s="3">
        <v>14</v>
      </c>
      <c r="B2260" s="3">
        <v>9</v>
      </c>
      <c r="C2260" s="3">
        <v>137</v>
      </c>
      <c r="D2260" s="3">
        <v>45</v>
      </c>
      <c r="E2260" s="3">
        <v>-406.69</v>
      </c>
      <c r="F2260" s="4" t="str">
        <f>HYPERLINK("http://141.218.60.56/~jnz1568/getInfo.php?workbook=14_09.xlsx&amp;sheet=A0&amp;row=2260&amp;col=6&amp;number=619000000&amp;sourceID=14","619000000")</f>
        <v>619000000</v>
      </c>
      <c r="G2260" s="4" t="str">
        <f>HYPERLINK("http://141.218.60.56/~jnz1568/getInfo.php?workbook=14_09.xlsx&amp;sheet=A0&amp;row=2260&amp;col=7&amp;number=0&amp;sourceID=14","0")</f>
        <v>0</v>
      </c>
    </row>
    <row r="2261" spans="1:7">
      <c r="A2261" s="3">
        <v>14</v>
      </c>
      <c r="B2261" s="3">
        <v>9</v>
      </c>
      <c r="C2261" s="3">
        <v>148</v>
      </c>
      <c r="D2261" s="3">
        <v>45</v>
      </c>
      <c r="E2261" s="3">
        <v>-394.699</v>
      </c>
      <c r="F2261" s="4" t="str">
        <f>HYPERLINK("http://141.218.60.56/~jnz1568/getInfo.php?workbook=14_09.xlsx&amp;sheet=A0&amp;row=2261&amp;col=6&amp;number=2940000&amp;sourceID=14","2940000")</f>
        <v>2940000</v>
      </c>
      <c r="G2261" s="4" t="str">
        <f>HYPERLINK("http://141.218.60.56/~jnz1568/getInfo.php?workbook=14_09.xlsx&amp;sheet=A0&amp;row=2261&amp;col=7&amp;number=0&amp;sourceID=14","0")</f>
        <v>0</v>
      </c>
    </row>
    <row r="2262" spans="1:7">
      <c r="A2262" s="3">
        <v>14</v>
      </c>
      <c r="B2262" s="3">
        <v>9</v>
      </c>
      <c r="C2262" s="3">
        <v>154</v>
      </c>
      <c r="D2262" s="3">
        <v>45</v>
      </c>
      <c r="E2262" s="3">
        <v>-380.841</v>
      </c>
      <c r="F2262" s="4" t="str">
        <f>HYPERLINK("http://141.218.60.56/~jnz1568/getInfo.php?workbook=14_09.xlsx&amp;sheet=A0&amp;row=2262&amp;col=6&amp;number=6310000&amp;sourceID=14","6310000")</f>
        <v>6310000</v>
      </c>
      <c r="G2262" s="4" t="str">
        <f>HYPERLINK("http://141.218.60.56/~jnz1568/getInfo.php?workbook=14_09.xlsx&amp;sheet=A0&amp;row=2262&amp;col=7&amp;number=0&amp;sourceID=14","0")</f>
        <v>0</v>
      </c>
    </row>
    <row r="2263" spans="1:7">
      <c r="A2263" s="3">
        <v>14</v>
      </c>
      <c r="B2263" s="3">
        <v>9</v>
      </c>
      <c r="C2263" s="3">
        <v>155</v>
      </c>
      <c r="D2263" s="3">
        <v>45</v>
      </c>
      <c r="E2263" s="3">
        <v>-379.891</v>
      </c>
      <c r="F2263" s="4" t="str">
        <f>HYPERLINK("http://141.218.60.56/~jnz1568/getInfo.php?workbook=14_09.xlsx&amp;sheet=A0&amp;row=2263&amp;col=6&amp;number=1420000&amp;sourceID=14","1420000")</f>
        <v>1420000</v>
      </c>
      <c r="G2263" s="4" t="str">
        <f>HYPERLINK("http://141.218.60.56/~jnz1568/getInfo.php?workbook=14_09.xlsx&amp;sheet=A0&amp;row=2263&amp;col=7&amp;number=0&amp;sourceID=14","0")</f>
        <v>0</v>
      </c>
    </row>
    <row r="2264" spans="1:7">
      <c r="A2264" s="3">
        <v>14</v>
      </c>
      <c r="B2264" s="3">
        <v>9</v>
      </c>
      <c r="C2264" s="3">
        <v>156</v>
      </c>
      <c r="D2264" s="3">
        <v>45</v>
      </c>
      <c r="E2264" s="3">
        <v>-378.563</v>
      </c>
      <c r="F2264" s="4" t="str">
        <f>HYPERLINK("http://141.218.60.56/~jnz1568/getInfo.php?workbook=14_09.xlsx&amp;sheet=A0&amp;row=2264&amp;col=6&amp;number=46500000&amp;sourceID=14","46500000")</f>
        <v>46500000</v>
      </c>
      <c r="G2264" s="4" t="str">
        <f>HYPERLINK("http://141.218.60.56/~jnz1568/getInfo.php?workbook=14_09.xlsx&amp;sheet=A0&amp;row=2264&amp;col=7&amp;number=0&amp;sourceID=14","0")</f>
        <v>0</v>
      </c>
    </row>
    <row r="2265" spans="1:7">
      <c r="A2265" s="3">
        <v>14</v>
      </c>
      <c r="B2265" s="3">
        <v>9</v>
      </c>
      <c r="C2265" s="3">
        <v>157</v>
      </c>
      <c r="D2265" s="3">
        <v>45</v>
      </c>
      <c r="E2265" s="3">
        <v>-374.933</v>
      </c>
      <c r="F2265" s="4" t="str">
        <f>HYPERLINK("http://141.218.60.56/~jnz1568/getInfo.php?workbook=14_09.xlsx&amp;sheet=A0&amp;row=2265&amp;col=6&amp;number=237000000&amp;sourceID=14","237000000")</f>
        <v>237000000</v>
      </c>
      <c r="G2265" s="4" t="str">
        <f>HYPERLINK("http://141.218.60.56/~jnz1568/getInfo.php?workbook=14_09.xlsx&amp;sheet=A0&amp;row=2265&amp;col=7&amp;number=0&amp;sourceID=14","0")</f>
        <v>0</v>
      </c>
    </row>
    <row r="2266" spans="1:7">
      <c r="A2266" s="3">
        <v>14</v>
      </c>
      <c r="B2266" s="3">
        <v>9</v>
      </c>
      <c r="C2266" s="3">
        <v>158</v>
      </c>
      <c r="D2266" s="3">
        <v>45</v>
      </c>
      <c r="E2266" s="3">
        <v>-374.185</v>
      </c>
      <c r="F2266" s="4" t="str">
        <f>HYPERLINK("http://141.218.60.56/~jnz1568/getInfo.php?workbook=14_09.xlsx&amp;sheet=A0&amp;row=2266&amp;col=6&amp;number=142000000&amp;sourceID=14","142000000")</f>
        <v>142000000</v>
      </c>
      <c r="G2266" s="4" t="str">
        <f>HYPERLINK("http://141.218.60.56/~jnz1568/getInfo.php?workbook=14_09.xlsx&amp;sheet=A0&amp;row=2266&amp;col=7&amp;number=0&amp;sourceID=14","0")</f>
        <v>0</v>
      </c>
    </row>
    <row r="2267" spans="1:7">
      <c r="A2267" s="3">
        <v>14</v>
      </c>
      <c r="B2267" s="3">
        <v>9</v>
      </c>
      <c r="C2267" s="3">
        <v>159</v>
      </c>
      <c r="D2267" s="3">
        <v>45</v>
      </c>
      <c r="E2267" s="3">
        <v>-366.446</v>
      </c>
      <c r="F2267" s="4" t="str">
        <f>HYPERLINK("http://141.218.60.56/~jnz1568/getInfo.php?workbook=14_09.xlsx&amp;sheet=A0&amp;row=2267&amp;col=6&amp;number=114000&amp;sourceID=14","114000")</f>
        <v>114000</v>
      </c>
      <c r="G2267" s="4" t="str">
        <f>HYPERLINK("http://141.218.60.56/~jnz1568/getInfo.php?workbook=14_09.xlsx&amp;sheet=A0&amp;row=2267&amp;col=7&amp;number=0&amp;sourceID=14","0")</f>
        <v>0</v>
      </c>
    </row>
    <row r="2268" spans="1:7">
      <c r="A2268" s="3">
        <v>14</v>
      </c>
      <c r="B2268" s="3">
        <v>9</v>
      </c>
      <c r="C2268" s="3">
        <v>161</v>
      </c>
      <c r="D2268" s="3">
        <v>45</v>
      </c>
      <c r="E2268" s="3">
        <v>-329.263</v>
      </c>
      <c r="F2268" s="4" t="str">
        <f>HYPERLINK("http://141.218.60.56/~jnz1568/getInfo.php?workbook=14_09.xlsx&amp;sheet=A0&amp;row=2268&amp;col=6&amp;number=48300000&amp;sourceID=14","48300000")</f>
        <v>48300000</v>
      </c>
      <c r="G2268" s="4" t="str">
        <f>HYPERLINK("http://141.218.60.56/~jnz1568/getInfo.php?workbook=14_09.xlsx&amp;sheet=A0&amp;row=2268&amp;col=7&amp;number=0&amp;sourceID=14","0")</f>
        <v>0</v>
      </c>
    </row>
    <row r="2269" spans="1:7">
      <c r="A2269" s="3">
        <v>14</v>
      </c>
      <c r="B2269" s="3">
        <v>9</v>
      </c>
      <c r="C2269" s="3">
        <v>163</v>
      </c>
      <c r="D2269" s="3">
        <v>45</v>
      </c>
      <c r="E2269" s="3">
        <v>-320.728</v>
      </c>
      <c r="F2269" s="4" t="str">
        <f>HYPERLINK("http://141.218.60.56/~jnz1568/getInfo.php?workbook=14_09.xlsx&amp;sheet=A0&amp;row=2269&amp;col=6&amp;number=3800000000&amp;sourceID=14","3800000000")</f>
        <v>3800000000</v>
      </c>
      <c r="G2269" s="4" t="str">
        <f>HYPERLINK("http://141.218.60.56/~jnz1568/getInfo.php?workbook=14_09.xlsx&amp;sheet=A0&amp;row=2269&amp;col=7&amp;number=0&amp;sourceID=14","0")</f>
        <v>0</v>
      </c>
    </row>
    <row r="2270" spans="1:7">
      <c r="A2270" s="3">
        <v>14</v>
      </c>
      <c r="B2270" s="3">
        <v>9</v>
      </c>
      <c r="C2270" s="3">
        <v>164</v>
      </c>
      <c r="D2270" s="3">
        <v>45</v>
      </c>
      <c r="E2270" s="3">
        <v>-311.081</v>
      </c>
      <c r="F2270" s="4" t="str">
        <f>HYPERLINK("http://141.218.60.56/~jnz1568/getInfo.php?workbook=14_09.xlsx&amp;sheet=A0&amp;row=2270&amp;col=6&amp;number=847000&amp;sourceID=14","847000")</f>
        <v>847000</v>
      </c>
      <c r="G2270" s="4" t="str">
        <f>HYPERLINK("http://141.218.60.56/~jnz1568/getInfo.php?workbook=14_09.xlsx&amp;sheet=A0&amp;row=2270&amp;col=7&amp;number=0&amp;sourceID=14","0")</f>
        <v>0</v>
      </c>
    </row>
    <row r="2271" spans="1:7">
      <c r="A2271" s="3">
        <v>14</v>
      </c>
      <c r="B2271" s="3">
        <v>9</v>
      </c>
      <c r="C2271" s="3">
        <v>185</v>
      </c>
      <c r="D2271" s="3">
        <v>45</v>
      </c>
      <c r="E2271" s="3">
        <v>-244.179</v>
      </c>
      <c r="F2271" s="4" t="str">
        <f>HYPERLINK("http://141.218.60.56/~jnz1568/getInfo.php?workbook=14_09.xlsx&amp;sheet=A0&amp;row=2271&amp;col=6&amp;number=6390000000&amp;sourceID=14","6390000000")</f>
        <v>6390000000</v>
      </c>
      <c r="G2271" s="4" t="str">
        <f>HYPERLINK("http://141.218.60.56/~jnz1568/getInfo.php?workbook=14_09.xlsx&amp;sheet=A0&amp;row=2271&amp;col=7&amp;number=0&amp;sourceID=14","0")</f>
        <v>0</v>
      </c>
    </row>
    <row r="2272" spans="1:7">
      <c r="A2272" s="3">
        <v>14</v>
      </c>
      <c r="B2272" s="3">
        <v>9</v>
      </c>
      <c r="C2272" s="3">
        <v>187</v>
      </c>
      <c r="D2272" s="3">
        <v>45</v>
      </c>
      <c r="E2272" s="3">
        <v>-240.922</v>
      </c>
      <c r="F2272" s="4" t="str">
        <f>HYPERLINK("http://141.218.60.56/~jnz1568/getInfo.php?workbook=14_09.xlsx&amp;sheet=A0&amp;row=2272&amp;col=6&amp;number=5080000000&amp;sourceID=14","5080000000")</f>
        <v>5080000000</v>
      </c>
      <c r="G2272" s="4" t="str">
        <f>HYPERLINK("http://141.218.60.56/~jnz1568/getInfo.php?workbook=14_09.xlsx&amp;sheet=A0&amp;row=2272&amp;col=7&amp;number=0&amp;sourceID=14","0")</f>
        <v>0</v>
      </c>
    </row>
    <row r="2273" spans="1:7">
      <c r="A2273" s="3">
        <v>14</v>
      </c>
      <c r="B2273" s="3">
        <v>9</v>
      </c>
      <c r="C2273" s="3">
        <v>188</v>
      </c>
      <c r="D2273" s="3">
        <v>45</v>
      </c>
      <c r="E2273" s="3">
        <v>-240.74</v>
      </c>
      <c r="F2273" s="4" t="str">
        <f>HYPERLINK("http://141.218.60.56/~jnz1568/getInfo.php?workbook=14_09.xlsx&amp;sheet=A0&amp;row=2273&amp;col=6&amp;number=989000000&amp;sourceID=14","989000000")</f>
        <v>989000000</v>
      </c>
      <c r="G2273" s="4" t="str">
        <f>HYPERLINK("http://141.218.60.56/~jnz1568/getInfo.php?workbook=14_09.xlsx&amp;sheet=A0&amp;row=2273&amp;col=7&amp;number=0&amp;sourceID=14","0")</f>
        <v>0</v>
      </c>
    </row>
    <row r="2274" spans="1:7">
      <c r="A2274" s="3">
        <v>14</v>
      </c>
      <c r="B2274" s="3">
        <v>9</v>
      </c>
      <c r="C2274" s="3">
        <v>189</v>
      </c>
      <c r="D2274" s="3">
        <v>45</v>
      </c>
      <c r="E2274" s="3">
        <v>-233.196</v>
      </c>
      <c r="F2274" s="4" t="str">
        <f>HYPERLINK("http://141.218.60.56/~jnz1568/getInfo.php?workbook=14_09.xlsx&amp;sheet=A0&amp;row=2274&amp;col=6&amp;number=2800000000&amp;sourceID=14","2800000000")</f>
        <v>2800000000</v>
      </c>
      <c r="G2274" s="4" t="str">
        <f>HYPERLINK("http://141.218.60.56/~jnz1568/getInfo.php?workbook=14_09.xlsx&amp;sheet=A0&amp;row=2274&amp;col=7&amp;number=0&amp;sourceID=14","0")</f>
        <v>0</v>
      </c>
    </row>
    <row r="2275" spans="1:7">
      <c r="A2275" s="3">
        <v>14</v>
      </c>
      <c r="B2275" s="3">
        <v>9</v>
      </c>
      <c r="C2275" s="3">
        <v>68</v>
      </c>
      <c r="D2275" s="3">
        <v>46</v>
      </c>
      <c r="E2275" s="3">
        <v>-670.234</v>
      </c>
      <c r="F2275" s="4" t="str">
        <f>HYPERLINK("http://141.218.60.56/~jnz1568/getInfo.php?workbook=14_09.xlsx&amp;sheet=A0&amp;row=2275&amp;col=6&amp;number=3840000&amp;sourceID=14","3840000")</f>
        <v>3840000</v>
      </c>
      <c r="G2275" s="4" t="str">
        <f>HYPERLINK("http://141.218.60.56/~jnz1568/getInfo.php?workbook=14_09.xlsx&amp;sheet=A0&amp;row=2275&amp;col=7&amp;number=0&amp;sourceID=14","0")</f>
        <v>0</v>
      </c>
    </row>
    <row r="2276" spans="1:7">
      <c r="A2276" s="3">
        <v>14</v>
      </c>
      <c r="B2276" s="3">
        <v>9</v>
      </c>
      <c r="C2276" s="3">
        <v>71</v>
      </c>
      <c r="D2276" s="3">
        <v>46</v>
      </c>
      <c r="E2276" s="3">
        <v>-638.041</v>
      </c>
      <c r="F2276" s="4" t="str">
        <f>HYPERLINK("http://141.218.60.56/~jnz1568/getInfo.php?workbook=14_09.xlsx&amp;sheet=A0&amp;row=2276&amp;col=6&amp;number=7880000&amp;sourceID=14","7880000")</f>
        <v>7880000</v>
      </c>
      <c r="G2276" s="4" t="str">
        <f>HYPERLINK("http://141.218.60.56/~jnz1568/getInfo.php?workbook=14_09.xlsx&amp;sheet=A0&amp;row=2276&amp;col=7&amp;number=0&amp;sourceID=14","0")</f>
        <v>0</v>
      </c>
    </row>
    <row r="2277" spans="1:7">
      <c r="A2277" s="3">
        <v>14</v>
      </c>
      <c r="B2277" s="3">
        <v>9</v>
      </c>
      <c r="C2277" s="3">
        <v>73</v>
      </c>
      <c r="D2277" s="3">
        <v>46</v>
      </c>
      <c r="E2277" s="3">
        <v>-633.498</v>
      </c>
      <c r="F2277" s="4" t="str">
        <f>HYPERLINK("http://141.218.60.56/~jnz1568/getInfo.php?workbook=14_09.xlsx&amp;sheet=A0&amp;row=2277&amp;col=6&amp;number=16200000&amp;sourceID=14","16200000")</f>
        <v>16200000</v>
      </c>
      <c r="G2277" s="4" t="str">
        <f>HYPERLINK("http://141.218.60.56/~jnz1568/getInfo.php?workbook=14_09.xlsx&amp;sheet=A0&amp;row=2277&amp;col=7&amp;number=0&amp;sourceID=14","0")</f>
        <v>0</v>
      </c>
    </row>
    <row r="2278" spans="1:7">
      <c r="A2278" s="3">
        <v>14</v>
      </c>
      <c r="B2278" s="3">
        <v>9</v>
      </c>
      <c r="C2278" s="3">
        <v>74</v>
      </c>
      <c r="D2278" s="3">
        <v>46</v>
      </c>
      <c r="E2278" s="3">
        <v>-628.679</v>
      </c>
      <c r="F2278" s="4" t="str">
        <f>HYPERLINK("http://141.218.60.56/~jnz1568/getInfo.php?workbook=14_09.xlsx&amp;sheet=A0&amp;row=2278&amp;col=6&amp;number=1040000000&amp;sourceID=14","1040000000")</f>
        <v>1040000000</v>
      </c>
      <c r="G2278" s="4" t="str">
        <f>HYPERLINK("http://141.218.60.56/~jnz1568/getInfo.php?workbook=14_09.xlsx&amp;sheet=A0&amp;row=2278&amp;col=7&amp;number=0&amp;sourceID=14","0")</f>
        <v>0</v>
      </c>
    </row>
    <row r="2279" spans="1:7">
      <c r="A2279" s="3">
        <v>14</v>
      </c>
      <c r="B2279" s="3">
        <v>9</v>
      </c>
      <c r="C2279" s="3">
        <v>75</v>
      </c>
      <c r="D2279" s="3">
        <v>46</v>
      </c>
      <c r="E2279" s="3">
        <v>-626.485</v>
      </c>
      <c r="F2279" s="4" t="str">
        <f>HYPERLINK("http://141.218.60.56/~jnz1568/getInfo.php?workbook=14_09.xlsx&amp;sheet=A0&amp;row=2279&amp;col=6&amp;number=3410000&amp;sourceID=14","3410000")</f>
        <v>3410000</v>
      </c>
      <c r="G2279" s="4" t="str">
        <f>HYPERLINK("http://141.218.60.56/~jnz1568/getInfo.php?workbook=14_09.xlsx&amp;sheet=A0&amp;row=2279&amp;col=7&amp;number=0&amp;sourceID=14","0")</f>
        <v>0</v>
      </c>
    </row>
    <row r="2280" spans="1:7">
      <c r="A2280" s="3">
        <v>14</v>
      </c>
      <c r="B2280" s="3">
        <v>9</v>
      </c>
      <c r="C2280" s="3">
        <v>76</v>
      </c>
      <c r="D2280" s="3">
        <v>46</v>
      </c>
      <c r="E2280" s="3">
        <v>-625.365</v>
      </c>
      <c r="F2280" s="4" t="str">
        <f>HYPERLINK("http://141.218.60.56/~jnz1568/getInfo.php?workbook=14_09.xlsx&amp;sheet=A0&amp;row=2280&amp;col=6&amp;number=66400000&amp;sourceID=14","66400000")</f>
        <v>66400000</v>
      </c>
      <c r="G2280" s="4" t="str">
        <f>HYPERLINK("http://141.218.60.56/~jnz1568/getInfo.php?workbook=14_09.xlsx&amp;sheet=A0&amp;row=2280&amp;col=7&amp;number=0&amp;sourceID=14","0")</f>
        <v>0</v>
      </c>
    </row>
    <row r="2281" spans="1:7">
      <c r="A2281" s="3">
        <v>14</v>
      </c>
      <c r="B2281" s="3">
        <v>9</v>
      </c>
      <c r="C2281" s="3">
        <v>77</v>
      </c>
      <c r="D2281" s="3">
        <v>46</v>
      </c>
      <c r="E2281" s="3">
        <v>-598.739</v>
      </c>
      <c r="F2281" s="4" t="str">
        <f>HYPERLINK("http://141.218.60.56/~jnz1568/getInfo.php?workbook=14_09.xlsx&amp;sheet=A0&amp;row=2281&amp;col=6&amp;number=49200000&amp;sourceID=14","49200000")</f>
        <v>49200000</v>
      </c>
      <c r="G2281" s="4" t="str">
        <f>HYPERLINK("http://141.218.60.56/~jnz1568/getInfo.php?workbook=14_09.xlsx&amp;sheet=A0&amp;row=2281&amp;col=7&amp;number=0&amp;sourceID=14","0")</f>
        <v>0</v>
      </c>
    </row>
    <row r="2282" spans="1:7">
      <c r="A2282" s="3">
        <v>14</v>
      </c>
      <c r="B2282" s="3">
        <v>9</v>
      </c>
      <c r="C2282" s="3">
        <v>78</v>
      </c>
      <c r="D2282" s="3">
        <v>46</v>
      </c>
      <c r="E2282" s="3">
        <v>-595.622</v>
      </c>
      <c r="F2282" s="4" t="str">
        <f>HYPERLINK("http://141.218.60.56/~jnz1568/getInfo.php?workbook=14_09.xlsx&amp;sheet=A0&amp;row=2282&amp;col=6&amp;number=96000000&amp;sourceID=14","96000000")</f>
        <v>96000000</v>
      </c>
      <c r="G2282" s="4" t="str">
        <f>HYPERLINK("http://141.218.60.56/~jnz1568/getInfo.php?workbook=14_09.xlsx&amp;sheet=A0&amp;row=2282&amp;col=7&amp;number=0&amp;sourceID=14","0")</f>
        <v>0</v>
      </c>
    </row>
    <row r="2283" spans="1:7">
      <c r="A2283" s="3">
        <v>14</v>
      </c>
      <c r="B2283" s="3">
        <v>9</v>
      </c>
      <c r="C2283" s="3">
        <v>82</v>
      </c>
      <c r="D2283" s="3">
        <v>46</v>
      </c>
      <c r="E2283" s="3">
        <v>-573.573</v>
      </c>
      <c r="F2283" s="4" t="str">
        <f>HYPERLINK("http://141.218.60.56/~jnz1568/getInfo.php?workbook=14_09.xlsx&amp;sheet=A0&amp;row=2283&amp;col=6&amp;number=703000&amp;sourceID=14","703000")</f>
        <v>703000</v>
      </c>
      <c r="G2283" s="4" t="str">
        <f>HYPERLINK("http://141.218.60.56/~jnz1568/getInfo.php?workbook=14_09.xlsx&amp;sheet=A0&amp;row=2283&amp;col=7&amp;number=0&amp;sourceID=14","0")</f>
        <v>0</v>
      </c>
    </row>
    <row r="2284" spans="1:7">
      <c r="A2284" s="3">
        <v>14</v>
      </c>
      <c r="B2284" s="3">
        <v>9</v>
      </c>
      <c r="C2284" s="3">
        <v>83</v>
      </c>
      <c r="D2284" s="3">
        <v>46</v>
      </c>
      <c r="E2284" s="3">
        <v>-568.147</v>
      </c>
      <c r="F2284" s="4" t="str">
        <f>HYPERLINK("http://141.218.60.56/~jnz1568/getInfo.php?workbook=14_09.xlsx&amp;sheet=A0&amp;row=2284&amp;col=6&amp;number=6170000&amp;sourceID=14","6170000")</f>
        <v>6170000</v>
      </c>
      <c r="G2284" s="4" t="str">
        <f>HYPERLINK("http://141.218.60.56/~jnz1568/getInfo.php?workbook=14_09.xlsx&amp;sheet=A0&amp;row=2284&amp;col=7&amp;number=0&amp;sourceID=14","0")</f>
        <v>0</v>
      </c>
    </row>
    <row r="2285" spans="1:7">
      <c r="A2285" s="3">
        <v>14</v>
      </c>
      <c r="B2285" s="3">
        <v>9</v>
      </c>
      <c r="C2285" s="3">
        <v>108</v>
      </c>
      <c r="D2285" s="3">
        <v>46</v>
      </c>
      <c r="E2285" s="3">
        <v>-491.392</v>
      </c>
      <c r="F2285" s="4" t="str">
        <f>HYPERLINK("http://141.218.60.56/~jnz1568/getInfo.php?workbook=14_09.xlsx&amp;sheet=A0&amp;row=2285&amp;col=6&amp;number=1290000000&amp;sourceID=14","1290000000")</f>
        <v>1290000000</v>
      </c>
      <c r="G2285" s="4" t="str">
        <f>HYPERLINK("http://141.218.60.56/~jnz1568/getInfo.php?workbook=14_09.xlsx&amp;sheet=A0&amp;row=2285&amp;col=7&amp;number=0&amp;sourceID=14","0")</f>
        <v>0</v>
      </c>
    </row>
    <row r="2286" spans="1:7">
      <c r="A2286" s="3">
        <v>14</v>
      </c>
      <c r="B2286" s="3">
        <v>9</v>
      </c>
      <c r="C2286" s="3">
        <v>112</v>
      </c>
      <c r="D2286" s="3">
        <v>46</v>
      </c>
      <c r="E2286" s="3">
        <v>-489.099</v>
      </c>
      <c r="F2286" s="4" t="str">
        <f>HYPERLINK("http://141.218.60.56/~jnz1568/getInfo.php?workbook=14_09.xlsx&amp;sheet=A0&amp;row=2286&amp;col=6&amp;number=538000&amp;sourceID=14","538000")</f>
        <v>538000</v>
      </c>
      <c r="G2286" s="4" t="str">
        <f>HYPERLINK("http://141.218.60.56/~jnz1568/getInfo.php?workbook=14_09.xlsx&amp;sheet=A0&amp;row=2286&amp;col=7&amp;number=0&amp;sourceID=14","0")</f>
        <v>0</v>
      </c>
    </row>
    <row r="2287" spans="1:7">
      <c r="A2287" s="3">
        <v>14</v>
      </c>
      <c r="B2287" s="3">
        <v>9</v>
      </c>
      <c r="C2287" s="3">
        <v>113</v>
      </c>
      <c r="D2287" s="3">
        <v>46</v>
      </c>
      <c r="E2287" s="3">
        <v>-489.099</v>
      </c>
      <c r="F2287" s="4" t="str">
        <f>HYPERLINK("http://141.218.60.56/~jnz1568/getInfo.php?workbook=14_09.xlsx&amp;sheet=A0&amp;row=2287&amp;col=6&amp;number=310000000&amp;sourceID=14","310000000")</f>
        <v>310000000</v>
      </c>
      <c r="G2287" s="4" t="str">
        <f>HYPERLINK("http://141.218.60.56/~jnz1568/getInfo.php?workbook=14_09.xlsx&amp;sheet=A0&amp;row=2287&amp;col=7&amp;number=0&amp;sourceID=14","0")</f>
        <v>0</v>
      </c>
    </row>
    <row r="2288" spans="1:7">
      <c r="A2288" s="3">
        <v>14</v>
      </c>
      <c r="B2288" s="3">
        <v>9</v>
      </c>
      <c r="C2288" s="3">
        <v>116</v>
      </c>
      <c r="D2288" s="3">
        <v>46</v>
      </c>
      <c r="E2288" s="3">
        <v>-488.673</v>
      </c>
      <c r="F2288" s="4" t="str">
        <f>HYPERLINK("http://141.218.60.56/~jnz1568/getInfo.php?workbook=14_09.xlsx&amp;sheet=A0&amp;row=2288&amp;col=6&amp;number=5170000000&amp;sourceID=14","5170000000")</f>
        <v>5170000000</v>
      </c>
      <c r="G2288" s="4" t="str">
        <f>HYPERLINK("http://141.218.60.56/~jnz1568/getInfo.php?workbook=14_09.xlsx&amp;sheet=A0&amp;row=2288&amp;col=7&amp;number=0&amp;sourceID=14","0")</f>
        <v>0</v>
      </c>
    </row>
    <row r="2289" spans="1:7">
      <c r="A2289" s="3">
        <v>14</v>
      </c>
      <c r="B2289" s="3">
        <v>9</v>
      </c>
      <c r="C2289" s="3">
        <v>117</v>
      </c>
      <c r="D2289" s="3">
        <v>46</v>
      </c>
      <c r="E2289" s="3">
        <v>-482.305</v>
      </c>
      <c r="F2289" s="4" t="str">
        <f>HYPERLINK("http://141.218.60.56/~jnz1568/getInfo.php?workbook=14_09.xlsx&amp;sheet=A0&amp;row=2289&amp;col=6&amp;number=5050000000&amp;sourceID=14","5050000000")</f>
        <v>5050000000</v>
      </c>
      <c r="G2289" s="4" t="str">
        <f>HYPERLINK("http://141.218.60.56/~jnz1568/getInfo.php?workbook=14_09.xlsx&amp;sheet=A0&amp;row=2289&amp;col=7&amp;number=0&amp;sourceID=14","0")</f>
        <v>0</v>
      </c>
    </row>
    <row r="2290" spans="1:7">
      <c r="A2290" s="3">
        <v>14</v>
      </c>
      <c r="B2290" s="3">
        <v>9</v>
      </c>
      <c r="C2290" s="3">
        <v>125</v>
      </c>
      <c r="D2290" s="3">
        <v>46</v>
      </c>
      <c r="E2290" s="3">
        <v>-462.887</v>
      </c>
      <c r="F2290" s="4" t="str">
        <f>HYPERLINK("http://141.218.60.56/~jnz1568/getInfo.php?workbook=14_09.xlsx&amp;sheet=A0&amp;row=2290&amp;col=6&amp;number=1830000&amp;sourceID=14","1830000")</f>
        <v>1830000</v>
      </c>
      <c r="G2290" s="4" t="str">
        <f>HYPERLINK("http://141.218.60.56/~jnz1568/getInfo.php?workbook=14_09.xlsx&amp;sheet=A0&amp;row=2290&amp;col=7&amp;number=0&amp;sourceID=14","0")</f>
        <v>0</v>
      </c>
    </row>
    <row r="2291" spans="1:7">
      <c r="A2291" s="3">
        <v>14</v>
      </c>
      <c r="B2291" s="3">
        <v>9</v>
      </c>
      <c r="C2291" s="3">
        <v>126</v>
      </c>
      <c r="D2291" s="3">
        <v>46</v>
      </c>
      <c r="E2291" s="3">
        <v>-458.519</v>
      </c>
      <c r="F2291" s="4" t="str">
        <f>HYPERLINK("http://141.218.60.56/~jnz1568/getInfo.php?workbook=14_09.xlsx&amp;sheet=A0&amp;row=2291&amp;col=6&amp;number=9350000&amp;sourceID=14","9350000")</f>
        <v>9350000</v>
      </c>
      <c r="G2291" s="4" t="str">
        <f>HYPERLINK("http://141.218.60.56/~jnz1568/getInfo.php?workbook=14_09.xlsx&amp;sheet=A0&amp;row=2291&amp;col=7&amp;number=0&amp;sourceID=14","0")</f>
        <v>0</v>
      </c>
    </row>
    <row r="2292" spans="1:7">
      <c r="A2292" s="3">
        <v>14</v>
      </c>
      <c r="B2292" s="3">
        <v>9</v>
      </c>
      <c r="C2292" s="3">
        <v>138</v>
      </c>
      <c r="D2292" s="3">
        <v>46</v>
      </c>
      <c r="E2292" s="3">
        <v>-399.898</v>
      </c>
      <c r="F2292" s="4" t="str">
        <f>HYPERLINK("http://141.218.60.56/~jnz1568/getInfo.php?workbook=14_09.xlsx&amp;sheet=A0&amp;row=2292&amp;col=6&amp;number=562000000&amp;sourceID=14","562000000")</f>
        <v>562000000</v>
      </c>
      <c r="G2292" s="4" t="str">
        <f>HYPERLINK("http://141.218.60.56/~jnz1568/getInfo.php?workbook=14_09.xlsx&amp;sheet=A0&amp;row=2292&amp;col=7&amp;number=0&amp;sourceID=14","0")</f>
        <v>0</v>
      </c>
    </row>
    <row r="2293" spans="1:7">
      <c r="A2293" s="3">
        <v>14</v>
      </c>
      <c r="B2293" s="3">
        <v>9</v>
      </c>
      <c r="C2293" s="3">
        <v>139</v>
      </c>
      <c r="D2293" s="3">
        <v>46</v>
      </c>
      <c r="E2293" s="3">
        <v>-399.87</v>
      </c>
      <c r="F2293" s="4" t="str">
        <f>HYPERLINK("http://141.218.60.56/~jnz1568/getInfo.php?workbook=14_09.xlsx&amp;sheet=A0&amp;row=2293&amp;col=6&amp;number=143000000&amp;sourceID=14","143000000")</f>
        <v>143000000</v>
      </c>
      <c r="G2293" s="4" t="str">
        <f>HYPERLINK("http://141.218.60.56/~jnz1568/getInfo.php?workbook=14_09.xlsx&amp;sheet=A0&amp;row=2293&amp;col=7&amp;number=0&amp;sourceID=14","0")</f>
        <v>0</v>
      </c>
    </row>
    <row r="2294" spans="1:7">
      <c r="A2294" s="3">
        <v>14</v>
      </c>
      <c r="B2294" s="3">
        <v>9</v>
      </c>
      <c r="C2294" s="3">
        <v>142</v>
      </c>
      <c r="D2294" s="3">
        <v>46</v>
      </c>
      <c r="E2294" s="3">
        <v>-397.675</v>
      </c>
      <c r="F2294" s="4" t="str">
        <f>HYPERLINK("http://141.218.60.56/~jnz1568/getInfo.php?workbook=14_09.xlsx&amp;sheet=A0&amp;row=2294&amp;col=6&amp;number=865000000&amp;sourceID=14","865000000")</f>
        <v>865000000</v>
      </c>
      <c r="G2294" s="4" t="str">
        <f>HYPERLINK("http://141.218.60.56/~jnz1568/getInfo.php?workbook=14_09.xlsx&amp;sheet=A0&amp;row=2294&amp;col=7&amp;number=0&amp;sourceID=14","0")</f>
        <v>0</v>
      </c>
    </row>
    <row r="2295" spans="1:7">
      <c r="A2295" s="3">
        <v>14</v>
      </c>
      <c r="B2295" s="3">
        <v>9</v>
      </c>
      <c r="C2295" s="3">
        <v>160</v>
      </c>
      <c r="D2295" s="3">
        <v>46</v>
      </c>
      <c r="E2295" s="3">
        <v>-366.635</v>
      </c>
      <c r="F2295" s="4" t="str">
        <f>HYPERLINK("http://141.218.60.56/~jnz1568/getInfo.php?workbook=14_09.xlsx&amp;sheet=A0&amp;row=2295&amp;col=6&amp;number=528000&amp;sourceID=14","528000")</f>
        <v>528000</v>
      </c>
      <c r="G2295" s="4" t="str">
        <f>HYPERLINK("http://141.218.60.56/~jnz1568/getInfo.php?workbook=14_09.xlsx&amp;sheet=A0&amp;row=2295&amp;col=7&amp;number=0&amp;sourceID=14","0")</f>
        <v>0</v>
      </c>
    </row>
    <row r="2296" spans="1:7">
      <c r="A2296" s="3">
        <v>14</v>
      </c>
      <c r="B2296" s="3">
        <v>9</v>
      </c>
      <c r="C2296" s="3">
        <v>166</v>
      </c>
      <c r="D2296" s="3">
        <v>46</v>
      </c>
      <c r="E2296" s="3">
        <v>-303.111</v>
      </c>
      <c r="F2296" s="4" t="str">
        <f>HYPERLINK("http://141.218.60.56/~jnz1568/getInfo.php?workbook=14_09.xlsx&amp;sheet=A0&amp;row=2296&amp;col=6&amp;number=1100000&amp;sourceID=14","1100000")</f>
        <v>1100000</v>
      </c>
      <c r="G2296" s="4" t="str">
        <f>HYPERLINK("http://141.218.60.56/~jnz1568/getInfo.php?workbook=14_09.xlsx&amp;sheet=A0&amp;row=2296&amp;col=7&amp;number=0&amp;sourceID=14","0")</f>
        <v>0</v>
      </c>
    </row>
    <row r="2297" spans="1:7">
      <c r="A2297" s="3">
        <v>14</v>
      </c>
      <c r="B2297" s="3">
        <v>9</v>
      </c>
      <c r="C2297" s="3">
        <v>167</v>
      </c>
      <c r="D2297" s="3">
        <v>46</v>
      </c>
      <c r="E2297" s="3">
        <v>-302.979</v>
      </c>
      <c r="F2297" s="4" t="str">
        <f>HYPERLINK("http://141.218.60.56/~jnz1568/getInfo.php?workbook=14_09.xlsx&amp;sheet=A0&amp;row=2297&amp;col=6&amp;number=1730000&amp;sourceID=14","1730000")</f>
        <v>1730000</v>
      </c>
      <c r="G2297" s="4" t="str">
        <f>HYPERLINK("http://141.218.60.56/~jnz1568/getInfo.php?workbook=14_09.xlsx&amp;sheet=A0&amp;row=2297&amp;col=7&amp;number=0&amp;sourceID=14","0")</f>
        <v>0</v>
      </c>
    </row>
    <row r="2298" spans="1:7">
      <c r="A2298" s="3">
        <v>14</v>
      </c>
      <c r="B2298" s="3">
        <v>9</v>
      </c>
      <c r="C2298" s="3">
        <v>168</v>
      </c>
      <c r="D2298" s="3">
        <v>46</v>
      </c>
      <c r="E2298" s="3">
        <v>-284.023</v>
      </c>
      <c r="F2298" s="4" t="str">
        <f>HYPERLINK("http://141.218.60.56/~jnz1568/getInfo.php?workbook=14_09.xlsx&amp;sheet=A0&amp;row=2298&amp;col=6&amp;number=42300000&amp;sourceID=14","42300000")</f>
        <v>42300000</v>
      </c>
      <c r="G2298" s="4" t="str">
        <f>HYPERLINK("http://141.218.60.56/~jnz1568/getInfo.php?workbook=14_09.xlsx&amp;sheet=A0&amp;row=2298&amp;col=7&amp;number=0&amp;sourceID=14","0")</f>
        <v>0</v>
      </c>
    </row>
    <row r="2299" spans="1:7">
      <c r="A2299" s="3">
        <v>14</v>
      </c>
      <c r="B2299" s="3">
        <v>9</v>
      </c>
      <c r="C2299" s="3">
        <v>169</v>
      </c>
      <c r="D2299" s="3">
        <v>46</v>
      </c>
      <c r="E2299" s="3">
        <v>-283.359</v>
      </c>
      <c r="F2299" s="4" t="str">
        <f>HYPERLINK("http://141.218.60.56/~jnz1568/getInfo.php?workbook=14_09.xlsx&amp;sheet=A0&amp;row=2299&amp;col=6&amp;number=1680000&amp;sourceID=14","1680000")</f>
        <v>1680000</v>
      </c>
      <c r="G2299" s="4" t="str">
        <f>HYPERLINK("http://141.218.60.56/~jnz1568/getInfo.php?workbook=14_09.xlsx&amp;sheet=A0&amp;row=2299&amp;col=7&amp;number=0&amp;sourceID=14","0")</f>
        <v>0</v>
      </c>
    </row>
    <row r="2300" spans="1:7">
      <c r="A2300" s="3">
        <v>14</v>
      </c>
      <c r="B2300" s="3">
        <v>9</v>
      </c>
      <c r="C2300" s="3">
        <v>174</v>
      </c>
      <c r="D2300" s="3">
        <v>46</v>
      </c>
      <c r="E2300" s="3">
        <v>-277.22</v>
      </c>
      <c r="F2300" s="4" t="str">
        <f>HYPERLINK("http://141.218.60.56/~jnz1568/getInfo.php?workbook=14_09.xlsx&amp;sheet=A0&amp;row=2300&amp;col=6&amp;number=2700000&amp;sourceID=14","2700000")</f>
        <v>2700000</v>
      </c>
      <c r="G2300" s="4" t="str">
        <f>HYPERLINK("http://141.218.60.56/~jnz1568/getInfo.php?workbook=14_09.xlsx&amp;sheet=A0&amp;row=2300&amp;col=7&amp;number=0&amp;sourceID=14","0")</f>
        <v>0</v>
      </c>
    </row>
    <row r="2301" spans="1:7">
      <c r="A2301" s="3">
        <v>14</v>
      </c>
      <c r="B2301" s="3">
        <v>9</v>
      </c>
      <c r="C2301" s="3">
        <v>178</v>
      </c>
      <c r="D2301" s="3">
        <v>46</v>
      </c>
      <c r="E2301" s="3">
        <v>-271.372</v>
      </c>
      <c r="F2301" s="4" t="str">
        <f>HYPERLINK("http://141.218.60.56/~jnz1568/getInfo.php?workbook=14_09.xlsx&amp;sheet=A0&amp;row=2301&amp;col=6&amp;number=26100000&amp;sourceID=14","26100000")</f>
        <v>26100000</v>
      </c>
      <c r="G2301" s="4" t="str">
        <f>HYPERLINK("http://141.218.60.56/~jnz1568/getInfo.php?workbook=14_09.xlsx&amp;sheet=A0&amp;row=2301&amp;col=7&amp;number=0&amp;sourceID=14","0")</f>
        <v>0</v>
      </c>
    </row>
    <row r="2302" spans="1:7">
      <c r="A2302" s="3">
        <v>14</v>
      </c>
      <c r="B2302" s="3">
        <v>9</v>
      </c>
      <c r="C2302" s="3">
        <v>179</v>
      </c>
      <c r="D2302" s="3">
        <v>46</v>
      </c>
      <c r="E2302" s="3">
        <v>-271.349</v>
      </c>
      <c r="F2302" s="4" t="str">
        <f>HYPERLINK("http://141.218.60.56/~jnz1568/getInfo.php?workbook=14_09.xlsx&amp;sheet=A0&amp;row=2302&amp;col=6&amp;number=74300000&amp;sourceID=14","74300000")</f>
        <v>74300000</v>
      </c>
      <c r="G2302" s="4" t="str">
        <f>HYPERLINK("http://141.218.60.56/~jnz1568/getInfo.php?workbook=14_09.xlsx&amp;sheet=A0&amp;row=2302&amp;col=7&amp;number=0&amp;sourceID=14","0")</f>
        <v>0</v>
      </c>
    </row>
    <row r="2303" spans="1:7">
      <c r="A2303" s="3">
        <v>14</v>
      </c>
      <c r="B2303" s="3">
        <v>9</v>
      </c>
      <c r="C2303" s="3">
        <v>182</v>
      </c>
      <c r="D2303" s="3">
        <v>46</v>
      </c>
      <c r="E2303" s="3">
        <v>-267.343</v>
      </c>
      <c r="F2303" s="4" t="str">
        <f>HYPERLINK("http://141.218.60.56/~jnz1568/getInfo.php?workbook=14_09.xlsx&amp;sheet=A0&amp;row=2303&amp;col=6&amp;number=6250000000&amp;sourceID=14","6250000000")</f>
        <v>6250000000</v>
      </c>
      <c r="G2303" s="4" t="str">
        <f>HYPERLINK("http://141.218.60.56/~jnz1568/getInfo.php?workbook=14_09.xlsx&amp;sheet=A0&amp;row=2303&amp;col=7&amp;number=0&amp;sourceID=14","0")</f>
        <v>0</v>
      </c>
    </row>
    <row r="2304" spans="1:7">
      <c r="A2304" s="3">
        <v>14</v>
      </c>
      <c r="B2304" s="3">
        <v>9</v>
      </c>
      <c r="C2304" s="3">
        <v>183</v>
      </c>
      <c r="D2304" s="3">
        <v>46</v>
      </c>
      <c r="E2304" s="3">
        <v>-261.416</v>
      </c>
      <c r="F2304" s="4" t="str">
        <f>HYPERLINK("http://141.218.60.56/~jnz1568/getInfo.php?workbook=14_09.xlsx&amp;sheet=A0&amp;row=2304&amp;col=6&amp;number=3650000000&amp;sourceID=14","3650000000")</f>
        <v>3650000000</v>
      </c>
      <c r="G2304" s="4" t="str">
        <f>HYPERLINK("http://141.218.60.56/~jnz1568/getInfo.php?workbook=14_09.xlsx&amp;sheet=A0&amp;row=2304&amp;col=7&amp;number=0&amp;sourceID=14","0")</f>
        <v>0</v>
      </c>
    </row>
    <row r="2305" spans="1:7">
      <c r="A2305" s="3">
        <v>14</v>
      </c>
      <c r="B2305" s="3">
        <v>9</v>
      </c>
      <c r="C2305" s="3">
        <v>184</v>
      </c>
      <c r="D2305" s="3">
        <v>46</v>
      </c>
      <c r="E2305" s="3">
        <v>-259.795</v>
      </c>
      <c r="F2305" s="4" t="str">
        <f>HYPERLINK("http://141.218.60.56/~jnz1568/getInfo.php?workbook=14_09.xlsx&amp;sheet=A0&amp;row=2305&amp;col=6&amp;number=226000000&amp;sourceID=14","226000000")</f>
        <v>226000000</v>
      </c>
      <c r="G2305" s="4" t="str">
        <f>HYPERLINK("http://141.218.60.56/~jnz1568/getInfo.php?workbook=14_09.xlsx&amp;sheet=A0&amp;row=2305&amp;col=7&amp;number=0&amp;sourceID=14","0")</f>
        <v>0</v>
      </c>
    </row>
    <row r="2306" spans="1:7">
      <c r="A2306" s="3">
        <v>14</v>
      </c>
      <c r="B2306" s="3">
        <v>9</v>
      </c>
      <c r="C2306" s="3">
        <v>192</v>
      </c>
      <c r="D2306" s="3">
        <v>46</v>
      </c>
      <c r="E2306" s="3">
        <v>-192.582</v>
      </c>
      <c r="F2306" s="4" t="str">
        <f>HYPERLINK("http://141.218.60.56/~jnz1568/getInfo.php?workbook=14_09.xlsx&amp;sheet=A0&amp;row=2306&amp;col=6&amp;number=650000000&amp;sourceID=14","650000000")</f>
        <v>650000000</v>
      </c>
      <c r="G2306" s="4" t="str">
        <f>HYPERLINK("http://141.218.60.56/~jnz1568/getInfo.php?workbook=14_09.xlsx&amp;sheet=A0&amp;row=2306&amp;col=7&amp;number=0&amp;sourceID=14","0")</f>
        <v>0</v>
      </c>
    </row>
    <row r="2307" spans="1:7">
      <c r="A2307" s="3">
        <v>14</v>
      </c>
      <c r="B2307" s="3">
        <v>9</v>
      </c>
      <c r="C2307" s="3">
        <v>193</v>
      </c>
      <c r="D2307" s="3">
        <v>46</v>
      </c>
      <c r="E2307" s="3">
        <v>-192.532</v>
      </c>
      <c r="F2307" s="4" t="str">
        <f>HYPERLINK("http://141.218.60.56/~jnz1568/getInfo.php?workbook=14_09.xlsx&amp;sheet=A0&amp;row=2307&amp;col=6&amp;number=1460000000&amp;sourceID=14","1460000000")</f>
        <v>1460000000</v>
      </c>
      <c r="G2307" s="4" t="str">
        <f>HYPERLINK("http://141.218.60.56/~jnz1568/getInfo.php?workbook=14_09.xlsx&amp;sheet=A0&amp;row=2307&amp;col=7&amp;number=0&amp;sourceID=14","0")</f>
        <v>0</v>
      </c>
    </row>
    <row r="2308" spans="1:7">
      <c r="A2308" s="3">
        <v>14</v>
      </c>
      <c r="B2308" s="3">
        <v>9</v>
      </c>
      <c r="C2308" s="3">
        <v>194</v>
      </c>
      <c r="D2308" s="3">
        <v>46</v>
      </c>
      <c r="E2308" s="3">
        <v>-191.485</v>
      </c>
      <c r="F2308" s="4" t="str">
        <f>HYPERLINK("http://141.218.60.56/~jnz1568/getInfo.php?workbook=14_09.xlsx&amp;sheet=A0&amp;row=2308&amp;col=6&amp;number=439000000&amp;sourceID=14","439000000")</f>
        <v>439000000</v>
      </c>
      <c r="G2308" s="4" t="str">
        <f>HYPERLINK("http://141.218.60.56/~jnz1568/getInfo.php?workbook=14_09.xlsx&amp;sheet=A0&amp;row=2308&amp;col=7&amp;number=0&amp;sourceID=14","0")</f>
        <v>0</v>
      </c>
    </row>
    <row r="2309" spans="1:7">
      <c r="A2309" s="3">
        <v>14</v>
      </c>
      <c r="B2309" s="3">
        <v>9</v>
      </c>
      <c r="C2309" s="3">
        <v>68</v>
      </c>
      <c r="D2309" s="3">
        <v>47</v>
      </c>
      <c r="E2309" s="3">
        <v>-673.565</v>
      </c>
      <c r="F2309" s="4" t="str">
        <f>HYPERLINK("http://141.218.60.56/~jnz1568/getInfo.php?workbook=14_09.xlsx&amp;sheet=A0&amp;row=2309&amp;col=6&amp;number=1710000&amp;sourceID=14","1710000")</f>
        <v>1710000</v>
      </c>
      <c r="G2309" s="4" t="str">
        <f>HYPERLINK("http://141.218.60.56/~jnz1568/getInfo.php?workbook=14_09.xlsx&amp;sheet=A0&amp;row=2309&amp;col=7&amp;number=0&amp;sourceID=14","0")</f>
        <v>0</v>
      </c>
    </row>
    <row r="2310" spans="1:7">
      <c r="A2310" s="3">
        <v>14</v>
      </c>
      <c r="B2310" s="3">
        <v>9</v>
      </c>
      <c r="C2310" s="3">
        <v>70</v>
      </c>
      <c r="D2310" s="3">
        <v>47</v>
      </c>
      <c r="E2310" s="3">
        <v>-649.715</v>
      </c>
      <c r="F2310" s="4" t="str">
        <f>HYPERLINK("http://141.218.60.56/~jnz1568/getInfo.php?workbook=14_09.xlsx&amp;sheet=A0&amp;row=2310&amp;col=6&amp;number=23800000&amp;sourceID=14","23800000")</f>
        <v>23800000</v>
      </c>
      <c r="G2310" s="4" t="str">
        <f>HYPERLINK("http://141.218.60.56/~jnz1568/getInfo.php?workbook=14_09.xlsx&amp;sheet=A0&amp;row=2310&amp;col=7&amp;number=0&amp;sourceID=14","0")</f>
        <v>0</v>
      </c>
    </row>
    <row r="2311" spans="1:7">
      <c r="A2311" s="3">
        <v>14</v>
      </c>
      <c r="B2311" s="3">
        <v>9</v>
      </c>
      <c r="C2311" s="3">
        <v>71</v>
      </c>
      <c r="D2311" s="3">
        <v>47</v>
      </c>
      <c r="E2311" s="3">
        <v>-641.06</v>
      </c>
      <c r="F2311" s="4" t="str">
        <f>HYPERLINK("http://141.218.60.56/~jnz1568/getInfo.php?workbook=14_09.xlsx&amp;sheet=A0&amp;row=2311&amp;col=6&amp;number=18500000&amp;sourceID=14","18500000")</f>
        <v>18500000</v>
      </c>
      <c r="G2311" s="4" t="str">
        <f>HYPERLINK("http://141.218.60.56/~jnz1568/getInfo.php?workbook=14_09.xlsx&amp;sheet=A0&amp;row=2311&amp;col=7&amp;number=0&amp;sourceID=14","0")</f>
        <v>0</v>
      </c>
    </row>
    <row r="2312" spans="1:7">
      <c r="A2312" s="3">
        <v>14</v>
      </c>
      <c r="B2312" s="3">
        <v>9</v>
      </c>
      <c r="C2312" s="3">
        <v>72</v>
      </c>
      <c r="D2312" s="3">
        <v>47</v>
      </c>
      <c r="E2312" s="3">
        <v>-637.907</v>
      </c>
      <c r="F2312" s="4" t="str">
        <f>HYPERLINK("http://141.218.60.56/~jnz1568/getInfo.php?workbook=14_09.xlsx&amp;sheet=A0&amp;row=2312&amp;col=6&amp;number=50400000&amp;sourceID=14","50400000")</f>
        <v>50400000</v>
      </c>
      <c r="G2312" s="4" t="str">
        <f>HYPERLINK("http://141.218.60.56/~jnz1568/getInfo.php?workbook=14_09.xlsx&amp;sheet=A0&amp;row=2312&amp;col=7&amp;number=0&amp;sourceID=14","0")</f>
        <v>0</v>
      </c>
    </row>
    <row r="2313" spans="1:7">
      <c r="A2313" s="3">
        <v>14</v>
      </c>
      <c r="B2313" s="3">
        <v>9</v>
      </c>
      <c r="C2313" s="3">
        <v>73</v>
      </c>
      <c r="D2313" s="3">
        <v>47</v>
      </c>
      <c r="E2313" s="3">
        <v>-636.474</v>
      </c>
      <c r="F2313" s="4" t="str">
        <f>HYPERLINK("http://141.218.60.56/~jnz1568/getInfo.php?workbook=14_09.xlsx&amp;sheet=A0&amp;row=2313&amp;col=6&amp;number=9250000&amp;sourceID=14","9250000")</f>
        <v>9250000</v>
      </c>
      <c r="G2313" s="4" t="str">
        <f>HYPERLINK("http://141.218.60.56/~jnz1568/getInfo.php?workbook=14_09.xlsx&amp;sheet=A0&amp;row=2313&amp;col=7&amp;number=0&amp;sourceID=14","0")</f>
        <v>0</v>
      </c>
    </row>
    <row r="2314" spans="1:7">
      <c r="A2314" s="3">
        <v>14</v>
      </c>
      <c r="B2314" s="3">
        <v>9</v>
      </c>
      <c r="C2314" s="3">
        <v>74</v>
      </c>
      <c r="D2314" s="3">
        <v>47</v>
      </c>
      <c r="E2314" s="3">
        <v>-631.609</v>
      </c>
      <c r="F2314" s="4" t="str">
        <f>HYPERLINK("http://141.218.60.56/~jnz1568/getInfo.php?workbook=14_09.xlsx&amp;sheet=A0&amp;row=2314&amp;col=6&amp;number=825000000&amp;sourceID=14","825000000")</f>
        <v>825000000</v>
      </c>
      <c r="G2314" s="4" t="str">
        <f>HYPERLINK("http://141.218.60.56/~jnz1568/getInfo.php?workbook=14_09.xlsx&amp;sheet=A0&amp;row=2314&amp;col=7&amp;number=0&amp;sourceID=14","0")</f>
        <v>0</v>
      </c>
    </row>
    <row r="2315" spans="1:7">
      <c r="A2315" s="3">
        <v>14</v>
      </c>
      <c r="B2315" s="3">
        <v>9</v>
      </c>
      <c r="C2315" s="3">
        <v>75</v>
      </c>
      <c r="D2315" s="3">
        <v>47</v>
      </c>
      <c r="E2315" s="3">
        <v>-629.395</v>
      </c>
      <c r="F2315" s="4" t="str">
        <f>HYPERLINK("http://141.218.60.56/~jnz1568/getInfo.php?workbook=14_09.xlsx&amp;sheet=A0&amp;row=2315&amp;col=6&amp;number=8640000&amp;sourceID=14","8640000")</f>
        <v>8640000</v>
      </c>
      <c r="G2315" s="4" t="str">
        <f>HYPERLINK("http://141.218.60.56/~jnz1568/getInfo.php?workbook=14_09.xlsx&amp;sheet=A0&amp;row=2315&amp;col=7&amp;number=0&amp;sourceID=14","0")</f>
        <v>0</v>
      </c>
    </row>
    <row r="2316" spans="1:7">
      <c r="A2316" s="3">
        <v>14</v>
      </c>
      <c r="B2316" s="3">
        <v>9</v>
      </c>
      <c r="C2316" s="3">
        <v>76</v>
      </c>
      <c r="D2316" s="3">
        <v>47</v>
      </c>
      <c r="E2316" s="3">
        <v>-628.264</v>
      </c>
      <c r="F2316" s="4" t="str">
        <f>HYPERLINK("http://141.218.60.56/~jnz1568/getInfo.php?workbook=14_09.xlsx&amp;sheet=A0&amp;row=2316&amp;col=6&amp;number=263000000&amp;sourceID=14","263000000")</f>
        <v>263000000</v>
      </c>
      <c r="G2316" s="4" t="str">
        <f>HYPERLINK("http://141.218.60.56/~jnz1568/getInfo.php?workbook=14_09.xlsx&amp;sheet=A0&amp;row=2316&amp;col=7&amp;number=0&amp;sourceID=14","0")</f>
        <v>0</v>
      </c>
    </row>
    <row r="2317" spans="1:7">
      <c r="A2317" s="3">
        <v>14</v>
      </c>
      <c r="B2317" s="3">
        <v>9</v>
      </c>
      <c r="C2317" s="3">
        <v>77</v>
      </c>
      <c r="D2317" s="3">
        <v>47</v>
      </c>
      <c r="E2317" s="3">
        <v>-601.396</v>
      </c>
      <c r="F2317" s="4" t="str">
        <f>HYPERLINK("http://141.218.60.56/~jnz1568/getInfo.php?workbook=14_09.xlsx&amp;sheet=A0&amp;row=2317&amp;col=6&amp;number=369000000&amp;sourceID=14","369000000")</f>
        <v>369000000</v>
      </c>
      <c r="G2317" s="4" t="str">
        <f>HYPERLINK("http://141.218.60.56/~jnz1568/getInfo.php?workbook=14_09.xlsx&amp;sheet=A0&amp;row=2317&amp;col=7&amp;number=0&amp;sourceID=14","0")</f>
        <v>0</v>
      </c>
    </row>
    <row r="2318" spans="1:7">
      <c r="A2318" s="3">
        <v>14</v>
      </c>
      <c r="B2318" s="3">
        <v>9</v>
      </c>
      <c r="C2318" s="3">
        <v>78</v>
      </c>
      <c r="D2318" s="3">
        <v>47</v>
      </c>
      <c r="E2318" s="3">
        <v>-598.252</v>
      </c>
      <c r="F2318" s="4" t="str">
        <f>HYPERLINK("http://141.218.60.56/~jnz1568/getInfo.php?workbook=14_09.xlsx&amp;sheet=A0&amp;row=2318&amp;col=6&amp;number=570000000&amp;sourceID=14","570000000")</f>
        <v>570000000</v>
      </c>
      <c r="G2318" s="4" t="str">
        <f>HYPERLINK("http://141.218.60.56/~jnz1568/getInfo.php?workbook=14_09.xlsx&amp;sheet=A0&amp;row=2318&amp;col=7&amp;number=0&amp;sourceID=14","0")</f>
        <v>0</v>
      </c>
    </row>
    <row r="2319" spans="1:7">
      <c r="A2319" s="3">
        <v>14</v>
      </c>
      <c r="B2319" s="3">
        <v>9</v>
      </c>
      <c r="C2319" s="3">
        <v>81</v>
      </c>
      <c r="D2319" s="3">
        <v>47</v>
      </c>
      <c r="E2319" s="3">
        <v>-585.282</v>
      </c>
      <c r="F2319" s="4" t="str">
        <f>HYPERLINK("http://141.218.60.56/~jnz1568/getInfo.php?workbook=14_09.xlsx&amp;sheet=A0&amp;row=2319&amp;col=6&amp;number=231000&amp;sourceID=14","231000")</f>
        <v>231000</v>
      </c>
      <c r="G2319" s="4" t="str">
        <f>HYPERLINK("http://141.218.60.56/~jnz1568/getInfo.php?workbook=14_09.xlsx&amp;sheet=A0&amp;row=2319&amp;col=7&amp;number=0&amp;sourceID=14","0")</f>
        <v>0</v>
      </c>
    </row>
    <row r="2320" spans="1:7">
      <c r="A2320" s="3">
        <v>14</v>
      </c>
      <c r="B2320" s="3">
        <v>9</v>
      </c>
      <c r="C2320" s="3">
        <v>82</v>
      </c>
      <c r="D2320" s="3">
        <v>47</v>
      </c>
      <c r="E2320" s="3">
        <v>-576.011</v>
      </c>
      <c r="F2320" s="4" t="str">
        <f>HYPERLINK("http://141.218.60.56/~jnz1568/getInfo.php?workbook=14_09.xlsx&amp;sheet=A0&amp;row=2320&amp;col=6&amp;number=4220000&amp;sourceID=14","4220000")</f>
        <v>4220000</v>
      </c>
      <c r="G2320" s="4" t="str">
        <f>HYPERLINK("http://141.218.60.56/~jnz1568/getInfo.php?workbook=14_09.xlsx&amp;sheet=A0&amp;row=2320&amp;col=7&amp;number=0&amp;sourceID=14","0")</f>
        <v>0</v>
      </c>
    </row>
    <row r="2321" spans="1:7">
      <c r="A2321" s="3">
        <v>14</v>
      </c>
      <c r="B2321" s="3">
        <v>9</v>
      </c>
      <c r="C2321" s="3">
        <v>83</v>
      </c>
      <c r="D2321" s="3">
        <v>47</v>
      </c>
      <c r="E2321" s="3">
        <v>-570.54</v>
      </c>
      <c r="F2321" s="4" t="str">
        <f>HYPERLINK("http://141.218.60.56/~jnz1568/getInfo.php?workbook=14_09.xlsx&amp;sheet=A0&amp;row=2321&amp;col=6&amp;number=7720000&amp;sourceID=14","7720000")</f>
        <v>7720000</v>
      </c>
      <c r="G2321" s="4" t="str">
        <f>HYPERLINK("http://141.218.60.56/~jnz1568/getInfo.php?workbook=14_09.xlsx&amp;sheet=A0&amp;row=2321&amp;col=7&amp;number=0&amp;sourceID=14","0")</f>
        <v>0</v>
      </c>
    </row>
    <row r="2322" spans="1:7">
      <c r="A2322" s="3">
        <v>14</v>
      </c>
      <c r="B2322" s="3">
        <v>9</v>
      </c>
      <c r="C2322" s="3">
        <v>85</v>
      </c>
      <c r="D2322" s="3">
        <v>47</v>
      </c>
      <c r="E2322" s="3">
        <v>-536.246</v>
      </c>
      <c r="F2322" s="4" t="str">
        <f>HYPERLINK("http://141.218.60.56/~jnz1568/getInfo.php?workbook=14_09.xlsx&amp;sheet=A0&amp;row=2322&amp;col=6&amp;number=28200000&amp;sourceID=14","28200000")</f>
        <v>28200000</v>
      </c>
      <c r="G2322" s="4" t="str">
        <f>HYPERLINK("http://141.218.60.56/~jnz1568/getInfo.php?workbook=14_09.xlsx&amp;sheet=A0&amp;row=2322&amp;col=7&amp;number=0&amp;sourceID=14","0")</f>
        <v>0</v>
      </c>
    </row>
    <row r="2323" spans="1:7">
      <c r="A2323" s="3">
        <v>14</v>
      </c>
      <c r="B2323" s="3">
        <v>9</v>
      </c>
      <c r="C2323" s="3">
        <v>101</v>
      </c>
      <c r="D2323" s="3">
        <v>47</v>
      </c>
      <c r="E2323" s="3">
        <v>-499.03</v>
      </c>
      <c r="F2323" s="4" t="str">
        <f>HYPERLINK("http://141.218.60.56/~jnz1568/getInfo.php?workbook=14_09.xlsx&amp;sheet=A0&amp;row=2323&amp;col=6&amp;number=55800000&amp;sourceID=14","55800000")</f>
        <v>55800000</v>
      </c>
      <c r="G2323" s="4" t="str">
        <f>HYPERLINK("http://141.218.60.56/~jnz1568/getInfo.php?workbook=14_09.xlsx&amp;sheet=A0&amp;row=2323&amp;col=7&amp;number=0&amp;sourceID=14","0")</f>
        <v>0</v>
      </c>
    </row>
    <row r="2324" spans="1:7">
      <c r="A2324" s="3">
        <v>14</v>
      </c>
      <c r="B2324" s="3">
        <v>9</v>
      </c>
      <c r="C2324" s="3">
        <v>106</v>
      </c>
      <c r="D2324" s="3">
        <v>47</v>
      </c>
      <c r="E2324" s="3">
        <v>-494.184</v>
      </c>
      <c r="F2324" s="4" t="str">
        <f>HYPERLINK("http://141.218.60.56/~jnz1568/getInfo.php?workbook=14_09.xlsx&amp;sheet=A0&amp;row=2324&amp;col=6&amp;number=1860000000&amp;sourceID=14","1860000000")</f>
        <v>1860000000</v>
      </c>
      <c r="G2324" s="4" t="str">
        <f>HYPERLINK("http://141.218.60.56/~jnz1568/getInfo.php?workbook=14_09.xlsx&amp;sheet=A0&amp;row=2324&amp;col=7&amp;number=0&amp;sourceID=14","0")</f>
        <v>0</v>
      </c>
    </row>
    <row r="2325" spans="1:7">
      <c r="A2325" s="3">
        <v>14</v>
      </c>
      <c r="B2325" s="3">
        <v>9</v>
      </c>
      <c r="C2325" s="3">
        <v>108</v>
      </c>
      <c r="D2325" s="3">
        <v>47</v>
      </c>
      <c r="E2325" s="3">
        <v>-493.18</v>
      </c>
      <c r="F2325" s="4" t="str">
        <f>HYPERLINK("http://141.218.60.56/~jnz1568/getInfo.php?workbook=14_09.xlsx&amp;sheet=A0&amp;row=2325&amp;col=6&amp;number=502000000&amp;sourceID=14","502000000")</f>
        <v>502000000</v>
      </c>
      <c r="G2325" s="4" t="str">
        <f>HYPERLINK("http://141.218.60.56/~jnz1568/getInfo.php?workbook=14_09.xlsx&amp;sheet=A0&amp;row=2325&amp;col=7&amp;number=0&amp;sourceID=14","0")</f>
        <v>0</v>
      </c>
    </row>
    <row r="2326" spans="1:7">
      <c r="A2326" s="3">
        <v>14</v>
      </c>
      <c r="B2326" s="3">
        <v>9</v>
      </c>
      <c r="C2326" s="3">
        <v>109</v>
      </c>
      <c r="D2326" s="3">
        <v>47</v>
      </c>
      <c r="E2326" s="3">
        <v>-492.524</v>
      </c>
      <c r="F2326" s="4" t="str">
        <f>HYPERLINK("http://141.218.60.56/~jnz1568/getInfo.php?workbook=14_09.xlsx&amp;sheet=A0&amp;row=2326&amp;col=6&amp;number=8240000000&amp;sourceID=14","8240000000")</f>
        <v>8240000000</v>
      </c>
      <c r="G2326" s="4" t="str">
        <f>HYPERLINK("http://141.218.60.56/~jnz1568/getInfo.php?workbook=14_09.xlsx&amp;sheet=A0&amp;row=2326&amp;col=7&amp;number=0&amp;sourceID=14","0")</f>
        <v>0</v>
      </c>
    </row>
    <row r="2327" spans="1:7">
      <c r="A2327" s="3">
        <v>14</v>
      </c>
      <c r="B2327" s="3">
        <v>9</v>
      </c>
      <c r="C2327" s="3">
        <v>113</v>
      </c>
      <c r="D2327" s="3">
        <v>47</v>
      </c>
      <c r="E2327" s="3">
        <v>-490.871</v>
      </c>
      <c r="F2327" s="4" t="str">
        <f>HYPERLINK("http://141.218.60.56/~jnz1568/getInfo.php?workbook=14_09.xlsx&amp;sheet=A0&amp;row=2327&amp;col=6&amp;number=246000000&amp;sourceID=14","246000000")</f>
        <v>246000000</v>
      </c>
      <c r="G2327" s="4" t="str">
        <f>HYPERLINK("http://141.218.60.56/~jnz1568/getInfo.php?workbook=14_09.xlsx&amp;sheet=A0&amp;row=2327&amp;col=7&amp;number=0&amp;sourceID=14","0")</f>
        <v>0</v>
      </c>
    </row>
    <row r="2328" spans="1:7">
      <c r="A2328" s="3">
        <v>14</v>
      </c>
      <c r="B2328" s="3">
        <v>9</v>
      </c>
      <c r="C2328" s="3">
        <v>115</v>
      </c>
      <c r="D2328" s="3">
        <v>47</v>
      </c>
      <c r="E2328" s="3">
        <v>-490.51</v>
      </c>
      <c r="F2328" s="4" t="str">
        <f>HYPERLINK("http://141.218.60.56/~jnz1568/getInfo.php?workbook=14_09.xlsx&amp;sheet=A0&amp;row=2328&amp;col=6&amp;number=9200000&amp;sourceID=14","9200000")</f>
        <v>9200000</v>
      </c>
      <c r="G2328" s="4" t="str">
        <f>HYPERLINK("http://141.218.60.56/~jnz1568/getInfo.php?workbook=14_09.xlsx&amp;sheet=A0&amp;row=2328&amp;col=7&amp;number=0&amp;sourceID=14","0")</f>
        <v>0</v>
      </c>
    </row>
    <row r="2329" spans="1:7">
      <c r="A2329" s="3">
        <v>14</v>
      </c>
      <c r="B2329" s="3">
        <v>9</v>
      </c>
      <c r="C2329" s="3">
        <v>116</v>
      </c>
      <c r="D2329" s="3">
        <v>47</v>
      </c>
      <c r="E2329" s="3">
        <v>-490.442</v>
      </c>
      <c r="F2329" s="4" t="str">
        <f>HYPERLINK("http://141.218.60.56/~jnz1568/getInfo.php?workbook=14_09.xlsx&amp;sheet=A0&amp;row=2329&amp;col=6&amp;number=1750000000&amp;sourceID=14","1750000000")</f>
        <v>1750000000</v>
      </c>
      <c r="G2329" s="4" t="str">
        <f>HYPERLINK("http://141.218.60.56/~jnz1568/getInfo.php?workbook=14_09.xlsx&amp;sheet=A0&amp;row=2329&amp;col=7&amp;number=0&amp;sourceID=14","0")</f>
        <v>0</v>
      </c>
    </row>
    <row r="2330" spans="1:7">
      <c r="A2330" s="3">
        <v>14</v>
      </c>
      <c r="B2330" s="3">
        <v>9</v>
      </c>
      <c r="C2330" s="3">
        <v>117</v>
      </c>
      <c r="D2330" s="3">
        <v>47</v>
      </c>
      <c r="E2330" s="3">
        <v>-484.028</v>
      </c>
      <c r="F2330" s="4" t="str">
        <f>HYPERLINK("http://141.218.60.56/~jnz1568/getInfo.php?workbook=14_09.xlsx&amp;sheet=A0&amp;row=2330&amp;col=6&amp;number=2160000000&amp;sourceID=14","2160000000")</f>
        <v>2160000000</v>
      </c>
      <c r="G2330" s="4" t="str">
        <f>HYPERLINK("http://141.218.60.56/~jnz1568/getInfo.php?workbook=14_09.xlsx&amp;sheet=A0&amp;row=2330&amp;col=7&amp;number=0&amp;sourceID=14","0")</f>
        <v>0</v>
      </c>
    </row>
    <row r="2331" spans="1:7">
      <c r="A2331" s="3">
        <v>14</v>
      </c>
      <c r="B2331" s="3">
        <v>9</v>
      </c>
      <c r="C2331" s="3">
        <v>118</v>
      </c>
      <c r="D2331" s="3">
        <v>47</v>
      </c>
      <c r="E2331" s="3">
        <v>-483.855</v>
      </c>
      <c r="F2331" s="4" t="str">
        <f>HYPERLINK("http://141.218.60.56/~jnz1568/getInfo.php?workbook=14_09.xlsx&amp;sheet=A0&amp;row=2331&amp;col=6&amp;number=1810000000&amp;sourceID=14","1810000000")</f>
        <v>1810000000</v>
      </c>
      <c r="G2331" s="4" t="str">
        <f>HYPERLINK("http://141.218.60.56/~jnz1568/getInfo.php?workbook=14_09.xlsx&amp;sheet=A0&amp;row=2331&amp;col=7&amp;number=0&amp;sourceID=14","0")</f>
        <v>0</v>
      </c>
    </row>
    <row r="2332" spans="1:7">
      <c r="A2332" s="3">
        <v>14</v>
      </c>
      <c r="B2332" s="3">
        <v>9</v>
      </c>
      <c r="C2332" s="3">
        <v>122</v>
      </c>
      <c r="D2332" s="3">
        <v>47</v>
      </c>
      <c r="E2332" s="3">
        <v>-481.509</v>
      </c>
      <c r="F2332" s="4" t="str">
        <f>HYPERLINK("http://141.218.60.56/~jnz1568/getInfo.php?workbook=14_09.xlsx&amp;sheet=A0&amp;row=2332&amp;col=6&amp;number=943000000&amp;sourceID=14","943000000")</f>
        <v>943000000</v>
      </c>
      <c r="G2332" s="4" t="str">
        <f>HYPERLINK("http://141.218.60.56/~jnz1568/getInfo.php?workbook=14_09.xlsx&amp;sheet=A0&amp;row=2332&amp;col=7&amp;number=0&amp;sourceID=14","0")</f>
        <v>0</v>
      </c>
    </row>
    <row r="2333" spans="1:7">
      <c r="A2333" s="3">
        <v>14</v>
      </c>
      <c r="B2333" s="3">
        <v>9</v>
      </c>
      <c r="C2333" s="3">
        <v>124</v>
      </c>
      <c r="D2333" s="3">
        <v>47</v>
      </c>
      <c r="E2333" s="3">
        <v>-478.907</v>
      </c>
      <c r="F2333" s="4" t="str">
        <f>HYPERLINK("http://141.218.60.56/~jnz1568/getInfo.php?workbook=14_09.xlsx&amp;sheet=A0&amp;row=2333&amp;col=6&amp;number=154000000&amp;sourceID=14","154000000")</f>
        <v>154000000</v>
      </c>
      <c r="G2333" s="4" t="str">
        <f>HYPERLINK("http://141.218.60.56/~jnz1568/getInfo.php?workbook=14_09.xlsx&amp;sheet=A0&amp;row=2333&amp;col=7&amp;number=0&amp;sourceID=14","0")</f>
        <v>0</v>
      </c>
    </row>
    <row r="2334" spans="1:7">
      <c r="A2334" s="3">
        <v>14</v>
      </c>
      <c r="B2334" s="3">
        <v>9</v>
      </c>
      <c r="C2334" s="3">
        <v>125</v>
      </c>
      <c r="D2334" s="3">
        <v>47</v>
      </c>
      <c r="E2334" s="3">
        <v>-464.473</v>
      </c>
      <c r="F2334" s="4" t="str">
        <f>HYPERLINK("http://141.218.60.56/~jnz1568/getInfo.php?workbook=14_09.xlsx&amp;sheet=A0&amp;row=2334&amp;col=6&amp;number=1050000&amp;sourceID=14","1050000")</f>
        <v>1050000</v>
      </c>
      <c r="G2334" s="4" t="str">
        <f>HYPERLINK("http://141.218.60.56/~jnz1568/getInfo.php?workbook=14_09.xlsx&amp;sheet=A0&amp;row=2334&amp;col=7&amp;number=0&amp;sourceID=14","0")</f>
        <v>0</v>
      </c>
    </row>
    <row r="2335" spans="1:7">
      <c r="A2335" s="3">
        <v>14</v>
      </c>
      <c r="B2335" s="3">
        <v>9</v>
      </c>
      <c r="C2335" s="3">
        <v>126</v>
      </c>
      <c r="D2335" s="3">
        <v>47</v>
      </c>
      <c r="E2335" s="3">
        <v>-460.076</v>
      </c>
      <c r="F2335" s="4" t="str">
        <f>HYPERLINK("http://141.218.60.56/~jnz1568/getInfo.php?workbook=14_09.xlsx&amp;sheet=A0&amp;row=2335&amp;col=6&amp;number=8000000&amp;sourceID=14","8000000")</f>
        <v>8000000</v>
      </c>
      <c r="G2335" s="4" t="str">
        <f>HYPERLINK("http://141.218.60.56/~jnz1568/getInfo.php?workbook=14_09.xlsx&amp;sheet=A0&amp;row=2335&amp;col=7&amp;number=0&amp;sourceID=14","0")</f>
        <v>0</v>
      </c>
    </row>
    <row r="2336" spans="1:7">
      <c r="A2336" s="3">
        <v>14</v>
      </c>
      <c r="B2336" s="3">
        <v>9</v>
      </c>
      <c r="C2336" s="3">
        <v>138</v>
      </c>
      <c r="D2336" s="3">
        <v>47</v>
      </c>
      <c r="E2336" s="3">
        <v>-401.082</v>
      </c>
      <c r="F2336" s="4" t="str">
        <f>HYPERLINK("http://141.218.60.56/~jnz1568/getInfo.php?workbook=14_09.xlsx&amp;sheet=A0&amp;row=2336&amp;col=6&amp;number=249000000&amp;sourceID=14","249000000")</f>
        <v>249000000</v>
      </c>
      <c r="G2336" s="4" t="str">
        <f>HYPERLINK("http://141.218.60.56/~jnz1568/getInfo.php?workbook=14_09.xlsx&amp;sheet=A0&amp;row=2336&amp;col=7&amp;number=0&amp;sourceID=14","0")</f>
        <v>0</v>
      </c>
    </row>
    <row r="2337" spans="1:7">
      <c r="A2337" s="3">
        <v>14</v>
      </c>
      <c r="B2337" s="3">
        <v>9</v>
      </c>
      <c r="C2337" s="3">
        <v>139</v>
      </c>
      <c r="D2337" s="3">
        <v>47</v>
      </c>
      <c r="E2337" s="3">
        <v>-401.053</v>
      </c>
      <c r="F2337" s="4" t="str">
        <f>HYPERLINK("http://141.218.60.56/~jnz1568/getInfo.php?workbook=14_09.xlsx&amp;sheet=A0&amp;row=2337&amp;col=6&amp;number=149000000&amp;sourceID=14","149000000")</f>
        <v>149000000</v>
      </c>
      <c r="G2337" s="4" t="str">
        <f>HYPERLINK("http://141.218.60.56/~jnz1568/getInfo.php?workbook=14_09.xlsx&amp;sheet=A0&amp;row=2337&amp;col=7&amp;number=0&amp;sourceID=14","0")</f>
        <v>0</v>
      </c>
    </row>
    <row r="2338" spans="1:7">
      <c r="A2338" s="3">
        <v>14</v>
      </c>
      <c r="B2338" s="3">
        <v>9</v>
      </c>
      <c r="C2338" s="3">
        <v>141</v>
      </c>
      <c r="D2338" s="3">
        <v>47</v>
      </c>
      <c r="E2338" s="3">
        <v>-398.863</v>
      </c>
      <c r="F2338" s="4" t="str">
        <f>HYPERLINK("http://141.218.60.56/~jnz1568/getInfo.php?workbook=14_09.xlsx&amp;sheet=A0&amp;row=2338&amp;col=6&amp;number=136000000&amp;sourceID=14","136000000")</f>
        <v>136000000</v>
      </c>
      <c r="G2338" s="4" t="str">
        <f>HYPERLINK("http://141.218.60.56/~jnz1568/getInfo.php?workbook=14_09.xlsx&amp;sheet=A0&amp;row=2338&amp;col=7&amp;number=0&amp;sourceID=14","0")</f>
        <v>0</v>
      </c>
    </row>
    <row r="2339" spans="1:7">
      <c r="A2339" s="3">
        <v>14</v>
      </c>
      <c r="B2339" s="3">
        <v>9</v>
      </c>
      <c r="C2339" s="3">
        <v>142</v>
      </c>
      <c r="D2339" s="3">
        <v>47</v>
      </c>
      <c r="E2339" s="3">
        <v>-398.846</v>
      </c>
      <c r="F2339" s="4" t="str">
        <f>HYPERLINK("http://141.218.60.56/~jnz1568/getInfo.php?workbook=14_09.xlsx&amp;sheet=A0&amp;row=2339&amp;col=6&amp;number=598000000&amp;sourceID=14","598000000")</f>
        <v>598000000</v>
      </c>
      <c r="G2339" s="4" t="str">
        <f>HYPERLINK("http://141.218.60.56/~jnz1568/getInfo.php?workbook=14_09.xlsx&amp;sheet=A0&amp;row=2339&amp;col=7&amp;number=0&amp;sourceID=14","0")</f>
        <v>0</v>
      </c>
    </row>
    <row r="2340" spans="1:7">
      <c r="A2340" s="3">
        <v>14</v>
      </c>
      <c r="B2340" s="3">
        <v>9</v>
      </c>
      <c r="C2340" s="3">
        <v>147</v>
      </c>
      <c r="D2340" s="3">
        <v>47</v>
      </c>
      <c r="E2340" s="3">
        <v>-396.702</v>
      </c>
      <c r="F2340" s="4" t="str">
        <f>HYPERLINK("http://141.218.60.56/~jnz1568/getInfo.php?workbook=14_09.xlsx&amp;sheet=A0&amp;row=2340&amp;col=6&amp;number=597000000&amp;sourceID=14","597000000")</f>
        <v>597000000</v>
      </c>
      <c r="G2340" s="4" t="str">
        <f>HYPERLINK("http://141.218.60.56/~jnz1568/getInfo.php?workbook=14_09.xlsx&amp;sheet=A0&amp;row=2340&amp;col=7&amp;number=0&amp;sourceID=14","0")</f>
        <v>0</v>
      </c>
    </row>
    <row r="2341" spans="1:7">
      <c r="A2341" s="3">
        <v>14</v>
      </c>
      <c r="B2341" s="3">
        <v>9</v>
      </c>
      <c r="C2341" s="3">
        <v>160</v>
      </c>
      <c r="D2341" s="3">
        <v>47</v>
      </c>
      <c r="E2341" s="3">
        <v>-367.63</v>
      </c>
      <c r="F2341" s="4" t="str">
        <f>HYPERLINK("http://141.218.60.56/~jnz1568/getInfo.php?workbook=14_09.xlsx&amp;sheet=A0&amp;row=2341&amp;col=6&amp;number=486000&amp;sourceID=14","486000")</f>
        <v>486000</v>
      </c>
      <c r="G2341" s="4" t="str">
        <f>HYPERLINK("http://141.218.60.56/~jnz1568/getInfo.php?workbook=14_09.xlsx&amp;sheet=A0&amp;row=2341&amp;col=7&amp;number=0&amp;sourceID=14","0")</f>
        <v>0</v>
      </c>
    </row>
    <row r="2342" spans="1:7">
      <c r="A2342" s="3">
        <v>14</v>
      </c>
      <c r="B2342" s="3">
        <v>9</v>
      </c>
      <c r="C2342" s="3">
        <v>164</v>
      </c>
      <c r="D2342" s="3">
        <v>47</v>
      </c>
      <c r="E2342" s="3">
        <v>-312.056</v>
      </c>
      <c r="F2342" s="4" t="str">
        <f>HYPERLINK("http://141.218.60.56/~jnz1568/getInfo.php?workbook=14_09.xlsx&amp;sheet=A0&amp;row=2342&amp;col=6&amp;number=61800000&amp;sourceID=14","61800000")</f>
        <v>61800000</v>
      </c>
      <c r="G2342" s="4" t="str">
        <f>HYPERLINK("http://141.218.60.56/~jnz1568/getInfo.php?workbook=14_09.xlsx&amp;sheet=A0&amp;row=2342&amp;col=7&amp;number=0&amp;sourceID=14","0")</f>
        <v>0</v>
      </c>
    </row>
    <row r="2343" spans="1:7">
      <c r="A2343" s="3">
        <v>14</v>
      </c>
      <c r="B2343" s="3">
        <v>9</v>
      </c>
      <c r="C2343" s="3">
        <v>167</v>
      </c>
      <c r="D2343" s="3">
        <v>47</v>
      </c>
      <c r="E2343" s="3">
        <v>-303.658</v>
      </c>
      <c r="F2343" s="4" t="str">
        <f>HYPERLINK("http://141.218.60.56/~jnz1568/getInfo.php?workbook=14_09.xlsx&amp;sheet=A0&amp;row=2343&amp;col=6&amp;number=2970000&amp;sourceID=14","2970000")</f>
        <v>2970000</v>
      </c>
      <c r="G2343" s="4" t="str">
        <f>HYPERLINK("http://141.218.60.56/~jnz1568/getInfo.php?workbook=14_09.xlsx&amp;sheet=A0&amp;row=2343&amp;col=7&amp;number=0&amp;sourceID=14","0")</f>
        <v>0</v>
      </c>
    </row>
    <row r="2344" spans="1:7">
      <c r="A2344" s="3">
        <v>14</v>
      </c>
      <c r="B2344" s="3">
        <v>9</v>
      </c>
      <c r="C2344" s="3">
        <v>168</v>
      </c>
      <c r="D2344" s="3">
        <v>47</v>
      </c>
      <c r="E2344" s="3">
        <v>-284.619</v>
      </c>
      <c r="F2344" s="4" t="str">
        <f>HYPERLINK("http://141.218.60.56/~jnz1568/getInfo.php?workbook=14_09.xlsx&amp;sheet=A0&amp;row=2344&amp;col=6&amp;number=12500000&amp;sourceID=14","12500000")</f>
        <v>12500000</v>
      </c>
      <c r="G2344" s="4" t="str">
        <f>HYPERLINK("http://141.218.60.56/~jnz1568/getInfo.php?workbook=14_09.xlsx&amp;sheet=A0&amp;row=2344&amp;col=7&amp;number=0&amp;sourceID=14","0")</f>
        <v>0</v>
      </c>
    </row>
    <row r="2345" spans="1:7">
      <c r="A2345" s="3">
        <v>14</v>
      </c>
      <c r="B2345" s="3">
        <v>9</v>
      </c>
      <c r="C2345" s="3">
        <v>169</v>
      </c>
      <c r="D2345" s="3">
        <v>47</v>
      </c>
      <c r="E2345" s="3">
        <v>-283.953</v>
      </c>
      <c r="F2345" s="4" t="str">
        <f>HYPERLINK("http://141.218.60.56/~jnz1568/getInfo.php?workbook=14_09.xlsx&amp;sheet=A0&amp;row=2345&amp;col=6&amp;number=49200000&amp;sourceID=14","49200000")</f>
        <v>49200000</v>
      </c>
      <c r="G2345" s="4" t="str">
        <f>HYPERLINK("http://141.218.60.56/~jnz1568/getInfo.php?workbook=14_09.xlsx&amp;sheet=A0&amp;row=2345&amp;col=7&amp;number=0&amp;sourceID=14","0")</f>
        <v>0</v>
      </c>
    </row>
    <row r="2346" spans="1:7">
      <c r="A2346" s="3">
        <v>14</v>
      </c>
      <c r="B2346" s="3">
        <v>9</v>
      </c>
      <c r="C2346" s="3">
        <v>170</v>
      </c>
      <c r="D2346" s="3">
        <v>47</v>
      </c>
      <c r="E2346" s="3">
        <v>-282.759</v>
      </c>
      <c r="F2346" s="4" t="str">
        <f>HYPERLINK("http://141.218.60.56/~jnz1568/getInfo.php?workbook=14_09.xlsx&amp;sheet=A0&amp;row=2346&amp;col=6&amp;number=3900000&amp;sourceID=14","3900000")</f>
        <v>3900000</v>
      </c>
      <c r="G2346" s="4" t="str">
        <f>HYPERLINK("http://141.218.60.56/~jnz1568/getInfo.php?workbook=14_09.xlsx&amp;sheet=A0&amp;row=2346&amp;col=7&amp;number=0&amp;sourceID=14","0")</f>
        <v>0</v>
      </c>
    </row>
    <row r="2347" spans="1:7">
      <c r="A2347" s="3">
        <v>14</v>
      </c>
      <c r="B2347" s="3">
        <v>9</v>
      </c>
      <c r="C2347" s="3">
        <v>173</v>
      </c>
      <c r="D2347" s="3">
        <v>47</v>
      </c>
      <c r="E2347" s="3">
        <v>-278.706</v>
      </c>
      <c r="F2347" s="4" t="str">
        <f>HYPERLINK("http://141.218.60.56/~jnz1568/getInfo.php?workbook=14_09.xlsx&amp;sheet=A0&amp;row=2347&amp;col=6&amp;number=56800000&amp;sourceID=14","56800000")</f>
        <v>56800000</v>
      </c>
      <c r="G2347" s="4" t="str">
        <f>HYPERLINK("http://141.218.60.56/~jnz1568/getInfo.php?workbook=14_09.xlsx&amp;sheet=A0&amp;row=2347&amp;col=7&amp;number=0&amp;sourceID=14","0")</f>
        <v>0</v>
      </c>
    </row>
    <row r="2348" spans="1:7">
      <c r="A2348" s="3">
        <v>14</v>
      </c>
      <c r="B2348" s="3">
        <v>9</v>
      </c>
      <c r="C2348" s="3">
        <v>174</v>
      </c>
      <c r="D2348" s="3">
        <v>47</v>
      </c>
      <c r="E2348" s="3">
        <v>-277.788</v>
      </c>
      <c r="F2348" s="4" t="str">
        <f>HYPERLINK("http://141.218.60.56/~jnz1568/getInfo.php?workbook=14_09.xlsx&amp;sheet=A0&amp;row=2348&amp;col=6&amp;number=43000000&amp;sourceID=14","43000000")</f>
        <v>43000000</v>
      </c>
      <c r="G2348" s="4" t="str">
        <f>HYPERLINK("http://141.218.60.56/~jnz1568/getInfo.php?workbook=14_09.xlsx&amp;sheet=A0&amp;row=2348&amp;col=7&amp;number=0&amp;sourceID=14","0")</f>
        <v>0</v>
      </c>
    </row>
    <row r="2349" spans="1:7">
      <c r="A2349" s="3">
        <v>14</v>
      </c>
      <c r="B2349" s="3">
        <v>9</v>
      </c>
      <c r="C2349" s="3">
        <v>176</v>
      </c>
      <c r="D2349" s="3">
        <v>47</v>
      </c>
      <c r="E2349" s="3">
        <v>-272.169</v>
      </c>
      <c r="F2349" s="4" t="str">
        <f>HYPERLINK("http://141.218.60.56/~jnz1568/getInfo.php?workbook=14_09.xlsx&amp;sheet=A0&amp;row=2349&amp;col=6&amp;number=100000000&amp;sourceID=14","100000000")</f>
        <v>100000000</v>
      </c>
      <c r="G2349" s="4" t="str">
        <f>HYPERLINK("http://141.218.60.56/~jnz1568/getInfo.php?workbook=14_09.xlsx&amp;sheet=A0&amp;row=2349&amp;col=7&amp;number=0&amp;sourceID=14","0")</f>
        <v>0</v>
      </c>
    </row>
    <row r="2350" spans="1:7">
      <c r="A2350" s="3">
        <v>14</v>
      </c>
      <c r="B2350" s="3">
        <v>9</v>
      </c>
      <c r="C2350" s="3">
        <v>178</v>
      </c>
      <c r="D2350" s="3">
        <v>47</v>
      </c>
      <c r="E2350" s="3">
        <v>-271.917</v>
      </c>
      <c r="F2350" s="4" t="str">
        <f>HYPERLINK("http://141.218.60.56/~jnz1568/getInfo.php?workbook=14_09.xlsx&amp;sheet=A0&amp;row=2350&amp;col=6&amp;number=1360000&amp;sourceID=14","1360000")</f>
        <v>1360000</v>
      </c>
      <c r="G2350" s="4" t="str">
        <f>HYPERLINK("http://141.218.60.56/~jnz1568/getInfo.php?workbook=14_09.xlsx&amp;sheet=A0&amp;row=2350&amp;col=7&amp;number=0&amp;sourceID=14","0")</f>
        <v>0</v>
      </c>
    </row>
    <row r="2351" spans="1:7">
      <c r="A2351" s="3">
        <v>14</v>
      </c>
      <c r="B2351" s="3">
        <v>9</v>
      </c>
      <c r="C2351" s="3">
        <v>179</v>
      </c>
      <c r="D2351" s="3">
        <v>47</v>
      </c>
      <c r="E2351" s="3">
        <v>-271.893</v>
      </c>
      <c r="F2351" s="4" t="str">
        <f>HYPERLINK("http://141.218.60.56/~jnz1568/getInfo.php?workbook=14_09.xlsx&amp;sheet=A0&amp;row=2351&amp;col=6&amp;number=11600000&amp;sourceID=14","11600000")</f>
        <v>11600000</v>
      </c>
      <c r="G2351" s="4" t="str">
        <f>HYPERLINK("http://141.218.60.56/~jnz1568/getInfo.php?workbook=14_09.xlsx&amp;sheet=A0&amp;row=2351&amp;col=7&amp;number=0&amp;sourceID=14","0")</f>
        <v>0</v>
      </c>
    </row>
    <row r="2352" spans="1:7">
      <c r="A2352" s="3">
        <v>14</v>
      </c>
      <c r="B2352" s="3">
        <v>9</v>
      </c>
      <c r="C2352" s="3">
        <v>180</v>
      </c>
      <c r="D2352" s="3">
        <v>47</v>
      </c>
      <c r="E2352" s="3">
        <v>-271.074</v>
      </c>
      <c r="F2352" s="4" t="str">
        <f>HYPERLINK("http://141.218.60.56/~jnz1568/getInfo.php?workbook=14_09.xlsx&amp;sheet=A0&amp;row=2352&amp;col=6&amp;number=3970000000&amp;sourceID=14","3970000000")</f>
        <v>3970000000</v>
      </c>
      <c r="G2352" s="4" t="str">
        <f>HYPERLINK("http://141.218.60.56/~jnz1568/getInfo.php?workbook=14_09.xlsx&amp;sheet=A0&amp;row=2352&amp;col=7&amp;number=0&amp;sourceID=14","0")</f>
        <v>0</v>
      </c>
    </row>
    <row r="2353" spans="1:7">
      <c r="A2353" s="3">
        <v>14</v>
      </c>
      <c r="B2353" s="3">
        <v>9</v>
      </c>
      <c r="C2353" s="3">
        <v>181</v>
      </c>
      <c r="D2353" s="3">
        <v>47</v>
      </c>
      <c r="E2353" s="3">
        <v>-267.941</v>
      </c>
      <c r="F2353" s="4" t="str">
        <f>HYPERLINK("http://141.218.60.56/~jnz1568/getInfo.php?workbook=14_09.xlsx&amp;sheet=A0&amp;row=2353&amp;col=6&amp;number=180000000&amp;sourceID=14","180000000")</f>
        <v>180000000</v>
      </c>
      <c r="G2353" s="4" t="str">
        <f>HYPERLINK("http://141.218.60.56/~jnz1568/getInfo.php?workbook=14_09.xlsx&amp;sheet=A0&amp;row=2353&amp;col=7&amp;number=0&amp;sourceID=14","0")</f>
        <v>0</v>
      </c>
    </row>
    <row r="2354" spans="1:7">
      <c r="A2354" s="3">
        <v>14</v>
      </c>
      <c r="B2354" s="3">
        <v>9</v>
      </c>
      <c r="C2354" s="3">
        <v>182</v>
      </c>
      <c r="D2354" s="3">
        <v>47</v>
      </c>
      <c r="E2354" s="3">
        <v>-267.872</v>
      </c>
      <c r="F2354" s="4" t="str">
        <f>HYPERLINK("http://141.218.60.56/~jnz1568/getInfo.php?workbook=14_09.xlsx&amp;sheet=A0&amp;row=2354&amp;col=6&amp;number=2120000000&amp;sourceID=14","2120000000")</f>
        <v>2120000000</v>
      </c>
      <c r="G2354" s="4" t="str">
        <f>HYPERLINK("http://141.218.60.56/~jnz1568/getInfo.php?workbook=14_09.xlsx&amp;sheet=A0&amp;row=2354&amp;col=7&amp;number=0&amp;sourceID=14","0")</f>
        <v>0</v>
      </c>
    </row>
    <row r="2355" spans="1:7">
      <c r="A2355" s="3">
        <v>14</v>
      </c>
      <c r="B2355" s="3">
        <v>9</v>
      </c>
      <c r="C2355" s="3">
        <v>183</v>
      </c>
      <c r="D2355" s="3">
        <v>47</v>
      </c>
      <c r="E2355" s="3">
        <v>-261.922</v>
      </c>
      <c r="F2355" s="4" t="str">
        <f>HYPERLINK("http://141.218.60.56/~jnz1568/getInfo.php?workbook=14_09.xlsx&amp;sheet=A0&amp;row=2355&amp;col=6&amp;number=16900000000&amp;sourceID=14","16900000000")</f>
        <v>16900000000</v>
      </c>
      <c r="G2355" s="4" t="str">
        <f>HYPERLINK("http://141.218.60.56/~jnz1568/getInfo.php?workbook=14_09.xlsx&amp;sheet=A0&amp;row=2355&amp;col=7&amp;number=0&amp;sourceID=14","0")</f>
        <v>0</v>
      </c>
    </row>
    <row r="2356" spans="1:7">
      <c r="A2356" s="3">
        <v>14</v>
      </c>
      <c r="B2356" s="3">
        <v>9</v>
      </c>
      <c r="C2356" s="3">
        <v>184</v>
      </c>
      <c r="D2356" s="3">
        <v>47</v>
      </c>
      <c r="E2356" s="3">
        <v>-260.295</v>
      </c>
      <c r="F2356" s="4" t="str">
        <f>HYPERLINK("http://141.218.60.56/~jnz1568/getInfo.php?workbook=14_09.xlsx&amp;sheet=A0&amp;row=2356&amp;col=6&amp;number=123000000&amp;sourceID=14","123000000")</f>
        <v>123000000</v>
      </c>
      <c r="G2356" s="4" t="str">
        <f>HYPERLINK("http://141.218.60.56/~jnz1568/getInfo.php?workbook=14_09.xlsx&amp;sheet=A0&amp;row=2356&amp;col=7&amp;number=0&amp;sourceID=14","0")</f>
        <v>0</v>
      </c>
    </row>
    <row r="2357" spans="1:7">
      <c r="A2357" s="3">
        <v>14</v>
      </c>
      <c r="B2357" s="3">
        <v>9</v>
      </c>
      <c r="C2357" s="3">
        <v>190</v>
      </c>
      <c r="D2357" s="3">
        <v>47</v>
      </c>
      <c r="E2357" s="3">
        <v>-194.239</v>
      </c>
      <c r="F2357" s="4" t="str">
        <f>HYPERLINK("http://141.218.60.56/~jnz1568/getInfo.php?workbook=14_09.xlsx&amp;sheet=A0&amp;row=2357&amp;col=6&amp;number=297000000&amp;sourceID=14","297000000")</f>
        <v>297000000</v>
      </c>
      <c r="G2357" s="4" t="str">
        <f>HYPERLINK("http://141.218.60.56/~jnz1568/getInfo.php?workbook=14_09.xlsx&amp;sheet=A0&amp;row=2357&amp;col=7&amp;number=0&amp;sourceID=14","0")</f>
        <v>0</v>
      </c>
    </row>
    <row r="2358" spans="1:7">
      <c r="A2358" s="3">
        <v>14</v>
      </c>
      <c r="B2358" s="3">
        <v>9</v>
      </c>
      <c r="C2358" s="3">
        <v>192</v>
      </c>
      <c r="D2358" s="3">
        <v>47</v>
      </c>
      <c r="E2358" s="3">
        <v>-192.856</v>
      </c>
      <c r="F2358" s="4" t="str">
        <f>HYPERLINK("http://141.218.60.56/~jnz1568/getInfo.php?workbook=14_09.xlsx&amp;sheet=A0&amp;row=2358&amp;col=6&amp;number=41600000&amp;sourceID=14","41600000")</f>
        <v>41600000</v>
      </c>
      <c r="G2358" s="4" t="str">
        <f>HYPERLINK("http://141.218.60.56/~jnz1568/getInfo.php?workbook=14_09.xlsx&amp;sheet=A0&amp;row=2358&amp;col=7&amp;number=0&amp;sourceID=14","0")</f>
        <v>0</v>
      </c>
    </row>
    <row r="2359" spans="1:7">
      <c r="A2359" s="3">
        <v>14</v>
      </c>
      <c r="B2359" s="3">
        <v>9</v>
      </c>
      <c r="C2359" s="3">
        <v>193</v>
      </c>
      <c r="D2359" s="3">
        <v>47</v>
      </c>
      <c r="E2359" s="3">
        <v>-192.806</v>
      </c>
      <c r="F2359" s="4" t="str">
        <f>HYPERLINK("http://141.218.60.56/~jnz1568/getInfo.php?workbook=14_09.xlsx&amp;sheet=A0&amp;row=2359&amp;col=6&amp;number=2080000000&amp;sourceID=14","2080000000")</f>
        <v>2080000000</v>
      </c>
      <c r="G2359" s="4" t="str">
        <f>HYPERLINK("http://141.218.60.56/~jnz1568/getInfo.php?workbook=14_09.xlsx&amp;sheet=A0&amp;row=2359&amp;col=7&amp;number=0&amp;sourceID=14","0")</f>
        <v>0</v>
      </c>
    </row>
    <row r="2360" spans="1:7">
      <c r="A2360" s="3">
        <v>14</v>
      </c>
      <c r="B2360" s="3">
        <v>9</v>
      </c>
      <c r="C2360" s="3">
        <v>194</v>
      </c>
      <c r="D2360" s="3">
        <v>47</v>
      </c>
      <c r="E2360" s="3">
        <v>-191.756</v>
      </c>
      <c r="F2360" s="4" t="str">
        <f>HYPERLINK("http://141.218.60.56/~jnz1568/getInfo.php?workbook=14_09.xlsx&amp;sheet=A0&amp;row=2360&amp;col=6&amp;number=1050000000&amp;sourceID=14","1050000000")</f>
        <v>1050000000</v>
      </c>
      <c r="G2360" s="4" t="str">
        <f>HYPERLINK("http://141.218.60.56/~jnz1568/getInfo.php?workbook=14_09.xlsx&amp;sheet=A0&amp;row=2360&amp;col=7&amp;number=0&amp;sourceID=14","0")</f>
        <v>0</v>
      </c>
    </row>
    <row r="2361" spans="1:7">
      <c r="A2361" s="3">
        <v>14</v>
      </c>
      <c r="B2361" s="3">
        <v>9</v>
      </c>
      <c r="C2361" s="3">
        <v>195</v>
      </c>
      <c r="D2361" s="3">
        <v>47</v>
      </c>
      <c r="E2361" s="3">
        <v>-191.731</v>
      </c>
      <c r="F2361" s="4" t="str">
        <f>HYPERLINK("http://141.218.60.56/~jnz1568/getInfo.php?workbook=14_09.xlsx&amp;sheet=A0&amp;row=2361&amp;col=6&amp;number=2710000&amp;sourceID=14","2710000")</f>
        <v>2710000</v>
      </c>
      <c r="G2361" s="4" t="str">
        <f>HYPERLINK("http://141.218.60.56/~jnz1568/getInfo.php?workbook=14_09.xlsx&amp;sheet=A0&amp;row=2361&amp;col=7&amp;number=0&amp;sourceID=14","0")</f>
        <v>0</v>
      </c>
    </row>
    <row r="2362" spans="1:7">
      <c r="A2362" s="3">
        <v>14</v>
      </c>
      <c r="B2362" s="3">
        <v>9</v>
      </c>
      <c r="C2362" s="3">
        <v>69</v>
      </c>
      <c r="D2362" s="3">
        <v>48</v>
      </c>
      <c r="E2362" s="3">
        <v>-663.968</v>
      </c>
      <c r="F2362" s="4" t="str">
        <f>HYPERLINK("http://141.218.60.56/~jnz1568/getInfo.php?workbook=14_09.xlsx&amp;sheet=A0&amp;row=2362&amp;col=6&amp;number=162000&amp;sourceID=14","162000")</f>
        <v>162000</v>
      </c>
      <c r="G2362" s="4" t="str">
        <f>HYPERLINK("http://141.218.60.56/~jnz1568/getInfo.php?workbook=14_09.xlsx&amp;sheet=A0&amp;row=2362&amp;col=7&amp;number=0&amp;sourceID=14","0")</f>
        <v>0</v>
      </c>
    </row>
    <row r="2363" spans="1:7">
      <c r="A2363" s="3">
        <v>14</v>
      </c>
      <c r="B2363" s="3">
        <v>9</v>
      </c>
      <c r="C2363" s="3">
        <v>70</v>
      </c>
      <c r="D2363" s="3">
        <v>48</v>
      </c>
      <c r="E2363" s="3">
        <v>-658.442</v>
      </c>
      <c r="F2363" s="4" t="str">
        <f>HYPERLINK("http://141.218.60.56/~jnz1568/getInfo.php?workbook=14_09.xlsx&amp;sheet=A0&amp;row=2363&amp;col=6&amp;number=69000000&amp;sourceID=14","69000000")</f>
        <v>69000000</v>
      </c>
      <c r="G2363" s="4" t="str">
        <f>HYPERLINK("http://141.218.60.56/~jnz1568/getInfo.php?workbook=14_09.xlsx&amp;sheet=A0&amp;row=2363&amp;col=7&amp;number=0&amp;sourceID=14","0")</f>
        <v>0</v>
      </c>
    </row>
    <row r="2364" spans="1:7">
      <c r="A2364" s="3">
        <v>14</v>
      </c>
      <c r="B2364" s="3">
        <v>9</v>
      </c>
      <c r="C2364" s="3">
        <v>71</v>
      </c>
      <c r="D2364" s="3">
        <v>48</v>
      </c>
      <c r="E2364" s="3">
        <v>-649.554</v>
      </c>
      <c r="F2364" s="4" t="str">
        <f>HYPERLINK("http://141.218.60.56/~jnz1568/getInfo.php?workbook=14_09.xlsx&amp;sheet=A0&amp;row=2364&amp;col=6&amp;number=5930000&amp;sourceID=14","5930000")</f>
        <v>5930000</v>
      </c>
      <c r="G2364" s="4" t="str">
        <f>HYPERLINK("http://141.218.60.56/~jnz1568/getInfo.php?workbook=14_09.xlsx&amp;sheet=A0&amp;row=2364&amp;col=7&amp;number=0&amp;sourceID=14","0")</f>
        <v>0</v>
      </c>
    </row>
    <row r="2365" spans="1:7">
      <c r="A2365" s="3">
        <v>14</v>
      </c>
      <c r="B2365" s="3">
        <v>9</v>
      </c>
      <c r="C2365" s="3">
        <v>72</v>
      </c>
      <c r="D2365" s="3">
        <v>48</v>
      </c>
      <c r="E2365" s="3">
        <v>-646.317</v>
      </c>
      <c r="F2365" s="4" t="str">
        <f>HYPERLINK("http://141.218.60.56/~jnz1568/getInfo.php?workbook=14_09.xlsx&amp;sheet=A0&amp;row=2365&amp;col=6&amp;number=180000000&amp;sourceID=14","180000000")</f>
        <v>180000000</v>
      </c>
      <c r="G2365" s="4" t="str">
        <f>HYPERLINK("http://141.218.60.56/~jnz1568/getInfo.php?workbook=14_09.xlsx&amp;sheet=A0&amp;row=2365&amp;col=7&amp;number=0&amp;sourceID=14","0")</f>
        <v>0</v>
      </c>
    </row>
    <row r="2366" spans="1:7">
      <c r="A2366" s="3">
        <v>14</v>
      </c>
      <c r="B2366" s="3">
        <v>9</v>
      </c>
      <c r="C2366" s="3">
        <v>75</v>
      </c>
      <c r="D2366" s="3">
        <v>48</v>
      </c>
      <c r="E2366" s="3">
        <v>-637.581</v>
      </c>
      <c r="F2366" s="4" t="str">
        <f>HYPERLINK("http://141.218.60.56/~jnz1568/getInfo.php?workbook=14_09.xlsx&amp;sheet=A0&amp;row=2366&amp;col=6&amp;number=13400000&amp;sourceID=14","13400000")</f>
        <v>13400000</v>
      </c>
      <c r="G2366" s="4" t="str">
        <f>HYPERLINK("http://141.218.60.56/~jnz1568/getInfo.php?workbook=14_09.xlsx&amp;sheet=A0&amp;row=2366&amp;col=7&amp;number=0&amp;sourceID=14","0")</f>
        <v>0</v>
      </c>
    </row>
    <row r="2367" spans="1:7">
      <c r="A2367" s="3">
        <v>14</v>
      </c>
      <c r="B2367" s="3">
        <v>9</v>
      </c>
      <c r="C2367" s="3">
        <v>76</v>
      </c>
      <c r="D2367" s="3">
        <v>48</v>
      </c>
      <c r="E2367" s="3">
        <v>-636.421</v>
      </c>
      <c r="F2367" s="4" t="str">
        <f>HYPERLINK("http://141.218.60.56/~jnz1568/getInfo.php?workbook=14_09.xlsx&amp;sheet=A0&amp;row=2367&amp;col=6&amp;number=80500000&amp;sourceID=14","80500000")</f>
        <v>80500000</v>
      </c>
      <c r="G2367" s="4" t="str">
        <f>HYPERLINK("http://141.218.60.56/~jnz1568/getInfo.php?workbook=14_09.xlsx&amp;sheet=A0&amp;row=2367&amp;col=7&amp;number=0&amp;sourceID=14","0")</f>
        <v>0</v>
      </c>
    </row>
    <row r="2368" spans="1:7">
      <c r="A2368" s="3">
        <v>14</v>
      </c>
      <c r="B2368" s="3">
        <v>9</v>
      </c>
      <c r="C2368" s="3">
        <v>77</v>
      </c>
      <c r="D2368" s="3">
        <v>48</v>
      </c>
      <c r="E2368" s="3">
        <v>-608.866</v>
      </c>
      <c r="F2368" s="4" t="str">
        <f>HYPERLINK("http://141.218.60.56/~jnz1568/getInfo.php?workbook=14_09.xlsx&amp;sheet=A0&amp;row=2368&amp;col=6&amp;number=1790000000&amp;sourceID=14","1790000000")</f>
        <v>1790000000</v>
      </c>
      <c r="G2368" s="4" t="str">
        <f>HYPERLINK("http://141.218.60.56/~jnz1568/getInfo.php?workbook=14_09.xlsx&amp;sheet=A0&amp;row=2368&amp;col=7&amp;number=0&amp;sourceID=14","0")</f>
        <v>0</v>
      </c>
    </row>
    <row r="2369" spans="1:7">
      <c r="A2369" s="3">
        <v>14</v>
      </c>
      <c r="B2369" s="3">
        <v>9</v>
      </c>
      <c r="C2369" s="3">
        <v>81</v>
      </c>
      <c r="D2369" s="3">
        <v>48</v>
      </c>
      <c r="E2369" s="3">
        <v>-592.355</v>
      </c>
      <c r="F2369" s="4" t="str">
        <f>HYPERLINK("http://141.218.60.56/~jnz1568/getInfo.php?workbook=14_09.xlsx&amp;sheet=A0&amp;row=2369&amp;col=6&amp;number=1320000&amp;sourceID=14","1320000")</f>
        <v>1320000</v>
      </c>
      <c r="G2369" s="4" t="str">
        <f>HYPERLINK("http://141.218.60.56/~jnz1568/getInfo.php?workbook=14_09.xlsx&amp;sheet=A0&amp;row=2369&amp;col=7&amp;number=0&amp;sourceID=14","0")</f>
        <v>0</v>
      </c>
    </row>
    <row r="2370" spans="1:7">
      <c r="A2370" s="3">
        <v>14</v>
      </c>
      <c r="B2370" s="3">
        <v>9</v>
      </c>
      <c r="C2370" s="3">
        <v>82</v>
      </c>
      <c r="D2370" s="3">
        <v>48</v>
      </c>
      <c r="E2370" s="3">
        <v>-582.86</v>
      </c>
      <c r="F2370" s="4" t="str">
        <f>HYPERLINK("http://141.218.60.56/~jnz1568/getInfo.php?workbook=14_09.xlsx&amp;sheet=A0&amp;row=2370&amp;col=6&amp;number=27600000&amp;sourceID=14","27600000")</f>
        <v>27600000</v>
      </c>
      <c r="G2370" s="4" t="str">
        <f>HYPERLINK("http://141.218.60.56/~jnz1568/getInfo.php?workbook=14_09.xlsx&amp;sheet=A0&amp;row=2370&amp;col=7&amp;number=0&amp;sourceID=14","0")</f>
        <v>0</v>
      </c>
    </row>
    <row r="2371" spans="1:7">
      <c r="A2371" s="3">
        <v>14</v>
      </c>
      <c r="B2371" s="3">
        <v>9</v>
      </c>
      <c r="C2371" s="3">
        <v>84</v>
      </c>
      <c r="D2371" s="3">
        <v>48</v>
      </c>
      <c r="E2371" s="3">
        <v>-550.141</v>
      </c>
      <c r="F2371" s="4" t="str">
        <f>HYPERLINK("http://141.218.60.56/~jnz1568/getInfo.php?workbook=14_09.xlsx&amp;sheet=A0&amp;row=2371&amp;col=6&amp;number=9840000&amp;sourceID=14","9840000")</f>
        <v>9840000</v>
      </c>
      <c r="G2371" s="4" t="str">
        <f>HYPERLINK("http://141.218.60.56/~jnz1568/getInfo.php?workbook=14_09.xlsx&amp;sheet=A0&amp;row=2371&amp;col=7&amp;number=0&amp;sourceID=14","0")</f>
        <v>0</v>
      </c>
    </row>
    <row r="2372" spans="1:7">
      <c r="A2372" s="3">
        <v>14</v>
      </c>
      <c r="B2372" s="3">
        <v>9</v>
      </c>
      <c r="C2372" s="3">
        <v>101</v>
      </c>
      <c r="D2372" s="3">
        <v>48</v>
      </c>
      <c r="E2372" s="3">
        <v>-504.163</v>
      </c>
      <c r="F2372" s="4" t="str">
        <f>HYPERLINK("http://141.218.60.56/~jnz1568/getInfo.php?workbook=14_09.xlsx&amp;sheet=A0&amp;row=2372&amp;col=6&amp;number=7520000&amp;sourceID=14","7520000")</f>
        <v>7520000</v>
      </c>
      <c r="G2372" s="4" t="str">
        <f>HYPERLINK("http://141.218.60.56/~jnz1568/getInfo.php?workbook=14_09.xlsx&amp;sheet=A0&amp;row=2372&amp;col=7&amp;number=0&amp;sourceID=14","0")</f>
        <v>0</v>
      </c>
    </row>
    <row r="2373" spans="1:7">
      <c r="A2373" s="3">
        <v>14</v>
      </c>
      <c r="B2373" s="3">
        <v>9</v>
      </c>
      <c r="C2373" s="3">
        <v>102</v>
      </c>
      <c r="D2373" s="3">
        <v>48</v>
      </c>
      <c r="E2373" s="3">
        <v>-503.622</v>
      </c>
      <c r="F2373" s="4" t="str">
        <f>HYPERLINK("http://141.218.60.56/~jnz1568/getInfo.php?workbook=14_09.xlsx&amp;sheet=A0&amp;row=2373&amp;col=6&amp;number=54000000&amp;sourceID=14","54000000")</f>
        <v>54000000</v>
      </c>
      <c r="G2373" s="4" t="str">
        <f>HYPERLINK("http://141.218.60.56/~jnz1568/getInfo.php?workbook=14_09.xlsx&amp;sheet=A0&amp;row=2373&amp;col=7&amp;number=0&amp;sourceID=14","0")</f>
        <v>0</v>
      </c>
    </row>
    <row r="2374" spans="1:7">
      <c r="A2374" s="3">
        <v>14</v>
      </c>
      <c r="B2374" s="3">
        <v>9</v>
      </c>
      <c r="C2374" s="3">
        <v>105</v>
      </c>
      <c r="D2374" s="3">
        <v>48</v>
      </c>
      <c r="E2374" s="3">
        <v>-499.584</v>
      </c>
      <c r="F2374" s="4" t="str">
        <f>HYPERLINK("http://141.218.60.56/~jnz1568/getInfo.php?workbook=14_09.xlsx&amp;sheet=A0&amp;row=2374&amp;col=6&amp;number=81500000&amp;sourceID=14","81500000")</f>
        <v>81500000</v>
      </c>
      <c r="G2374" s="4" t="str">
        <f>HYPERLINK("http://141.218.60.56/~jnz1568/getInfo.php?workbook=14_09.xlsx&amp;sheet=A0&amp;row=2374&amp;col=7&amp;number=0&amp;sourceID=14","0")</f>
        <v>0</v>
      </c>
    </row>
    <row r="2375" spans="1:7">
      <c r="A2375" s="3">
        <v>14</v>
      </c>
      <c r="B2375" s="3">
        <v>9</v>
      </c>
      <c r="C2375" s="3">
        <v>106</v>
      </c>
      <c r="D2375" s="3">
        <v>48</v>
      </c>
      <c r="E2375" s="3">
        <v>-499.217</v>
      </c>
      <c r="F2375" s="4" t="str">
        <f>HYPERLINK("http://141.218.60.56/~jnz1568/getInfo.php?workbook=14_09.xlsx&amp;sheet=A0&amp;row=2375&amp;col=6&amp;number=301000000&amp;sourceID=14","301000000")</f>
        <v>301000000</v>
      </c>
      <c r="G2375" s="4" t="str">
        <f>HYPERLINK("http://141.218.60.56/~jnz1568/getInfo.php?workbook=14_09.xlsx&amp;sheet=A0&amp;row=2375&amp;col=7&amp;number=0&amp;sourceID=14","0")</f>
        <v>0</v>
      </c>
    </row>
    <row r="2376" spans="1:7">
      <c r="A2376" s="3">
        <v>14</v>
      </c>
      <c r="B2376" s="3">
        <v>9</v>
      </c>
      <c r="C2376" s="3">
        <v>107</v>
      </c>
      <c r="D2376" s="3">
        <v>48</v>
      </c>
      <c r="E2376" s="3">
        <v>-498.513</v>
      </c>
      <c r="F2376" s="4" t="str">
        <f>HYPERLINK("http://141.218.60.56/~jnz1568/getInfo.php?workbook=14_09.xlsx&amp;sheet=A0&amp;row=2376&amp;col=6&amp;number=8100000000&amp;sourceID=14","8100000000")</f>
        <v>8100000000</v>
      </c>
      <c r="G2376" s="4" t="str">
        <f>HYPERLINK("http://141.218.60.56/~jnz1568/getInfo.php?workbook=14_09.xlsx&amp;sheet=A0&amp;row=2376&amp;col=7&amp;number=0&amp;sourceID=14","0")</f>
        <v>0</v>
      </c>
    </row>
    <row r="2377" spans="1:7">
      <c r="A2377" s="3">
        <v>14</v>
      </c>
      <c r="B2377" s="3">
        <v>9</v>
      </c>
      <c r="C2377" s="3">
        <v>108</v>
      </c>
      <c r="D2377" s="3">
        <v>48</v>
      </c>
      <c r="E2377" s="3">
        <v>-498.192</v>
      </c>
      <c r="F2377" s="4" t="str">
        <f>HYPERLINK("http://141.218.60.56/~jnz1568/getInfo.php?workbook=14_09.xlsx&amp;sheet=A0&amp;row=2377&amp;col=6&amp;number=21300000&amp;sourceID=14","21300000")</f>
        <v>21300000</v>
      </c>
      <c r="G2377" s="4" t="str">
        <f>HYPERLINK("http://141.218.60.56/~jnz1568/getInfo.php?workbook=14_09.xlsx&amp;sheet=A0&amp;row=2377&amp;col=7&amp;number=0&amp;sourceID=14","0")</f>
        <v>0</v>
      </c>
    </row>
    <row r="2378" spans="1:7">
      <c r="A2378" s="3">
        <v>14</v>
      </c>
      <c r="B2378" s="3">
        <v>9</v>
      </c>
      <c r="C2378" s="3">
        <v>109</v>
      </c>
      <c r="D2378" s="3">
        <v>48</v>
      </c>
      <c r="E2378" s="3">
        <v>-497.523</v>
      </c>
      <c r="F2378" s="4" t="str">
        <f>HYPERLINK("http://141.218.60.56/~jnz1568/getInfo.php?workbook=14_09.xlsx&amp;sheet=A0&amp;row=2378&amp;col=6&amp;number=1090000000&amp;sourceID=14","1090000000")</f>
        <v>1090000000</v>
      </c>
      <c r="G2378" s="4" t="str">
        <f>HYPERLINK("http://141.218.60.56/~jnz1568/getInfo.php?workbook=14_09.xlsx&amp;sheet=A0&amp;row=2378&amp;col=7&amp;number=0&amp;sourceID=14","0")</f>
        <v>0</v>
      </c>
    </row>
    <row r="2379" spans="1:7">
      <c r="A2379" s="3">
        <v>14</v>
      </c>
      <c r="B2379" s="3">
        <v>9</v>
      </c>
      <c r="C2379" s="3">
        <v>113</v>
      </c>
      <c r="D2379" s="3">
        <v>48</v>
      </c>
      <c r="E2379" s="3">
        <v>-495.836</v>
      </c>
      <c r="F2379" s="4" t="str">
        <f>HYPERLINK("http://141.218.60.56/~jnz1568/getInfo.php?workbook=14_09.xlsx&amp;sheet=A0&amp;row=2379&amp;col=6&amp;number=14400000&amp;sourceID=14","14400000")</f>
        <v>14400000</v>
      </c>
      <c r="G2379" s="4" t="str">
        <f>HYPERLINK("http://141.218.60.56/~jnz1568/getInfo.php?workbook=14_09.xlsx&amp;sheet=A0&amp;row=2379&amp;col=7&amp;number=0&amp;sourceID=14","0")</f>
        <v>0</v>
      </c>
    </row>
    <row r="2380" spans="1:7">
      <c r="A2380" s="3">
        <v>14</v>
      </c>
      <c r="B2380" s="3">
        <v>9</v>
      </c>
      <c r="C2380" s="3">
        <v>115</v>
      </c>
      <c r="D2380" s="3">
        <v>48</v>
      </c>
      <c r="E2380" s="3">
        <v>-495.467</v>
      </c>
      <c r="F2380" s="4" t="str">
        <f>HYPERLINK("http://141.218.60.56/~jnz1568/getInfo.php?workbook=14_09.xlsx&amp;sheet=A0&amp;row=2380&amp;col=6&amp;number=28400000&amp;sourceID=14","28400000")</f>
        <v>28400000</v>
      </c>
      <c r="G2380" s="4" t="str">
        <f>HYPERLINK("http://141.218.60.56/~jnz1568/getInfo.php?workbook=14_09.xlsx&amp;sheet=A0&amp;row=2380&amp;col=7&amp;number=0&amp;sourceID=14","0")</f>
        <v>0</v>
      </c>
    </row>
    <row r="2381" spans="1:7">
      <c r="A2381" s="3">
        <v>14</v>
      </c>
      <c r="B2381" s="3">
        <v>9</v>
      </c>
      <c r="C2381" s="3">
        <v>116</v>
      </c>
      <c r="D2381" s="3">
        <v>48</v>
      </c>
      <c r="E2381" s="3">
        <v>-495.399</v>
      </c>
      <c r="F2381" s="4" t="str">
        <f>HYPERLINK("http://141.218.60.56/~jnz1568/getInfo.php?workbook=14_09.xlsx&amp;sheet=A0&amp;row=2381&amp;col=6&amp;number=56300000&amp;sourceID=14","56300000")</f>
        <v>56300000</v>
      </c>
      <c r="G2381" s="4" t="str">
        <f>HYPERLINK("http://141.218.60.56/~jnz1568/getInfo.php?workbook=14_09.xlsx&amp;sheet=A0&amp;row=2381&amp;col=7&amp;number=0&amp;sourceID=14","0")</f>
        <v>0</v>
      </c>
    </row>
    <row r="2382" spans="1:7">
      <c r="A2382" s="3">
        <v>14</v>
      </c>
      <c r="B2382" s="3">
        <v>9</v>
      </c>
      <c r="C2382" s="3">
        <v>117</v>
      </c>
      <c r="D2382" s="3">
        <v>48</v>
      </c>
      <c r="E2382" s="3">
        <v>-488.855</v>
      </c>
      <c r="F2382" s="4" t="str">
        <f>HYPERLINK("http://141.218.60.56/~jnz1568/getInfo.php?workbook=14_09.xlsx&amp;sheet=A0&amp;row=2382&amp;col=6&amp;number=85700000&amp;sourceID=14","85700000")</f>
        <v>85700000</v>
      </c>
      <c r="G2382" s="4" t="str">
        <f>HYPERLINK("http://141.218.60.56/~jnz1568/getInfo.php?workbook=14_09.xlsx&amp;sheet=A0&amp;row=2382&amp;col=7&amp;number=0&amp;sourceID=14","0")</f>
        <v>0</v>
      </c>
    </row>
    <row r="2383" spans="1:7">
      <c r="A2383" s="3">
        <v>14</v>
      </c>
      <c r="B2383" s="3">
        <v>9</v>
      </c>
      <c r="C2383" s="3">
        <v>118</v>
      </c>
      <c r="D2383" s="3">
        <v>48</v>
      </c>
      <c r="E2383" s="3">
        <v>-488.678</v>
      </c>
      <c r="F2383" s="4" t="str">
        <f>HYPERLINK("http://141.218.60.56/~jnz1568/getInfo.php?workbook=14_09.xlsx&amp;sheet=A0&amp;row=2383&amp;col=6&amp;number=11900000&amp;sourceID=14","11900000")</f>
        <v>11900000</v>
      </c>
      <c r="G2383" s="4" t="str">
        <f>HYPERLINK("http://141.218.60.56/~jnz1568/getInfo.php?workbook=14_09.xlsx&amp;sheet=A0&amp;row=2383&amp;col=7&amp;number=0&amp;sourceID=14","0")</f>
        <v>0</v>
      </c>
    </row>
    <row r="2384" spans="1:7">
      <c r="A2384" s="3">
        <v>14</v>
      </c>
      <c r="B2384" s="3">
        <v>9</v>
      </c>
      <c r="C2384" s="3">
        <v>120</v>
      </c>
      <c r="D2384" s="3">
        <v>48</v>
      </c>
      <c r="E2384" s="3">
        <v>-487.592</v>
      </c>
      <c r="F2384" s="4" t="str">
        <f>HYPERLINK("http://141.218.60.56/~jnz1568/getInfo.php?workbook=14_09.xlsx&amp;sheet=A0&amp;row=2384&amp;col=6&amp;number=4470000000&amp;sourceID=14","4470000000")</f>
        <v>4470000000</v>
      </c>
      <c r="G2384" s="4" t="str">
        <f>HYPERLINK("http://141.218.60.56/~jnz1568/getInfo.php?workbook=14_09.xlsx&amp;sheet=A0&amp;row=2384&amp;col=7&amp;number=0&amp;sourceID=14","0")</f>
        <v>0</v>
      </c>
    </row>
    <row r="2385" spans="1:7">
      <c r="A2385" s="3">
        <v>14</v>
      </c>
      <c r="B2385" s="3">
        <v>9</v>
      </c>
      <c r="C2385" s="3">
        <v>121</v>
      </c>
      <c r="D2385" s="3">
        <v>48</v>
      </c>
      <c r="E2385" s="3">
        <v>-486.555</v>
      </c>
      <c r="F2385" s="4" t="str">
        <f>HYPERLINK("http://141.218.60.56/~jnz1568/getInfo.php?workbook=14_09.xlsx&amp;sheet=A0&amp;row=2385&amp;col=6&amp;number=185000000&amp;sourceID=14","185000000")</f>
        <v>185000000</v>
      </c>
      <c r="G2385" s="4" t="str">
        <f>HYPERLINK("http://141.218.60.56/~jnz1568/getInfo.php?workbook=14_09.xlsx&amp;sheet=A0&amp;row=2385&amp;col=7&amp;number=0&amp;sourceID=14","0")</f>
        <v>0</v>
      </c>
    </row>
    <row r="2386" spans="1:7">
      <c r="A2386" s="3">
        <v>14</v>
      </c>
      <c r="B2386" s="3">
        <v>9</v>
      </c>
      <c r="C2386" s="3">
        <v>122</v>
      </c>
      <c r="D2386" s="3">
        <v>48</v>
      </c>
      <c r="E2386" s="3">
        <v>-486.285</v>
      </c>
      <c r="F2386" s="4" t="str">
        <f>HYPERLINK("http://141.218.60.56/~jnz1568/getInfo.php?workbook=14_09.xlsx&amp;sheet=A0&amp;row=2386&amp;col=6&amp;number=1160000000&amp;sourceID=14","1160000000")</f>
        <v>1160000000</v>
      </c>
      <c r="G2386" s="4" t="str">
        <f>HYPERLINK("http://141.218.60.56/~jnz1568/getInfo.php?workbook=14_09.xlsx&amp;sheet=A0&amp;row=2386&amp;col=7&amp;number=0&amp;sourceID=14","0")</f>
        <v>0</v>
      </c>
    </row>
    <row r="2387" spans="1:7">
      <c r="A2387" s="3">
        <v>14</v>
      </c>
      <c r="B2387" s="3">
        <v>9</v>
      </c>
      <c r="C2387" s="3">
        <v>123</v>
      </c>
      <c r="D2387" s="3">
        <v>48</v>
      </c>
      <c r="E2387" s="3">
        <v>-483.677</v>
      </c>
      <c r="F2387" s="4" t="str">
        <f>HYPERLINK("http://141.218.60.56/~jnz1568/getInfo.php?workbook=14_09.xlsx&amp;sheet=A0&amp;row=2387&amp;col=6&amp;number=3220000000&amp;sourceID=14","3220000000")</f>
        <v>3220000000</v>
      </c>
      <c r="G2387" s="4" t="str">
        <f>HYPERLINK("http://141.218.60.56/~jnz1568/getInfo.php?workbook=14_09.xlsx&amp;sheet=A0&amp;row=2387&amp;col=7&amp;number=0&amp;sourceID=14","0")</f>
        <v>0</v>
      </c>
    </row>
    <row r="2388" spans="1:7">
      <c r="A2388" s="3">
        <v>14</v>
      </c>
      <c r="B2388" s="3">
        <v>9</v>
      </c>
      <c r="C2388" s="3">
        <v>124</v>
      </c>
      <c r="D2388" s="3">
        <v>48</v>
      </c>
      <c r="E2388" s="3">
        <v>-483.632</v>
      </c>
      <c r="F2388" s="4" t="str">
        <f>HYPERLINK("http://141.218.60.56/~jnz1568/getInfo.php?workbook=14_09.xlsx&amp;sheet=A0&amp;row=2388&amp;col=6&amp;number=329000000&amp;sourceID=14","329000000")</f>
        <v>329000000</v>
      </c>
      <c r="G2388" s="4" t="str">
        <f>HYPERLINK("http://141.218.60.56/~jnz1568/getInfo.php?workbook=14_09.xlsx&amp;sheet=A0&amp;row=2388&amp;col=7&amp;number=0&amp;sourceID=14","0")</f>
        <v>0</v>
      </c>
    </row>
    <row r="2389" spans="1:7">
      <c r="A2389" s="3">
        <v>14</v>
      </c>
      <c r="B2389" s="3">
        <v>9</v>
      </c>
      <c r="C2389" s="3">
        <v>125</v>
      </c>
      <c r="D2389" s="3">
        <v>48</v>
      </c>
      <c r="E2389" s="3">
        <v>-468.916</v>
      </c>
      <c r="F2389" s="4" t="str">
        <f>HYPERLINK("http://141.218.60.56/~jnz1568/getInfo.php?workbook=14_09.xlsx&amp;sheet=A0&amp;row=2389&amp;col=6&amp;number=5960000&amp;sourceID=14","5960000")</f>
        <v>5960000</v>
      </c>
      <c r="G2389" s="4" t="str">
        <f>HYPERLINK("http://141.218.60.56/~jnz1568/getInfo.php?workbook=14_09.xlsx&amp;sheet=A0&amp;row=2389&amp;col=7&amp;number=0&amp;sourceID=14","0")</f>
        <v>0</v>
      </c>
    </row>
    <row r="2390" spans="1:7">
      <c r="A2390" s="3">
        <v>14</v>
      </c>
      <c r="B2390" s="3">
        <v>9</v>
      </c>
      <c r="C2390" s="3">
        <v>139</v>
      </c>
      <c r="D2390" s="3">
        <v>48</v>
      </c>
      <c r="E2390" s="3">
        <v>-404.361</v>
      </c>
      <c r="F2390" s="4" t="str">
        <f>HYPERLINK("http://141.218.60.56/~jnz1568/getInfo.php?workbook=14_09.xlsx&amp;sheet=A0&amp;row=2390&amp;col=6&amp;number=63700000&amp;sourceID=14","63700000")</f>
        <v>63700000</v>
      </c>
      <c r="G2390" s="4" t="str">
        <f>HYPERLINK("http://141.218.60.56/~jnz1568/getInfo.php?workbook=14_09.xlsx&amp;sheet=A0&amp;row=2390&amp;col=7&amp;number=0&amp;sourceID=14","0")</f>
        <v>0</v>
      </c>
    </row>
    <row r="2391" spans="1:7">
      <c r="A2391" s="3">
        <v>14</v>
      </c>
      <c r="B2391" s="3">
        <v>9</v>
      </c>
      <c r="C2391" s="3">
        <v>141</v>
      </c>
      <c r="D2391" s="3">
        <v>48</v>
      </c>
      <c r="E2391" s="3">
        <v>-402.135</v>
      </c>
      <c r="F2391" s="4" t="str">
        <f>HYPERLINK("http://141.218.60.56/~jnz1568/getInfo.php?workbook=14_09.xlsx&amp;sheet=A0&amp;row=2391&amp;col=6&amp;number=439000000&amp;sourceID=14","439000000")</f>
        <v>439000000</v>
      </c>
      <c r="G2391" s="4" t="str">
        <f>HYPERLINK("http://141.218.60.56/~jnz1568/getInfo.php?workbook=14_09.xlsx&amp;sheet=A0&amp;row=2391&amp;col=7&amp;number=0&amp;sourceID=14","0")</f>
        <v>0</v>
      </c>
    </row>
    <row r="2392" spans="1:7">
      <c r="A2392" s="3">
        <v>14</v>
      </c>
      <c r="B2392" s="3">
        <v>9</v>
      </c>
      <c r="C2392" s="3">
        <v>142</v>
      </c>
      <c r="D2392" s="3">
        <v>48</v>
      </c>
      <c r="E2392" s="3">
        <v>-402.118</v>
      </c>
      <c r="F2392" s="4" t="str">
        <f>HYPERLINK("http://141.218.60.56/~jnz1568/getInfo.php?workbook=14_09.xlsx&amp;sheet=A0&amp;row=2392&amp;col=6&amp;number=49500000&amp;sourceID=14","49500000")</f>
        <v>49500000</v>
      </c>
      <c r="G2392" s="4" t="str">
        <f>HYPERLINK("http://141.218.60.56/~jnz1568/getInfo.php?workbook=14_09.xlsx&amp;sheet=A0&amp;row=2392&amp;col=7&amp;number=0&amp;sourceID=14","0")</f>
        <v>0</v>
      </c>
    </row>
    <row r="2393" spans="1:7">
      <c r="A2393" s="3">
        <v>14</v>
      </c>
      <c r="B2393" s="3">
        <v>9</v>
      </c>
      <c r="C2393" s="3">
        <v>146</v>
      </c>
      <c r="D2393" s="3">
        <v>48</v>
      </c>
      <c r="E2393" s="3">
        <v>-399.942</v>
      </c>
      <c r="F2393" s="4" t="str">
        <f>HYPERLINK("http://141.218.60.56/~jnz1568/getInfo.php?workbook=14_09.xlsx&amp;sheet=A0&amp;row=2393&amp;col=6&amp;number=815000000&amp;sourceID=14","815000000")</f>
        <v>815000000</v>
      </c>
      <c r="G2393" s="4" t="str">
        <f>HYPERLINK("http://141.218.60.56/~jnz1568/getInfo.php?workbook=14_09.xlsx&amp;sheet=A0&amp;row=2393&amp;col=7&amp;number=0&amp;sourceID=14","0")</f>
        <v>0</v>
      </c>
    </row>
    <row r="2394" spans="1:7">
      <c r="A2394" s="3">
        <v>14</v>
      </c>
      <c r="B2394" s="3">
        <v>9</v>
      </c>
      <c r="C2394" s="3">
        <v>147</v>
      </c>
      <c r="D2394" s="3">
        <v>48</v>
      </c>
      <c r="E2394" s="3">
        <v>-399.938</v>
      </c>
      <c r="F2394" s="4" t="str">
        <f>HYPERLINK("http://141.218.60.56/~jnz1568/getInfo.php?workbook=14_09.xlsx&amp;sheet=A0&amp;row=2394&amp;col=6&amp;number=80600000&amp;sourceID=14","80600000")</f>
        <v>80600000</v>
      </c>
      <c r="G2394" s="4" t="str">
        <f>HYPERLINK("http://141.218.60.56/~jnz1568/getInfo.php?workbook=14_09.xlsx&amp;sheet=A0&amp;row=2394&amp;col=7&amp;number=0&amp;sourceID=14","0")</f>
        <v>0</v>
      </c>
    </row>
    <row r="2395" spans="1:7">
      <c r="A2395" s="3">
        <v>14</v>
      </c>
      <c r="B2395" s="3">
        <v>9</v>
      </c>
      <c r="C2395" s="3">
        <v>149</v>
      </c>
      <c r="D2395" s="3">
        <v>48</v>
      </c>
      <c r="E2395" s="3">
        <v>-399.204</v>
      </c>
      <c r="F2395" s="4" t="str">
        <f>HYPERLINK("http://141.218.60.56/~jnz1568/getInfo.php?workbook=14_09.xlsx&amp;sheet=A0&amp;row=2395&amp;col=6&amp;number=7430000&amp;sourceID=14","7430000")</f>
        <v>7430000</v>
      </c>
      <c r="G2395" s="4" t="str">
        <f>HYPERLINK("http://141.218.60.56/~jnz1568/getInfo.php?workbook=14_09.xlsx&amp;sheet=A0&amp;row=2395&amp;col=7&amp;number=0&amp;sourceID=14","0")</f>
        <v>0</v>
      </c>
    </row>
    <row r="2396" spans="1:7">
      <c r="A2396" s="3">
        <v>14</v>
      </c>
      <c r="B2396" s="3">
        <v>9</v>
      </c>
      <c r="C2396" s="3">
        <v>159</v>
      </c>
      <c r="D2396" s="3">
        <v>48</v>
      </c>
      <c r="E2396" s="3">
        <v>-370.58</v>
      </c>
      <c r="F2396" s="4" t="str">
        <f>HYPERLINK("http://141.218.60.56/~jnz1568/getInfo.php?workbook=14_09.xlsx&amp;sheet=A0&amp;row=2396&amp;col=6&amp;number=395000&amp;sourceID=14","395000")</f>
        <v>395000</v>
      </c>
      <c r="G2396" s="4" t="str">
        <f>HYPERLINK("http://141.218.60.56/~jnz1568/getInfo.php?workbook=14_09.xlsx&amp;sheet=A0&amp;row=2396&amp;col=7&amp;number=0&amp;sourceID=14","0")</f>
        <v>0</v>
      </c>
    </row>
    <row r="2397" spans="1:7">
      <c r="A2397" s="3">
        <v>14</v>
      </c>
      <c r="B2397" s="3">
        <v>9</v>
      </c>
      <c r="C2397" s="3">
        <v>164</v>
      </c>
      <c r="D2397" s="3">
        <v>48</v>
      </c>
      <c r="E2397" s="3">
        <v>-314.055</v>
      </c>
      <c r="F2397" s="4" t="str">
        <f>HYPERLINK("http://141.218.60.56/~jnz1568/getInfo.php?workbook=14_09.xlsx&amp;sheet=A0&amp;row=2397&amp;col=6&amp;number=5360000&amp;sourceID=14","5360000")</f>
        <v>5360000</v>
      </c>
      <c r="G2397" s="4" t="str">
        <f>HYPERLINK("http://141.218.60.56/~jnz1568/getInfo.php?workbook=14_09.xlsx&amp;sheet=A0&amp;row=2397&amp;col=7&amp;number=0&amp;sourceID=14","0")</f>
        <v>0</v>
      </c>
    </row>
    <row r="2398" spans="1:7">
      <c r="A2398" s="3">
        <v>14</v>
      </c>
      <c r="B2398" s="3">
        <v>9</v>
      </c>
      <c r="C2398" s="3">
        <v>165</v>
      </c>
      <c r="D2398" s="3">
        <v>48</v>
      </c>
      <c r="E2398" s="3">
        <v>-314.045</v>
      </c>
      <c r="F2398" s="4" t="str">
        <f>HYPERLINK("http://141.218.60.56/~jnz1568/getInfo.php?workbook=14_09.xlsx&amp;sheet=A0&amp;row=2398&amp;col=6&amp;number=77500000&amp;sourceID=14","77500000")</f>
        <v>77500000</v>
      </c>
      <c r="G2398" s="4" t="str">
        <f>HYPERLINK("http://141.218.60.56/~jnz1568/getInfo.php?workbook=14_09.xlsx&amp;sheet=A0&amp;row=2398&amp;col=7&amp;number=0&amp;sourceID=14","0")</f>
        <v>0</v>
      </c>
    </row>
    <row r="2399" spans="1:7">
      <c r="A2399" s="3">
        <v>14</v>
      </c>
      <c r="B2399" s="3">
        <v>9</v>
      </c>
      <c r="C2399" s="3">
        <v>169</v>
      </c>
      <c r="D2399" s="3">
        <v>48</v>
      </c>
      <c r="E2399" s="3">
        <v>-285.607</v>
      </c>
      <c r="F2399" s="4" t="str">
        <f>HYPERLINK("http://141.218.60.56/~jnz1568/getInfo.php?workbook=14_09.xlsx&amp;sheet=A0&amp;row=2399&amp;col=6&amp;number=2260000&amp;sourceID=14","2260000")</f>
        <v>2260000</v>
      </c>
      <c r="G2399" s="4" t="str">
        <f>HYPERLINK("http://141.218.60.56/~jnz1568/getInfo.php?workbook=14_09.xlsx&amp;sheet=A0&amp;row=2399&amp;col=7&amp;number=0&amp;sourceID=14","0")</f>
        <v>0</v>
      </c>
    </row>
    <row r="2400" spans="1:7">
      <c r="A2400" s="3">
        <v>14</v>
      </c>
      <c r="B2400" s="3">
        <v>9</v>
      </c>
      <c r="C2400" s="3">
        <v>170</v>
      </c>
      <c r="D2400" s="3">
        <v>48</v>
      </c>
      <c r="E2400" s="3">
        <v>-284.399</v>
      </c>
      <c r="F2400" s="4" t="str">
        <f>HYPERLINK("http://141.218.60.56/~jnz1568/getInfo.php?workbook=14_09.xlsx&amp;sheet=A0&amp;row=2400&amp;col=6&amp;number=96800000&amp;sourceID=14","96800000")</f>
        <v>96800000</v>
      </c>
      <c r="G2400" s="4" t="str">
        <f>HYPERLINK("http://141.218.60.56/~jnz1568/getInfo.php?workbook=14_09.xlsx&amp;sheet=A0&amp;row=2400&amp;col=7&amp;number=0&amp;sourceID=14","0")</f>
        <v>0</v>
      </c>
    </row>
    <row r="2401" spans="1:7">
      <c r="A2401" s="3">
        <v>14</v>
      </c>
      <c r="B2401" s="3">
        <v>9</v>
      </c>
      <c r="C2401" s="3">
        <v>172</v>
      </c>
      <c r="D2401" s="3">
        <v>48</v>
      </c>
      <c r="E2401" s="3">
        <v>-281.393</v>
      </c>
      <c r="F2401" s="4" t="str">
        <f>HYPERLINK("http://141.218.60.56/~jnz1568/getInfo.php?workbook=14_09.xlsx&amp;sheet=A0&amp;row=2401&amp;col=6&amp;number=45800000&amp;sourceID=14","45800000")</f>
        <v>45800000</v>
      </c>
      <c r="G2401" s="4" t="str">
        <f>HYPERLINK("http://141.218.60.56/~jnz1568/getInfo.php?workbook=14_09.xlsx&amp;sheet=A0&amp;row=2401&amp;col=7&amp;number=0&amp;sourceID=14","0")</f>
        <v>0</v>
      </c>
    </row>
    <row r="2402" spans="1:7">
      <c r="A2402" s="3">
        <v>14</v>
      </c>
      <c r="B2402" s="3">
        <v>9</v>
      </c>
      <c r="C2402" s="3">
        <v>173</v>
      </c>
      <c r="D2402" s="3">
        <v>48</v>
      </c>
      <c r="E2402" s="3">
        <v>-280.299</v>
      </c>
      <c r="F2402" s="4" t="str">
        <f>HYPERLINK("http://141.218.60.56/~jnz1568/getInfo.php?workbook=14_09.xlsx&amp;sheet=A0&amp;row=2402&amp;col=6&amp;number=7530000&amp;sourceID=14","7530000")</f>
        <v>7530000</v>
      </c>
      <c r="G2402" s="4" t="str">
        <f>HYPERLINK("http://141.218.60.56/~jnz1568/getInfo.php?workbook=14_09.xlsx&amp;sheet=A0&amp;row=2402&amp;col=7&amp;number=0&amp;sourceID=14","0")</f>
        <v>0</v>
      </c>
    </row>
    <row r="2403" spans="1:7">
      <c r="A2403" s="3">
        <v>14</v>
      </c>
      <c r="B2403" s="3">
        <v>9</v>
      </c>
      <c r="C2403" s="3">
        <v>175</v>
      </c>
      <c r="D2403" s="3">
        <v>48</v>
      </c>
      <c r="E2403" s="3">
        <v>-275.139</v>
      </c>
      <c r="F2403" s="4" t="str">
        <f>HYPERLINK("http://141.218.60.56/~jnz1568/getInfo.php?workbook=14_09.xlsx&amp;sheet=A0&amp;row=2403&amp;col=6&amp;number=1900000000&amp;sourceID=14","1900000000")</f>
        <v>1900000000</v>
      </c>
      <c r="G2403" s="4" t="str">
        <f>HYPERLINK("http://141.218.60.56/~jnz1568/getInfo.php?workbook=14_09.xlsx&amp;sheet=A0&amp;row=2403&amp;col=7&amp;number=0&amp;sourceID=14","0")</f>
        <v>0</v>
      </c>
    </row>
    <row r="2404" spans="1:7">
      <c r="A2404" s="3">
        <v>14</v>
      </c>
      <c r="B2404" s="3">
        <v>9</v>
      </c>
      <c r="C2404" s="3">
        <v>176</v>
      </c>
      <c r="D2404" s="3">
        <v>48</v>
      </c>
      <c r="E2404" s="3">
        <v>-273.688</v>
      </c>
      <c r="F2404" s="4" t="str">
        <f>HYPERLINK("http://141.218.60.56/~jnz1568/getInfo.php?workbook=14_09.xlsx&amp;sheet=A0&amp;row=2404&amp;col=6&amp;number=49700000&amp;sourceID=14","49700000")</f>
        <v>49700000</v>
      </c>
      <c r="G2404" s="4" t="str">
        <f>HYPERLINK("http://141.218.60.56/~jnz1568/getInfo.php?workbook=14_09.xlsx&amp;sheet=A0&amp;row=2404&amp;col=7&amp;number=0&amp;sourceID=14","0")</f>
        <v>0</v>
      </c>
    </row>
    <row r="2405" spans="1:7">
      <c r="A2405" s="3">
        <v>14</v>
      </c>
      <c r="B2405" s="3">
        <v>9</v>
      </c>
      <c r="C2405" s="3">
        <v>177</v>
      </c>
      <c r="D2405" s="3">
        <v>48</v>
      </c>
      <c r="E2405" s="3">
        <v>-273.562</v>
      </c>
      <c r="F2405" s="4" t="str">
        <f>HYPERLINK("http://141.218.60.56/~jnz1568/getInfo.php?workbook=14_09.xlsx&amp;sheet=A0&amp;row=2405&amp;col=6&amp;number=2950000000&amp;sourceID=14","2950000000")</f>
        <v>2950000000</v>
      </c>
      <c r="G2405" s="4" t="str">
        <f>HYPERLINK("http://141.218.60.56/~jnz1568/getInfo.php?workbook=14_09.xlsx&amp;sheet=A0&amp;row=2405&amp;col=7&amp;number=0&amp;sourceID=14","0")</f>
        <v>0</v>
      </c>
    </row>
    <row r="2406" spans="1:7">
      <c r="A2406" s="3">
        <v>14</v>
      </c>
      <c r="B2406" s="3">
        <v>9</v>
      </c>
      <c r="C2406" s="3">
        <v>180</v>
      </c>
      <c r="D2406" s="3">
        <v>48</v>
      </c>
      <c r="E2406" s="3">
        <v>-272.581</v>
      </c>
      <c r="F2406" s="4" t="str">
        <f>HYPERLINK("http://141.218.60.56/~jnz1568/getInfo.php?workbook=14_09.xlsx&amp;sheet=A0&amp;row=2406&amp;col=6&amp;number=9370000&amp;sourceID=14","9370000")</f>
        <v>9370000</v>
      </c>
      <c r="G2406" s="4" t="str">
        <f>HYPERLINK("http://141.218.60.56/~jnz1568/getInfo.php?workbook=14_09.xlsx&amp;sheet=A0&amp;row=2406&amp;col=7&amp;number=0&amp;sourceID=14","0")</f>
        <v>0</v>
      </c>
    </row>
    <row r="2407" spans="1:7">
      <c r="A2407" s="3">
        <v>14</v>
      </c>
      <c r="B2407" s="3">
        <v>9</v>
      </c>
      <c r="C2407" s="3">
        <v>181</v>
      </c>
      <c r="D2407" s="3">
        <v>48</v>
      </c>
      <c r="E2407" s="3">
        <v>-269.414</v>
      </c>
      <c r="F2407" s="4" t="str">
        <f>HYPERLINK("http://141.218.60.56/~jnz1568/getInfo.php?workbook=14_09.xlsx&amp;sheet=A0&amp;row=2407&amp;col=6&amp;number=813000000&amp;sourceID=14","813000000")</f>
        <v>813000000</v>
      </c>
      <c r="G2407" s="4" t="str">
        <f>HYPERLINK("http://141.218.60.56/~jnz1568/getInfo.php?workbook=14_09.xlsx&amp;sheet=A0&amp;row=2407&amp;col=7&amp;number=0&amp;sourceID=14","0")</f>
        <v>0</v>
      </c>
    </row>
    <row r="2408" spans="1:7">
      <c r="A2408" s="3">
        <v>14</v>
      </c>
      <c r="B2408" s="3">
        <v>9</v>
      </c>
      <c r="C2408" s="3">
        <v>182</v>
      </c>
      <c r="D2408" s="3">
        <v>48</v>
      </c>
      <c r="E2408" s="3">
        <v>-269.343</v>
      </c>
      <c r="F2408" s="4" t="str">
        <f>HYPERLINK("http://141.218.60.56/~jnz1568/getInfo.php?workbook=14_09.xlsx&amp;sheet=A0&amp;row=2408&amp;col=6&amp;number=209000000&amp;sourceID=14","209000000")</f>
        <v>209000000</v>
      </c>
      <c r="G2408" s="4" t="str">
        <f>HYPERLINK("http://141.218.60.56/~jnz1568/getInfo.php?workbook=14_09.xlsx&amp;sheet=A0&amp;row=2408&amp;col=7&amp;number=0&amp;sourceID=14","0")</f>
        <v>0</v>
      </c>
    </row>
    <row r="2409" spans="1:7">
      <c r="A2409" s="3">
        <v>14</v>
      </c>
      <c r="B2409" s="3">
        <v>9</v>
      </c>
      <c r="C2409" s="3">
        <v>184</v>
      </c>
      <c r="D2409" s="3">
        <v>48</v>
      </c>
      <c r="E2409" s="3">
        <v>-261.684</v>
      </c>
      <c r="F2409" s="4" t="str">
        <f>HYPERLINK("http://141.218.60.56/~jnz1568/getInfo.php?workbook=14_09.xlsx&amp;sheet=A0&amp;row=2409&amp;col=6&amp;number=14900000000&amp;sourceID=14","14900000000")</f>
        <v>14900000000</v>
      </c>
      <c r="G2409" s="4" t="str">
        <f>HYPERLINK("http://141.218.60.56/~jnz1568/getInfo.php?workbook=14_09.xlsx&amp;sheet=A0&amp;row=2409&amp;col=7&amp;number=0&amp;sourceID=14","0")</f>
        <v>0</v>
      </c>
    </row>
    <row r="2410" spans="1:7">
      <c r="A2410" s="3">
        <v>14</v>
      </c>
      <c r="B2410" s="3">
        <v>9</v>
      </c>
      <c r="C2410" s="3">
        <v>190</v>
      </c>
      <c r="D2410" s="3">
        <v>48</v>
      </c>
      <c r="E2410" s="3">
        <v>-195.012</v>
      </c>
      <c r="F2410" s="4" t="str">
        <f>HYPERLINK("http://141.218.60.56/~jnz1568/getInfo.php?workbook=14_09.xlsx&amp;sheet=A0&amp;row=2410&amp;col=6&amp;number=119000000&amp;sourceID=14","119000000")</f>
        <v>119000000</v>
      </c>
      <c r="G2410" s="4" t="str">
        <f>HYPERLINK("http://141.218.60.56/~jnz1568/getInfo.php?workbook=14_09.xlsx&amp;sheet=A0&amp;row=2410&amp;col=7&amp;number=0&amp;sourceID=14","0")</f>
        <v>0</v>
      </c>
    </row>
    <row r="2411" spans="1:7">
      <c r="A2411" s="3">
        <v>14</v>
      </c>
      <c r="B2411" s="3">
        <v>9</v>
      </c>
      <c r="C2411" s="3">
        <v>191</v>
      </c>
      <c r="D2411" s="3">
        <v>48</v>
      </c>
      <c r="E2411" s="3">
        <v>-194.98</v>
      </c>
      <c r="F2411" s="4" t="str">
        <f>HYPERLINK("http://141.218.60.56/~jnz1568/getInfo.php?workbook=14_09.xlsx&amp;sheet=A0&amp;row=2411&amp;col=6&amp;number=211000000&amp;sourceID=14","211000000")</f>
        <v>211000000</v>
      </c>
      <c r="G2411" s="4" t="str">
        <f>HYPERLINK("http://141.218.60.56/~jnz1568/getInfo.php?workbook=14_09.xlsx&amp;sheet=A0&amp;row=2411&amp;col=7&amp;number=0&amp;sourceID=14","0")</f>
        <v>0</v>
      </c>
    </row>
    <row r="2412" spans="1:7">
      <c r="A2412" s="3">
        <v>14</v>
      </c>
      <c r="B2412" s="3">
        <v>9</v>
      </c>
      <c r="C2412" s="3">
        <v>192</v>
      </c>
      <c r="D2412" s="3">
        <v>48</v>
      </c>
      <c r="E2412" s="3">
        <v>-193.618</v>
      </c>
      <c r="F2412" s="4" t="str">
        <f>HYPERLINK("http://141.218.60.56/~jnz1568/getInfo.php?workbook=14_09.xlsx&amp;sheet=A0&amp;row=2412&amp;col=6&amp;number=697000000&amp;sourceID=14","697000000")</f>
        <v>697000000</v>
      </c>
      <c r="G2412" s="4" t="str">
        <f>HYPERLINK("http://141.218.60.56/~jnz1568/getInfo.php?workbook=14_09.xlsx&amp;sheet=A0&amp;row=2412&amp;col=7&amp;number=0&amp;sourceID=14","0")</f>
        <v>0</v>
      </c>
    </row>
    <row r="2413" spans="1:7">
      <c r="A2413" s="3">
        <v>14</v>
      </c>
      <c r="B2413" s="3">
        <v>9</v>
      </c>
      <c r="C2413" s="3">
        <v>194</v>
      </c>
      <c r="D2413" s="3">
        <v>48</v>
      </c>
      <c r="E2413" s="3">
        <v>-192.509</v>
      </c>
      <c r="F2413" s="4" t="str">
        <f>HYPERLINK("http://141.218.60.56/~jnz1568/getInfo.php?workbook=14_09.xlsx&amp;sheet=A0&amp;row=2413&amp;col=6&amp;number=300000000&amp;sourceID=14","300000000")</f>
        <v>300000000</v>
      </c>
      <c r="G2413" s="4" t="str">
        <f>HYPERLINK("http://141.218.60.56/~jnz1568/getInfo.php?workbook=14_09.xlsx&amp;sheet=A0&amp;row=2413&amp;col=7&amp;number=0&amp;sourceID=14","0")</f>
        <v>0</v>
      </c>
    </row>
    <row r="2414" spans="1:7">
      <c r="A2414" s="3">
        <v>14</v>
      </c>
      <c r="B2414" s="3">
        <v>9</v>
      </c>
      <c r="C2414" s="3">
        <v>195</v>
      </c>
      <c r="D2414" s="3">
        <v>48</v>
      </c>
      <c r="E2414" s="3">
        <v>-192.484</v>
      </c>
      <c r="F2414" s="4" t="str">
        <f>HYPERLINK("http://141.218.60.56/~jnz1568/getInfo.php?workbook=14_09.xlsx&amp;sheet=A0&amp;row=2414&amp;col=6&amp;number=684000000&amp;sourceID=14","684000000")</f>
        <v>684000000</v>
      </c>
      <c r="G2414" s="4" t="str">
        <f>HYPERLINK("http://141.218.60.56/~jnz1568/getInfo.php?workbook=14_09.xlsx&amp;sheet=A0&amp;row=2414&amp;col=7&amp;number=0&amp;sourceID=14","0")</f>
        <v>0</v>
      </c>
    </row>
    <row r="2415" spans="1:7">
      <c r="A2415" s="3">
        <v>14</v>
      </c>
      <c r="B2415" s="3">
        <v>9</v>
      </c>
      <c r="C2415" s="3">
        <v>66</v>
      </c>
      <c r="D2415" s="3">
        <v>49</v>
      </c>
      <c r="E2415" s="3">
        <v>-704.237</v>
      </c>
      <c r="F2415" s="4" t="str">
        <f>HYPERLINK("http://141.218.60.56/~jnz1568/getInfo.php?workbook=14_09.xlsx&amp;sheet=A0&amp;row=2415&amp;col=6&amp;number=194000&amp;sourceID=14","194000")</f>
        <v>194000</v>
      </c>
      <c r="G2415" s="4" t="str">
        <f>HYPERLINK("http://141.218.60.56/~jnz1568/getInfo.php?workbook=14_09.xlsx&amp;sheet=A0&amp;row=2415&amp;col=7&amp;number=0&amp;sourceID=14","0")</f>
        <v>0</v>
      </c>
    </row>
    <row r="2416" spans="1:7">
      <c r="A2416" s="3">
        <v>14</v>
      </c>
      <c r="B2416" s="3">
        <v>9</v>
      </c>
      <c r="C2416" s="3">
        <v>68</v>
      </c>
      <c r="D2416" s="3">
        <v>49</v>
      </c>
      <c r="E2416" s="3">
        <v>-689.79</v>
      </c>
      <c r="F2416" s="4" t="str">
        <f>HYPERLINK("http://141.218.60.56/~jnz1568/getInfo.php?workbook=14_09.xlsx&amp;sheet=A0&amp;row=2416&amp;col=6&amp;number=3880000&amp;sourceID=14","3880000")</f>
        <v>3880000</v>
      </c>
      <c r="G2416" s="4" t="str">
        <f>HYPERLINK("http://141.218.60.56/~jnz1568/getInfo.php?workbook=14_09.xlsx&amp;sheet=A0&amp;row=2416&amp;col=7&amp;number=0&amp;sourceID=14","0")</f>
        <v>0</v>
      </c>
    </row>
    <row r="2417" spans="1:7">
      <c r="A2417" s="3">
        <v>14</v>
      </c>
      <c r="B2417" s="3">
        <v>9</v>
      </c>
      <c r="C2417" s="3">
        <v>70</v>
      </c>
      <c r="D2417" s="3">
        <v>49</v>
      </c>
      <c r="E2417" s="3">
        <v>-664.798</v>
      </c>
      <c r="F2417" s="4" t="str">
        <f>HYPERLINK("http://141.218.60.56/~jnz1568/getInfo.php?workbook=14_09.xlsx&amp;sheet=A0&amp;row=2417&amp;col=6&amp;number=6330000&amp;sourceID=14","6330000")</f>
        <v>6330000</v>
      </c>
      <c r="G2417" s="4" t="str">
        <f>HYPERLINK("http://141.218.60.56/~jnz1568/getInfo.php?workbook=14_09.xlsx&amp;sheet=A0&amp;row=2417&amp;col=7&amp;number=0&amp;sourceID=14","0")</f>
        <v>0</v>
      </c>
    </row>
    <row r="2418" spans="1:7">
      <c r="A2418" s="3">
        <v>14</v>
      </c>
      <c r="B2418" s="3">
        <v>9</v>
      </c>
      <c r="C2418" s="3">
        <v>71</v>
      </c>
      <c r="D2418" s="3">
        <v>49</v>
      </c>
      <c r="E2418" s="3">
        <v>-655.739</v>
      </c>
      <c r="F2418" s="4" t="str">
        <f>HYPERLINK("http://141.218.60.56/~jnz1568/getInfo.php?workbook=14_09.xlsx&amp;sheet=A0&amp;row=2418&amp;col=6&amp;number=8940000&amp;sourceID=14","8940000")</f>
        <v>8940000</v>
      </c>
      <c r="G2418" s="4" t="str">
        <f>HYPERLINK("http://141.218.60.56/~jnz1568/getInfo.php?workbook=14_09.xlsx&amp;sheet=A0&amp;row=2418&amp;col=7&amp;number=0&amp;sourceID=14","0")</f>
        <v>0</v>
      </c>
    </row>
    <row r="2419" spans="1:7">
      <c r="A2419" s="3">
        <v>14</v>
      </c>
      <c r="B2419" s="3">
        <v>9</v>
      </c>
      <c r="C2419" s="3">
        <v>72</v>
      </c>
      <c r="D2419" s="3">
        <v>49</v>
      </c>
      <c r="E2419" s="3">
        <v>-652.44</v>
      </c>
      <c r="F2419" s="4" t="str">
        <f>HYPERLINK("http://141.218.60.56/~jnz1568/getInfo.php?workbook=14_09.xlsx&amp;sheet=A0&amp;row=2419&amp;col=6&amp;number=11600000&amp;sourceID=14","11600000")</f>
        <v>11600000</v>
      </c>
      <c r="G2419" s="4" t="str">
        <f>HYPERLINK("http://141.218.60.56/~jnz1568/getInfo.php?workbook=14_09.xlsx&amp;sheet=A0&amp;row=2419&amp;col=7&amp;number=0&amp;sourceID=14","0")</f>
        <v>0</v>
      </c>
    </row>
    <row r="2420" spans="1:7">
      <c r="A2420" s="3">
        <v>14</v>
      </c>
      <c r="B2420" s="3">
        <v>9</v>
      </c>
      <c r="C2420" s="3">
        <v>73</v>
      </c>
      <c r="D2420" s="3">
        <v>49</v>
      </c>
      <c r="E2420" s="3">
        <v>-650.941</v>
      </c>
      <c r="F2420" s="4" t="str">
        <f>HYPERLINK("http://141.218.60.56/~jnz1568/getInfo.php?workbook=14_09.xlsx&amp;sheet=A0&amp;row=2420&amp;col=6&amp;number=6720000&amp;sourceID=14","6720000")</f>
        <v>6720000</v>
      </c>
      <c r="G2420" s="4" t="str">
        <f>HYPERLINK("http://141.218.60.56/~jnz1568/getInfo.php?workbook=14_09.xlsx&amp;sheet=A0&amp;row=2420&amp;col=7&amp;number=0&amp;sourceID=14","0")</f>
        <v>0</v>
      </c>
    </row>
    <row r="2421" spans="1:7">
      <c r="A2421" s="3">
        <v>14</v>
      </c>
      <c r="B2421" s="3">
        <v>9</v>
      </c>
      <c r="C2421" s="3">
        <v>74</v>
      </c>
      <c r="D2421" s="3">
        <v>49</v>
      </c>
      <c r="E2421" s="3">
        <v>-645.854</v>
      </c>
      <c r="F2421" s="4" t="str">
        <f>HYPERLINK("http://141.218.60.56/~jnz1568/getInfo.php?workbook=14_09.xlsx&amp;sheet=A0&amp;row=2421&amp;col=6&amp;number=684000000&amp;sourceID=14","684000000")</f>
        <v>684000000</v>
      </c>
      <c r="G2421" s="4" t="str">
        <f>HYPERLINK("http://141.218.60.56/~jnz1568/getInfo.php?workbook=14_09.xlsx&amp;sheet=A0&amp;row=2421&amp;col=7&amp;number=0&amp;sourceID=14","0")</f>
        <v>0</v>
      </c>
    </row>
    <row r="2422" spans="1:7">
      <c r="A2422" s="3">
        <v>14</v>
      </c>
      <c r="B2422" s="3">
        <v>9</v>
      </c>
      <c r="C2422" s="3">
        <v>75</v>
      </c>
      <c r="D2422" s="3">
        <v>49</v>
      </c>
      <c r="E2422" s="3">
        <v>-643.539</v>
      </c>
      <c r="F2422" s="4" t="str">
        <f>HYPERLINK("http://141.218.60.56/~jnz1568/getInfo.php?workbook=14_09.xlsx&amp;sheet=A0&amp;row=2422&amp;col=6&amp;number=1850000&amp;sourceID=14","1850000")</f>
        <v>1850000</v>
      </c>
      <c r="G2422" s="4" t="str">
        <f>HYPERLINK("http://141.218.60.56/~jnz1568/getInfo.php?workbook=14_09.xlsx&amp;sheet=A0&amp;row=2422&amp;col=7&amp;number=0&amp;sourceID=14","0")</f>
        <v>0</v>
      </c>
    </row>
    <row r="2423" spans="1:7">
      <c r="A2423" s="3">
        <v>14</v>
      </c>
      <c r="B2423" s="3">
        <v>9</v>
      </c>
      <c r="C2423" s="3">
        <v>76</v>
      </c>
      <c r="D2423" s="3">
        <v>49</v>
      </c>
      <c r="E2423" s="3">
        <v>-642.357</v>
      </c>
      <c r="F2423" s="4" t="str">
        <f>HYPERLINK("http://141.218.60.56/~jnz1568/getInfo.php?workbook=14_09.xlsx&amp;sheet=A0&amp;row=2423&amp;col=6&amp;number=109000000&amp;sourceID=14","109000000")</f>
        <v>109000000</v>
      </c>
      <c r="G2423" s="4" t="str">
        <f>HYPERLINK("http://141.218.60.56/~jnz1568/getInfo.php?workbook=14_09.xlsx&amp;sheet=A0&amp;row=2423&amp;col=7&amp;number=0&amp;sourceID=14","0")</f>
        <v>0</v>
      </c>
    </row>
    <row r="2424" spans="1:7">
      <c r="A2424" s="3">
        <v>14</v>
      </c>
      <c r="B2424" s="3">
        <v>9</v>
      </c>
      <c r="C2424" s="3">
        <v>77</v>
      </c>
      <c r="D2424" s="3">
        <v>49</v>
      </c>
      <c r="E2424" s="3">
        <v>-614.297</v>
      </c>
      <c r="F2424" s="4" t="str">
        <f>HYPERLINK("http://141.218.60.56/~jnz1568/getInfo.php?workbook=14_09.xlsx&amp;sheet=A0&amp;row=2424&amp;col=6&amp;number=112000000&amp;sourceID=14","112000000")</f>
        <v>112000000</v>
      </c>
      <c r="G2424" s="4" t="str">
        <f>HYPERLINK("http://141.218.60.56/~jnz1568/getInfo.php?workbook=14_09.xlsx&amp;sheet=A0&amp;row=2424&amp;col=7&amp;number=0&amp;sourceID=14","0")</f>
        <v>0</v>
      </c>
    </row>
    <row r="2425" spans="1:7">
      <c r="A2425" s="3">
        <v>14</v>
      </c>
      <c r="B2425" s="3">
        <v>9</v>
      </c>
      <c r="C2425" s="3">
        <v>78</v>
      </c>
      <c r="D2425" s="3">
        <v>49</v>
      </c>
      <c r="E2425" s="3">
        <v>-611.016</v>
      </c>
      <c r="F2425" s="4" t="str">
        <f>HYPERLINK("http://141.218.60.56/~jnz1568/getInfo.php?workbook=14_09.xlsx&amp;sheet=A0&amp;row=2425&amp;col=6&amp;number=1650000000&amp;sourceID=14","1650000000")</f>
        <v>1650000000</v>
      </c>
      <c r="G2425" s="4" t="str">
        <f>HYPERLINK("http://141.218.60.56/~jnz1568/getInfo.php?workbook=14_09.xlsx&amp;sheet=A0&amp;row=2425&amp;col=7&amp;number=0&amp;sourceID=14","0")</f>
        <v>0</v>
      </c>
    </row>
    <row r="2426" spans="1:7">
      <c r="A2426" s="3">
        <v>14</v>
      </c>
      <c r="B2426" s="3">
        <v>9</v>
      </c>
      <c r="C2426" s="3">
        <v>82</v>
      </c>
      <c r="D2426" s="3">
        <v>49</v>
      </c>
      <c r="E2426" s="3">
        <v>-587.835</v>
      </c>
      <c r="F2426" s="4" t="str">
        <f>HYPERLINK("http://141.218.60.56/~jnz1568/getInfo.php?workbook=14_09.xlsx&amp;sheet=A0&amp;row=2426&amp;col=6&amp;number=1750000&amp;sourceID=14","1750000")</f>
        <v>1750000</v>
      </c>
      <c r="G2426" s="4" t="str">
        <f>HYPERLINK("http://141.218.60.56/~jnz1568/getInfo.php?workbook=14_09.xlsx&amp;sheet=A0&amp;row=2426&amp;col=7&amp;number=0&amp;sourceID=14","0")</f>
        <v>0</v>
      </c>
    </row>
    <row r="2427" spans="1:7">
      <c r="A2427" s="3">
        <v>14</v>
      </c>
      <c r="B2427" s="3">
        <v>9</v>
      </c>
      <c r="C2427" s="3">
        <v>84</v>
      </c>
      <c r="D2427" s="3">
        <v>49</v>
      </c>
      <c r="E2427" s="3">
        <v>-554.571</v>
      </c>
      <c r="F2427" s="4" t="str">
        <f>HYPERLINK("http://141.218.60.56/~jnz1568/getInfo.php?workbook=14_09.xlsx&amp;sheet=A0&amp;row=2427&amp;col=6&amp;number=2790000&amp;sourceID=14","2790000")</f>
        <v>2790000</v>
      </c>
      <c r="G2427" s="4" t="str">
        <f>HYPERLINK("http://141.218.60.56/~jnz1568/getInfo.php?workbook=14_09.xlsx&amp;sheet=A0&amp;row=2427&amp;col=7&amp;number=0&amp;sourceID=14","0")</f>
        <v>0</v>
      </c>
    </row>
    <row r="2428" spans="1:7">
      <c r="A2428" s="3">
        <v>14</v>
      </c>
      <c r="B2428" s="3">
        <v>9</v>
      </c>
      <c r="C2428" s="3">
        <v>85</v>
      </c>
      <c r="D2428" s="3">
        <v>49</v>
      </c>
      <c r="E2428" s="3">
        <v>-546.479</v>
      </c>
      <c r="F2428" s="4" t="str">
        <f>HYPERLINK("http://141.218.60.56/~jnz1568/getInfo.php?workbook=14_09.xlsx&amp;sheet=A0&amp;row=2428&amp;col=6&amp;number=6810000&amp;sourceID=14","6810000")</f>
        <v>6810000</v>
      </c>
      <c r="G2428" s="4" t="str">
        <f>HYPERLINK("http://141.218.60.56/~jnz1568/getInfo.php?workbook=14_09.xlsx&amp;sheet=A0&amp;row=2428&amp;col=7&amp;number=0&amp;sourceID=14","0")</f>
        <v>0</v>
      </c>
    </row>
    <row r="2429" spans="1:7">
      <c r="A2429" s="3">
        <v>14</v>
      </c>
      <c r="B2429" s="3">
        <v>9</v>
      </c>
      <c r="C2429" s="3">
        <v>101</v>
      </c>
      <c r="D2429" s="3">
        <v>49</v>
      </c>
      <c r="E2429" s="3">
        <v>-507.881</v>
      </c>
      <c r="F2429" s="4" t="str">
        <f>HYPERLINK("http://141.218.60.56/~jnz1568/getInfo.php?workbook=14_09.xlsx&amp;sheet=A0&amp;row=2429&amp;col=6&amp;number=1220000&amp;sourceID=14","1220000")</f>
        <v>1220000</v>
      </c>
      <c r="G2429" s="4" t="str">
        <f>HYPERLINK("http://141.218.60.56/~jnz1568/getInfo.php?workbook=14_09.xlsx&amp;sheet=A0&amp;row=2429&amp;col=7&amp;number=0&amp;sourceID=14","0")</f>
        <v>0</v>
      </c>
    </row>
    <row r="2430" spans="1:7">
      <c r="A2430" s="3">
        <v>14</v>
      </c>
      <c r="B2430" s="3">
        <v>9</v>
      </c>
      <c r="C2430" s="3">
        <v>106</v>
      </c>
      <c r="D2430" s="3">
        <v>49</v>
      </c>
      <c r="E2430" s="3">
        <v>-502.862</v>
      </c>
      <c r="F2430" s="4" t="str">
        <f>HYPERLINK("http://141.218.60.56/~jnz1568/getInfo.php?workbook=14_09.xlsx&amp;sheet=A0&amp;row=2430&amp;col=6&amp;number=2450000&amp;sourceID=14","2450000")</f>
        <v>2450000</v>
      </c>
      <c r="G2430" s="4" t="str">
        <f>HYPERLINK("http://141.218.60.56/~jnz1568/getInfo.php?workbook=14_09.xlsx&amp;sheet=A0&amp;row=2430&amp;col=7&amp;number=0&amp;sourceID=14","0")</f>
        <v>0</v>
      </c>
    </row>
    <row r="2431" spans="1:7">
      <c r="A2431" s="3">
        <v>14</v>
      </c>
      <c r="B2431" s="3">
        <v>9</v>
      </c>
      <c r="C2431" s="3">
        <v>108</v>
      </c>
      <c r="D2431" s="3">
        <v>49</v>
      </c>
      <c r="E2431" s="3">
        <v>-501.822</v>
      </c>
      <c r="F2431" s="4" t="str">
        <f>HYPERLINK("http://141.218.60.56/~jnz1568/getInfo.php?workbook=14_09.xlsx&amp;sheet=A0&amp;row=2431&amp;col=6&amp;number=17000000&amp;sourceID=14","17000000")</f>
        <v>17000000</v>
      </c>
      <c r="G2431" s="4" t="str">
        <f>HYPERLINK("http://141.218.60.56/~jnz1568/getInfo.php?workbook=14_09.xlsx&amp;sheet=A0&amp;row=2431&amp;col=7&amp;number=0&amp;sourceID=14","0")</f>
        <v>0</v>
      </c>
    </row>
    <row r="2432" spans="1:7">
      <c r="A2432" s="3">
        <v>14</v>
      </c>
      <c r="B2432" s="3">
        <v>9</v>
      </c>
      <c r="C2432" s="3">
        <v>109</v>
      </c>
      <c r="D2432" s="3">
        <v>49</v>
      </c>
      <c r="E2432" s="3">
        <v>-501.144</v>
      </c>
      <c r="F2432" s="4" t="str">
        <f>HYPERLINK("http://141.218.60.56/~jnz1568/getInfo.php?workbook=14_09.xlsx&amp;sheet=A0&amp;row=2432&amp;col=6&amp;number=3000000&amp;sourceID=14","3000000")</f>
        <v>3000000</v>
      </c>
      <c r="G2432" s="4" t="str">
        <f>HYPERLINK("http://141.218.60.56/~jnz1568/getInfo.php?workbook=14_09.xlsx&amp;sheet=A0&amp;row=2432&amp;col=7&amp;number=0&amp;sourceID=14","0")</f>
        <v>0</v>
      </c>
    </row>
    <row r="2433" spans="1:7">
      <c r="A2433" s="3">
        <v>14</v>
      </c>
      <c r="B2433" s="3">
        <v>9</v>
      </c>
      <c r="C2433" s="3">
        <v>112</v>
      </c>
      <c r="D2433" s="3">
        <v>49</v>
      </c>
      <c r="E2433" s="3">
        <v>-499.432</v>
      </c>
      <c r="F2433" s="4" t="str">
        <f>HYPERLINK("http://141.218.60.56/~jnz1568/getInfo.php?workbook=14_09.xlsx&amp;sheet=A0&amp;row=2433&amp;col=6&amp;number=653000&amp;sourceID=14","653000")</f>
        <v>653000</v>
      </c>
      <c r="G2433" s="4" t="str">
        <f>HYPERLINK("http://141.218.60.56/~jnz1568/getInfo.php?workbook=14_09.xlsx&amp;sheet=A0&amp;row=2433&amp;col=7&amp;number=0&amp;sourceID=14","0")</f>
        <v>0</v>
      </c>
    </row>
    <row r="2434" spans="1:7">
      <c r="A2434" s="3">
        <v>14</v>
      </c>
      <c r="B2434" s="3">
        <v>9</v>
      </c>
      <c r="C2434" s="3">
        <v>113</v>
      </c>
      <c r="D2434" s="3">
        <v>49</v>
      </c>
      <c r="E2434" s="3">
        <v>-499.432</v>
      </c>
      <c r="F2434" s="4" t="str">
        <f>HYPERLINK("http://141.218.60.56/~jnz1568/getInfo.php?workbook=14_09.xlsx&amp;sheet=A0&amp;row=2434&amp;col=6&amp;number=1200000&amp;sourceID=14","1200000")</f>
        <v>1200000</v>
      </c>
      <c r="G2434" s="4" t="str">
        <f>HYPERLINK("http://141.218.60.56/~jnz1568/getInfo.php?workbook=14_09.xlsx&amp;sheet=A0&amp;row=2434&amp;col=7&amp;number=0&amp;sourceID=14","0")</f>
        <v>0</v>
      </c>
    </row>
    <row r="2435" spans="1:7">
      <c r="A2435" s="3">
        <v>14</v>
      </c>
      <c r="B2435" s="3">
        <v>9</v>
      </c>
      <c r="C2435" s="3">
        <v>115</v>
      </c>
      <c r="D2435" s="3">
        <v>49</v>
      </c>
      <c r="E2435" s="3">
        <v>-499.058</v>
      </c>
      <c r="F2435" s="4" t="str">
        <f>HYPERLINK("http://141.218.60.56/~jnz1568/getInfo.php?workbook=14_09.xlsx&amp;sheet=A0&amp;row=2435&amp;col=6&amp;number=112000&amp;sourceID=14","112000")</f>
        <v>112000</v>
      </c>
      <c r="G2435" s="4" t="str">
        <f>HYPERLINK("http://141.218.60.56/~jnz1568/getInfo.php?workbook=14_09.xlsx&amp;sheet=A0&amp;row=2435&amp;col=7&amp;number=0&amp;sourceID=14","0")</f>
        <v>0</v>
      </c>
    </row>
    <row r="2436" spans="1:7">
      <c r="A2436" s="3">
        <v>14</v>
      </c>
      <c r="B2436" s="3">
        <v>9</v>
      </c>
      <c r="C2436" s="3">
        <v>116</v>
      </c>
      <c r="D2436" s="3">
        <v>49</v>
      </c>
      <c r="E2436" s="3">
        <v>-498.988</v>
      </c>
      <c r="F2436" s="4" t="str">
        <f>HYPERLINK("http://141.218.60.56/~jnz1568/getInfo.php?workbook=14_09.xlsx&amp;sheet=A0&amp;row=2436&amp;col=6&amp;number=140000000&amp;sourceID=14","140000000")</f>
        <v>140000000</v>
      </c>
      <c r="G2436" s="4" t="str">
        <f>HYPERLINK("http://141.218.60.56/~jnz1568/getInfo.php?workbook=14_09.xlsx&amp;sheet=A0&amp;row=2436&amp;col=7&amp;number=0&amp;sourceID=14","0")</f>
        <v>0</v>
      </c>
    </row>
    <row r="2437" spans="1:7">
      <c r="A2437" s="3">
        <v>14</v>
      </c>
      <c r="B2437" s="3">
        <v>9</v>
      </c>
      <c r="C2437" s="3">
        <v>117</v>
      </c>
      <c r="D2437" s="3">
        <v>49</v>
      </c>
      <c r="E2437" s="3">
        <v>-492.35</v>
      </c>
      <c r="F2437" s="4" t="str">
        <f>HYPERLINK("http://141.218.60.56/~jnz1568/getInfo.php?workbook=14_09.xlsx&amp;sheet=A0&amp;row=2437&amp;col=6&amp;number=55300000&amp;sourceID=14","55300000")</f>
        <v>55300000</v>
      </c>
      <c r="G2437" s="4" t="str">
        <f>HYPERLINK("http://141.218.60.56/~jnz1568/getInfo.php?workbook=14_09.xlsx&amp;sheet=A0&amp;row=2437&amp;col=7&amp;number=0&amp;sourceID=14","0")</f>
        <v>0</v>
      </c>
    </row>
    <row r="2438" spans="1:7">
      <c r="A2438" s="3">
        <v>14</v>
      </c>
      <c r="B2438" s="3">
        <v>9</v>
      </c>
      <c r="C2438" s="3">
        <v>118</v>
      </c>
      <c r="D2438" s="3">
        <v>49</v>
      </c>
      <c r="E2438" s="3">
        <v>-492.171</v>
      </c>
      <c r="F2438" s="4" t="str">
        <f>HYPERLINK("http://141.218.60.56/~jnz1568/getInfo.php?workbook=14_09.xlsx&amp;sheet=A0&amp;row=2438&amp;col=6&amp;number=3110000000&amp;sourceID=14","3110000000")</f>
        <v>3110000000</v>
      </c>
      <c r="G2438" s="4" t="str">
        <f>HYPERLINK("http://141.218.60.56/~jnz1568/getInfo.php?workbook=14_09.xlsx&amp;sheet=A0&amp;row=2438&amp;col=7&amp;number=0&amp;sourceID=14","0")</f>
        <v>0</v>
      </c>
    </row>
    <row r="2439" spans="1:7">
      <c r="A2439" s="3">
        <v>14</v>
      </c>
      <c r="B2439" s="3">
        <v>9</v>
      </c>
      <c r="C2439" s="3">
        <v>122</v>
      </c>
      <c r="D2439" s="3">
        <v>49</v>
      </c>
      <c r="E2439" s="3">
        <v>-489.743</v>
      </c>
      <c r="F2439" s="4" t="str">
        <f>HYPERLINK("http://141.218.60.56/~jnz1568/getInfo.php?workbook=14_09.xlsx&amp;sheet=A0&amp;row=2439&amp;col=6&amp;number=6570000000&amp;sourceID=14","6570000000")</f>
        <v>6570000000</v>
      </c>
      <c r="G2439" s="4" t="str">
        <f>HYPERLINK("http://141.218.60.56/~jnz1568/getInfo.php?workbook=14_09.xlsx&amp;sheet=A0&amp;row=2439&amp;col=7&amp;number=0&amp;sourceID=14","0")</f>
        <v>0</v>
      </c>
    </row>
    <row r="2440" spans="1:7">
      <c r="A2440" s="3">
        <v>14</v>
      </c>
      <c r="B2440" s="3">
        <v>9</v>
      </c>
      <c r="C2440" s="3">
        <v>124</v>
      </c>
      <c r="D2440" s="3">
        <v>49</v>
      </c>
      <c r="E2440" s="3">
        <v>-487.053</v>
      </c>
      <c r="F2440" s="4" t="str">
        <f>HYPERLINK("http://141.218.60.56/~jnz1568/getInfo.php?workbook=14_09.xlsx&amp;sheet=A0&amp;row=2440&amp;col=6&amp;number=5770000000&amp;sourceID=14","5770000000")</f>
        <v>5770000000</v>
      </c>
      <c r="G2440" s="4" t="str">
        <f>HYPERLINK("http://141.218.60.56/~jnz1568/getInfo.php?workbook=14_09.xlsx&amp;sheet=A0&amp;row=2440&amp;col=7&amp;number=0&amp;sourceID=14","0")</f>
        <v>0</v>
      </c>
    </row>
    <row r="2441" spans="1:7">
      <c r="A2441" s="3">
        <v>14</v>
      </c>
      <c r="B2441" s="3">
        <v>9</v>
      </c>
      <c r="C2441" s="3">
        <v>125</v>
      </c>
      <c r="D2441" s="3">
        <v>49</v>
      </c>
      <c r="E2441" s="3">
        <v>-472.131</v>
      </c>
      <c r="F2441" s="4" t="str">
        <f>HYPERLINK("http://141.218.60.56/~jnz1568/getInfo.php?workbook=14_09.xlsx&amp;sheet=A0&amp;row=2441&amp;col=6&amp;number=10300000&amp;sourceID=14","10300000")</f>
        <v>10300000</v>
      </c>
      <c r="G2441" s="4" t="str">
        <f>HYPERLINK("http://141.218.60.56/~jnz1568/getInfo.php?workbook=14_09.xlsx&amp;sheet=A0&amp;row=2441&amp;col=7&amp;number=0&amp;sourceID=14","0")</f>
        <v>0</v>
      </c>
    </row>
    <row r="2442" spans="1:7">
      <c r="A2442" s="3">
        <v>14</v>
      </c>
      <c r="B2442" s="3">
        <v>9</v>
      </c>
      <c r="C2442" s="3">
        <v>126</v>
      </c>
      <c r="D2442" s="3">
        <v>49</v>
      </c>
      <c r="E2442" s="3">
        <v>-467.588</v>
      </c>
      <c r="F2442" s="4" t="str">
        <f>HYPERLINK("http://141.218.60.56/~jnz1568/getInfo.php?workbook=14_09.xlsx&amp;sheet=A0&amp;row=2442&amp;col=6&amp;number=332000&amp;sourceID=14","332000")</f>
        <v>332000</v>
      </c>
      <c r="G2442" s="4" t="str">
        <f>HYPERLINK("http://141.218.60.56/~jnz1568/getInfo.php?workbook=14_09.xlsx&amp;sheet=A0&amp;row=2442&amp;col=7&amp;number=0&amp;sourceID=14","0")</f>
        <v>0</v>
      </c>
    </row>
    <row r="2443" spans="1:7">
      <c r="A2443" s="3">
        <v>14</v>
      </c>
      <c r="B2443" s="3">
        <v>9</v>
      </c>
      <c r="C2443" s="3">
        <v>138</v>
      </c>
      <c r="D2443" s="3">
        <v>49</v>
      </c>
      <c r="E2443" s="3">
        <v>-406.779</v>
      </c>
      <c r="F2443" s="4" t="str">
        <f>HYPERLINK("http://141.218.60.56/~jnz1568/getInfo.php?workbook=14_09.xlsx&amp;sheet=A0&amp;row=2443&amp;col=6&amp;number=123000000&amp;sourceID=14","123000000")</f>
        <v>123000000</v>
      </c>
      <c r="G2443" s="4" t="str">
        <f>HYPERLINK("http://141.218.60.56/~jnz1568/getInfo.php?workbook=14_09.xlsx&amp;sheet=A0&amp;row=2443&amp;col=7&amp;number=0&amp;sourceID=14","0")</f>
        <v>0</v>
      </c>
    </row>
    <row r="2444" spans="1:7">
      <c r="A2444" s="3">
        <v>14</v>
      </c>
      <c r="B2444" s="3">
        <v>9</v>
      </c>
      <c r="C2444" s="3">
        <v>139</v>
      </c>
      <c r="D2444" s="3">
        <v>49</v>
      </c>
      <c r="E2444" s="3">
        <v>-406.75</v>
      </c>
      <c r="F2444" s="4" t="str">
        <f>HYPERLINK("http://141.218.60.56/~jnz1568/getInfo.php?workbook=14_09.xlsx&amp;sheet=A0&amp;row=2444&amp;col=6&amp;number=701000000&amp;sourceID=14","701000000")</f>
        <v>701000000</v>
      </c>
      <c r="G2444" s="4" t="str">
        <f>HYPERLINK("http://141.218.60.56/~jnz1568/getInfo.php?workbook=14_09.xlsx&amp;sheet=A0&amp;row=2444&amp;col=7&amp;number=0&amp;sourceID=14","0")</f>
        <v>0</v>
      </c>
    </row>
    <row r="2445" spans="1:7">
      <c r="A2445" s="3">
        <v>14</v>
      </c>
      <c r="B2445" s="3">
        <v>9</v>
      </c>
      <c r="C2445" s="3">
        <v>141</v>
      </c>
      <c r="D2445" s="3">
        <v>49</v>
      </c>
      <c r="E2445" s="3">
        <v>-404.497</v>
      </c>
      <c r="F2445" s="4" t="str">
        <f>HYPERLINK("http://141.218.60.56/~jnz1568/getInfo.php?workbook=14_09.xlsx&amp;sheet=A0&amp;row=2445&amp;col=6&amp;number=1090000000&amp;sourceID=14","1090000000")</f>
        <v>1090000000</v>
      </c>
      <c r="G2445" s="4" t="str">
        <f>HYPERLINK("http://141.218.60.56/~jnz1568/getInfo.php?workbook=14_09.xlsx&amp;sheet=A0&amp;row=2445&amp;col=7&amp;number=0&amp;sourceID=14","0")</f>
        <v>0</v>
      </c>
    </row>
    <row r="2446" spans="1:7">
      <c r="A2446" s="3">
        <v>14</v>
      </c>
      <c r="B2446" s="3">
        <v>9</v>
      </c>
      <c r="C2446" s="3">
        <v>147</v>
      </c>
      <c r="D2446" s="3">
        <v>49</v>
      </c>
      <c r="E2446" s="3">
        <v>-402.274</v>
      </c>
      <c r="F2446" s="4" t="str">
        <f>HYPERLINK("http://141.218.60.56/~jnz1568/getInfo.php?workbook=14_09.xlsx&amp;sheet=A0&amp;row=2446&amp;col=6&amp;number=266000000&amp;sourceID=14","266000000")</f>
        <v>266000000</v>
      </c>
      <c r="G2446" s="4" t="str">
        <f>HYPERLINK("http://141.218.60.56/~jnz1568/getInfo.php?workbook=14_09.xlsx&amp;sheet=A0&amp;row=2446&amp;col=7&amp;number=0&amp;sourceID=14","0")</f>
        <v>0</v>
      </c>
    </row>
    <row r="2447" spans="1:7">
      <c r="A2447" s="3">
        <v>14</v>
      </c>
      <c r="B2447" s="3">
        <v>9</v>
      </c>
      <c r="C2447" s="3">
        <v>159</v>
      </c>
      <c r="D2447" s="3">
        <v>49</v>
      </c>
      <c r="E2447" s="3">
        <v>-372.584</v>
      </c>
      <c r="F2447" s="4" t="str">
        <f>HYPERLINK("http://141.218.60.56/~jnz1568/getInfo.php?workbook=14_09.xlsx&amp;sheet=A0&amp;row=2447&amp;col=6&amp;number=520000&amp;sourceID=14","520000")</f>
        <v>520000</v>
      </c>
      <c r="G2447" s="4" t="str">
        <f>HYPERLINK("http://141.218.60.56/~jnz1568/getInfo.php?workbook=14_09.xlsx&amp;sheet=A0&amp;row=2447&amp;col=7&amp;number=0&amp;sourceID=14","0")</f>
        <v>0</v>
      </c>
    </row>
    <row r="2448" spans="1:7">
      <c r="A2448" s="3">
        <v>14</v>
      </c>
      <c r="B2448" s="3">
        <v>9</v>
      </c>
      <c r="C2448" s="3">
        <v>164</v>
      </c>
      <c r="D2448" s="3">
        <v>49</v>
      </c>
      <c r="E2448" s="3">
        <v>-315.494</v>
      </c>
      <c r="F2448" s="4" t="str">
        <f>HYPERLINK("http://141.218.60.56/~jnz1568/getInfo.php?workbook=14_09.xlsx&amp;sheet=A0&amp;row=2448&amp;col=6&amp;number=29200000&amp;sourceID=14","29200000")</f>
        <v>29200000</v>
      </c>
      <c r="G2448" s="4" t="str">
        <f>HYPERLINK("http://141.218.60.56/~jnz1568/getInfo.php?workbook=14_09.xlsx&amp;sheet=A0&amp;row=2448&amp;col=7&amp;number=0&amp;sourceID=14","0")</f>
        <v>0</v>
      </c>
    </row>
    <row r="2449" spans="1:7">
      <c r="A2449" s="3">
        <v>14</v>
      </c>
      <c r="B2449" s="3">
        <v>9</v>
      </c>
      <c r="C2449" s="3">
        <v>166</v>
      </c>
      <c r="D2449" s="3">
        <v>49</v>
      </c>
      <c r="E2449" s="3">
        <v>-307.048</v>
      </c>
      <c r="F2449" s="4" t="str">
        <f>HYPERLINK("http://141.218.60.56/~jnz1568/getInfo.php?workbook=14_09.xlsx&amp;sheet=A0&amp;row=2449&amp;col=6&amp;number=3180000&amp;sourceID=14","3180000")</f>
        <v>3180000</v>
      </c>
      <c r="G2449" s="4" t="str">
        <f>HYPERLINK("http://141.218.60.56/~jnz1568/getInfo.php?workbook=14_09.xlsx&amp;sheet=A0&amp;row=2449&amp;col=7&amp;number=0&amp;sourceID=14","0")</f>
        <v>0</v>
      </c>
    </row>
    <row r="2450" spans="1:7">
      <c r="A2450" s="3">
        <v>14</v>
      </c>
      <c r="B2450" s="3">
        <v>9</v>
      </c>
      <c r="C2450" s="3">
        <v>168</v>
      </c>
      <c r="D2450" s="3">
        <v>49</v>
      </c>
      <c r="E2450" s="3">
        <v>-287.477</v>
      </c>
      <c r="F2450" s="4" t="str">
        <f>HYPERLINK("http://141.218.60.56/~jnz1568/getInfo.php?workbook=14_09.xlsx&amp;sheet=A0&amp;row=2450&amp;col=6&amp;number=5560000&amp;sourceID=14","5560000")</f>
        <v>5560000</v>
      </c>
      <c r="G2450" s="4" t="str">
        <f>HYPERLINK("http://141.218.60.56/~jnz1568/getInfo.php?workbook=14_09.xlsx&amp;sheet=A0&amp;row=2450&amp;col=7&amp;number=0&amp;sourceID=14","0")</f>
        <v>0</v>
      </c>
    </row>
    <row r="2451" spans="1:7">
      <c r="A2451" s="3">
        <v>14</v>
      </c>
      <c r="B2451" s="3">
        <v>9</v>
      </c>
      <c r="C2451" s="3">
        <v>170</v>
      </c>
      <c r="D2451" s="3">
        <v>49</v>
      </c>
      <c r="E2451" s="3">
        <v>-285.579</v>
      </c>
      <c r="F2451" s="4" t="str">
        <f>HYPERLINK("http://141.218.60.56/~jnz1568/getInfo.php?workbook=14_09.xlsx&amp;sheet=A0&amp;row=2451&amp;col=6&amp;number=17000000&amp;sourceID=14","17000000")</f>
        <v>17000000</v>
      </c>
      <c r="G2451" s="4" t="str">
        <f>HYPERLINK("http://141.218.60.56/~jnz1568/getInfo.php?workbook=14_09.xlsx&amp;sheet=A0&amp;row=2451&amp;col=7&amp;number=0&amp;sourceID=14","0")</f>
        <v>0</v>
      </c>
    </row>
    <row r="2452" spans="1:7">
      <c r="A2452" s="3">
        <v>14</v>
      </c>
      <c r="B2452" s="3">
        <v>9</v>
      </c>
      <c r="C2452" s="3">
        <v>173</v>
      </c>
      <c r="D2452" s="3">
        <v>49</v>
      </c>
      <c r="E2452" s="3">
        <v>-281.445</v>
      </c>
      <c r="F2452" s="4" t="str">
        <f>HYPERLINK("http://141.218.60.56/~jnz1568/getInfo.php?workbook=14_09.xlsx&amp;sheet=A0&amp;row=2452&amp;col=6&amp;number=694000&amp;sourceID=14","694000")</f>
        <v>694000</v>
      </c>
      <c r="G2452" s="4" t="str">
        <f>HYPERLINK("http://141.218.60.56/~jnz1568/getInfo.php?workbook=14_09.xlsx&amp;sheet=A0&amp;row=2452&amp;col=7&amp;number=0&amp;sourceID=14","0")</f>
        <v>0</v>
      </c>
    </row>
    <row r="2453" spans="1:7">
      <c r="A2453" s="3">
        <v>14</v>
      </c>
      <c r="B2453" s="3">
        <v>9</v>
      </c>
      <c r="C2453" s="3">
        <v>174</v>
      </c>
      <c r="D2453" s="3">
        <v>49</v>
      </c>
      <c r="E2453" s="3">
        <v>-280.509</v>
      </c>
      <c r="F2453" s="4" t="str">
        <f>HYPERLINK("http://141.218.60.56/~jnz1568/getInfo.php?workbook=14_09.xlsx&amp;sheet=A0&amp;row=2453&amp;col=6&amp;number=6010000&amp;sourceID=14","6010000")</f>
        <v>6010000</v>
      </c>
      <c r="G2453" s="4" t="str">
        <f>HYPERLINK("http://141.218.60.56/~jnz1568/getInfo.php?workbook=14_09.xlsx&amp;sheet=A0&amp;row=2453&amp;col=7&amp;number=0&amp;sourceID=14","0")</f>
        <v>0</v>
      </c>
    </row>
    <row r="2454" spans="1:7">
      <c r="A2454" s="3">
        <v>14</v>
      </c>
      <c r="B2454" s="3">
        <v>9</v>
      </c>
      <c r="C2454" s="3">
        <v>176</v>
      </c>
      <c r="D2454" s="3">
        <v>49</v>
      </c>
      <c r="E2454" s="3">
        <v>-274.78</v>
      </c>
      <c r="F2454" s="4" t="str">
        <f>HYPERLINK("http://141.218.60.56/~jnz1568/getInfo.php?workbook=14_09.xlsx&amp;sheet=A0&amp;row=2454&amp;col=6&amp;number=92300000&amp;sourceID=14","92300000")</f>
        <v>92300000</v>
      </c>
      <c r="G2454" s="4" t="str">
        <f>HYPERLINK("http://141.218.60.56/~jnz1568/getInfo.php?workbook=14_09.xlsx&amp;sheet=A0&amp;row=2454&amp;col=7&amp;number=0&amp;sourceID=14","0")</f>
        <v>0</v>
      </c>
    </row>
    <row r="2455" spans="1:7">
      <c r="A2455" s="3">
        <v>14</v>
      </c>
      <c r="B2455" s="3">
        <v>9</v>
      </c>
      <c r="C2455" s="3">
        <v>178</v>
      </c>
      <c r="D2455" s="3">
        <v>49</v>
      </c>
      <c r="E2455" s="3">
        <v>-274.524</v>
      </c>
      <c r="F2455" s="4" t="str">
        <f>HYPERLINK("http://141.218.60.56/~jnz1568/getInfo.php?workbook=14_09.xlsx&amp;sheet=A0&amp;row=2455&amp;col=6&amp;number=5160000&amp;sourceID=14","5160000")</f>
        <v>5160000</v>
      </c>
      <c r="G2455" s="4" t="str">
        <f>HYPERLINK("http://141.218.60.56/~jnz1568/getInfo.php?workbook=14_09.xlsx&amp;sheet=A0&amp;row=2455&amp;col=7&amp;number=0&amp;sourceID=14","0")</f>
        <v>0</v>
      </c>
    </row>
    <row r="2456" spans="1:7">
      <c r="A2456" s="3">
        <v>14</v>
      </c>
      <c r="B2456" s="3">
        <v>9</v>
      </c>
      <c r="C2456" s="3">
        <v>179</v>
      </c>
      <c r="D2456" s="3">
        <v>49</v>
      </c>
      <c r="E2456" s="3">
        <v>-274.5</v>
      </c>
      <c r="F2456" s="4" t="str">
        <f>HYPERLINK("http://141.218.60.56/~jnz1568/getInfo.php?workbook=14_09.xlsx&amp;sheet=A0&amp;row=2456&amp;col=6&amp;number=15900000&amp;sourceID=14","15900000")</f>
        <v>15900000</v>
      </c>
      <c r="G2456" s="4" t="str">
        <f>HYPERLINK("http://141.218.60.56/~jnz1568/getInfo.php?workbook=14_09.xlsx&amp;sheet=A0&amp;row=2456&amp;col=7&amp;number=0&amp;sourceID=14","0")</f>
        <v>0</v>
      </c>
    </row>
    <row r="2457" spans="1:7">
      <c r="A2457" s="3">
        <v>14</v>
      </c>
      <c r="B2457" s="3">
        <v>9</v>
      </c>
      <c r="C2457" s="3">
        <v>180</v>
      </c>
      <c r="D2457" s="3">
        <v>49</v>
      </c>
      <c r="E2457" s="3">
        <v>-273.664</v>
      </c>
      <c r="F2457" s="4" t="str">
        <f>HYPERLINK("http://141.218.60.56/~jnz1568/getInfo.php?workbook=14_09.xlsx&amp;sheet=A0&amp;row=2457&amp;col=6&amp;number=7060000&amp;sourceID=14","7060000")</f>
        <v>7060000</v>
      </c>
      <c r="G2457" s="4" t="str">
        <f>HYPERLINK("http://141.218.60.56/~jnz1568/getInfo.php?workbook=14_09.xlsx&amp;sheet=A0&amp;row=2457&amp;col=7&amp;number=0&amp;sourceID=14","0")</f>
        <v>0</v>
      </c>
    </row>
    <row r="2458" spans="1:7">
      <c r="A2458" s="3">
        <v>14</v>
      </c>
      <c r="B2458" s="3">
        <v>9</v>
      </c>
      <c r="C2458" s="3">
        <v>181</v>
      </c>
      <c r="D2458" s="3">
        <v>49</v>
      </c>
      <c r="E2458" s="3">
        <v>-270.472</v>
      </c>
      <c r="F2458" s="4" t="str">
        <f>HYPERLINK("http://141.218.60.56/~jnz1568/getInfo.php?workbook=14_09.xlsx&amp;sheet=A0&amp;row=2458&amp;col=6&amp;number=6610000000&amp;sourceID=14","6610000000")</f>
        <v>6610000000</v>
      </c>
      <c r="G2458" s="4" t="str">
        <f>HYPERLINK("http://141.218.60.56/~jnz1568/getInfo.php?workbook=14_09.xlsx&amp;sheet=A0&amp;row=2458&amp;col=7&amp;number=0&amp;sourceID=14","0")</f>
        <v>0</v>
      </c>
    </row>
    <row r="2459" spans="1:7">
      <c r="A2459" s="3">
        <v>14</v>
      </c>
      <c r="B2459" s="3">
        <v>9</v>
      </c>
      <c r="C2459" s="3">
        <v>182</v>
      </c>
      <c r="D2459" s="3">
        <v>49</v>
      </c>
      <c r="E2459" s="3">
        <v>-270.401</v>
      </c>
      <c r="F2459" s="4" t="str">
        <f>HYPERLINK("http://141.218.60.56/~jnz1568/getInfo.php?workbook=14_09.xlsx&amp;sheet=A0&amp;row=2459&amp;col=6&amp;number=9000000&amp;sourceID=14","9000000")</f>
        <v>9000000</v>
      </c>
      <c r="G2459" s="4" t="str">
        <f>HYPERLINK("http://141.218.60.56/~jnz1568/getInfo.php?workbook=14_09.xlsx&amp;sheet=A0&amp;row=2459&amp;col=7&amp;number=0&amp;sourceID=14","0")</f>
        <v>0</v>
      </c>
    </row>
    <row r="2460" spans="1:7">
      <c r="A2460" s="3">
        <v>14</v>
      </c>
      <c r="B2460" s="3">
        <v>9</v>
      </c>
      <c r="C2460" s="3">
        <v>183</v>
      </c>
      <c r="D2460" s="3">
        <v>49</v>
      </c>
      <c r="E2460" s="3">
        <v>-264.34</v>
      </c>
      <c r="F2460" s="4" t="str">
        <f>HYPERLINK("http://141.218.60.56/~jnz1568/getInfo.php?workbook=14_09.xlsx&amp;sheet=A0&amp;row=2460&amp;col=6&amp;number=943000000&amp;sourceID=14","943000000")</f>
        <v>943000000</v>
      </c>
      <c r="G2460" s="4" t="str">
        <f>HYPERLINK("http://141.218.60.56/~jnz1568/getInfo.php?workbook=14_09.xlsx&amp;sheet=A0&amp;row=2460&amp;col=7&amp;number=0&amp;sourceID=14","0")</f>
        <v>0</v>
      </c>
    </row>
    <row r="2461" spans="1:7">
      <c r="A2461" s="3">
        <v>14</v>
      </c>
      <c r="B2461" s="3">
        <v>9</v>
      </c>
      <c r="C2461" s="3">
        <v>184</v>
      </c>
      <c r="D2461" s="3">
        <v>49</v>
      </c>
      <c r="E2461" s="3">
        <v>-262.682</v>
      </c>
      <c r="F2461" s="4" t="str">
        <f>HYPERLINK("http://141.218.60.56/~jnz1568/getInfo.php?workbook=14_09.xlsx&amp;sheet=A0&amp;row=2461&amp;col=6&amp;number=6200000000&amp;sourceID=14","6200000000")</f>
        <v>6200000000</v>
      </c>
      <c r="G2461" s="4" t="str">
        <f>HYPERLINK("http://141.218.60.56/~jnz1568/getInfo.php?workbook=14_09.xlsx&amp;sheet=A0&amp;row=2461&amp;col=7&amp;number=0&amp;sourceID=14","0")</f>
        <v>0</v>
      </c>
    </row>
    <row r="2462" spans="1:7">
      <c r="A2462" s="3">
        <v>14</v>
      </c>
      <c r="B2462" s="3">
        <v>9</v>
      </c>
      <c r="C2462" s="3">
        <v>190</v>
      </c>
      <c r="D2462" s="3">
        <v>49</v>
      </c>
      <c r="E2462" s="3">
        <v>-195.565</v>
      </c>
      <c r="F2462" s="4" t="str">
        <f>HYPERLINK("http://141.218.60.56/~jnz1568/getInfo.php?workbook=14_09.xlsx&amp;sheet=A0&amp;row=2462&amp;col=6&amp;number=118000000&amp;sourceID=14","118000000")</f>
        <v>118000000</v>
      </c>
      <c r="G2462" s="4" t="str">
        <f>HYPERLINK("http://141.218.60.56/~jnz1568/getInfo.php?workbook=14_09.xlsx&amp;sheet=A0&amp;row=2462&amp;col=7&amp;number=0&amp;sourceID=14","0")</f>
        <v>0</v>
      </c>
    </row>
    <row r="2463" spans="1:7">
      <c r="A2463" s="3">
        <v>14</v>
      </c>
      <c r="B2463" s="3">
        <v>9</v>
      </c>
      <c r="C2463" s="3">
        <v>192</v>
      </c>
      <c r="D2463" s="3">
        <v>49</v>
      </c>
      <c r="E2463" s="3">
        <v>-194.164</v>
      </c>
      <c r="F2463" s="4" t="str">
        <f>HYPERLINK("http://141.218.60.56/~jnz1568/getInfo.php?workbook=14_09.xlsx&amp;sheet=A0&amp;row=2463&amp;col=6&amp;number=2120000000&amp;sourceID=14","2120000000")</f>
        <v>2120000000</v>
      </c>
      <c r="G2463" s="4" t="str">
        <f>HYPERLINK("http://141.218.60.56/~jnz1568/getInfo.php?workbook=14_09.xlsx&amp;sheet=A0&amp;row=2463&amp;col=7&amp;number=0&amp;sourceID=14","0")</f>
        <v>0</v>
      </c>
    </row>
    <row r="2464" spans="1:7">
      <c r="A2464" s="3">
        <v>14</v>
      </c>
      <c r="B2464" s="3">
        <v>9</v>
      </c>
      <c r="C2464" s="3">
        <v>193</v>
      </c>
      <c r="D2464" s="3">
        <v>49</v>
      </c>
      <c r="E2464" s="3">
        <v>-194.113</v>
      </c>
      <c r="F2464" s="4" t="str">
        <f>HYPERLINK("http://141.218.60.56/~jnz1568/getInfo.php?workbook=14_09.xlsx&amp;sheet=A0&amp;row=2464&amp;col=6&amp;number=7800000&amp;sourceID=14","7800000")</f>
        <v>7800000</v>
      </c>
      <c r="G2464" s="4" t="str">
        <f>HYPERLINK("http://141.218.60.56/~jnz1568/getInfo.php?workbook=14_09.xlsx&amp;sheet=A0&amp;row=2464&amp;col=7&amp;number=0&amp;sourceID=14","0")</f>
        <v>0</v>
      </c>
    </row>
    <row r="2465" spans="1:7">
      <c r="A2465" s="3">
        <v>14</v>
      </c>
      <c r="B2465" s="3">
        <v>9</v>
      </c>
      <c r="C2465" s="3">
        <v>194</v>
      </c>
      <c r="D2465" s="3">
        <v>49</v>
      </c>
      <c r="E2465" s="3">
        <v>-193.049</v>
      </c>
      <c r="F2465" s="4" t="str">
        <f>HYPERLINK("http://141.218.60.56/~jnz1568/getInfo.php?workbook=14_09.xlsx&amp;sheet=A0&amp;row=2465&amp;col=6&amp;number=20300000&amp;sourceID=14","20300000")</f>
        <v>20300000</v>
      </c>
      <c r="G2465" s="4" t="str">
        <f>HYPERLINK("http://141.218.60.56/~jnz1568/getInfo.php?workbook=14_09.xlsx&amp;sheet=A0&amp;row=2465&amp;col=7&amp;number=0&amp;sourceID=14","0")</f>
        <v>0</v>
      </c>
    </row>
    <row r="2466" spans="1:7">
      <c r="A2466" s="3">
        <v>14</v>
      </c>
      <c r="B2466" s="3">
        <v>9</v>
      </c>
      <c r="C2466" s="3">
        <v>195</v>
      </c>
      <c r="D2466" s="3">
        <v>49</v>
      </c>
      <c r="E2466" s="3">
        <v>-193.024</v>
      </c>
      <c r="F2466" s="4" t="str">
        <f>HYPERLINK("http://141.218.60.56/~jnz1568/getInfo.php?workbook=14_09.xlsx&amp;sheet=A0&amp;row=2466&amp;col=6&amp;number=464000000&amp;sourceID=14","464000000")</f>
        <v>464000000</v>
      </c>
      <c r="G2466" s="4" t="str">
        <f>HYPERLINK("http://141.218.60.56/~jnz1568/getInfo.php?workbook=14_09.xlsx&amp;sheet=A0&amp;row=2466&amp;col=7&amp;number=0&amp;sourceID=14","0")</f>
        <v>0</v>
      </c>
    </row>
    <row r="2467" spans="1:7">
      <c r="A2467" s="3">
        <v>14</v>
      </c>
      <c r="B2467" s="3">
        <v>9</v>
      </c>
      <c r="C2467" s="3">
        <v>70</v>
      </c>
      <c r="D2467" s="3">
        <v>50</v>
      </c>
      <c r="E2467" s="3">
        <v>-822.269</v>
      </c>
      <c r="F2467" s="4" t="str">
        <f>HYPERLINK("http://141.218.60.56/~jnz1568/getInfo.php?workbook=14_09.xlsx&amp;sheet=A0&amp;row=2467&amp;col=6&amp;number=61600&amp;sourceID=14","61600")</f>
        <v>61600</v>
      </c>
      <c r="G2467" s="4" t="str">
        <f>HYPERLINK("http://141.218.60.56/~jnz1568/getInfo.php?workbook=14_09.xlsx&amp;sheet=A0&amp;row=2467&amp;col=7&amp;number=0&amp;sourceID=14","0")</f>
        <v>0</v>
      </c>
    </row>
    <row r="2468" spans="1:7">
      <c r="A2468" s="3">
        <v>14</v>
      </c>
      <c r="B2468" s="3">
        <v>9</v>
      </c>
      <c r="C2468" s="3">
        <v>101</v>
      </c>
      <c r="D2468" s="3">
        <v>50</v>
      </c>
      <c r="E2468" s="3">
        <v>-594.92</v>
      </c>
      <c r="F2468" s="4" t="str">
        <f>HYPERLINK("http://141.218.60.56/~jnz1568/getInfo.php?workbook=14_09.xlsx&amp;sheet=A0&amp;row=2468&amp;col=6&amp;number=1760000000&amp;sourceID=14","1760000000")</f>
        <v>1760000000</v>
      </c>
      <c r="G2468" s="4" t="str">
        <f>HYPERLINK("http://141.218.60.56/~jnz1568/getInfo.php?workbook=14_09.xlsx&amp;sheet=A0&amp;row=2468&amp;col=7&amp;number=0&amp;sourceID=14","0")</f>
        <v>0</v>
      </c>
    </row>
    <row r="2469" spans="1:7">
      <c r="A2469" s="3">
        <v>14</v>
      </c>
      <c r="B2469" s="3">
        <v>9</v>
      </c>
      <c r="C2469" s="3">
        <v>102</v>
      </c>
      <c r="D2469" s="3">
        <v>50</v>
      </c>
      <c r="E2469" s="3">
        <v>-594.168</v>
      </c>
      <c r="F2469" s="4" t="str">
        <f>HYPERLINK("http://141.218.60.56/~jnz1568/getInfo.php?workbook=14_09.xlsx&amp;sheet=A0&amp;row=2469&amp;col=6&amp;number=53000000&amp;sourceID=14","53000000")</f>
        <v>53000000</v>
      </c>
      <c r="G2469" s="4" t="str">
        <f>HYPERLINK("http://141.218.60.56/~jnz1568/getInfo.php?workbook=14_09.xlsx&amp;sheet=A0&amp;row=2469&amp;col=7&amp;number=0&amp;sourceID=14","0")</f>
        <v>0</v>
      </c>
    </row>
    <row r="2470" spans="1:7">
      <c r="A2470" s="3">
        <v>14</v>
      </c>
      <c r="B2470" s="3">
        <v>9</v>
      </c>
      <c r="C2470" s="3">
        <v>106</v>
      </c>
      <c r="D2470" s="3">
        <v>50</v>
      </c>
      <c r="E2470" s="3">
        <v>-588.046</v>
      </c>
      <c r="F2470" s="4" t="str">
        <f>HYPERLINK("http://141.218.60.56/~jnz1568/getInfo.php?workbook=14_09.xlsx&amp;sheet=A0&amp;row=2470&amp;col=6&amp;number=3410000&amp;sourceID=14","3410000")</f>
        <v>3410000</v>
      </c>
      <c r="G2470" s="4" t="str">
        <f>HYPERLINK("http://141.218.60.56/~jnz1568/getInfo.php?workbook=14_09.xlsx&amp;sheet=A0&amp;row=2470&amp;col=7&amp;number=0&amp;sourceID=14","0")</f>
        <v>0</v>
      </c>
    </row>
    <row r="2471" spans="1:7">
      <c r="A2471" s="3">
        <v>14</v>
      </c>
      <c r="B2471" s="3">
        <v>9</v>
      </c>
      <c r="C2471" s="3">
        <v>107</v>
      </c>
      <c r="D2471" s="3">
        <v>50</v>
      </c>
      <c r="E2471" s="3">
        <v>-587.069</v>
      </c>
      <c r="F2471" s="4" t="str">
        <f>HYPERLINK("http://141.218.60.56/~jnz1568/getInfo.php?workbook=14_09.xlsx&amp;sheet=A0&amp;row=2471&amp;col=6&amp;number=966000&amp;sourceID=14","966000")</f>
        <v>966000</v>
      </c>
      <c r="G2471" s="4" t="str">
        <f>HYPERLINK("http://141.218.60.56/~jnz1568/getInfo.php?workbook=14_09.xlsx&amp;sheet=A0&amp;row=2471&amp;col=7&amp;number=0&amp;sourceID=14","0")</f>
        <v>0</v>
      </c>
    </row>
    <row r="2472" spans="1:7">
      <c r="A2472" s="3">
        <v>14</v>
      </c>
      <c r="B2472" s="3">
        <v>9</v>
      </c>
      <c r="C2472" s="3">
        <v>109</v>
      </c>
      <c r="D2472" s="3">
        <v>50</v>
      </c>
      <c r="E2472" s="3">
        <v>-585.697</v>
      </c>
      <c r="F2472" s="4" t="str">
        <f>HYPERLINK("http://141.218.60.56/~jnz1568/getInfo.php?workbook=14_09.xlsx&amp;sheet=A0&amp;row=2472&amp;col=6&amp;number=4910000&amp;sourceID=14","4910000")</f>
        <v>4910000</v>
      </c>
      <c r="G2472" s="4" t="str">
        <f>HYPERLINK("http://141.218.60.56/~jnz1568/getInfo.php?workbook=14_09.xlsx&amp;sheet=A0&amp;row=2472&amp;col=7&amp;number=0&amp;sourceID=14","0")</f>
        <v>0</v>
      </c>
    </row>
    <row r="2473" spans="1:7">
      <c r="A2473" s="3">
        <v>14</v>
      </c>
      <c r="B2473" s="3">
        <v>9</v>
      </c>
      <c r="C2473" s="3">
        <v>114</v>
      </c>
      <c r="D2473" s="3">
        <v>50</v>
      </c>
      <c r="E2473" s="3">
        <v>-583.306</v>
      </c>
      <c r="F2473" s="4" t="str">
        <f>HYPERLINK("http://141.218.60.56/~jnz1568/getInfo.php?workbook=14_09.xlsx&amp;sheet=A0&amp;row=2473&amp;col=6&amp;number=958000&amp;sourceID=14","958000")</f>
        <v>958000</v>
      </c>
      <c r="G2473" s="4" t="str">
        <f>HYPERLINK("http://141.218.60.56/~jnz1568/getInfo.php?workbook=14_09.xlsx&amp;sheet=A0&amp;row=2473&amp;col=7&amp;number=0&amp;sourceID=14","0")</f>
        <v>0</v>
      </c>
    </row>
    <row r="2474" spans="1:7">
      <c r="A2474" s="3">
        <v>14</v>
      </c>
      <c r="B2474" s="3">
        <v>9</v>
      </c>
      <c r="C2474" s="3">
        <v>115</v>
      </c>
      <c r="D2474" s="3">
        <v>50</v>
      </c>
      <c r="E2474" s="3">
        <v>-582.85</v>
      </c>
      <c r="F2474" s="4" t="str">
        <f>HYPERLINK("http://141.218.60.56/~jnz1568/getInfo.php?workbook=14_09.xlsx&amp;sheet=A0&amp;row=2474&amp;col=6&amp;number=1850000&amp;sourceID=14","1850000")</f>
        <v>1850000</v>
      </c>
      <c r="G2474" s="4" t="str">
        <f>HYPERLINK("http://141.218.60.56/~jnz1568/getInfo.php?workbook=14_09.xlsx&amp;sheet=A0&amp;row=2474&amp;col=7&amp;number=0&amp;sourceID=14","0")</f>
        <v>0</v>
      </c>
    </row>
    <row r="2475" spans="1:7">
      <c r="A2475" s="3">
        <v>14</v>
      </c>
      <c r="B2475" s="3">
        <v>9</v>
      </c>
      <c r="C2475" s="3">
        <v>118</v>
      </c>
      <c r="D2475" s="3">
        <v>50</v>
      </c>
      <c r="E2475" s="3">
        <v>-573.478</v>
      </c>
      <c r="F2475" s="4" t="str">
        <f>HYPERLINK("http://141.218.60.56/~jnz1568/getInfo.php?workbook=14_09.xlsx&amp;sheet=A0&amp;row=2475&amp;col=6&amp;number=341000&amp;sourceID=14","341000")</f>
        <v>341000</v>
      </c>
      <c r="G2475" s="4" t="str">
        <f>HYPERLINK("http://141.218.60.56/~jnz1568/getInfo.php?workbook=14_09.xlsx&amp;sheet=A0&amp;row=2475&amp;col=7&amp;number=0&amp;sourceID=14","0")</f>
        <v>0</v>
      </c>
    </row>
    <row r="2476" spans="1:7">
      <c r="A2476" s="3">
        <v>14</v>
      </c>
      <c r="B2476" s="3">
        <v>9</v>
      </c>
      <c r="C2476" s="3">
        <v>141</v>
      </c>
      <c r="D2476" s="3">
        <v>50</v>
      </c>
      <c r="E2476" s="3">
        <v>-457.847</v>
      </c>
      <c r="F2476" s="4" t="str">
        <f>HYPERLINK("http://141.218.60.56/~jnz1568/getInfo.php?workbook=14_09.xlsx&amp;sheet=A0&amp;row=2476&amp;col=6&amp;number=193000&amp;sourceID=14","193000")</f>
        <v>193000</v>
      </c>
      <c r="G2476" s="4" t="str">
        <f>HYPERLINK("http://141.218.60.56/~jnz1568/getInfo.php?workbook=14_09.xlsx&amp;sheet=A0&amp;row=2476&amp;col=7&amp;number=0&amp;sourceID=14","0")</f>
        <v>0</v>
      </c>
    </row>
    <row r="2477" spans="1:7">
      <c r="A2477" s="3">
        <v>14</v>
      </c>
      <c r="B2477" s="3">
        <v>9</v>
      </c>
      <c r="C2477" s="3">
        <v>143</v>
      </c>
      <c r="D2477" s="3">
        <v>50</v>
      </c>
      <c r="E2477" s="3">
        <v>-457.543</v>
      </c>
      <c r="F2477" s="4" t="str">
        <f>HYPERLINK("http://141.218.60.56/~jnz1568/getInfo.php?workbook=14_09.xlsx&amp;sheet=A0&amp;row=2477&amp;col=6&amp;number=19400000000&amp;sourceID=14","19400000000")</f>
        <v>19400000000</v>
      </c>
      <c r="G2477" s="4" t="str">
        <f>HYPERLINK("http://141.218.60.56/~jnz1568/getInfo.php?workbook=14_09.xlsx&amp;sheet=A0&amp;row=2477&amp;col=7&amp;number=0&amp;sourceID=14","0")</f>
        <v>0</v>
      </c>
    </row>
    <row r="2478" spans="1:7">
      <c r="A2478" s="3">
        <v>14</v>
      </c>
      <c r="B2478" s="3">
        <v>9</v>
      </c>
      <c r="C2478" s="3">
        <v>146</v>
      </c>
      <c r="D2478" s="3">
        <v>50</v>
      </c>
      <c r="E2478" s="3">
        <v>-455.005</v>
      </c>
      <c r="F2478" s="4" t="str">
        <f>HYPERLINK("http://141.218.60.56/~jnz1568/getInfo.php?workbook=14_09.xlsx&amp;sheet=A0&amp;row=2478&amp;col=6&amp;number=1070000&amp;sourceID=14","1070000")</f>
        <v>1070000</v>
      </c>
      <c r="G2478" s="4" t="str">
        <f>HYPERLINK("http://141.218.60.56/~jnz1568/getInfo.php?workbook=14_09.xlsx&amp;sheet=A0&amp;row=2478&amp;col=7&amp;number=0&amp;sourceID=14","0")</f>
        <v>0</v>
      </c>
    </row>
    <row r="2479" spans="1:7">
      <c r="A2479" s="3">
        <v>14</v>
      </c>
      <c r="B2479" s="3">
        <v>9</v>
      </c>
      <c r="C2479" s="3">
        <v>147</v>
      </c>
      <c r="D2479" s="3">
        <v>50</v>
      </c>
      <c r="E2479" s="3">
        <v>-455.001</v>
      </c>
      <c r="F2479" s="4" t="str">
        <f>HYPERLINK("http://141.218.60.56/~jnz1568/getInfo.php?workbook=14_09.xlsx&amp;sheet=A0&amp;row=2479&amp;col=6&amp;number=200000000&amp;sourceID=14","200000000")</f>
        <v>200000000</v>
      </c>
      <c r="G2479" s="4" t="str">
        <f>HYPERLINK("http://141.218.60.56/~jnz1568/getInfo.php?workbook=14_09.xlsx&amp;sheet=A0&amp;row=2479&amp;col=7&amp;number=0&amp;sourceID=14","0")</f>
        <v>0</v>
      </c>
    </row>
    <row r="2480" spans="1:7">
      <c r="A2480" s="3">
        <v>14</v>
      </c>
      <c r="B2480" s="3">
        <v>9</v>
      </c>
      <c r="C2480" s="3">
        <v>149</v>
      </c>
      <c r="D2480" s="3">
        <v>50</v>
      </c>
      <c r="E2480" s="3">
        <v>-454.051</v>
      </c>
      <c r="F2480" s="4" t="str">
        <f>HYPERLINK("http://141.218.60.56/~jnz1568/getInfo.php?workbook=14_09.xlsx&amp;sheet=A0&amp;row=2480&amp;col=6&amp;number=3340000000&amp;sourceID=14","3340000000")</f>
        <v>3340000000</v>
      </c>
      <c r="G2480" s="4" t="str">
        <f>HYPERLINK("http://141.218.60.56/~jnz1568/getInfo.php?workbook=14_09.xlsx&amp;sheet=A0&amp;row=2480&amp;col=7&amp;number=0&amp;sourceID=14","0")</f>
        <v>0</v>
      </c>
    </row>
    <row r="2481" spans="1:7">
      <c r="A2481" s="3">
        <v>14</v>
      </c>
      <c r="B2481" s="3">
        <v>9</v>
      </c>
      <c r="C2481" s="3">
        <v>150</v>
      </c>
      <c r="D2481" s="3">
        <v>50</v>
      </c>
      <c r="E2481" s="3">
        <v>-454.012</v>
      </c>
      <c r="F2481" s="4" t="str">
        <f>HYPERLINK("http://141.218.60.56/~jnz1568/getInfo.php?workbook=14_09.xlsx&amp;sheet=A0&amp;row=2481&amp;col=6&amp;number=50600000&amp;sourceID=14","50600000")</f>
        <v>50600000</v>
      </c>
      <c r="G2481" s="4" t="str">
        <f>HYPERLINK("http://141.218.60.56/~jnz1568/getInfo.php?workbook=14_09.xlsx&amp;sheet=A0&amp;row=2481&amp;col=7&amp;number=0&amp;sourceID=14","0")</f>
        <v>0</v>
      </c>
    </row>
    <row r="2482" spans="1:7">
      <c r="A2482" s="3">
        <v>14</v>
      </c>
      <c r="B2482" s="3">
        <v>9</v>
      </c>
      <c r="C2482" s="3">
        <v>164</v>
      </c>
      <c r="D2482" s="3">
        <v>50</v>
      </c>
      <c r="E2482" s="3">
        <v>-347.034</v>
      </c>
      <c r="F2482" s="4" t="str">
        <f>HYPERLINK("http://141.218.60.56/~jnz1568/getInfo.php?workbook=14_09.xlsx&amp;sheet=A0&amp;row=2482&amp;col=6&amp;number=32500000&amp;sourceID=14","32500000")</f>
        <v>32500000</v>
      </c>
      <c r="G2482" s="4" t="str">
        <f>HYPERLINK("http://141.218.60.56/~jnz1568/getInfo.php?workbook=14_09.xlsx&amp;sheet=A0&amp;row=2482&amp;col=7&amp;number=0&amp;sourceID=14","0")</f>
        <v>0</v>
      </c>
    </row>
    <row r="2483" spans="1:7">
      <c r="A2483" s="3">
        <v>14</v>
      </c>
      <c r="B2483" s="3">
        <v>9</v>
      </c>
      <c r="C2483" s="3">
        <v>165</v>
      </c>
      <c r="D2483" s="3">
        <v>50</v>
      </c>
      <c r="E2483" s="3">
        <v>-347.022</v>
      </c>
      <c r="F2483" s="4" t="str">
        <f>HYPERLINK("http://141.218.60.56/~jnz1568/getInfo.php?workbook=14_09.xlsx&amp;sheet=A0&amp;row=2483&amp;col=6&amp;number=880000&amp;sourceID=14","880000")</f>
        <v>880000</v>
      </c>
      <c r="G2483" s="4" t="str">
        <f>HYPERLINK("http://141.218.60.56/~jnz1568/getInfo.php?workbook=14_09.xlsx&amp;sheet=A0&amp;row=2483&amp;col=7&amp;number=0&amp;sourceID=14","0")</f>
        <v>0</v>
      </c>
    </row>
    <row r="2484" spans="1:7">
      <c r="A2484" s="3">
        <v>14</v>
      </c>
      <c r="B2484" s="3">
        <v>9</v>
      </c>
      <c r="C2484" s="3">
        <v>171</v>
      </c>
      <c r="D2484" s="3">
        <v>50</v>
      </c>
      <c r="E2484" s="3">
        <v>-308.933</v>
      </c>
      <c r="F2484" s="4" t="str">
        <f>HYPERLINK("http://141.218.60.56/~jnz1568/getInfo.php?workbook=14_09.xlsx&amp;sheet=A0&amp;row=2484&amp;col=6&amp;number=613000&amp;sourceID=14","613000")</f>
        <v>613000</v>
      </c>
      <c r="G2484" s="4" t="str">
        <f>HYPERLINK("http://141.218.60.56/~jnz1568/getInfo.php?workbook=14_09.xlsx&amp;sheet=A0&amp;row=2484&amp;col=7&amp;number=0&amp;sourceID=14","0")</f>
        <v>0</v>
      </c>
    </row>
    <row r="2485" spans="1:7">
      <c r="A2485" s="3">
        <v>14</v>
      </c>
      <c r="B2485" s="3">
        <v>9</v>
      </c>
      <c r="C2485" s="3">
        <v>172</v>
      </c>
      <c r="D2485" s="3">
        <v>50</v>
      </c>
      <c r="E2485" s="3">
        <v>-307.582</v>
      </c>
      <c r="F2485" s="4" t="str">
        <f>HYPERLINK("http://141.218.60.56/~jnz1568/getInfo.php?workbook=14_09.xlsx&amp;sheet=A0&amp;row=2485&amp;col=6&amp;number=11700000&amp;sourceID=14","11700000")</f>
        <v>11700000</v>
      </c>
      <c r="G2485" s="4" t="str">
        <f>HYPERLINK("http://141.218.60.56/~jnz1568/getInfo.php?workbook=14_09.xlsx&amp;sheet=A0&amp;row=2485&amp;col=7&amp;number=0&amp;sourceID=14","0")</f>
        <v>0</v>
      </c>
    </row>
    <row r="2486" spans="1:7">
      <c r="A2486" s="3">
        <v>14</v>
      </c>
      <c r="B2486" s="3">
        <v>9</v>
      </c>
      <c r="C2486" s="3">
        <v>173</v>
      </c>
      <c r="D2486" s="3">
        <v>50</v>
      </c>
      <c r="E2486" s="3">
        <v>-306.276</v>
      </c>
      <c r="F2486" s="4" t="str">
        <f>HYPERLINK("http://141.218.60.56/~jnz1568/getInfo.php?workbook=14_09.xlsx&amp;sheet=A0&amp;row=2486&amp;col=6&amp;number=651000&amp;sourceID=14","651000")</f>
        <v>651000</v>
      </c>
      <c r="G2486" s="4" t="str">
        <f>HYPERLINK("http://141.218.60.56/~jnz1568/getInfo.php?workbook=14_09.xlsx&amp;sheet=A0&amp;row=2486&amp;col=7&amp;number=0&amp;sourceID=14","0")</f>
        <v>0</v>
      </c>
    </row>
    <row r="2487" spans="1:7">
      <c r="A2487" s="3">
        <v>14</v>
      </c>
      <c r="B2487" s="3">
        <v>9</v>
      </c>
      <c r="C2487" s="3">
        <v>175</v>
      </c>
      <c r="D2487" s="3">
        <v>50</v>
      </c>
      <c r="E2487" s="3">
        <v>-300.125</v>
      </c>
      <c r="F2487" s="4" t="str">
        <f>HYPERLINK("http://141.218.60.56/~jnz1568/getInfo.php?workbook=14_09.xlsx&amp;sheet=A0&amp;row=2487&amp;col=6&amp;number=13600000&amp;sourceID=14","13600000")</f>
        <v>13600000</v>
      </c>
      <c r="G2487" s="4" t="str">
        <f>HYPERLINK("http://141.218.60.56/~jnz1568/getInfo.php?workbook=14_09.xlsx&amp;sheet=A0&amp;row=2487&amp;col=7&amp;number=0&amp;sourceID=14","0")</f>
        <v>0</v>
      </c>
    </row>
    <row r="2488" spans="1:7">
      <c r="A2488" s="3">
        <v>14</v>
      </c>
      <c r="B2488" s="3">
        <v>9</v>
      </c>
      <c r="C2488" s="3">
        <v>176</v>
      </c>
      <c r="D2488" s="3">
        <v>50</v>
      </c>
      <c r="E2488" s="3">
        <v>-298.4</v>
      </c>
      <c r="F2488" s="4" t="str">
        <f>HYPERLINK("http://141.218.60.56/~jnz1568/getInfo.php?workbook=14_09.xlsx&amp;sheet=A0&amp;row=2488&amp;col=6&amp;number=1300000&amp;sourceID=14","1300000")</f>
        <v>1300000</v>
      </c>
      <c r="G2488" s="4" t="str">
        <f>HYPERLINK("http://141.218.60.56/~jnz1568/getInfo.php?workbook=14_09.xlsx&amp;sheet=A0&amp;row=2488&amp;col=7&amp;number=0&amp;sourceID=14","0")</f>
        <v>0</v>
      </c>
    </row>
    <row r="2489" spans="1:7">
      <c r="A2489" s="3">
        <v>14</v>
      </c>
      <c r="B2489" s="3">
        <v>9</v>
      </c>
      <c r="C2489" s="3">
        <v>177</v>
      </c>
      <c r="D2489" s="3">
        <v>50</v>
      </c>
      <c r="E2489" s="3">
        <v>-298.25</v>
      </c>
      <c r="F2489" s="4" t="str">
        <f>HYPERLINK("http://141.218.60.56/~jnz1568/getInfo.php?workbook=14_09.xlsx&amp;sheet=A0&amp;row=2489&amp;col=6&amp;number=12900000&amp;sourceID=14","12900000")</f>
        <v>12900000</v>
      </c>
      <c r="G2489" s="4" t="str">
        <f>HYPERLINK("http://141.218.60.56/~jnz1568/getInfo.php?workbook=14_09.xlsx&amp;sheet=A0&amp;row=2489&amp;col=7&amp;number=0&amp;sourceID=14","0")</f>
        <v>0</v>
      </c>
    </row>
    <row r="2490" spans="1:7">
      <c r="A2490" s="3">
        <v>14</v>
      </c>
      <c r="B2490" s="3">
        <v>9</v>
      </c>
      <c r="C2490" s="3">
        <v>180</v>
      </c>
      <c r="D2490" s="3">
        <v>50</v>
      </c>
      <c r="E2490" s="3">
        <v>-297.085</v>
      </c>
      <c r="F2490" s="4" t="str">
        <f>HYPERLINK("http://141.218.60.56/~jnz1568/getInfo.php?workbook=14_09.xlsx&amp;sheet=A0&amp;row=2490&amp;col=6&amp;number=7530000&amp;sourceID=14","7530000")</f>
        <v>7530000</v>
      </c>
      <c r="G2490" s="4" t="str">
        <f>HYPERLINK("http://141.218.60.56/~jnz1568/getInfo.php?workbook=14_09.xlsx&amp;sheet=A0&amp;row=2490&amp;col=7&amp;number=0&amp;sourceID=14","0")</f>
        <v>0</v>
      </c>
    </row>
    <row r="2491" spans="1:7">
      <c r="A2491" s="3">
        <v>14</v>
      </c>
      <c r="B2491" s="3">
        <v>9</v>
      </c>
      <c r="C2491" s="3">
        <v>181</v>
      </c>
      <c r="D2491" s="3">
        <v>50</v>
      </c>
      <c r="E2491" s="3">
        <v>-293.326</v>
      </c>
      <c r="F2491" s="4" t="str">
        <f>HYPERLINK("http://141.218.60.56/~jnz1568/getInfo.php?workbook=14_09.xlsx&amp;sheet=A0&amp;row=2491&amp;col=6&amp;number=6740000&amp;sourceID=14","6740000")</f>
        <v>6740000</v>
      </c>
      <c r="G2491" s="4" t="str">
        <f>HYPERLINK("http://141.218.60.56/~jnz1568/getInfo.php?workbook=14_09.xlsx&amp;sheet=A0&amp;row=2491&amp;col=7&amp;number=0&amp;sourceID=14","0")</f>
        <v>0</v>
      </c>
    </row>
    <row r="2492" spans="1:7">
      <c r="A2492" s="3">
        <v>14</v>
      </c>
      <c r="B2492" s="3">
        <v>9</v>
      </c>
      <c r="C2492" s="3">
        <v>190</v>
      </c>
      <c r="D2492" s="3">
        <v>50</v>
      </c>
      <c r="E2492" s="3">
        <v>-207.24</v>
      </c>
      <c r="F2492" s="4" t="str">
        <f>HYPERLINK("http://141.218.60.56/~jnz1568/getInfo.php?workbook=14_09.xlsx&amp;sheet=A0&amp;row=2492&amp;col=6&amp;number=56700000000&amp;sourceID=14","56700000000")</f>
        <v>56700000000</v>
      </c>
      <c r="G2492" s="4" t="str">
        <f>HYPERLINK("http://141.218.60.56/~jnz1568/getInfo.php?workbook=14_09.xlsx&amp;sheet=A0&amp;row=2492&amp;col=7&amp;number=0&amp;sourceID=14","0")</f>
        <v>0</v>
      </c>
    </row>
    <row r="2493" spans="1:7">
      <c r="A2493" s="3">
        <v>14</v>
      </c>
      <c r="B2493" s="3">
        <v>9</v>
      </c>
      <c r="C2493" s="3">
        <v>191</v>
      </c>
      <c r="D2493" s="3">
        <v>50</v>
      </c>
      <c r="E2493" s="3">
        <v>-207.204</v>
      </c>
      <c r="F2493" s="4" t="str">
        <f>HYPERLINK("http://141.218.60.56/~jnz1568/getInfo.php?workbook=14_09.xlsx&amp;sheet=A0&amp;row=2493&amp;col=6&amp;number=1420000000&amp;sourceID=14","1420000000")</f>
        <v>1420000000</v>
      </c>
      <c r="G2493" s="4" t="str">
        <f>HYPERLINK("http://141.218.60.56/~jnz1568/getInfo.php?workbook=14_09.xlsx&amp;sheet=A0&amp;row=2493&amp;col=7&amp;number=0&amp;sourceID=14","0")</f>
        <v>0</v>
      </c>
    </row>
    <row r="2494" spans="1:7">
      <c r="A2494" s="3">
        <v>14</v>
      </c>
      <c r="B2494" s="3">
        <v>9</v>
      </c>
      <c r="C2494" s="3">
        <v>102</v>
      </c>
      <c r="D2494" s="3">
        <v>51</v>
      </c>
      <c r="E2494" s="3">
        <v>-594.574</v>
      </c>
      <c r="F2494" s="4" t="str">
        <f>HYPERLINK("http://141.218.60.56/~jnz1568/getInfo.php?workbook=14_09.xlsx&amp;sheet=A0&amp;row=2494&amp;col=6&amp;number=1710000000&amp;sourceID=14","1710000000")</f>
        <v>1710000000</v>
      </c>
      <c r="G2494" s="4" t="str">
        <f>HYPERLINK("http://141.218.60.56/~jnz1568/getInfo.php?workbook=14_09.xlsx&amp;sheet=A0&amp;row=2494&amp;col=7&amp;number=0&amp;sourceID=14","0")</f>
        <v>0</v>
      </c>
    </row>
    <row r="2495" spans="1:7">
      <c r="A2495" s="3">
        <v>14</v>
      </c>
      <c r="B2495" s="3">
        <v>9</v>
      </c>
      <c r="C2495" s="3">
        <v>105</v>
      </c>
      <c r="D2495" s="3">
        <v>51</v>
      </c>
      <c r="E2495" s="3">
        <v>-588.953</v>
      </c>
      <c r="F2495" s="4" t="str">
        <f>HYPERLINK("http://141.218.60.56/~jnz1568/getInfo.php?workbook=14_09.xlsx&amp;sheet=A0&amp;row=2495&amp;col=6&amp;number=830000&amp;sourceID=14","830000")</f>
        <v>830000</v>
      </c>
      <c r="G2495" s="4" t="str">
        <f>HYPERLINK("http://141.218.60.56/~jnz1568/getInfo.php?workbook=14_09.xlsx&amp;sheet=A0&amp;row=2495&amp;col=7&amp;number=0&amp;sourceID=14","0")</f>
        <v>0</v>
      </c>
    </row>
    <row r="2496" spans="1:7">
      <c r="A2496" s="3">
        <v>14</v>
      </c>
      <c r="B2496" s="3">
        <v>9</v>
      </c>
      <c r="C2496" s="3">
        <v>107</v>
      </c>
      <c r="D2496" s="3">
        <v>51</v>
      </c>
      <c r="E2496" s="3">
        <v>-587.466</v>
      </c>
      <c r="F2496" s="4" t="str">
        <f>HYPERLINK("http://141.218.60.56/~jnz1568/getInfo.php?workbook=14_09.xlsx&amp;sheet=A0&amp;row=2496&amp;col=6&amp;number=10700000&amp;sourceID=14","10700000")</f>
        <v>10700000</v>
      </c>
      <c r="G2496" s="4" t="str">
        <f>HYPERLINK("http://141.218.60.56/~jnz1568/getInfo.php?workbook=14_09.xlsx&amp;sheet=A0&amp;row=2496&amp;col=7&amp;number=0&amp;sourceID=14","0")</f>
        <v>0</v>
      </c>
    </row>
    <row r="2497" spans="1:7">
      <c r="A2497" s="3">
        <v>14</v>
      </c>
      <c r="B2497" s="3">
        <v>9</v>
      </c>
      <c r="C2497" s="3">
        <v>120</v>
      </c>
      <c r="D2497" s="3">
        <v>51</v>
      </c>
      <c r="E2497" s="3">
        <v>-572.359</v>
      </c>
      <c r="F2497" s="4" t="str">
        <f>HYPERLINK("http://141.218.60.56/~jnz1568/getInfo.php?workbook=14_09.xlsx&amp;sheet=A0&amp;row=2497&amp;col=6&amp;number=228000&amp;sourceID=14","228000")</f>
        <v>228000</v>
      </c>
      <c r="G2497" s="4" t="str">
        <f>HYPERLINK("http://141.218.60.56/~jnz1568/getInfo.php?workbook=14_09.xlsx&amp;sheet=A0&amp;row=2497&amp;col=7&amp;number=0&amp;sourceID=14","0")</f>
        <v>0</v>
      </c>
    </row>
    <row r="2498" spans="1:7">
      <c r="A2498" s="3">
        <v>14</v>
      </c>
      <c r="B2498" s="3">
        <v>9</v>
      </c>
      <c r="C2498" s="3">
        <v>143</v>
      </c>
      <c r="D2498" s="3">
        <v>51</v>
      </c>
      <c r="E2498" s="3">
        <v>-457.784</v>
      </c>
      <c r="F2498" s="4" t="str">
        <f>HYPERLINK("http://141.218.60.56/~jnz1568/getInfo.php?workbook=14_09.xlsx&amp;sheet=A0&amp;row=2498&amp;col=6&amp;number=452000000&amp;sourceID=14","452000000")</f>
        <v>452000000</v>
      </c>
      <c r="G2498" s="4" t="str">
        <f>HYPERLINK("http://141.218.60.56/~jnz1568/getInfo.php?workbook=14_09.xlsx&amp;sheet=A0&amp;row=2498&amp;col=7&amp;number=0&amp;sourceID=14","0")</f>
        <v>0</v>
      </c>
    </row>
    <row r="2499" spans="1:7">
      <c r="A2499" s="3">
        <v>14</v>
      </c>
      <c r="B2499" s="3">
        <v>9</v>
      </c>
      <c r="C2499" s="3">
        <v>144</v>
      </c>
      <c r="D2499" s="3">
        <v>51</v>
      </c>
      <c r="E2499" s="3">
        <v>-457.744</v>
      </c>
      <c r="F2499" s="4" t="str">
        <f>HYPERLINK("http://141.218.60.56/~jnz1568/getInfo.php?workbook=14_09.xlsx&amp;sheet=A0&amp;row=2499&amp;col=6&amp;number=19900000000&amp;sourceID=14","19900000000")</f>
        <v>19900000000</v>
      </c>
      <c r="G2499" s="4" t="str">
        <f>HYPERLINK("http://141.218.60.56/~jnz1568/getInfo.php?workbook=14_09.xlsx&amp;sheet=A0&amp;row=2499&amp;col=7&amp;number=0&amp;sourceID=14","0")</f>
        <v>0</v>
      </c>
    </row>
    <row r="2500" spans="1:7">
      <c r="A2500" s="3">
        <v>14</v>
      </c>
      <c r="B2500" s="3">
        <v>9</v>
      </c>
      <c r="C2500" s="3">
        <v>146</v>
      </c>
      <c r="D2500" s="3">
        <v>51</v>
      </c>
      <c r="E2500" s="3">
        <v>-455.244</v>
      </c>
      <c r="F2500" s="4" t="str">
        <f>HYPERLINK("http://141.218.60.56/~jnz1568/getInfo.php?workbook=14_09.xlsx&amp;sheet=A0&amp;row=2500&amp;col=6&amp;number=187000000&amp;sourceID=14","187000000")</f>
        <v>187000000</v>
      </c>
      <c r="G2500" s="4" t="str">
        <f>HYPERLINK("http://141.218.60.56/~jnz1568/getInfo.php?workbook=14_09.xlsx&amp;sheet=A0&amp;row=2500&amp;col=7&amp;number=0&amp;sourceID=14","0")</f>
        <v>0</v>
      </c>
    </row>
    <row r="2501" spans="1:7">
      <c r="A2501" s="3">
        <v>14</v>
      </c>
      <c r="B2501" s="3">
        <v>9</v>
      </c>
      <c r="C2501" s="3">
        <v>149</v>
      </c>
      <c r="D2501" s="3">
        <v>51</v>
      </c>
      <c r="E2501" s="3">
        <v>-454.288</v>
      </c>
      <c r="F2501" s="4" t="str">
        <f>HYPERLINK("http://141.218.60.56/~jnz1568/getInfo.php?workbook=14_09.xlsx&amp;sheet=A0&amp;row=2501&amp;col=6&amp;number=94200000&amp;sourceID=14","94200000")</f>
        <v>94200000</v>
      </c>
      <c r="G2501" s="4" t="str">
        <f>HYPERLINK("http://141.218.60.56/~jnz1568/getInfo.php?workbook=14_09.xlsx&amp;sheet=A0&amp;row=2501&amp;col=7&amp;number=0&amp;sourceID=14","0")</f>
        <v>0</v>
      </c>
    </row>
    <row r="2502" spans="1:7">
      <c r="A2502" s="3">
        <v>14</v>
      </c>
      <c r="B2502" s="3">
        <v>9</v>
      </c>
      <c r="C2502" s="3">
        <v>150</v>
      </c>
      <c r="D2502" s="3">
        <v>51</v>
      </c>
      <c r="E2502" s="3">
        <v>-454.249</v>
      </c>
      <c r="F2502" s="4" t="str">
        <f>HYPERLINK("http://141.218.60.56/~jnz1568/getInfo.php?workbook=14_09.xlsx&amp;sheet=A0&amp;row=2502&amp;col=6&amp;number=3310000000&amp;sourceID=14","3310000000")</f>
        <v>3310000000</v>
      </c>
      <c r="G2502" s="4" t="str">
        <f>HYPERLINK("http://141.218.60.56/~jnz1568/getInfo.php?workbook=14_09.xlsx&amp;sheet=A0&amp;row=2502&amp;col=7&amp;number=0&amp;sourceID=14","0")</f>
        <v>0</v>
      </c>
    </row>
    <row r="2503" spans="1:7">
      <c r="A2503" s="3">
        <v>14</v>
      </c>
      <c r="B2503" s="3">
        <v>9</v>
      </c>
      <c r="C2503" s="3">
        <v>165</v>
      </c>
      <c r="D2503" s="3">
        <v>51</v>
      </c>
      <c r="E2503" s="3">
        <v>-347.16</v>
      </c>
      <c r="F2503" s="4" t="str">
        <f>HYPERLINK("http://141.218.60.56/~jnz1568/getInfo.php?workbook=14_09.xlsx&amp;sheet=A0&amp;row=2503&amp;col=6&amp;number=31600000&amp;sourceID=14","31600000")</f>
        <v>31600000</v>
      </c>
      <c r="G2503" s="4" t="str">
        <f>HYPERLINK("http://141.218.60.56/~jnz1568/getInfo.php?workbook=14_09.xlsx&amp;sheet=A0&amp;row=2503&amp;col=7&amp;number=0&amp;sourceID=14","0")</f>
        <v>0</v>
      </c>
    </row>
    <row r="2504" spans="1:7">
      <c r="A2504" s="3">
        <v>14</v>
      </c>
      <c r="B2504" s="3">
        <v>9</v>
      </c>
      <c r="C2504" s="3">
        <v>171</v>
      </c>
      <c r="D2504" s="3">
        <v>51</v>
      </c>
      <c r="E2504" s="3">
        <v>-309.043</v>
      </c>
      <c r="F2504" s="4" t="str">
        <f>HYPERLINK("http://141.218.60.56/~jnz1568/getInfo.php?workbook=14_09.xlsx&amp;sheet=A0&amp;row=2504&amp;col=6&amp;number=29500000&amp;sourceID=14","29500000")</f>
        <v>29500000</v>
      </c>
      <c r="G2504" s="4" t="str">
        <f>HYPERLINK("http://141.218.60.56/~jnz1568/getInfo.php?workbook=14_09.xlsx&amp;sheet=A0&amp;row=2504&amp;col=7&amp;number=0&amp;sourceID=14","0")</f>
        <v>0</v>
      </c>
    </row>
    <row r="2505" spans="1:7">
      <c r="A2505" s="3">
        <v>14</v>
      </c>
      <c r="B2505" s="3">
        <v>9</v>
      </c>
      <c r="C2505" s="3">
        <v>175</v>
      </c>
      <c r="D2505" s="3">
        <v>51</v>
      </c>
      <c r="E2505" s="3">
        <v>-300.229</v>
      </c>
      <c r="F2505" s="4" t="str">
        <f>HYPERLINK("http://141.218.60.56/~jnz1568/getInfo.php?workbook=14_09.xlsx&amp;sheet=A0&amp;row=2505&amp;col=6&amp;number=5060000&amp;sourceID=14","5060000")</f>
        <v>5060000</v>
      </c>
      <c r="G2505" s="4" t="str">
        <f>HYPERLINK("http://141.218.60.56/~jnz1568/getInfo.php?workbook=14_09.xlsx&amp;sheet=A0&amp;row=2505&amp;col=7&amp;number=0&amp;sourceID=14","0")</f>
        <v>0</v>
      </c>
    </row>
    <row r="2506" spans="1:7">
      <c r="A2506" s="3">
        <v>14</v>
      </c>
      <c r="B2506" s="3">
        <v>9</v>
      </c>
      <c r="C2506" s="3">
        <v>177</v>
      </c>
      <c r="D2506" s="3">
        <v>51</v>
      </c>
      <c r="E2506" s="3">
        <v>-298.352</v>
      </c>
      <c r="F2506" s="4" t="str">
        <f>HYPERLINK("http://141.218.60.56/~jnz1568/getInfo.php?workbook=14_09.xlsx&amp;sheet=A0&amp;row=2506&amp;col=6&amp;number=5800000&amp;sourceID=14","5800000")</f>
        <v>5800000</v>
      </c>
      <c r="G2506" s="4" t="str">
        <f>HYPERLINK("http://141.218.60.56/~jnz1568/getInfo.php?workbook=14_09.xlsx&amp;sheet=A0&amp;row=2506&amp;col=7&amp;number=0&amp;sourceID=14","0")</f>
        <v>0</v>
      </c>
    </row>
    <row r="2507" spans="1:7">
      <c r="A2507" s="3">
        <v>14</v>
      </c>
      <c r="B2507" s="3">
        <v>9</v>
      </c>
      <c r="C2507" s="3">
        <v>191</v>
      </c>
      <c r="D2507" s="3">
        <v>51</v>
      </c>
      <c r="E2507" s="3">
        <v>-207.254</v>
      </c>
      <c r="F2507" s="4" t="str">
        <f>HYPERLINK("http://141.218.60.56/~jnz1568/getInfo.php?workbook=14_09.xlsx&amp;sheet=A0&amp;row=2507&amp;col=6&amp;number=54900000000&amp;sourceID=14","54900000000")</f>
        <v>54900000000</v>
      </c>
      <c r="G2507" s="4" t="str">
        <f>HYPERLINK("http://141.218.60.56/~jnz1568/getInfo.php?workbook=14_09.xlsx&amp;sheet=A0&amp;row=2507&amp;col=7&amp;number=0&amp;sourceID=14","0")</f>
        <v>0</v>
      </c>
    </row>
    <row r="2508" spans="1:7">
      <c r="A2508" s="3">
        <v>14</v>
      </c>
      <c r="B2508" s="3">
        <v>9</v>
      </c>
      <c r="C2508" s="3">
        <v>68</v>
      </c>
      <c r="D2508" s="3">
        <v>52</v>
      </c>
      <c r="E2508" s="3">
        <v>-918.545</v>
      </c>
      <c r="F2508" s="4" t="str">
        <f>HYPERLINK("http://141.218.60.56/~jnz1568/getInfo.php?workbook=14_09.xlsx&amp;sheet=A0&amp;row=2508&amp;col=6&amp;number=165000&amp;sourceID=14","165000")</f>
        <v>165000</v>
      </c>
      <c r="G2508" s="4" t="str">
        <f>HYPERLINK("http://141.218.60.56/~jnz1568/getInfo.php?workbook=14_09.xlsx&amp;sheet=A0&amp;row=2508&amp;col=7&amp;number=0&amp;sourceID=14","0")</f>
        <v>0</v>
      </c>
    </row>
    <row r="2509" spans="1:7">
      <c r="A2509" s="3">
        <v>14</v>
      </c>
      <c r="B2509" s="3">
        <v>9</v>
      </c>
      <c r="C2509" s="3">
        <v>73</v>
      </c>
      <c r="D2509" s="3">
        <v>52</v>
      </c>
      <c r="E2509" s="3">
        <v>-850.92</v>
      </c>
      <c r="F2509" s="4" t="str">
        <f>HYPERLINK("http://141.218.60.56/~jnz1568/getInfo.php?workbook=14_09.xlsx&amp;sheet=A0&amp;row=2509&amp;col=6&amp;number=541000&amp;sourceID=14","541000")</f>
        <v>541000</v>
      </c>
      <c r="G2509" s="4" t="str">
        <f>HYPERLINK("http://141.218.60.56/~jnz1568/getInfo.php?workbook=14_09.xlsx&amp;sheet=A0&amp;row=2509&amp;col=7&amp;number=0&amp;sourceID=14","0")</f>
        <v>0</v>
      </c>
    </row>
    <row r="2510" spans="1:7">
      <c r="A2510" s="3">
        <v>14</v>
      </c>
      <c r="B2510" s="3">
        <v>9</v>
      </c>
      <c r="C2510" s="3">
        <v>74</v>
      </c>
      <c r="D2510" s="3">
        <v>52</v>
      </c>
      <c r="E2510" s="3">
        <v>-842.249</v>
      </c>
      <c r="F2510" s="4" t="str">
        <f>HYPERLINK("http://141.218.60.56/~jnz1568/getInfo.php?workbook=14_09.xlsx&amp;sheet=A0&amp;row=2510&amp;col=6&amp;number=10800000&amp;sourceID=14","10800000")</f>
        <v>10800000</v>
      </c>
      <c r="G2510" s="4" t="str">
        <f>HYPERLINK("http://141.218.60.56/~jnz1568/getInfo.php?workbook=14_09.xlsx&amp;sheet=A0&amp;row=2510&amp;col=7&amp;number=0&amp;sourceID=14","0")</f>
        <v>0</v>
      </c>
    </row>
    <row r="2511" spans="1:7">
      <c r="A2511" s="3">
        <v>14</v>
      </c>
      <c r="B2511" s="3">
        <v>9</v>
      </c>
      <c r="C2511" s="3">
        <v>77</v>
      </c>
      <c r="D2511" s="3">
        <v>52</v>
      </c>
      <c r="E2511" s="3">
        <v>-789.367</v>
      </c>
      <c r="F2511" s="4" t="str">
        <f>HYPERLINK("http://141.218.60.56/~jnz1568/getInfo.php?workbook=14_09.xlsx&amp;sheet=A0&amp;row=2511&amp;col=6&amp;number=33400000&amp;sourceID=14","33400000")</f>
        <v>33400000</v>
      </c>
      <c r="G2511" s="4" t="str">
        <f>HYPERLINK("http://141.218.60.56/~jnz1568/getInfo.php?workbook=14_09.xlsx&amp;sheet=A0&amp;row=2511&amp;col=7&amp;number=0&amp;sourceID=14","0")</f>
        <v>0</v>
      </c>
    </row>
    <row r="2512" spans="1:7">
      <c r="A2512" s="3">
        <v>14</v>
      </c>
      <c r="B2512" s="3">
        <v>9</v>
      </c>
      <c r="C2512" s="3">
        <v>78</v>
      </c>
      <c r="D2512" s="3">
        <v>52</v>
      </c>
      <c r="E2512" s="3">
        <v>-783.959</v>
      </c>
      <c r="F2512" s="4" t="str">
        <f>HYPERLINK("http://141.218.60.56/~jnz1568/getInfo.php?workbook=14_09.xlsx&amp;sheet=A0&amp;row=2512&amp;col=6&amp;number=22200000&amp;sourceID=14","22200000")</f>
        <v>22200000</v>
      </c>
      <c r="G2512" s="4" t="str">
        <f>HYPERLINK("http://141.218.60.56/~jnz1568/getInfo.php?workbook=14_09.xlsx&amp;sheet=A0&amp;row=2512&amp;col=7&amp;number=0&amp;sourceID=14","0")</f>
        <v>0</v>
      </c>
    </row>
    <row r="2513" spans="1:7">
      <c r="A2513" s="3">
        <v>14</v>
      </c>
      <c r="B2513" s="3">
        <v>9</v>
      </c>
      <c r="C2513" s="3">
        <v>82</v>
      </c>
      <c r="D2513" s="3">
        <v>52</v>
      </c>
      <c r="E2513" s="3">
        <v>-746.203</v>
      </c>
      <c r="F2513" s="4" t="str">
        <f>HYPERLINK("http://141.218.60.56/~jnz1568/getInfo.php?workbook=14_09.xlsx&amp;sheet=A0&amp;row=2513&amp;col=6&amp;number=2490000&amp;sourceID=14","2490000")</f>
        <v>2490000</v>
      </c>
      <c r="G2513" s="4" t="str">
        <f>HYPERLINK("http://141.218.60.56/~jnz1568/getInfo.php?workbook=14_09.xlsx&amp;sheet=A0&amp;row=2513&amp;col=7&amp;number=0&amp;sourceID=14","0")</f>
        <v>0</v>
      </c>
    </row>
    <row r="2514" spans="1:7">
      <c r="A2514" s="3">
        <v>14</v>
      </c>
      <c r="B2514" s="3">
        <v>9</v>
      </c>
      <c r="C2514" s="3">
        <v>83</v>
      </c>
      <c r="D2514" s="3">
        <v>52</v>
      </c>
      <c r="E2514" s="3">
        <v>-737.046</v>
      </c>
      <c r="F2514" s="4" t="str">
        <f>HYPERLINK("http://141.218.60.56/~jnz1568/getInfo.php?workbook=14_09.xlsx&amp;sheet=A0&amp;row=2514&amp;col=6&amp;number=576000&amp;sourceID=14","576000")</f>
        <v>576000</v>
      </c>
      <c r="G2514" s="4" t="str">
        <f>HYPERLINK("http://141.218.60.56/~jnz1568/getInfo.php?workbook=14_09.xlsx&amp;sheet=A0&amp;row=2514&amp;col=7&amp;number=0&amp;sourceID=14","0")</f>
        <v>0</v>
      </c>
    </row>
    <row r="2515" spans="1:7">
      <c r="A2515" s="3">
        <v>14</v>
      </c>
      <c r="B2515" s="3">
        <v>9</v>
      </c>
      <c r="C2515" s="3">
        <v>84</v>
      </c>
      <c r="D2515" s="3">
        <v>52</v>
      </c>
      <c r="E2515" s="3">
        <v>-693.406</v>
      </c>
      <c r="F2515" s="4" t="str">
        <f>HYPERLINK("http://141.218.60.56/~jnz1568/getInfo.php?workbook=14_09.xlsx&amp;sheet=A0&amp;row=2515&amp;col=6&amp;number=182000000&amp;sourceID=14","182000000")</f>
        <v>182000000</v>
      </c>
      <c r="G2515" s="4" t="str">
        <f>HYPERLINK("http://141.218.60.56/~jnz1568/getInfo.php?workbook=14_09.xlsx&amp;sheet=A0&amp;row=2515&amp;col=7&amp;number=0&amp;sourceID=14","0")</f>
        <v>0</v>
      </c>
    </row>
    <row r="2516" spans="1:7">
      <c r="A2516" s="3">
        <v>14</v>
      </c>
      <c r="B2516" s="3">
        <v>9</v>
      </c>
      <c r="C2516" s="3">
        <v>85</v>
      </c>
      <c r="D2516" s="3">
        <v>52</v>
      </c>
      <c r="E2516" s="3">
        <v>-680.801</v>
      </c>
      <c r="F2516" s="4" t="str">
        <f>HYPERLINK("http://141.218.60.56/~jnz1568/getInfo.php?workbook=14_09.xlsx&amp;sheet=A0&amp;row=2516&amp;col=6&amp;number=84400000&amp;sourceID=14","84400000")</f>
        <v>84400000</v>
      </c>
      <c r="G2516" s="4" t="str">
        <f>HYPERLINK("http://141.218.60.56/~jnz1568/getInfo.php?workbook=14_09.xlsx&amp;sheet=A0&amp;row=2516&amp;col=7&amp;number=0&amp;sourceID=14","0")</f>
        <v>0</v>
      </c>
    </row>
    <row r="2517" spans="1:7">
      <c r="A2517" s="3">
        <v>14</v>
      </c>
      <c r="B2517" s="3">
        <v>9</v>
      </c>
      <c r="C2517" s="3">
        <v>108</v>
      </c>
      <c r="D2517" s="3">
        <v>52</v>
      </c>
      <c r="E2517" s="3">
        <v>-612.859</v>
      </c>
      <c r="F2517" s="4" t="str">
        <f>HYPERLINK("http://141.218.60.56/~jnz1568/getInfo.php?workbook=14_09.xlsx&amp;sheet=A0&amp;row=2517&amp;col=6&amp;number=5190000&amp;sourceID=14","5190000")</f>
        <v>5190000</v>
      </c>
      <c r="G2517" s="4" t="str">
        <f>HYPERLINK("http://141.218.60.56/~jnz1568/getInfo.php?workbook=14_09.xlsx&amp;sheet=A0&amp;row=2517&amp;col=7&amp;number=0&amp;sourceID=14","0")</f>
        <v>0</v>
      </c>
    </row>
    <row r="2518" spans="1:7">
      <c r="A2518" s="3">
        <v>14</v>
      </c>
      <c r="B2518" s="3">
        <v>9</v>
      </c>
      <c r="C2518" s="3">
        <v>113</v>
      </c>
      <c r="D2518" s="3">
        <v>52</v>
      </c>
      <c r="E2518" s="3">
        <v>-609.297</v>
      </c>
      <c r="F2518" s="4" t="str">
        <f>HYPERLINK("http://141.218.60.56/~jnz1568/getInfo.php?workbook=14_09.xlsx&amp;sheet=A0&amp;row=2518&amp;col=6&amp;number=8510000&amp;sourceID=14","8510000")</f>
        <v>8510000</v>
      </c>
      <c r="G2518" s="4" t="str">
        <f>HYPERLINK("http://141.218.60.56/~jnz1568/getInfo.php?workbook=14_09.xlsx&amp;sheet=A0&amp;row=2518&amp;col=7&amp;number=0&amp;sourceID=14","0")</f>
        <v>0</v>
      </c>
    </row>
    <row r="2519" spans="1:7">
      <c r="A2519" s="3">
        <v>14</v>
      </c>
      <c r="B2519" s="3">
        <v>9</v>
      </c>
      <c r="C2519" s="3">
        <v>116</v>
      </c>
      <c r="D2519" s="3">
        <v>52</v>
      </c>
      <c r="E2519" s="3">
        <v>-608.636</v>
      </c>
      <c r="F2519" s="4" t="str">
        <f>HYPERLINK("http://141.218.60.56/~jnz1568/getInfo.php?workbook=14_09.xlsx&amp;sheet=A0&amp;row=2519&amp;col=6&amp;number=15800000&amp;sourceID=14","15800000")</f>
        <v>15800000</v>
      </c>
      <c r="G2519" s="4" t="str">
        <f>HYPERLINK("http://141.218.60.56/~jnz1568/getInfo.php?workbook=14_09.xlsx&amp;sheet=A0&amp;row=2519&amp;col=7&amp;number=0&amp;sourceID=14","0")</f>
        <v>0</v>
      </c>
    </row>
    <row r="2520" spans="1:7">
      <c r="A2520" s="3">
        <v>14</v>
      </c>
      <c r="B2520" s="3">
        <v>9</v>
      </c>
      <c r="C2520" s="3">
        <v>117</v>
      </c>
      <c r="D2520" s="3">
        <v>52</v>
      </c>
      <c r="E2520" s="3">
        <v>-598.789</v>
      </c>
      <c r="F2520" s="4" t="str">
        <f>HYPERLINK("http://141.218.60.56/~jnz1568/getInfo.php?workbook=14_09.xlsx&amp;sheet=A0&amp;row=2520&amp;col=6&amp;number=15100000&amp;sourceID=14","15100000")</f>
        <v>15100000</v>
      </c>
      <c r="G2520" s="4" t="str">
        <f>HYPERLINK("http://141.218.60.56/~jnz1568/getInfo.php?workbook=14_09.xlsx&amp;sheet=A0&amp;row=2520&amp;col=7&amp;number=0&amp;sourceID=14","0")</f>
        <v>0</v>
      </c>
    </row>
    <row r="2521" spans="1:7">
      <c r="A2521" s="3">
        <v>14</v>
      </c>
      <c r="B2521" s="3">
        <v>9</v>
      </c>
      <c r="C2521" s="3">
        <v>125</v>
      </c>
      <c r="D2521" s="3">
        <v>52</v>
      </c>
      <c r="E2521" s="3">
        <v>-569.146</v>
      </c>
      <c r="F2521" s="4" t="str">
        <f>HYPERLINK("http://141.218.60.56/~jnz1568/getInfo.php?workbook=14_09.xlsx&amp;sheet=A0&amp;row=2521&amp;col=6&amp;number=353000000&amp;sourceID=14","353000000")</f>
        <v>353000000</v>
      </c>
      <c r="G2521" s="4" t="str">
        <f>HYPERLINK("http://141.218.60.56/~jnz1568/getInfo.php?workbook=14_09.xlsx&amp;sheet=A0&amp;row=2521&amp;col=7&amp;number=0&amp;sourceID=14","0")</f>
        <v>0</v>
      </c>
    </row>
    <row r="2522" spans="1:7">
      <c r="A2522" s="3">
        <v>14</v>
      </c>
      <c r="B2522" s="3">
        <v>9</v>
      </c>
      <c r="C2522" s="3">
        <v>126</v>
      </c>
      <c r="D2522" s="3">
        <v>52</v>
      </c>
      <c r="E2522" s="3">
        <v>-562.557</v>
      </c>
      <c r="F2522" s="4" t="str">
        <f>HYPERLINK("http://141.218.60.56/~jnz1568/getInfo.php?workbook=14_09.xlsx&amp;sheet=A0&amp;row=2522&amp;col=6&amp;number=134000000&amp;sourceID=14","134000000")</f>
        <v>134000000</v>
      </c>
      <c r="G2522" s="4" t="str">
        <f>HYPERLINK("http://141.218.60.56/~jnz1568/getInfo.php?workbook=14_09.xlsx&amp;sheet=A0&amp;row=2522&amp;col=7&amp;number=0&amp;sourceID=14","0")</f>
        <v>0</v>
      </c>
    </row>
    <row r="2523" spans="1:7">
      <c r="A2523" s="3">
        <v>14</v>
      </c>
      <c r="B2523" s="3">
        <v>9</v>
      </c>
      <c r="C2523" s="3">
        <v>138</v>
      </c>
      <c r="D2523" s="3">
        <v>52</v>
      </c>
      <c r="E2523" s="3">
        <v>-476.804</v>
      </c>
      <c r="F2523" s="4" t="str">
        <f>HYPERLINK("http://141.218.60.56/~jnz1568/getInfo.php?workbook=14_09.xlsx&amp;sheet=A0&amp;row=2523&amp;col=6&amp;number=11400000000&amp;sourceID=14","11400000000")</f>
        <v>11400000000</v>
      </c>
      <c r="G2523" s="4" t="str">
        <f>HYPERLINK("http://141.218.60.56/~jnz1568/getInfo.php?workbook=14_09.xlsx&amp;sheet=A0&amp;row=2523&amp;col=7&amp;number=0&amp;sourceID=14","0")</f>
        <v>0</v>
      </c>
    </row>
    <row r="2524" spans="1:7">
      <c r="A2524" s="3">
        <v>14</v>
      </c>
      <c r="B2524" s="3">
        <v>9</v>
      </c>
      <c r="C2524" s="3">
        <v>139</v>
      </c>
      <c r="D2524" s="3">
        <v>52</v>
      </c>
      <c r="E2524" s="3">
        <v>-476.764</v>
      </c>
      <c r="F2524" s="4" t="str">
        <f>HYPERLINK("http://141.218.60.56/~jnz1568/getInfo.php?workbook=14_09.xlsx&amp;sheet=A0&amp;row=2524&amp;col=6&amp;number=7000000000&amp;sourceID=14","7000000000")</f>
        <v>7000000000</v>
      </c>
      <c r="G2524" s="4" t="str">
        <f>HYPERLINK("http://141.218.60.56/~jnz1568/getInfo.php?workbook=14_09.xlsx&amp;sheet=A0&amp;row=2524&amp;col=7&amp;number=0&amp;sourceID=14","0")</f>
        <v>0</v>
      </c>
    </row>
    <row r="2525" spans="1:7">
      <c r="A2525" s="3">
        <v>14</v>
      </c>
      <c r="B2525" s="3">
        <v>9</v>
      </c>
      <c r="C2525" s="3">
        <v>142</v>
      </c>
      <c r="D2525" s="3">
        <v>52</v>
      </c>
      <c r="E2525" s="3">
        <v>-473.647</v>
      </c>
      <c r="F2525" s="4" t="str">
        <f>HYPERLINK("http://141.218.60.56/~jnz1568/getInfo.php?workbook=14_09.xlsx&amp;sheet=A0&amp;row=2525&amp;col=6&amp;number=341000000&amp;sourceID=14","341000000")</f>
        <v>341000000</v>
      </c>
      <c r="G2525" s="4" t="str">
        <f>HYPERLINK("http://141.218.60.56/~jnz1568/getInfo.php?workbook=14_09.xlsx&amp;sheet=A0&amp;row=2525&amp;col=7&amp;number=0&amp;sourceID=14","0")</f>
        <v>0</v>
      </c>
    </row>
    <row r="2526" spans="1:7">
      <c r="A2526" s="3">
        <v>14</v>
      </c>
      <c r="B2526" s="3">
        <v>9</v>
      </c>
      <c r="C2526" s="3">
        <v>159</v>
      </c>
      <c r="D2526" s="3">
        <v>52</v>
      </c>
      <c r="E2526" s="3">
        <v>-430.493</v>
      </c>
      <c r="F2526" s="4" t="str">
        <f>HYPERLINK("http://141.218.60.56/~jnz1568/getInfo.php?workbook=14_09.xlsx&amp;sheet=A0&amp;row=2526&amp;col=6&amp;number=53600000&amp;sourceID=14","53600000")</f>
        <v>53600000</v>
      </c>
      <c r="G2526" s="4" t="str">
        <f>HYPERLINK("http://141.218.60.56/~jnz1568/getInfo.php?workbook=14_09.xlsx&amp;sheet=A0&amp;row=2526&amp;col=7&amp;number=0&amp;sourceID=14","0")</f>
        <v>0</v>
      </c>
    </row>
    <row r="2527" spans="1:7">
      <c r="A2527" s="3">
        <v>14</v>
      </c>
      <c r="B2527" s="3">
        <v>9</v>
      </c>
      <c r="C2527" s="3">
        <v>160</v>
      </c>
      <c r="D2527" s="3">
        <v>52</v>
      </c>
      <c r="E2527" s="3">
        <v>-430.262</v>
      </c>
      <c r="F2527" s="4" t="str">
        <f>HYPERLINK("http://141.218.60.56/~jnz1568/getInfo.php?workbook=14_09.xlsx&amp;sheet=A0&amp;row=2527&amp;col=6&amp;number=38900000&amp;sourceID=14","38900000")</f>
        <v>38900000</v>
      </c>
      <c r="G2527" s="4" t="str">
        <f>HYPERLINK("http://141.218.60.56/~jnz1568/getInfo.php?workbook=14_09.xlsx&amp;sheet=A0&amp;row=2527&amp;col=7&amp;number=0&amp;sourceID=14","0")</f>
        <v>0</v>
      </c>
    </row>
    <row r="2528" spans="1:7">
      <c r="A2528" s="3">
        <v>14</v>
      </c>
      <c r="B2528" s="3">
        <v>9</v>
      </c>
      <c r="C2528" s="3">
        <v>166</v>
      </c>
      <c r="D2528" s="3">
        <v>52</v>
      </c>
      <c r="E2528" s="3">
        <v>-345.329</v>
      </c>
      <c r="F2528" s="4" t="str">
        <f>HYPERLINK("http://141.218.60.56/~jnz1568/getInfo.php?workbook=14_09.xlsx&amp;sheet=A0&amp;row=2528&amp;col=6&amp;number=40200000&amp;sourceID=14","40200000")</f>
        <v>40200000</v>
      </c>
      <c r="G2528" s="4" t="str">
        <f>HYPERLINK("http://141.218.60.56/~jnz1568/getInfo.php?workbook=14_09.xlsx&amp;sheet=A0&amp;row=2528&amp;col=7&amp;number=0&amp;sourceID=14","0")</f>
        <v>0</v>
      </c>
    </row>
    <row r="2529" spans="1:7">
      <c r="A2529" s="3">
        <v>14</v>
      </c>
      <c r="B2529" s="3">
        <v>9</v>
      </c>
      <c r="C2529" s="3">
        <v>167</v>
      </c>
      <c r="D2529" s="3">
        <v>52</v>
      </c>
      <c r="E2529" s="3">
        <v>-345.159</v>
      </c>
      <c r="F2529" s="4" t="str">
        <f>HYPERLINK("http://141.218.60.56/~jnz1568/getInfo.php?workbook=14_09.xlsx&amp;sheet=A0&amp;row=2529&amp;col=6&amp;number=22200000&amp;sourceID=14","22200000")</f>
        <v>22200000</v>
      </c>
      <c r="G2529" s="4" t="str">
        <f>HYPERLINK("http://141.218.60.56/~jnz1568/getInfo.php?workbook=14_09.xlsx&amp;sheet=A0&amp;row=2529&amp;col=7&amp;number=0&amp;sourceID=14","0")</f>
        <v>0</v>
      </c>
    </row>
    <row r="2530" spans="1:7">
      <c r="A2530" s="3">
        <v>14</v>
      </c>
      <c r="B2530" s="3">
        <v>9</v>
      </c>
      <c r="C2530" s="3">
        <v>168</v>
      </c>
      <c r="D2530" s="3">
        <v>52</v>
      </c>
      <c r="E2530" s="3">
        <v>-320.769</v>
      </c>
      <c r="F2530" s="4" t="str">
        <f>HYPERLINK("http://141.218.60.56/~jnz1568/getInfo.php?workbook=14_09.xlsx&amp;sheet=A0&amp;row=2530&amp;col=6&amp;number=4020000&amp;sourceID=14","4020000")</f>
        <v>4020000</v>
      </c>
      <c r="G2530" s="4" t="str">
        <f>HYPERLINK("http://141.218.60.56/~jnz1568/getInfo.php?workbook=14_09.xlsx&amp;sheet=A0&amp;row=2530&amp;col=7&amp;number=0&amp;sourceID=14","0")</f>
        <v>0</v>
      </c>
    </row>
    <row r="2531" spans="1:7">
      <c r="A2531" s="3">
        <v>14</v>
      </c>
      <c r="B2531" s="3">
        <v>9</v>
      </c>
      <c r="C2531" s="3">
        <v>169</v>
      </c>
      <c r="D2531" s="3">
        <v>52</v>
      </c>
      <c r="E2531" s="3">
        <v>-319.923</v>
      </c>
      <c r="F2531" s="4" t="str">
        <f>HYPERLINK("http://141.218.60.56/~jnz1568/getInfo.php?workbook=14_09.xlsx&amp;sheet=A0&amp;row=2531&amp;col=6&amp;number=6790000&amp;sourceID=14","6790000")</f>
        <v>6790000</v>
      </c>
      <c r="G2531" s="4" t="str">
        <f>HYPERLINK("http://141.218.60.56/~jnz1568/getInfo.php?workbook=14_09.xlsx&amp;sheet=A0&amp;row=2531&amp;col=7&amp;number=0&amp;sourceID=14","0")</f>
        <v>0</v>
      </c>
    </row>
    <row r="2532" spans="1:7">
      <c r="A2532" s="3">
        <v>14</v>
      </c>
      <c r="B2532" s="3">
        <v>9</v>
      </c>
      <c r="C2532" s="3">
        <v>178</v>
      </c>
      <c r="D2532" s="3">
        <v>52</v>
      </c>
      <c r="E2532" s="3">
        <v>-304.726</v>
      </c>
      <c r="F2532" s="4" t="str">
        <f>HYPERLINK("http://141.218.60.56/~jnz1568/getInfo.php?workbook=14_09.xlsx&amp;sheet=A0&amp;row=2532&amp;col=6&amp;number=1560000&amp;sourceID=14","1560000")</f>
        <v>1560000</v>
      </c>
      <c r="G2532" s="4" t="str">
        <f>HYPERLINK("http://141.218.60.56/~jnz1568/getInfo.php?workbook=14_09.xlsx&amp;sheet=A0&amp;row=2532&amp;col=7&amp;number=0&amp;sourceID=14","0")</f>
        <v>0</v>
      </c>
    </row>
    <row r="2533" spans="1:7">
      <c r="A2533" s="3">
        <v>14</v>
      </c>
      <c r="B2533" s="3">
        <v>9</v>
      </c>
      <c r="C2533" s="3">
        <v>179</v>
      </c>
      <c r="D2533" s="3">
        <v>52</v>
      </c>
      <c r="E2533" s="3">
        <v>-304.697</v>
      </c>
      <c r="F2533" s="4" t="str">
        <f>HYPERLINK("http://141.218.60.56/~jnz1568/getInfo.php?workbook=14_09.xlsx&amp;sheet=A0&amp;row=2533&amp;col=6&amp;number=897000&amp;sourceID=14","897000")</f>
        <v>897000</v>
      </c>
      <c r="G2533" s="4" t="str">
        <f>HYPERLINK("http://141.218.60.56/~jnz1568/getInfo.php?workbook=14_09.xlsx&amp;sheet=A0&amp;row=2533&amp;col=7&amp;number=0&amp;sourceID=14","0")</f>
        <v>0</v>
      </c>
    </row>
    <row r="2534" spans="1:7">
      <c r="A2534" s="3">
        <v>14</v>
      </c>
      <c r="B2534" s="3">
        <v>9</v>
      </c>
      <c r="C2534" s="3">
        <v>182</v>
      </c>
      <c r="D2534" s="3">
        <v>52</v>
      </c>
      <c r="E2534" s="3">
        <v>-299.655</v>
      </c>
      <c r="F2534" s="4" t="str">
        <f>HYPERLINK("http://141.218.60.56/~jnz1568/getInfo.php?workbook=14_09.xlsx&amp;sheet=A0&amp;row=2534&amp;col=6&amp;number=754000&amp;sourceID=14","754000")</f>
        <v>754000</v>
      </c>
      <c r="G2534" s="4" t="str">
        <f>HYPERLINK("http://141.218.60.56/~jnz1568/getInfo.php?workbook=14_09.xlsx&amp;sheet=A0&amp;row=2534&amp;col=7&amp;number=0&amp;sourceID=14","0")</f>
        <v>0</v>
      </c>
    </row>
    <row r="2535" spans="1:7">
      <c r="A2535" s="3">
        <v>14</v>
      </c>
      <c r="B2535" s="3">
        <v>9</v>
      </c>
      <c r="C2535" s="3">
        <v>183</v>
      </c>
      <c r="D2535" s="3">
        <v>52</v>
      </c>
      <c r="E2535" s="3">
        <v>-292.229</v>
      </c>
      <c r="F2535" s="4" t="str">
        <f>HYPERLINK("http://141.218.60.56/~jnz1568/getInfo.php?workbook=14_09.xlsx&amp;sheet=A0&amp;row=2535&amp;col=6&amp;number=95300000&amp;sourceID=14","95300000")</f>
        <v>95300000</v>
      </c>
      <c r="G2535" s="4" t="str">
        <f>HYPERLINK("http://141.218.60.56/~jnz1568/getInfo.php?workbook=14_09.xlsx&amp;sheet=A0&amp;row=2535&amp;col=7&amp;number=0&amp;sourceID=14","0")</f>
        <v>0</v>
      </c>
    </row>
    <row r="2536" spans="1:7">
      <c r="A2536" s="3">
        <v>14</v>
      </c>
      <c r="B2536" s="3">
        <v>9</v>
      </c>
      <c r="C2536" s="3">
        <v>184</v>
      </c>
      <c r="D2536" s="3">
        <v>52</v>
      </c>
      <c r="E2536" s="3">
        <v>-290.205</v>
      </c>
      <c r="F2536" s="4" t="str">
        <f>HYPERLINK("http://141.218.60.56/~jnz1568/getInfo.php?workbook=14_09.xlsx&amp;sheet=A0&amp;row=2536&amp;col=6&amp;number=98100000&amp;sourceID=14","98100000")</f>
        <v>98100000</v>
      </c>
      <c r="G2536" s="4" t="str">
        <f>HYPERLINK("http://141.218.60.56/~jnz1568/getInfo.php?workbook=14_09.xlsx&amp;sheet=A0&amp;row=2536&amp;col=7&amp;number=0&amp;sourceID=14","0")</f>
        <v>0</v>
      </c>
    </row>
    <row r="2537" spans="1:7">
      <c r="A2537" s="3">
        <v>14</v>
      </c>
      <c r="B2537" s="3">
        <v>9</v>
      </c>
      <c r="C2537" s="3">
        <v>192</v>
      </c>
      <c r="D2537" s="3">
        <v>52</v>
      </c>
      <c r="E2537" s="3">
        <v>-208.801</v>
      </c>
      <c r="F2537" s="4" t="str">
        <f>HYPERLINK("http://141.218.60.56/~jnz1568/getInfo.php?workbook=14_09.xlsx&amp;sheet=A0&amp;row=2537&amp;col=6&amp;number=9700000000&amp;sourceID=14","9700000000")</f>
        <v>9700000000</v>
      </c>
      <c r="G2537" s="4" t="str">
        <f>HYPERLINK("http://141.218.60.56/~jnz1568/getInfo.php?workbook=14_09.xlsx&amp;sheet=A0&amp;row=2537&amp;col=7&amp;number=0&amp;sourceID=14","0")</f>
        <v>0</v>
      </c>
    </row>
    <row r="2538" spans="1:7">
      <c r="A2538" s="3">
        <v>14</v>
      </c>
      <c r="B2538" s="3">
        <v>9</v>
      </c>
      <c r="C2538" s="3">
        <v>193</v>
      </c>
      <c r="D2538" s="3">
        <v>52</v>
      </c>
      <c r="E2538" s="3">
        <v>-208.742</v>
      </c>
      <c r="F2538" s="4" t="str">
        <f>HYPERLINK("http://141.218.60.56/~jnz1568/getInfo.php?workbook=14_09.xlsx&amp;sheet=A0&amp;row=2538&amp;col=6&amp;number=19200000000&amp;sourceID=14","19200000000")</f>
        <v>19200000000</v>
      </c>
      <c r="G2538" s="4" t="str">
        <f>HYPERLINK("http://141.218.60.56/~jnz1568/getInfo.php?workbook=14_09.xlsx&amp;sheet=A0&amp;row=2538&amp;col=7&amp;number=0&amp;sourceID=14","0")</f>
        <v>0</v>
      </c>
    </row>
    <row r="2539" spans="1:7">
      <c r="A2539" s="3">
        <v>14</v>
      </c>
      <c r="B2539" s="3">
        <v>9</v>
      </c>
      <c r="C2539" s="3">
        <v>194</v>
      </c>
      <c r="D2539" s="3">
        <v>52</v>
      </c>
      <c r="E2539" s="3">
        <v>-207.512</v>
      </c>
      <c r="F2539" s="4" t="str">
        <f>HYPERLINK("http://141.218.60.56/~jnz1568/getInfo.php?workbook=14_09.xlsx&amp;sheet=A0&amp;row=2539&amp;col=6&amp;number=203000000&amp;sourceID=14","203000000")</f>
        <v>203000000</v>
      </c>
      <c r="G2539" s="4" t="str">
        <f>HYPERLINK("http://141.218.60.56/~jnz1568/getInfo.php?workbook=14_09.xlsx&amp;sheet=A0&amp;row=2539&amp;col=7&amp;number=0&amp;sourceID=14","0")</f>
        <v>0</v>
      </c>
    </row>
    <row r="2540" spans="1:7">
      <c r="A2540" s="3">
        <v>14</v>
      </c>
      <c r="B2540" s="3">
        <v>9</v>
      </c>
      <c r="C2540" s="3">
        <v>68</v>
      </c>
      <c r="D2540" s="3">
        <v>53</v>
      </c>
      <c r="E2540" s="3">
        <v>-928.835</v>
      </c>
      <c r="F2540" s="4" t="str">
        <f>HYPERLINK("http://141.218.60.56/~jnz1568/getInfo.php?workbook=14_09.xlsx&amp;sheet=A0&amp;row=2540&amp;col=6&amp;number=2730000&amp;sourceID=14","2730000")</f>
        <v>2730000</v>
      </c>
      <c r="G2540" s="4" t="str">
        <f>HYPERLINK("http://141.218.60.56/~jnz1568/getInfo.php?workbook=14_09.xlsx&amp;sheet=A0&amp;row=2540&amp;col=7&amp;number=0&amp;sourceID=14","0")</f>
        <v>0</v>
      </c>
    </row>
    <row r="2541" spans="1:7">
      <c r="A2541" s="3">
        <v>14</v>
      </c>
      <c r="B2541" s="3">
        <v>9</v>
      </c>
      <c r="C2541" s="3">
        <v>70</v>
      </c>
      <c r="D2541" s="3">
        <v>53</v>
      </c>
      <c r="E2541" s="3">
        <v>-884.081</v>
      </c>
      <c r="F2541" s="4" t="str">
        <f>HYPERLINK("http://141.218.60.56/~jnz1568/getInfo.php?workbook=14_09.xlsx&amp;sheet=A0&amp;row=2541&amp;col=6&amp;number=6600000&amp;sourceID=14","6600000")</f>
        <v>6600000</v>
      </c>
      <c r="G2541" s="4" t="str">
        <f>HYPERLINK("http://141.218.60.56/~jnz1568/getInfo.php?workbook=14_09.xlsx&amp;sheet=A0&amp;row=2541&amp;col=7&amp;number=0&amp;sourceID=14","0")</f>
        <v>0</v>
      </c>
    </row>
    <row r="2542" spans="1:7">
      <c r="A2542" s="3">
        <v>14</v>
      </c>
      <c r="B2542" s="3">
        <v>9</v>
      </c>
      <c r="C2542" s="3">
        <v>71</v>
      </c>
      <c r="D2542" s="3">
        <v>53</v>
      </c>
      <c r="E2542" s="3">
        <v>-868.133</v>
      </c>
      <c r="F2542" s="4" t="str">
        <f>HYPERLINK("http://141.218.60.56/~jnz1568/getInfo.php?workbook=14_09.xlsx&amp;sheet=A0&amp;row=2542&amp;col=6&amp;number=720000&amp;sourceID=14","720000")</f>
        <v>720000</v>
      </c>
      <c r="G2542" s="4" t="str">
        <f>HYPERLINK("http://141.218.60.56/~jnz1568/getInfo.php?workbook=14_09.xlsx&amp;sheet=A0&amp;row=2542&amp;col=7&amp;number=0&amp;sourceID=14","0")</f>
        <v>0</v>
      </c>
    </row>
    <row r="2543" spans="1:7">
      <c r="A2543" s="3">
        <v>14</v>
      </c>
      <c r="B2543" s="3">
        <v>9</v>
      </c>
      <c r="C2543" s="3">
        <v>72</v>
      </c>
      <c r="D2543" s="3">
        <v>53</v>
      </c>
      <c r="E2543" s="3">
        <v>-862.361</v>
      </c>
      <c r="F2543" s="4" t="str">
        <f>HYPERLINK("http://141.218.60.56/~jnz1568/getInfo.php?workbook=14_09.xlsx&amp;sheet=A0&amp;row=2543&amp;col=6&amp;number=10800000&amp;sourceID=14","10800000")</f>
        <v>10800000</v>
      </c>
      <c r="G2543" s="4" t="str">
        <f>HYPERLINK("http://141.218.60.56/~jnz1568/getInfo.php?workbook=14_09.xlsx&amp;sheet=A0&amp;row=2543&amp;col=7&amp;number=0&amp;sourceID=14","0")</f>
        <v>0</v>
      </c>
    </row>
    <row r="2544" spans="1:7">
      <c r="A2544" s="3">
        <v>14</v>
      </c>
      <c r="B2544" s="3">
        <v>9</v>
      </c>
      <c r="C2544" s="3">
        <v>73</v>
      </c>
      <c r="D2544" s="3">
        <v>53</v>
      </c>
      <c r="E2544" s="3">
        <v>-859.743</v>
      </c>
      <c r="F2544" s="4" t="str">
        <f>HYPERLINK("http://141.218.60.56/~jnz1568/getInfo.php?workbook=14_09.xlsx&amp;sheet=A0&amp;row=2544&amp;col=6&amp;number=4350000&amp;sourceID=14","4350000")</f>
        <v>4350000</v>
      </c>
      <c r="G2544" s="4" t="str">
        <f>HYPERLINK("http://141.218.60.56/~jnz1568/getInfo.php?workbook=14_09.xlsx&amp;sheet=A0&amp;row=2544&amp;col=7&amp;number=0&amp;sourceID=14","0")</f>
        <v>0</v>
      </c>
    </row>
    <row r="2545" spans="1:7">
      <c r="A2545" s="3">
        <v>14</v>
      </c>
      <c r="B2545" s="3">
        <v>9</v>
      </c>
      <c r="C2545" s="3">
        <v>74</v>
      </c>
      <c r="D2545" s="3">
        <v>53</v>
      </c>
      <c r="E2545" s="3">
        <v>-850.892</v>
      </c>
      <c r="F2545" s="4" t="str">
        <f>HYPERLINK("http://141.218.60.56/~jnz1568/getInfo.php?workbook=14_09.xlsx&amp;sheet=A0&amp;row=2545&amp;col=6&amp;number=264000000&amp;sourceID=14","264000000")</f>
        <v>264000000</v>
      </c>
      <c r="G2545" s="4" t="str">
        <f>HYPERLINK("http://141.218.60.56/~jnz1568/getInfo.php?workbook=14_09.xlsx&amp;sheet=A0&amp;row=2545&amp;col=7&amp;number=0&amp;sourceID=14","0")</f>
        <v>0</v>
      </c>
    </row>
    <row r="2546" spans="1:7">
      <c r="A2546" s="3">
        <v>14</v>
      </c>
      <c r="B2546" s="3">
        <v>9</v>
      </c>
      <c r="C2546" s="3">
        <v>75</v>
      </c>
      <c r="D2546" s="3">
        <v>53</v>
      </c>
      <c r="E2546" s="3">
        <v>-846.878</v>
      </c>
      <c r="F2546" s="4" t="str">
        <f>HYPERLINK("http://141.218.60.56/~jnz1568/getInfo.php?workbook=14_09.xlsx&amp;sheet=A0&amp;row=2546&amp;col=6&amp;number=244000&amp;sourceID=14","244000")</f>
        <v>244000</v>
      </c>
      <c r="G2546" s="4" t="str">
        <f>HYPERLINK("http://141.218.60.56/~jnz1568/getInfo.php?workbook=14_09.xlsx&amp;sheet=A0&amp;row=2546&amp;col=7&amp;number=0&amp;sourceID=14","0")</f>
        <v>0</v>
      </c>
    </row>
    <row r="2547" spans="1:7">
      <c r="A2547" s="3">
        <v>14</v>
      </c>
      <c r="B2547" s="3">
        <v>9</v>
      </c>
      <c r="C2547" s="3">
        <v>76</v>
      </c>
      <c r="D2547" s="3">
        <v>53</v>
      </c>
      <c r="E2547" s="3">
        <v>-844.832</v>
      </c>
      <c r="F2547" s="4" t="str">
        <f>HYPERLINK("http://141.218.60.56/~jnz1568/getInfo.php?workbook=14_09.xlsx&amp;sheet=A0&amp;row=2547&amp;col=6&amp;number=3230000&amp;sourceID=14","3230000")</f>
        <v>3230000</v>
      </c>
      <c r="G2547" s="4" t="str">
        <f>HYPERLINK("http://141.218.60.56/~jnz1568/getInfo.php?workbook=14_09.xlsx&amp;sheet=A0&amp;row=2547&amp;col=7&amp;number=0&amp;sourceID=14","0")</f>
        <v>0</v>
      </c>
    </row>
    <row r="2548" spans="1:7">
      <c r="A2548" s="3">
        <v>14</v>
      </c>
      <c r="B2548" s="3">
        <v>9</v>
      </c>
      <c r="C2548" s="3">
        <v>77</v>
      </c>
      <c r="D2548" s="3">
        <v>53</v>
      </c>
      <c r="E2548" s="3">
        <v>-796.954</v>
      </c>
      <c r="F2548" s="4" t="str">
        <f>HYPERLINK("http://141.218.60.56/~jnz1568/getInfo.php?workbook=14_09.xlsx&amp;sheet=A0&amp;row=2548&amp;col=6&amp;number=1930000&amp;sourceID=14","1930000")</f>
        <v>1930000</v>
      </c>
      <c r="G2548" s="4" t="str">
        <f>HYPERLINK("http://141.218.60.56/~jnz1568/getInfo.php?workbook=14_09.xlsx&amp;sheet=A0&amp;row=2548&amp;col=7&amp;number=0&amp;sourceID=14","0")</f>
        <v>0</v>
      </c>
    </row>
    <row r="2549" spans="1:7">
      <c r="A2549" s="3">
        <v>14</v>
      </c>
      <c r="B2549" s="3">
        <v>9</v>
      </c>
      <c r="C2549" s="3">
        <v>78</v>
      </c>
      <c r="D2549" s="3">
        <v>53</v>
      </c>
      <c r="E2549" s="3">
        <v>-791.441</v>
      </c>
      <c r="F2549" s="4" t="str">
        <f>HYPERLINK("http://141.218.60.56/~jnz1568/getInfo.php?workbook=14_09.xlsx&amp;sheet=A0&amp;row=2549&amp;col=6&amp;number=10400000&amp;sourceID=14","10400000")</f>
        <v>10400000</v>
      </c>
      <c r="G2549" s="4" t="str">
        <f>HYPERLINK("http://141.218.60.56/~jnz1568/getInfo.php?workbook=14_09.xlsx&amp;sheet=A0&amp;row=2549&amp;col=7&amp;number=0&amp;sourceID=14","0")</f>
        <v>0</v>
      </c>
    </row>
    <row r="2550" spans="1:7">
      <c r="A2550" s="3">
        <v>14</v>
      </c>
      <c r="B2550" s="3">
        <v>9</v>
      </c>
      <c r="C2550" s="3">
        <v>82</v>
      </c>
      <c r="D2550" s="3">
        <v>53</v>
      </c>
      <c r="E2550" s="3">
        <v>-752.979</v>
      </c>
      <c r="F2550" s="4" t="str">
        <f>HYPERLINK("http://141.218.60.56/~jnz1568/getInfo.php?workbook=14_09.xlsx&amp;sheet=A0&amp;row=2550&amp;col=6&amp;number=1260000&amp;sourceID=14","1260000")</f>
        <v>1260000</v>
      </c>
      <c r="G2550" s="4" t="str">
        <f>HYPERLINK("http://141.218.60.56/~jnz1568/getInfo.php?workbook=14_09.xlsx&amp;sheet=A0&amp;row=2550&amp;col=7&amp;number=0&amp;sourceID=14","0")</f>
        <v>0</v>
      </c>
    </row>
    <row r="2551" spans="1:7">
      <c r="A2551" s="3">
        <v>14</v>
      </c>
      <c r="B2551" s="3">
        <v>9</v>
      </c>
      <c r="C2551" s="3">
        <v>83</v>
      </c>
      <c r="D2551" s="3">
        <v>53</v>
      </c>
      <c r="E2551" s="3">
        <v>-743.656</v>
      </c>
      <c r="F2551" s="4" t="str">
        <f>HYPERLINK("http://141.218.60.56/~jnz1568/getInfo.php?workbook=14_09.xlsx&amp;sheet=A0&amp;row=2551&amp;col=6&amp;number=913000&amp;sourceID=14","913000")</f>
        <v>913000</v>
      </c>
      <c r="G2551" s="4" t="str">
        <f>HYPERLINK("http://141.218.60.56/~jnz1568/getInfo.php?workbook=14_09.xlsx&amp;sheet=A0&amp;row=2551&amp;col=7&amp;number=0&amp;sourceID=14","0")</f>
        <v>0</v>
      </c>
    </row>
    <row r="2552" spans="1:7">
      <c r="A2552" s="3">
        <v>14</v>
      </c>
      <c r="B2552" s="3">
        <v>9</v>
      </c>
      <c r="C2552" s="3">
        <v>84</v>
      </c>
      <c r="D2552" s="3">
        <v>53</v>
      </c>
      <c r="E2552" s="3">
        <v>-699.253</v>
      </c>
      <c r="F2552" s="4" t="str">
        <f>HYPERLINK("http://141.218.60.56/~jnz1568/getInfo.php?workbook=14_09.xlsx&amp;sheet=A0&amp;row=2552&amp;col=6&amp;number=237000000&amp;sourceID=14","237000000")</f>
        <v>237000000</v>
      </c>
      <c r="G2552" s="4" t="str">
        <f>HYPERLINK("http://141.218.60.56/~jnz1568/getInfo.php?workbook=14_09.xlsx&amp;sheet=A0&amp;row=2552&amp;col=7&amp;number=0&amp;sourceID=14","0")</f>
        <v>0</v>
      </c>
    </row>
    <row r="2553" spans="1:7">
      <c r="A2553" s="3">
        <v>14</v>
      </c>
      <c r="B2553" s="3">
        <v>9</v>
      </c>
      <c r="C2553" s="3">
        <v>85</v>
      </c>
      <c r="D2553" s="3">
        <v>53</v>
      </c>
      <c r="E2553" s="3">
        <v>-686.437</v>
      </c>
      <c r="F2553" s="4" t="str">
        <f>HYPERLINK("http://141.218.60.56/~jnz1568/getInfo.php?workbook=14_09.xlsx&amp;sheet=A0&amp;row=2553&amp;col=6&amp;number=90700000&amp;sourceID=14","90700000")</f>
        <v>90700000</v>
      </c>
      <c r="G2553" s="4" t="str">
        <f>HYPERLINK("http://141.218.60.56/~jnz1568/getInfo.php?workbook=14_09.xlsx&amp;sheet=A0&amp;row=2553&amp;col=7&amp;number=0&amp;sourceID=14","0")</f>
        <v>0</v>
      </c>
    </row>
    <row r="2554" spans="1:7">
      <c r="A2554" s="3">
        <v>14</v>
      </c>
      <c r="B2554" s="3">
        <v>9</v>
      </c>
      <c r="C2554" s="3">
        <v>101</v>
      </c>
      <c r="D2554" s="3">
        <v>53</v>
      </c>
      <c r="E2554" s="3">
        <v>-626.619</v>
      </c>
      <c r="F2554" s="4" t="str">
        <f>HYPERLINK("http://141.218.60.56/~jnz1568/getInfo.php?workbook=14_09.xlsx&amp;sheet=A0&amp;row=2554&amp;col=6&amp;number=3220000&amp;sourceID=14","3220000")</f>
        <v>3220000</v>
      </c>
      <c r="G2554" s="4" t="str">
        <f>HYPERLINK("http://141.218.60.56/~jnz1568/getInfo.php?workbook=14_09.xlsx&amp;sheet=A0&amp;row=2554&amp;col=7&amp;number=0&amp;sourceID=14","0")</f>
        <v>0</v>
      </c>
    </row>
    <row r="2555" spans="1:7">
      <c r="A2555" s="3">
        <v>14</v>
      </c>
      <c r="B2555" s="3">
        <v>9</v>
      </c>
      <c r="C2555" s="3">
        <v>106</v>
      </c>
      <c r="D2555" s="3">
        <v>53</v>
      </c>
      <c r="E2555" s="3">
        <v>-618.997</v>
      </c>
      <c r="F2555" s="4" t="str">
        <f>HYPERLINK("http://141.218.60.56/~jnz1568/getInfo.php?workbook=14_09.xlsx&amp;sheet=A0&amp;row=2555&amp;col=6&amp;number=60200000&amp;sourceID=14","60200000")</f>
        <v>60200000</v>
      </c>
      <c r="G2555" s="4" t="str">
        <f>HYPERLINK("http://141.218.60.56/~jnz1568/getInfo.php?workbook=14_09.xlsx&amp;sheet=A0&amp;row=2555&amp;col=7&amp;number=0&amp;sourceID=14","0")</f>
        <v>0</v>
      </c>
    </row>
    <row r="2556" spans="1:7">
      <c r="A2556" s="3">
        <v>14</v>
      </c>
      <c r="B2556" s="3">
        <v>9</v>
      </c>
      <c r="C2556" s="3">
        <v>108</v>
      </c>
      <c r="D2556" s="3">
        <v>53</v>
      </c>
      <c r="E2556" s="3">
        <v>-617.422</v>
      </c>
      <c r="F2556" s="4" t="str">
        <f>HYPERLINK("http://141.218.60.56/~jnz1568/getInfo.php?workbook=14_09.xlsx&amp;sheet=A0&amp;row=2556&amp;col=6&amp;number=27500000&amp;sourceID=14","27500000")</f>
        <v>27500000</v>
      </c>
      <c r="G2556" s="4" t="str">
        <f>HYPERLINK("http://141.218.60.56/~jnz1568/getInfo.php?workbook=14_09.xlsx&amp;sheet=A0&amp;row=2556&amp;col=7&amp;number=0&amp;sourceID=14","0")</f>
        <v>0</v>
      </c>
    </row>
    <row r="2557" spans="1:7">
      <c r="A2557" s="3">
        <v>14</v>
      </c>
      <c r="B2557" s="3">
        <v>9</v>
      </c>
      <c r="C2557" s="3">
        <v>109</v>
      </c>
      <c r="D2557" s="3">
        <v>53</v>
      </c>
      <c r="E2557" s="3">
        <v>-616.395</v>
      </c>
      <c r="F2557" s="4" t="str">
        <f>HYPERLINK("http://141.218.60.56/~jnz1568/getInfo.php?workbook=14_09.xlsx&amp;sheet=A0&amp;row=2557&amp;col=6&amp;number=200000000&amp;sourceID=14","200000000")</f>
        <v>200000000</v>
      </c>
      <c r="G2557" s="4" t="str">
        <f>HYPERLINK("http://141.218.60.56/~jnz1568/getInfo.php?workbook=14_09.xlsx&amp;sheet=A0&amp;row=2557&amp;col=7&amp;number=0&amp;sourceID=14","0")</f>
        <v>0</v>
      </c>
    </row>
    <row r="2558" spans="1:7">
      <c r="A2558" s="3">
        <v>14</v>
      </c>
      <c r="B2558" s="3">
        <v>9</v>
      </c>
      <c r="C2558" s="3">
        <v>113</v>
      </c>
      <c r="D2558" s="3">
        <v>53</v>
      </c>
      <c r="E2558" s="3">
        <v>-613.807</v>
      </c>
      <c r="F2558" s="4" t="str">
        <f>HYPERLINK("http://141.218.60.56/~jnz1568/getInfo.php?workbook=14_09.xlsx&amp;sheet=A0&amp;row=2558&amp;col=6&amp;number=72900000&amp;sourceID=14","72900000")</f>
        <v>72900000</v>
      </c>
      <c r="G2558" s="4" t="str">
        <f>HYPERLINK("http://141.218.60.56/~jnz1568/getInfo.php?workbook=14_09.xlsx&amp;sheet=A0&amp;row=2558&amp;col=7&amp;number=0&amp;sourceID=14","0")</f>
        <v>0</v>
      </c>
    </row>
    <row r="2559" spans="1:7">
      <c r="A2559" s="3">
        <v>14</v>
      </c>
      <c r="B2559" s="3">
        <v>9</v>
      </c>
      <c r="C2559" s="3">
        <v>115</v>
      </c>
      <c r="D2559" s="3">
        <v>53</v>
      </c>
      <c r="E2559" s="3">
        <v>-613.242</v>
      </c>
      <c r="F2559" s="4" t="str">
        <f>HYPERLINK("http://141.218.60.56/~jnz1568/getInfo.php?workbook=14_09.xlsx&amp;sheet=A0&amp;row=2559&amp;col=6&amp;number=212000000&amp;sourceID=14","212000000")</f>
        <v>212000000</v>
      </c>
      <c r="G2559" s="4" t="str">
        <f>HYPERLINK("http://141.218.60.56/~jnz1568/getInfo.php?workbook=14_09.xlsx&amp;sheet=A0&amp;row=2559&amp;col=7&amp;number=0&amp;sourceID=14","0")</f>
        <v>0</v>
      </c>
    </row>
    <row r="2560" spans="1:7">
      <c r="A2560" s="3">
        <v>14</v>
      </c>
      <c r="B2560" s="3">
        <v>9</v>
      </c>
      <c r="C2560" s="3">
        <v>116</v>
      </c>
      <c r="D2560" s="3">
        <v>53</v>
      </c>
      <c r="E2560" s="3">
        <v>-613.137</v>
      </c>
      <c r="F2560" s="4" t="str">
        <f>HYPERLINK("http://141.218.60.56/~jnz1568/getInfo.php?workbook=14_09.xlsx&amp;sheet=A0&amp;row=2560&amp;col=6&amp;number=72000000&amp;sourceID=14","72000000")</f>
        <v>72000000</v>
      </c>
      <c r="G2560" s="4" t="str">
        <f>HYPERLINK("http://141.218.60.56/~jnz1568/getInfo.php?workbook=14_09.xlsx&amp;sheet=A0&amp;row=2560&amp;col=7&amp;number=0&amp;sourceID=14","0")</f>
        <v>0</v>
      </c>
    </row>
    <row r="2561" spans="1:7">
      <c r="A2561" s="3">
        <v>14</v>
      </c>
      <c r="B2561" s="3">
        <v>9</v>
      </c>
      <c r="C2561" s="3">
        <v>117</v>
      </c>
      <c r="D2561" s="3">
        <v>53</v>
      </c>
      <c r="E2561" s="3">
        <v>-603.145</v>
      </c>
      <c r="F2561" s="4" t="str">
        <f>HYPERLINK("http://141.218.60.56/~jnz1568/getInfo.php?workbook=14_09.xlsx&amp;sheet=A0&amp;row=2561&amp;col=6&amp;number=76800000&amp;sourceID=14","76800000")</f>
        <v>76800000</v>
      </c>
      <c r="G2561" s="4" t="str">
        <f>HYPERLINK("http://141.218.60.56/~jnz1568/getInfo.php?workbook=14_09.xlsx&amp;sheet=A0&amp;row=2561&amp;col=7&amp;number=0&amp;sourceID=14","0")</f>
        <v>0</v>
      </c>
    </row>
    <row r="2562" spans="1:7">
      <c r="A2562" s="3">
        <v>14</v>
      </c>
      <c r="B2562" s="3">
        <v>9</v>
      </c>
      <c r="C2562" s="3">
        <v>118</v>
      </c>
      <c r="D2562" s="3">
        <v>53</v>
      </c>
      <c r="E2562" s="3">
        <v>-602.876</v>
      </c>
      <c r="F2562" s="4" t="str">
        <f>HYPERLINK("http://141.218.60.56/~jnz1568/getInfo.php?workbook=14_09.xlsx&amp;sheet=A0&amp;row=2562&amp;col=6&amp;number=84300000&amp;sourceID=14","84300000")</f>
        <v>84300000</v>
      </c>
      <c r="G2562" s="4" t="str">
        <f>HYPERLINK("http://141.218.60.56/~jnz1568/getInfo.php?workbook=14_09.xlsx&amp;sheet=A0&amp;row=2562&amp;col=7&amp;number=0&amp;sourceID=14","0")</f>
        <v>0</v>
      </c>
    </row>
    <row r="2563" spans="1:7">
      <c r="A2563" s="3">
        <v>14</v>
      </c>
      <c r="B2563" s="3">
        <v>9</v>
      </c>
      <c r="C2563" s="3">
        <v>122</v>
      </c>
      <c r="D2563" s="3">
        <v>53</v>
      </c>
      <c r="E2563" s="3">
        <v>-599.238</v>
      </c>
      <c r="F2563" s="4" t="str">
        <f>HYPERLINK("http://141.218.60.56/~jnz1568/getInfo.php?workbook=14_09.xlsx&amp;sheet=A0&amp;row=2563&amp;col=6&amp;number=682000000&amp;sourceID=14","682000000")</f>
        <v>682000000</v>
      </c>
      <c r="G2563" s="4" t="str">
        <f>HYPERLINK("http://141.218.60.56/~jnz1568/getInfo.php?workbook=14_09.xlsx&amp;sheet=A0&amp;row=2563&amp;col=7&amp;number=0&amp;sourceID=14","0")</f>
        <v>0</v>
      </c>
    </row>
    <row r="2564" spans="1:7">
      <c r="A2564" s="3">
        <v>14</v>
      </c>
      <c r="B2564" s="3">
        <v>9</v>
      </c>
      <c r="C2564" s="3">
        <v>124</v>
      </c>
      <c r="D2564" s="3">
        <v>53</v>
      </c>
      <c r="E2564" s="3">
        <v>-595.214</v>
      </c>
      <c r="F2564" s="4" t="str">
        <f>HYPERLINK("http://141.218.60.56/~jnz1568/getInfo.php?workbook=14_09.xlsx&amp;sheet=A0&amp;row=2564&amp;col=6&amp;number=343000000&amp;sourceID=14","343000000")</f>
        <v>343000000</v>
      </c>
      <c r="G2564" s="4" t="str">
        <f>HYPERLINK("http://141.218.60.56/~jnz1568/getInfo.php?workbook=14_09.xlsx&amp;sheet=A0&amp;row=2564&amp;col=7&amp;number=0&amp;sourceID=14","0")</f>
        <v>0</v>
      </c>
    </row>
    <row r="2565" spans="1:7">
      <c r="A2565" s="3">
        <v>14</v>
      </c>
      <c r="B2565" s="3">
        <v>9</v>
      </c>
      <c r="C2565" s="3">
        <v>125</v>
      </c>
      <c r="D2565" s="3">
        <v>53</v>
      </c>
      <c r="E2565" s="3">
        <v>-573.08</v>
      </c>
      <c r="F2565" s="4" t="str">
        <f>HYPERLINK("http://141.218.60.56/~jnz1568/getInfo.php?workbook=14_09.xlsx&amp;sheet=A0&amp;row=2565&amp;col=6&amp;number=593000000&amp;sourceID=14","593000000")</f>
        <v>593000000</v>
      </c>
      <c r="G2565" s="4" t="str">
        <f>HYPERLINK("http://141.218.60.56/~jnz1568/getInfo.php?workbook=14_09.xlsx&amp;sheet=A0&amp;row=2565&amp;col=7&amp;number=0&amp;sourceID=14","0")</f>
        <v>0</v>
      </c>
    </row>
    <row r="2566" spans="1:7">
      <c r="A2566" s="3">
        <v>14</v>
      </c>
      <c r="B2566" s="3">
        <v>9</v>
      </c>
      <c r="C2566" s="3">
        <v>126</v>
      </c>
      <c r="D2566" s="3">
        <v>53</v>
      </c>
      <c r="E2566" s="3">
        <v>-566.4</v>
      </c>
      <c r="F2566" s="4" t="str">
        <f>HYPERLINK("http://141.218.60.56/~jnz1568/getInfo.php?workbook=14_09.xlsx&amp;sheet=A0&amp;row=2566&amp;col=6&amp;number=211000000&amp;sourceID=14","211000000")</f>
        <v>211000000</v>
      </c>
      <c r="G2566" s="4" t="str">
        <f>HYPERLINK("http://141.218.60.56/~jnz1568/getInfo.php?workbook=14_09.xlsx&amp;sheet=A0&amp;row=2566&amp;col=7&amp;number=0&amp;sourceID=14","0")</f>
        <v>0</v>
      </c>
    </row>
    <row r="2567" spans="1:7">
      <c r="A2567" s="3">
        <v>14</v>
      </c>
      <c r="B2567" s="3">
        <v>9</v>
      </c>
      <c r="C2567" s="3">
        <v>138</v>
      </c>
      <c r="D2567" s="3">
        <v>53</v>
      </c>
      <c r="E2567" s="3">
        <v>-479.562</v>
      </c>
      <c r="F2567" s="4" t="str">
        <f>HYPERLINK("http://141.218.60.56/~jnz1568/getInfo.php?workbook=14_09.xlsx&amp;sheet=A0&amp;row=2567&amp;col=6&amp;number=2670000000&amp;sourceID=14","2670000000")</f>
        <v>2670000000</v>
      </c>
      <c r="G2567" s="4" t="str">
        <f>HYPERLINK("http://141.218.60.56/~jnz1568/getInfo.php?workbook=14_09.xlsx&amp;sheet=A0&amp;row=2567&amp;col=7&amp;number=0&amp;sourceID=14","0")</f>
        <v>0</v>
      </c>
    </row>
    <row r="2568" spans="1:7">
      <c r="A2568" s="3">
        <v>14</v>
      </c>
      <c r="B2568" s="3">
        <v>9</v>
      </c>
      <c r="C2568" s="3">
        <v>139</v>
      </c>
      <c r="D2568" s="3">
        <v>53</v>
      </c>
      <c r="E2568" s="3">
        <v>-479.521</v>
      </c>
      <c r="F2568" s="4" t="str">
        <f>HYPERLINK("http://141.218.60.56/~jnz1568/getInfo.php?workbook=14_09.xlsx&amp;sheet=A0&amp;row=2568&amp;col=6&amp;number=6400000000&amp;sourceID=14","6400000000")</f>
        <v>6400000000</v>
      </c>
      <c r="G2568" s="4" t="str">
        <f>HYPERLINK("http://141.218.60.56/~jnz1568/getInfo.php?workbook=14_09.xlsx&amp;sheet=A0&amp;row=2568&amp;col=7&amp;number=0&amp;sourceID=14","0")</f>
        <v>0</v>
      </c>
    </row>
    <row r="2569" spans="1:7">
      <c r="A2569" s="3">
        <v>14</v>
      </c>
      <c r="B2569" s="3">
        <v>9</v>
      </c>
      <c r="C2569" s="3">
        <v>141</v>
      </c>
      <c r="D2569" s="3">
        <v>53</v>
      </c>
      <c r="E2569" s="3">
        <v>-476.393</v>
      </c>
      <c r="F2569" s="4" t="str">
        <f>HYPERLINK("http://141.218.60.56/~jnz1568/getInfo.php?workbook=14_09.xlsx&amp;sheet=A0&amp;row=2569&amp;col=6&amp;number=9560000000&amp;sourceID=14","9560000000")</f>
        <v>9560000000</v>
      </c>
      <c r="G2569" s="4" t="str">
        <f>HYPERLINK("http://141.218.60.56/~jnz1568/getInfo.php?workbook=14_09.xlsx&amp;sheet=A0&amp;row=2569&amp;col=7&amp;number=0&amp;sourceID=14","0")</f>
        <v>0</v>
      </c>
    </row>
    <row r="2570" spans="1:7">
      <c r="A2570" s="3">
        <v>14</v>
      </c>
      <c r="B2570" s="3">
        <v>9</v>
      </c>
      <c r="C2570" s="3">
        <v>142</v>
      </c>
      <c r="D2570" s="3">
        <v>53</v>
      </c>
      <c r="E2570" s="3">
        <v>-476.368</v>
      </c>
      <c r="F2570" s="4" t="str">
        <f>HYPERLINK("http://141.218.60.56/~jnz1568/getInfo.php?workbook=14_09.xlsx&amp;sheet=A0&amp;row=2570&amp;col=6&amp;number=1780000000&amp;sourceID=14","1780000000")</f>
        <v>1780000000</v>
      </c>
      <c r="G2570" s="4" t="str">
        <f>HYPERLINK("http://141.218.60.56/~jnz1568/getInfo.php?workbook=14_09.xlsx&amp;sheet=A0&amp;row=2570&amp;col=7&amp;number=0&amp;sourceID=14","0")</f>
        <v>0</v>
      </c>
    </row>
    <row r="2571" spans="1:7">
      <c r="A2571" s="3">
        <v>14</v>
      </c>
      <c r="B2571" s="3">
        <v>9</v>
      </c>
      <c r="C2571" s="3">
        <v>147</v>
      </c>
      <c r="D2571" s="3">
        <v>53</v>
      </c>
      <c r="E2571" s="3">
        <v>-473.313</v>
      </c>
      <c r="F2571" s="4" t="str">
        <f>HYPERLINK("http://141.218.60.56/~jnz1568/getInfo.php?workbook=14_09.xlsx&amp;sheet=A0&amp;row=2571&amp;col=6&amp;number=11900000&amp;sourceID=14","11900000")</f>
        <v>11900000</v>
      </c>
      <c r="G2571" s="4" t="str">
        <f>HYPERLINK("http://141.218.60.56/~jnz1568/getInfo.php?workbook=14_09.xlsx&amp;sheet=A0&amp;row=2571&amp;col=7&amp;number=0&amp;sourceID=14","0")</f>
        <v>0</v>
      </c>
    </row>
    <row r="2572" spans="1:7">
      <c r="A2572" s="3">
        <v>14</v>
      </c>
      <c r="B2572" s="3">
        <v>9</v>
      </c>
      <c r="C2572" s="3">
        <v>159</v>
      </c>
      <c r="D2572" s="3">
        <v>53</v>
      </c>
      <c r="E2572" s="3">
        <v>-432.74</v>
      </c>
      <c r="F2572" s="4" t="str">
        <f>HYPERLINK("http://141.218.60.56/~jnz1568/getInfo.php?workbook=14_09.xlsx&amp;sheet=A0&amp;row=2572&amp;col=6&amp;number=10700000&amp;sourceID=14","10700000")</f>
        <v>10700000</v>
      </c>
      <c r="G2572" s="4" t="str">
        <f>HYPERLINK("http://141.218.60.56/~jnz1568/getInfo.php?workbook=14_09.xlsx&amp;sheet=A0&amp;row=2572&amp;col=7&amp;number=0&amp;sourceID=14","0")</f>
        <v>0</v>
      </c>
    </row>
    <row r="2573" spans="1:7">
      <c r="A2573" s="3">
        <v>14</v>
      </c>
      <c r="B2573" s="3">
        <v>9</v>
      </c>
      <c r="C2573" s="3">
        <v>160</v>
      </c>
      <c r="D2573" s="3">
        <v>53</v>
      </c>
      <c r="E2573" s="3">
        <v>-432.506</v>
      </c>
      <c r="F2573" s="4" t="str">
        <f>HYPERLINK("http://141.218.60.56/~jnz1568/getInfo.php?workbook=14_09.xlsx&amp;sheet=A0&amp;row=2573&amp;col=6&amp;number=5010000&amp;sourceID=14","5010000")</f>
        <v>5010000</v>
      </c>
      <c r="G2573" s="4" t="str">
        <f>HYPERLINK("http://141.218.60.56/~jnz1568/getInfo.php?workbook=14_09.xlsx&amp;sheet=A0&amp;row=2573&amp;col=7&amp;number=0&amp;sourceID=14","0")</f>
        <v>0</v>
      </c>
    </row>
    <row r="2574" spans="1:7">
      <c r="A2574" s="3">
        <v>14</v>
      </c>
      <c r="B2574" s="3">
        <v>9</v>
      </c>
      <c r="C2574" s="3">
        <v>164</v>
      </c>
      <c r="D2574" s="3">
        <v>53</v>
      </c>
      <c r="E2574" s="3">
        <v>-357.585</v>
      </c>
      <c r="F2574" s="4" t="str">
        <f>HYPERLINK("http://141.218.60.56/~jnz1568/getInfo.php?workbook=14_09.xlsx&amp;sheet=A0&amp;row=2574&amp;col=6&amp;number=1740000&amp;sourceID=14","1740000")</f>
        <v>1740000</v>
      </c>
      <c r="G2574" s="4" t="str">
        <f>HYPERLINK("http://141.218.60.56/~jnz1568/getInfo.php?workbook=14_09.xlsx&amp;sheet=A0&amp;row=2574&amp;col=7&amp;number=0&amp;sourceID=14","0")</f>
        <v>0</v>
      </c>
    </row>
    <row r="2575" spans="1:7">
      <c r="A2575" s="3">
        <v>14</v>
      </c>
      <c r="B2575" s="3">
        <v>9</v>
      </c>
      <c r="C2575" s="3">
        <v>166</v>
      </c>
      <c r="D2575" s="3">
        <v>53</v>
      </c>
      <c r="E2575" s="3">
        <v>-346.774</v>
      </c>
      <c r="F2575" s="4" t="str">
        <f>HYPERLINK("http://141.218.60.56/~jnz1568/getInfo.php?workbook=14_09.xlsx&amp;sheet=A0&amp;row=2575&amp;col=6&amp;number=43400000&amp;sourceID=14","43400000")</f>
        <v>43400000</v>
      </c>
      <c r="G2575" s="4" t="str">
        <f>HYPERLINK("http://141.218.60.56/~jnz1568/getInfo.php?workbook=14_09.xlsx&amp;sheet=A0&amp;row=2575&amp;col=7&amp;number=0&amp;sourceID=14","0")</f>
        <v>0</v>
      </c>
    </row>
    <row r="2576" spans="1:7">
      <c r="A2576" s="3">
        <v>14</v>
      </c>
      <c r="B2576" s="3">
        <v>9</v>
      </c>
      <c r="C2576" s="3">
        <v>167</v>
      </c>
      <c r="D2576" s="3">
        <v>53</v>
      </c>
      <c r="E2576" s="3">
        <v>-346.602</v>
      </c>
      <c r="F2576" s="4" t="str">
        <f>HYPERLINK("http://141.218.60.56/~jnz1568/getInfo.php?workbook=14_09.xlsx&amp;sheet=A0&amp;row=2576&amp;col=6&amp;number=15300000&amp;sourceID=14","15300000")</f>
        <v>15300000</v>
      </c>
      <c r="G2576" s="4" t="str">
        <f>HYPERLINK("http://141.218.60.56/~jnz1568/getInfo.php?workbook=14_09.xlsx&amp;sheet=A0&amp;row=2576&amp;col=7&amp;number=0&amp;sourceID=14","0")</f>
        <v>0</v>
      </c>
    </row>
    <row r="2577" spans="1:7">
      <c r="A2577" s="3">
        <v>14</v>
      </c>
      <c r="B2577" s="3">
        <v>9</v>
      </c>
      <c r="C2577" s="3">
        <v>168</v>
      </c>
      <c r="D2577" s="3">
        <v>53</v>
      </c>
      <c r="E2577" s="3">
        <v>-322.015</v>
      </c>
      <c r="F2577" s="4" t="str">
        <f>HYPERLINK("http://141.218.60.56/~jnz1568/getInfo.php?workbook=14_09.xlsx&amp;sheet=A0&amp;row=2577&amp;col=6&amp;number=7620000&amp;sourceID=14","7620000")</f>
        <v>7620000</v>
      </c>
      <c r="G2577" s="4" t="str">
        <f>HYPERLINK("http://141.218.60.56/~jnz1568/getInfo.php?workbook=14_09.xlsx&amp;sheet=A0&amp;row=2577&amp;col=7&amp;number=0&amp;sourceID=14","0")</f>
        <v>0</v>
      </c>
    </row>
    <row r="2578" spans="1:7">
      <c r="A2578" s="3">
        <v>14</v>
      </c>
      <c r="B2578" s="3">
        <v>9</v>
      </c>
      <c r="C2578" s="3">
        <v>170</v>
      </c>
      <c r="D2578" s="3">
        <v>53</v>
      </c>
      <c r="E2578" s="3">
        <v>-319.635</v>
      </c>
      <c r="F2578" s="4" t="str">
        <f>HYPERLINK("http://141.218.60.56/~jnz1568/getInfo.php?workbook=14_09.xlsx&amp;sheet=A0&amp;row=2578&amp;col=6&amp;number=1110000&amp;sourceID=14","1110000")</f>
        <v>1110000</v>
      </c>
      <c r="G2578" s="4" t="str">
        <f>HYPERLINK("http://141.218.60.56/~jnz1568/getInfo.php?workbook=14_09.xlsx&amp;sheet=A0&amp;row=2578&amp;col=7&amp;number=0&amp;sourceID=14","0")</f>
        <v>0</v>
      </c>
    </row>
    <row r="2579" spans="1:7">
      <c r="A2579" s="3">
        <v>14</v>
      </c>
      <c r="B2579" s="3">
        <v>9</v>
      </c>
      <c r="C2579" s="3">
        <v>173</v>
      </c>
      <c r="D2579" s="3">
        <v>53</v>
      </c>
      <c r="E2579" s="3">
        <v>-314.466</v>
      </c>
      <c r="F2579" s="4" t="str">
        <f>HYPERLINK("http://141.218.60.56/~jnz1568/getInfo.php?workbook=14_09.xlsx&amp;sheet=A0&amp;row=2579&amp;col=6&amp;number=3370000&amp;sourceID=14","3370000")</f>
        <v>3370000</v>
      </c>
      <c r="G2579" s="4" t="str">
        <f>HYPERLINK("http://141.218.60.56/~jnz1568/getInfo.php?workbook=14_09.xlsx&amp;sheet=A0&amp;row=2579&amp;col=7&amp;number=0&amp;sourceID=14","0")</f>
        <v>0</v>
      </c>
    </row>
    <row r="2580" spans="1:7">
      <c r="A2580" s="3">
        <v>14</v>
      </c>
      <c r="B2580" s="3">
        <v>9</v>
      </c>
      <c r="C2580" s="3">
        <v>174</v>
      </c>
      <c r="D2580" s="3">
        <v>53</v>
      </c>
      <c r="E2580" s="3">
        <v>-313.298</v>
      </c>
      <c r="F2580" s="4" t="str">
        <f>HYPERLINK("http://141.218.60.56/~jnz1568/getInfo.php?workbook=14_09.xlsx&amp;sheet=A0&amp;row=2580&amp;col=6&amp;number=770000&amp;sourceID=14","770000")</f>
        <v>770000</v>
      </c>
      <c r="G2580" s="4" t="str">
        <f>HYPERLINK("http://141.218.60.56/~jnz1568/getInfo.php?workbook=14_09.xlsx&amp;sheet=A0&amp;row=2580&amp;col=7&amp;number=0&amp;sourceID=14","0")</f>
        <v>0</v>
      </c>
    </row>
    <row r="2581" spans="1:7">
      <c r="A2581" s="3">
        <v>14</v>
      </c>
      <c r="B2581" s="3">
        <v>9</v>
      </c>
      <c r="C2581" s="3">
        <v>176</v>
      </c>
      <c r="D2581" s="3">
        <v>53</v>
      </c>
      <c r="E2581" s="3">
        <v>-306.169</v>
      </c>
      <c r="F2581" s="4" t="str">
        <f>HYPERLINK("http://141.218.60.56/~jnz1568/getInfo.php?workbook=14_09.xlsx&amp;sheet=A0&amp;row=2581&amp;col=6&amp;number=7200000&amp;sourceID=14","7200000")</f>
        <v>7200000</v>
      </c>
      <c r="G2581" s="4" t="str">
        <f>HYPERLINK("http://141.218.60.56/~jnz1568/getInfo.php?workbook=14_09.xlsx&amp;sheet=A0&amp;row=2581&amp;col=7&amp;number=0&amp;sourceID=14","0")</f>
        <v>0</v>
      </c>
    </row>
    <row r="2582" spans="1:7">
      <c r="A2582" s="3">
        <v>14</v>
      </c>
      <c r="B2582" s="3">
        <v>9</v>
      </c>
      <c r="C2582" s="3">
        <v>178</v>
      </c>
      <c r="D2582" s="3">
        <v>53</v>
      </c>
      <c r="E2582" s="3">
        <v>-305.85</v>
      </c>
      <c r="F2582" s="4" t="str">
        <f>HYPERLINK("http://141.218.60.56/~jnz1568/getInfo.php?workbook=14_09.xlsx&amp;sheet=A0&amp;row=2582&amp;col=6&amp;number=498000&amp;sourceID=14","498000")</f>
        <v>498000</v>
      </c>
      <c r="G2582" s="4" t="str">
        <f>HYPERLINK("http://141.218.60.56/~jnz1568/getInfo.php?workbook=14_09.xlsx&amp;sheet=A0&amp;row=2582&amp;col=7&amp;number=0&amp;sourceID=14","0")</f>
        <v>0</v>
      </c>
    </row>
    <row r="2583" spans="1:7">
      <c r="A2583" s="3">
        <v>14</v>
      </c>
      <c r="B2583" s="3">
        <v>9</v>
      </c>
      <c r="C2583" s="3">
        <v>179</v>
      </c>
      <c r="D2583" s="3">
        <v>53</v>
      </c>
      <c r="E2583" s="3">
        <v>-305.82</v>
      </c>
      <c r="F2583" s="4" t="str">
        <f>HYPERLINK("http://141.218.60.56/~jnz1568/getInfo.php?workbook=14_09.xlsx&amp;sheet=A0&amp;row=2583&amp;col=6&amp;number=2030000&amp;sourceID=14","2030000")</f>
        <v>2030000</v>
      </c>
      <c r="G2583" s="4" t="str">
        <f>HYPERLINK("http://141.218.60.56/~jnz1568/getInfo.php?workbook=14_09.xlsx&amp;sheet=A0&amp;row=2583&amp;col=7&amp;number=0&amp;sourceID=14","0")</f>
        <v>0</v>
      </c>
    </row>
    <row r="2584" spans="1:7">
      <c r="A2584" s="3">
        <v>14</v>
      </c>
      <c r="B2584" s="3">
        <v>9</v>
      </c>
      <c r="C2584" s="3">
        <v>180</v>
      </c>
      <c r="D2584" s="3">
        <v>53</v>
      </c>
      <c r="E2584" s="3">
        <v>-304.784</v>
      </c>
      <c r="F2584" s="4" t="str">
        <f>HYPERLINK("http://141.218.60.56/~jnz1568/getInfo.php?workbook=14_09.xlsx&amp;sheet=A0&amp;row=2584&amp;col=6&amp;number=47500000&amp;sourceID=14","47500000")</f>
        <v>47500000</v>
      </c>
      <c r="G2584" s="4" t="str">
        <f>HYPERLINK("http://141.218.60.56/~jnz1568/getInfo.php?workbook=14_09.xlsx&amp;sheet=A0&amp;row=2584&amp;col=7&amp;number=0&amp;sourceID=14","0")</f>
        <v>0</v>
      </c>
    </row>
    <row r="2585" spans="1:7">
      <c r="A2585" s="3">
        <v>14</v>
      </c>
      <c r="B2585" s="3">
        <v>9</v>
      </c>
      <c r="C2585" s="3">
        <v>181</v>
      </c>
      <c r="D2585" s="3">
        <v>53</v>
      </c>
      <c r="E2585" s="3">
        <v>-300.829</v>
      </c>
      <c r="F2585" s="4" t="str">
        <f>HYPERLINK("http://141.218.60.56/~jnz1568/getInfo.php?workbook=14_09.xlsx&amp;sheet=A0&amp;row=2585&amp;col=6&amp;number=379000000&amp;sourceID=14","379000000")</f>
        <v>379000000</v>
      </c>
      <c r="G2585" s="4" t="str">
        <f>HYPERLINK("http://141.218.60.56/~jnz1568/getInfo.php?workbook=14_09.xlsx&amp;sheet=A0&amp;row=2585&amp;col=7&amp;number=0&amp;sourceID=14","0")</f>
        <v>0</v>
      </c>
    </row>
    <row r="2586" spans="1:7">
      <c r="A2586" s="3">
        <v>14</v>
      </c>
      <c r="B2586" s="3">
        <v>9</v>
      </c>
      <c r="C2586" s="3">
        <v>182</v>
      </c>
      <c r="D2586" s="3">
        <v>53</v>
      </c>
      <c r="E2586" s="3">
        <v>-300.742</v>
      </c>
      <c r="F2586" s="4" t="str">
        <f>HYPERLINK("http://141.218.60.56/~jnz1568/getInfo.php?workbook=14_09.xlsx&amp;sheet=A0&amp;row=2586&amp;col=6&amp;number=34800000&amp;sourceID=14","34800000")</f>
        <v>34800000</v>
      </c>
      <c r="G2586" s="4" t="str">
        <f>HYPERLINK("http://141.218.60.56/~jnz1568/getInfo.php?workbook=14_09.xlsx&amp;sheet=A0&amp;row=2586&amp;col=7&amp;number=0&amp;sourceID=14","0")</f>
        <v>0</v>
      </c>
    </row>
    <row r="2587" spans="1:7">
      <c r="A2587" s="3">
        <v>14</v>
      </c>
      <c r="B2587" s="3">
        <v>9</v>
      </c>
      <c r="C2587" s="3">
        <v>183</v>
      </c>
      <c r="D2587" s="3">
        <v>53</v>
      </c>
      <c r="E2587" s="3">
        <v>-293.262</v>
      </c>
      <c r="F2587" s="4" t="str">
        <f>HYPERLINK("http://141.218.60.56/~jnz1568/getInfo.php?workbook=14_09.xlsx&amp;sheet=A0&amp;row=2587&amp;col=6&amp;number=9140000&amp;sourceID=14","9140000")</f>
        <v>9140000</v>
      </c>
      <c r="G2587" s="4" t="str">
        <f>HYPERLINK("http://141.218.60.56/~jnz1568/getInfo.php?workbook=14_09.xlsx&amp;sheet=A0&amp;row=2587&amp;col=7&amp;number=0&amp;sourceID=14","0")</f>
        <v>0</v>
      </c>
    </row>
    <row r="2588" spans="1:7">
      <c r="A2588" s="3">
        <v>14</v>
      </c>
      <c r="B2588" s="3">
        <v>9</v>
      </c>
      <c r="C2588" s="3">
        <v>184</v>
      </c>
      <c r="D2588" s="3">
        <v>53</v>
      </c>
      <c r="E2588" s="3">
        <v>-291.224</v>
      </c>
      <c r="F2588" s="4" t="str">
        <f>HYPERLINK("http://141.218.60.56/~jnz1568/getInfo.php?workbook=14_09.xlsx&amp;sheet=A0&amp;row=2588&amp;col=6&amp;number=179000000&amp;sourceID=14","179000000")</f>
        <v>179000000</v>
      </c>
      <c r="G2588" s="4" t="str">
        <f>HYPERLINK("http://141.218.60.56/~jnz1568/getInfo.php?workbook=14_09.xlsx&amp;sheet=A0&amp;row=2588&amp;col=7&amp;number=0&amp;sourceID=14","0")</f>
        <v>0</v>
      </c>
    </row>
    <row r="2589" spans="1:7">
      <c r="A2589" s="3">
        <v>14</v>
      </c>
      <c r="B2589" s="3">
        <v>9</v>
      </c>
      <c r="C2589" s="3">
        <v>190</v>
      </c>
      <c r="D2589" s="3">
        <v>53</v>
      </c>
      <c r="E2589" s="3">
        <v>-210.958</v>
      </c>
      <c r="F2589" s="4" t="str">
        <f>HYPERLINK("http://141.218.60.56/~jnz1568/getInfo.php?workbook=14_09.xlsx&amp;sheet=A0&amp;row=2589&amp;col=6&amp;number=8120000&amp;sourceID=14","8120000")</f>
        <v>8120000</v>
      </c>
      <c r="G2589" s="4" t="str">
        <f>HYPERLINK("http://141.218.60.56/~jnz1568/getInfo.php?workbook=14_09.xlsx&amp;sheet=A0&amp;row=2589&amp;col=7&amp;number=0&amp;sourceID=14","0")</f>
        <v>0</v>
      </c>
    </row>
    <row r="2590" spans="1:7">
      <c r="A2590" s="3">
        <v>14</v>
      </c>
      <c r="B2590" s="3">
        <v>9</v>
      </c>
      <c r="C2590" s="3">
        <v>192</v>
      </c>
      <c r="D2590" s="3">
        <v>53</v>
      </c>
      <c r="E2590" s="3">
        <v>-209.328</v>
      </c>
      <c r="F2590" s="4" t="str">
        <f>HYPERLINK("http://141.218.60.56/~jnz1568/getInfo.php?workbook=14_09.xlsx&amp;sheet=A0&amp;row=2590&amp;col=6&amp;number=18800000000&amp;sourceID=14","18800000000")</f>
        <v>18800000000</v>
      </c>
      <c r="G2590" s="4" t="str">
        <f>HYPERLINK("http://141.218.60.56/~jnz1568/getInfo.php?workbook=14_09.xlsx&amp;sheet=A0&amp;row=2590&amp;col=7&amp;number=0&amp;sourceID=14","0")</f>
        <v>0</v>
      </c>
    </row>
    <row r="2591" spans="1:7">
      <c r="A2591" s="3">
        <v>14</v>
      </c>
      <c r="B2591" s="3">
        <v>9</v>
      </c>
      <c r="C2591" s="3">
        <v>193</v>
      </c>
      <c r="D2591" s="3">
        <v>53</v>
      </c>
      <c r="E2591" s="3">
        <v>-209.268</v>
      </c>
      <c r="F2591" s="4" t="str">
        <f>HYPERLINK("http://141.218.60.56/~jnz1568/getInfo.php?workbook=14_09.xlsx&amp;sheet=A0&amp;row=2591&amp;col=6&amp;number=8800000000&amp;sourceID=14","8800000000")</f>
        <v>8800000000</v>
      </c>
      <c r="G2591" s="4" t="str">
        <f>HYPERLINK("http://141.218.60.56/~jnz1568/getInfo.php?workbook=14_09.xlsx&amp;sheet=A0&amp;row=2591&amp;col=7&amp;number=0&amp;sourceID=14","0")</f>
        <v>0</v>
      </c>
    </row>
    <row r="2592" spans="1:7">
      <c r="A2592" s="3">
        <v>14</v>
      </c>
      <c r="B2592" s="3">
        <v>9</v>
      </c>
      <c r="C2592" s="3">
        <v>194</v>
      </c>
      <c r="D2592" s="3">
        <v>53</v>
      </c>
      <c r="E2592" s="3">
        <v>-208.033</v>
      </c>
      <c r="F2592" s="4" t="str">
        <f>HYPERLINK("http://141.218.60.56/~jnz1568/getInfo.php?workbook=14_09.xlsx&amp;sheet=A0&amp;row=2592&amp;col=6&amp;number=928000000&amp;sourceID=14","928000000")</f>
        <v>928000000</v>
      </c>
      <c r="G2592" s="4" t="str">
        <f>HYPERLINK("http://141.218.60.56/~jnz1568/getInfo.php?workbook=14_09.xlsx&amp;sheet=A0&amp;row=2592&amp;col=7&amp;number=0&amp;sourceID=14","0")</f>
        <v>0</v>
      </c>
    </row>
    <row r="2593" spans="1:7">
      <c r="A2593" s="3">
        <v>14</v>
      </c>
      <c r="B2593" s="3">
        <v>9</v>
      </c>
      <c r="C2593" s="3">
        <v>195</v>
      </c>
      <c r="D2593" s="3">
        <v>53</v>
      </c>
      <c r="E2593" s="3">
        <v>-208.004</v>
      </c>
      <c r="F2593" s="4" t="str">
        <f>HYPERLINK("http://141.218.60.56/~jnz1568/getInfo.php?workbook=14_09.xlsx&amp;sheet=A0&amp;row=2593&amp;col=6&amp;number=3940000000&amp;sourceID=14","3940000000")</f>
        <v>3940000000</v>
      </c>
      <c r="G2593" s="4" t="str">
        <f>HYPERLINK("http://141.218.60.56/~jnz1568/getInfo.php?workbook=14_09.xlsx&amp;sheet=A0&amp;row=2593&amp;col=7&amp;number=0&amp;sourceID=14","0")</f>
        <v>0</v>
      </c>
    </row>
    <row r="2594" spans="1:7">
      <c r="A2594" s="3">
        <v>14</v>
      </c>
      <c r="B2594" s="3">
        <v>9</v>
      </c>
      <c r="C2594" s="3">
        <v>70</v>
      </c>
      <c r="D2594" s="3">
        <v>54</v>
      </c>
      <c r="E2594" s="3">
        <v>-893.114</v>
      </c>
      <c r="F2594" s="4" t="str">
        <f>HYPERLINK("http://141.218.60.56/~jnz1568/getInfo.php?workbook=14_09.xlsx&amp;sheet=A0&amp;row=2594&amp;col=6&amp;number=1750000&amp;sourceID=14","1750000")</f>
        <v>1750000</v>
      </c>
      <c r="G2594" s="4" t="str">
        <f>HYPERLINK("http://141.218.60.56/~jnz1568/getInfo.php?workbook=14_09.xlsx&amp;sheet=A0&amp;row=2594&amp;col=7&amp;number=0&amp;sourceID=14","0")</f>
        <v>0</v>
      </c>
    </row>
    <row r="2595" spans="1:7">
      <c r="A2595" s="3">
        <v>14</v>
      </c>
      <c r="B2595" s="3">
        <v>9</v>
      </c>
      <c r="C2595" s="3">
        <v>71</v>
      </c>
      <c r="D2595" s="3">
        <v>54</v>
      </c>
      <c r="E2595" s="3">
        <v>-876.841</v>
      </c>
      <c r="F2595" s="4" t="str">
        <f>HYPERLINK("http://141.218.60.56/~jnz1568/getInfo.php?workbook=14_09.xlsx&amp;sheet=A0&amp;row=2595&amp;col=6&amp;number=260000&amp;sourceID=14","260000")</f>
        <v>260000</v>
      </c>
      <c r="G2595" s="4" t="str">
        <f>HYPERLINK("http://141.218.60.56/~jnz1568/getInfo.php?workbook=14_09.xlsx&amp;sheet=A0&amp;row=2595&amp;col=7&amp;number=0&amp;sourceID=14","0")</f>
        <v>0</v>
      </c>
    </row>
    <row r="2596" spans="1:7">
      <c r="A2596" s="3">
        <v>14</v>
      </c>
      <c r="B2596" s="3">
        <v>9</v>
      </c>
      <c r="C2596" s="3">
        <v>72</v>
      </c>
      <c r="D2596" s="3">
        <v>54</v>
      </c>
      <c r="E2596" s="3">
        <v>-870.953</v>
      </c>
      <c r="F2596" s="4" t="str">
        <f>HYPERLINK("http://141.218.60.56/~jnz1568/getInfo.php?workbook=14_09.xlsx&amp;sheet=A0&amp;row=2596&amp;col=6&amp;number=2970000&amp;sourceID=14","2970000")</f>
        <v>2970000</v>
      </c>
      <c r="G2596" s="4" t="str">
        <f>HYPERLINK("http://141.218.60.56/~jnz1568/getInfo.php?workbook=14_09.xlsx&amp;sheet=A0&amp;row=2596&amp;col=7&amp;number=0&amp;sourceID=14","0")</f>
        <v>0</v>
      </c>
    </row>
    <row r="2597" spans="1:7">
      <c r="A2597" s="3">
        <v>14</v>
      </c>
      <c r="B2597" s="3">
        <v>9</v>
      </c>
      <c r="C2597" s="3">
        <v>75</v>
      </c>
      <c r="D2597" s="3">
        <v>54</v>
      </c>
      <c r="E2597" s="3">
        <v>-855.163</v>
      </c>
      <c r="F2597" s="4" t="str">
        <f>HYPERLINK("http://141.218.60.56/~jnz1568/getInfo.php?workbook=14_09.xlsx&amp;sheet=A0&amp;row=2597&amp;col=6&amp;number=102000&amp;sourceID=14","102000")</f>
        <v>102000</v>
      </c>
      <c r="G2597" s="4" t="str">
        <f>HYPERLINK("http://141.218.60.56/~jnz1568/getInfo.php?workbook=14_09.xlsx&amp;sheet=A0&amp;row=2597&amp;col=7&amp;number=0&amp;sourceID=14","0")</f>
        <v>0</v>
      </c>
    </row>
    <row r="2598" spans="1:7">
      <c r="A2598" s="3">
        <v>14</v>
      </c>
      <c r="B2598" s="3">
        <v>9</v>
      </c>
      <c r="C2598" s="3">
        <v>76</v>
      </c>
      <c r="D2598" s="3">
        <v>54</v>
      </c>
      <c r="E2598" s="3">
        <v>-853.077</v>
      </c>
      <c r="F2598" s="4" t="str">
        <f>HYPERLINK("http://141.218.60.56/~jnz1568/getInfo.php?workbook=14_09.xlsx&amp;sheet=A0&amp;row=2598&amp;col=6&amp;number=1270000&amp;sourceID=14","1270000")</f>
        <v>1270000</v>
      </c>
      <c r="G2598" s="4" t="str">
        <f>HYPERLINK("http://141.218.60.56/~jnz1568/getInfo.php?workbook=14_09.xlsx&amp;sheet=A0&amp;row=2598&amp;col=7&amp;number=0&amp;sourceID=14","0")</f>
        <v>0</v>
      </c>
    </row>
    <row r="2599" spans="1:7">
      <c r="A2599" s="3">
        <v>14</v>
      </c>
      <c r="B2599" s="3">
        <v>9</v>
      </c>
      <c r="C2599" s="3">
        <v>77</v>
      </c>
      <c r="D2599" s="3">
        <v>54</v>
      </c>
      <c r="E2599" s="3">
        <v>-804.287</v>
      </c>
      <c r="F2599" s="4" t="str">
        <f>HYPERLINK("http://141.218.60.56/~jnz1568/getInfo.php?workbook=14_09.xlsx&amp;sheet=A0&amp;row=2599&amp;col=6&amp;number=2850000&amp;sourceID=14","2850000")</f>
        <v>2850000</v>
      </c>
      <c r="G2599" s="4" t="str">
        <f>HYPERLINK("http://141.218.60.56/~jnz1568/getInfo.php?workbook=14_09.xlsx&amp;sheet=A0&amp;row=2599&amp;col=7&amp;number=0&amp;sourceID=14","0")</f>
        <v>0</v>
      </c>
    </row>
    <row r="2600" spans="1:7">
      <c r="A2600" s="3">
        <v>14</v>
      </c>
      <c r="B2600" s="3">
        <v>9</v>
      </c>
      <c r="C2600" s="3">
        <v>84</v>
      </c>
      <c r="D2600" s="3">
        <v>54</v>
      </c>
      <c r="E2600" s="3">
        <v>-704.892</v>
      </c>
      <c r="F2600" s="4" t="str">
        <f>HYPERLINK("http://141.218.60.56/~jnz1568/getInfo.php?workbook=14_09.xlsx&amp;sheet=A0&amp;row=2600&amp;col=6&amp;number=15300000&amp;sourceID=14","15300000")</f>
        <v>15300000</v>
      </c>
      <c r="G2600" s="4" t="str">
        <f>HYPERLINK("http://141.218.60.56/~jnz1568/getInfo.php?workbook=14_09.xlsx&amp;sheet=A0&amp;row=2600&amp;col=7&amp;number=0&amp;sourceID=14","0")</f>
        <v>0</v>
      </c>
    </row>
    <row r="2601" spans="1:7">
      <c r="A2601" s="3">
        <v>14</v>
      </c>
      <c r="B2601" s="3">
        <v>9</v>
      </c>
      <c r="C2601" s="3">
        <v>101</v>
      </c>
      <c r="D2601" s="3">
        <v>54</v>
      </c>
      <c r="E2601" s="3">
        <v>-631.143</v>
      </c>
      <c r="F2601" s="4" t="str">
        <f>HYPERLINK("http://141.218.60.56/~jnz1568/getInfo.php?workbook=14_09.xlsx&amp;sheet=A0&amp;row=2601&amp;col=6&amp;number=416000000&amp;sourceID=14","416000000")</f>
        <v>416000000</v>
      </c>
      <c r="G2601" s="4" t="str">
        <f>HYPERLINK("http://141.218.60.56/~jnz1568/getInfo.php?workbook=14_09.xlsx&amp;sheet=A0&amp;row=2601&amp;col=7&amp;number=0&amp;sourceID=14","0")</f>
        <v>0</v>
      </c>
    </row>
    <row r="2602" spans="1:7">
      <c r="A2602" s="3">
        <v>14</v>
      </c>
      <c r="B2602" s="3">
        <v>9</v>
      </c>
      <c r="C2602" s="3">
        <v>102</v>
      </c>
      <c r="D2602" s="3">
        <v>54</v>
      </c>
      <c r="E2602" s="3">
        <v>-630.296</v>
      </c>
      <c r="F2602" s="4" t="str">
        <f>HYPERLINK("http://141.218.60.56/~jnz1568/getInfo.php?workbook=14_09.xlsx&amp;sheet=A0&amp;row=2602&amp;col=6&amp;number=3970000&amp;sourceID=14","3970000")</f>
        <v>3970000</v>
      </c>
      <c r="G2602" s="4" t="str">
        <f>HYPERLINK("http://141.218.60.56/~jnz1568/getInfo.php?workbook=14_09.xlsx&amp;sheet=A0&amp;row=2602&amp;col=7&amp;number=0&amp;sourceID=14","0")</f>
        <v>0</v>
      </c>
    </row>
    <row r="2603" spans="1:7">
      <c r="A2603" s="3">
        <v>14</v>
      </c>
      <c r="B2603" s="3">
        <v>9</v>
      </c>
      <c r="C2603" s="3">
        <v>105</v>
      </c>
      <c r="D2603" s="3">
        <v>54</v>
      </c>
      <c r="E2603" s="3">
        <v>-623.983</v>
      </c>
      <c r="F2603" s="4" t="str">
        <f>HYPERLINK("http://141.218.60.56/~jnz1568/getInfo.php?workbook=14_09.xlsx&amp;sheet=A0&amp;row=2603&amp;col=6&amp;number=879000&amp;sourceID=14","879000")</f>
        <v>879000</v>
      </c>
      <c r="G2603" s="4" t="str">
        <f>HYPERLINK("http://141.218.60.56/~jnz1568/getInfo.php?workbook=14_09.xlsx&amp;sheet=A0&amp;row=2603&amp;col=7&amp;number=0&amp;sourceID=14","0")</f>
        <v>0</v>
      </c>
    </row>
    <row r="2604" spans="1:7">
      <c r="A2604" s="3">
        <v>14</v>
      </c>
      <c r="B2604" s="3">
        <v>9</v>
      </c>
      <c r="C2604" s="3">
        <v>106</v>
      </c>
      <c r="D2604" s="3">
        <v>54</v>
      </c>
      <c r="E2604" s="3">
        <v>-623.411</v>
      </c>
      <c r="F2604" s="4" t="str">
        <f>HYPERLINK("http://141.218.60.56/~jnz1568/getInfo.php?workbook=14_09.xlsx&amp;sheet=A0&amp;row=2604&amp;col=6&amp;number=1560000&amp;sourceID=14","1560000")</f>
        <v>1560000</v>
      </c>
      <c r="G2604" s="4" t="str">
        <f>HYPERLINK("http://141.218.60.56/~jnz1568/getInfo.php?workbook=14_09.xlsx&amp;sheet=A0&amp;row=2604&amp;col=7&amp;number=0&amp;sourceID=14","0")</f>
        <v>0</v>
      </c>
    </row>
    <row r="2605" spans="1:7">
      <c r="A2605" s="3">
        <v>14</v>
      </c>
      <c r="B2605" s="3">
        <v>9</v>
      </c>
      <c r="C2605" s="3">
        <v>107</v>
      </c>
      <c r="D2605" s="3">
        <v>54</v>
      </c>
      <c r="E2605" s="3">
        <v>-622.313</v>
      </c>
      <c r="F2605" s="4" t="str">
        <f>HYPERLINK("http://141.218.60.56/~jnz1568/getInfo.php?workbook=14_09.xlsx&amp;sheet=A0&amp;row=2605&amp;col=6&amp;number=81600000&amp;sourceID=14","81600000")</f>
        <v>81600000</v>
      </c>
      <c r="G2605" s="4" t="str">
        <f>HYPERLINK("http://141.218.60.56/~jnz1568/getInfo.php?workbook=14_09.xlsx&amp;sheet=A0&amp;row=2605&amp;col=7&amp;number=0&amp;sourceID=14","0")</f>
        <v>0</v>
      </c>
    </row>
    <row r="2606" spans="1:7">
      <c r="A2606" s="3">
        <v>14</v>
      </c>
      <c r="B2606" s="3">
        <v>9</v>
      </c>
      <c r="C2606" s="3">
        <v>108</v>
      </c>
      <c r="D2606" s="3">
        <v>54</v>
      </c>
      <c r="E2606" s="3">
        <v>-621.814</v>
      </c>
      <c r="F2606" s="4" t="str">
        <f>HYPERLINK("http://141.218.60.56/~jnz1568/getInfo.php?workbook=14_09.xlsx&amp;sheet=A0&amp;row=2606&amp;col=6&amp;number=1950000&amp;sourceID=14","1950000")</f>
        <v>1950000</v>
      </c>
      <c r="G2606" s="4" t="str">
        <f>HYPERLINK("http://141.218.60.56/~jnz1568/getInfo.php?workbook=14_09.xlsx&amp;sheet=A0&amp;row=2606&amp;col=7&amp;number=0&amp;sourceID=14","0")</f>
        <v>0</v>
      </c>
    </row>
    <row r="2607" spans="1:7">
      <c r="A2607" s="3">
        <v>14</v>
      </c>
      <c r="B2607" s="3">
        <v>9</v>
      </c>
      <c r="C2607" s="3">
        <v>109</v>
      </c>
      <c r="D2607" s="3">
        <v>54</v>
      </c>
      <c r="E2607" s="3">
        <v>-620.772</v>
      </c>
      <c r="F2607" s="4" t="str">
        <f>HYPERLINK("http://141.218.60.56/~jnz1568/getInfo.php?workbook=14_09.xlsx&amp;sheet=A0&amp;row=2607&amp;col=6&amp;number=8940000&amp;sourceID=14","8940000")</f>
        <v>8940000</v>
      </c>
      <c r="G2607" s="4" t="str">
        <f>HYPERLINK("http://141.218.60.56/~jnz1568/getInfo.php?workbook=14_09.xlsx&amp;sheet=A0&amp;row=2607&amp;col=7&amp;number=0&amp;sourceID=14","0")</f>
        <v>0</v>
      </c>
    </row>
    <row r="2608" spans="1:7">
      <c r="A2608" s="3">
        <v>14</v>
      </c>
      <c r="B2608" s="3">
        <v>9</v>
      </c>
      <c r="C2608" s="3">
        <v>113</v>
      </c>
      <c r="D2608" s="3">
        <v>54</v>
      </c>
      <c r="E2608" s="3">
        <v>-618.148</v>
      </c>
      <c r="F2608" s="4" t="str">
        <f>HYPERLINK("http://141.218.60.56/~jnz1568/getInfo.php?workbook=14_09.xlsx&amp;sheet=A0&amp;row=2608&amp;col=6&amp;number=1290000000&amp;sourceID=14","1290000000")</f>
        <v>1290000000</v>
      </c>
      <c r="G2608" s="4" t="str">
        <f>HYPERLINK("http://141.218.60.56/~jnz1568/getInfo.php?workbook=14_09.xlsx&amp;sheet=A0&amp;row=2608&amp;col=7&amp;number=0&amp;sourceID=14","0")</f>
        <v>0</v>
      </c>
    </row>
    <row r="2609" spans="1:7">
      <c r="A2609" s="3">
        <v>14</v>
      </c>
      <c r="B2609" s="3">
        <v>9</v>
      </c>
      <c r="C2609" s="3">
        <v>115</v>
      </c>
      <c r="D2609" s="3">
        <v>54</v>
      </c>
      <c r="E2609" s="3">
        <v>-617.575</v>
      </c>
      <c r="F2609" s="4" t="str">
        <f>HYPERLINK("http://141.218.60.56/~jnz1568/getInfo.php?workbook=14_09.xlsx&amp;sheet=A0&amp;row=2609&amp;col=6&amp;number=9420000&amp;sourceID=14","9420000")</f>
        <v>9420000</v>
      </c>
      <c r="G2609" s="4" t="str">
        <f>HYPERLINK("http://141.218.60.56/~jnz1568/getInfo.php?workbook=14_09.xlsx&amp;sheet=A0&amp;row=2609&amp;col=7&amp;number=0&amp;sourceID=14","0")</f>
        <v>0</v>
      </c>
    </row>
    <row r="2610" spans="1:7">
      <c r="A2610" s="3">
        <v>14</v>
      </c>
      <c r="B2610" s="3">
        <v>9</v>
      </c>
      <c r="C2610" s="3">
        <v>116</v>
      </c>
      <c r="D2610" s="3">
        <v>54</v>
      </c>
      <c r="E2610" s="3">
        <v>-617.468</v>
      </c>
      <c r="F2610" s="4" t="str">
        <f>HYPERLINK("http://141.218.60.56/~jnz1568/getInfo.php?workbook=14_09.xlsx&amp;sheet=A0&amp;row=2610&amp;col=6&amp;number=133000000&amp;sourceID=14","133000000")</f>
        <v>133000000</v>
      </c>
      <c r="G2610" s="4" t="str">
        <f>HYPERLINK("http://141.218.60.56/~jnz1568/getInfo.php?workbook=14_09.xlsx&amp;sheet=A0&amp;row=2610&amp;col=7&amp;number=0&amp;sourceID=14","0")</f>
        <v>0</v>
      </c>
    </row>
    <row r="2611" spans="1:7">
      <c r="A2611" s="3">
        <v>14</v>
      </c>
      <c r="B2611" s="3">
        <v>9</v>
      </c>
      <c r="C2611" s="3">
        <v>117</v>
      </c>
      <c r="D2611" s="3">
        <v>54</v>
      </c>
      <c r="E2611" s="3">
        <v>-607.335</v>
      </c>
      <c r="F2611" s="4" t="str">
        <f>HYPERLINK("http://141.218.60.56/~jnz1568/getInfo.php?workbook=14_09.xlsx&amp;sheet=A0&amp;row=2611&amp;col=6&amp;number=2480000&amp;sourceID=14","2480000")</f>
        <v>2480000</v>
      </c>
      <c r="G2611" s="4" t="str">
        <f>HYPERLINK("http://141.218.60.56/~jnz1568/getInfo.php?workbook=14_09.xlsx&amp;sheet=A0&amp;row=2611&amp;col=7&amp;number=0&amp;sourceID=14","0")</f>
        <v>0</v>
      </c>
    </row>
    <row r="2612" spans="1:7">
      <c r="A2612" s="3">
        <v>14</v>
      </c>
      <c r="B2612" s="3">
        <v>9</v>
      </c>
      <c r="C2612" s="3">
        <v>118</v>
      </c>
      <c r="D2612" s="3">
        <v>54</v>
      </c>
      <c r="E2612" s="3">
        <v>-607.062</v>
      </c>
      <c r="F2612" s="4" t="str">
        <f>HYPERLINK("http://141.218.60.56/~jnz1568/getInfo.php?workbook=14_09.xlsx&amp;sheet=A0&amp;row=2612&amp;col=6&amp;number=504000&amp;sourceID=14","504000")</f>
        <v>504000</v>
      </c>
      <c r="G2612" s="4" t="str">
        <f>HYPERLINK("http://141.218.60.56/~jnz1568/getInfo.php?workbook=14_09.xlsx&amp;sheet=A0&amp;row=2612&amp;col=7&amp;number=0&amp;sourceID=14","0")</f>
        <v>0</v>
      </c>
    </row>
    <row r="2613" spans="1:7">
      <c r="A2613" s="3">
        <v>14</v>
      </c>
      <c r="B2613" s="3">
        <v>9</v>
      </c>
      <c r="C2613" s="3">
        <v>120</v>
      </c>
      <c r="D2613" s="3">
        <v>54</v>
      </c>
      <c r="E2613" s="3">
        <v>-605.387</v>
      </c>
      <c r="F2613" s="4" t="str">
        <f>HYPERLINK("http://141.218.60.56/~jnz1568/getInfo.php?workbook=14_09.xlsx&amp;sheet=A0&amp;row=2613&amp;col=6&amp;number=197000&amp;sourceID=14","197000")</f>
        <v>197000</v>
      </c>
      <c r="G2613" s="4" t="str">
        <f>HYPERLINK("http://141.218.60.56/~jnz1568/getInfo.php?workbook=14_09.xlsx&amp;sheet=A0&amp;row=2613&amp;col=7&amp;number=0&amp;sourceID=14","0")</f>
        <v>0</v>
      </c>
    </row>
    <row r="2614" spans="1:7">
      <c r="A2614" s="3">
        <v>14</v>
      </c>
      <c r="B2614" s="3">
        <v>9</v>
      </c>
      <c r="C2614" s="3">
        <v>121</v>
      </c>
      <c r="D2614" s="3">
        <v>54</v>
      </c>
      <c r="E2614" s="3">
        <v>-603.789</v>
      </c>
      <c r="F2614" s="4" t="str">
        <f>HYPERLINK("http://141.218.60.56/~jnz1568/getInfo.php?workbook=14_09.xlsx&amp;sheet=A0&amp;row=2614&amp;col=6&amp;number=10200000&amp;sourceID=14","10200000")</f>
        <v>10200000</v>
      </c>
      <c r="G2614" s="4" t="str">
        <f>HYPERLINK("http://141.218.60.56/~jnz1568/getInfo.php?workbook=14_09.xlsx&amp;sheet=A0&amp;row=2614&amp;col=7&amp;number=0&amp;sourceID=14","0")</f>
        <v>0</v>
      </c>
    </row>
    <row r="2615" spans="1:7">
      <c r="A2615" s="3">
        <v>14</v>
      </c>
      <c r="B2615" s="3">
        <v>9</v>
      </c>
      <c r="C2615" s="3">
        <v>122</v>
      </c>
      <c r="D2615" s="3">
        <v>54</v>
      </c>
      <c r="E2615" s="3">
        <v>-603.374</v>
      </c>
      <c r="F2615" s="4" t="str">
        <f>HYPERLINK("http://141.218.60.56/~jnz1568/getInfo.php?workbook=14_09.xlsx&amp;sheet=A0&amp;row=2615&amp;col=6&amp;number=3520000&amp;sourceID=14","3520000")</f>
        <v>3520000</v>
      </c>
      <c r="G2615" s="4" t="str">
        <f>HYPERLINK("http://141.218.60.56/~jnz1568/getInfo.php?workbook=14_09.xlsx&amp;sheet=A0&amp;row=2615&amp;col=7&amp;number=0&amp;sourceID=14","0")</f>
        <v>0</v>
      </c>
    </row>
    <row r="2616" spans="1:7">
      <c r="A2616" s="3">
        <v>14</v>
      </c>
      <c r="B2616" s="3">
        <v>9</v>
      </c>
      <c r="C2616" s="3">
        <v>123</v>
      </c>
      <c r="D2616" s="3">
        <v>54</v>
      </c>
      <c r="E2616" s="3">
        <v>-599.363</v>
      </c>
      <c r="F2616" s="4" t="str">
        <f>HYPERLINK("http://141.218.60.56/~jnz1568/getInfo.php?workbook=14_09.xlsx&amp;sheet=A0&amp;row=2616&amp;col=6&amp;number=1970000&amp;sourceID=14","1970000")</f>
        <v>1970000</v>
      </c>
      <c r="G2616" s="4" t="str">
        <f>HYPERLINK("http://141.218.60.56/~jnz1568/getInfo.php?workbook=14_09.xlsx&amp;sheet=A0&amp;row=2616&amp;col=7&amp;number=0&amp;sourceID=14","0")</f>
        <v>0</v>
      </c>
    </row>
    <row r="2617" spans="1:7">
      <c r="A2617" s="3">
        <v>14</v>
      </c>
      <c r="B2617" s="3">
        <v>9</v>
      </c>
      <c r="C2617" s="3">
        <v>125</v>
      </c>
      <c r="D2617" s="3">
        <v>54</v>
      </c>
      <c r="E2617" s="3">
        <v>-576.862</v>
      </c>
      <c r="F2617" s="4" t="str">
        <f>HYPERLINK("http://141.218.60.56/~jnz1568/getInfo.php?workbook=14_09.xlsx&amp;sheet=A0&amp;row=2617&amp;col=6&amp;number=21800000&amp;sourceID=14","21800000")</f>
        <v>21800000</v>
      </c>
      <c r="G2617" s="4" t="str">
        <f>HYPERLINK("http://141.218.60.56/~jnz1568/getInfo.php?workbook=14_09.xlsx&amp;sheet=A0&amp;row=2617&amp;col=7&amp;number=0&amp;sourceID=14","0")</f>
        <v>0</v>
      </c>
    </row>
    <row r="2618" spans="1:7">
      <c r="A2618" s="3">
        <v>14</v>
      </c>
      <c r="B2618" s="3">
        <v>9</v>
      </c>
      <c r="C2618" s="3">
        <v>139</v>
      </c>
      <c r="D2618" s="3">
        <v>54</v>
      </c>
      <c r="E2618" s="3">
        <v>-482.166</v>
      </c>
      <c r="F2618" s="4" t="str">
        <f>HYPERLINK("http://141.218.60.56/~jnz1568/getInfo.php?workbook=14_09.xlsx&amp;sheet=A0&amp;row=2618&amp;col=6&amp;number=82400000&amp;sourceID=14","82400000")</f>
        <v>82400000</v>
      </c>
      <c r="G2618" s="4" t="str">
        <f>HYPERLINK("http://141.218.60.56/~jnz1568/getInfo.php?workbook=14_09.xlsx&amp;sheet=A0&amp;row=2618&amp;col=7&amp;number=0&amp;sourceID=14","0")</f>
        <v>0</v>
      </c>
    </row>
    <row r="2619" spans="1:7">
      <c r="A2619" s="3">
        <v>14</v>
      </c>
      <c r="B2619" s="3">
        <v>9</v>
      </c>
      <c r="C2619" s="3">
        <v>141</v>
      </c>
      <c r="D2619" s="3">
        <v>54</v>
      </c>
      <c r="E2619" s="3">
        <v>-479.004</v>
      </c>
      <c r="F2619" s="4" t="str">
        <f>HYPERLINK("http://141.218.60.56/~jnz1568/getInfo.php?workbook=14_09.xlsx&amp;sheet=A0&amp;row=2619&amp;col=6&amp;number=896000000&amp;sourceID=14","896000000")</f>
        <v>896000000</v>
      </c>
      <c r="G2619" s="4" t="str">
        <f>HYPERLINK("http://141.218.60.56/~jnz1568/getInfo.php?workbook=14_09.xlsx&amp;sheet=A0&amp;row=2619&amp;col=7&amp;number=0&amp;sourceID=14","0")</f>
        <v>0</v>
      </c>
    </row>
    <row r="2620" spans="1:7">
      <c r="A2620" s="3">
        <v>14</v>
      </c>
      <c r="B2620" s="3">
        <v>9</v>
      </c>
      <c r="C2620" s="3">
        <v>142</v>
      </c>
      <c r="D2620" s="3">
        <v>54</v>
      </c>
      <c r="E2620" s="3">
        <v>-478.978</v>
      </c>
      <c r="F2620" s="4" t="str">
        <f>HYPERLINK("http://141.218.60.56/~jnz1568/getInfo.php?workbook=14_09.xlsx&amp;sheet=A0&amp;row=2620&amp;col=6&amp;number=228000000&amp;sourceID=14","228000000")</f>
        <v>228000000</v>
      </c>
      <c r="G2620" s="4" t="str">
        <f>HYPERLINK("http://141.218.60.56/~jnz1568/getInfo.php?workbook=14_09.xlsx&amp;sheet=A0&amp;row=2620&amp;col=7&amp;number=0&amp;sourceID=14","0")</f>
        <v>0</v>
      </c>
    </row>
    <row r="2621" spans="1:7">
      <c r="A2621" s="3">
        <v>14</v>
      </c>
      <c r="B2621" s="3">
        <v>9</v>
      </c>
      <c r="C2621" s="3">
        <v>146</v>
      </c>
      <c r="D2621" s="3">
        <v>54</v>
      </c>
      <c r="E2621" s="3">
        <v>-475.894</v>
      </c>
      <c r="F2621" s="4" t="str">
        <f>HYPERLINK("http://141.218.60.56/~jnz1568/getInfo.php?workbook=14_09.xlsx&amp;sheet=A0&amp;row=2621&amp;col=6&amp;number=2330000000&amp;sourceID=14","2330000000")</f>
        <v>2330000000</v>
      </c>
      <c r="G2621" s="4" t="str">
        <f>HYPERLINK("http://141.218.60.56/~jnz1568/getInfo.php?workbook=14_09.xlsx&amp;sheet=A0&amp;row=2621&amp;col=7&amp;number=0&amp;sourceID=14","0")</f>
        <v>0</v>
      </c>
    </row>
    <row r="2622" spans="1:7">
      <c r="A2622" s="3">
        <v>14</v>
      </c>
      <c r="B2622" s="3">
        <v>9</v>
      </c>
      <c r="C2622" s="3">
        <v>147</v>
      </c>
      <c r="D2622" s="3">
        <v>54</v>
      </c>
      <c r="E2622" s="3">
        <v>-475.89</v>
      </c>
      <c r="F2622" s="4" t="str">
        <f>HYPERLINK("http://141.218.60.56/~jnz1568/getInfo.php?workbook=14_09.xlsx&amp;sheet=A0&amp;row=2622&amp;col=6&amp;number=3710000000&amp;sourceID=14","3710000000")</f>
        <v>3710000000</v>
      </c>
      <c r="G2622" s="4" t="str">
        <f>HYPERLINK("http://141.218.60.56/~jnz1568/getInfo.php?workbook=14_09.xlsx&amp;sheet=A0&amp;row=2622&amp;col=7&amp;number=0&amp;sourceID=14","0")</f>
        <v>0</v>
      </c>
    </row>
    <row r="2623" spans="1:7">
      <c r="A2623" s="3">
        <v>14</v>
      </c>
      <c r="B2623" s="3">
        <v>9</v>
      </c>
      <c r="C2623" s="3">
        <v>149</v>
      </c>
      <c r="D2623" s="3">
        <v>54</v>
      </c>
      <c r="E2623" s="3">
        <v>-474.851</v>
      </c>
      <c r="F2623" s="4" t="str">
        <f>HYPERLINK("http://141.218.60.56/~jnz1568/getInfo.php?workbook=14_09.xlsx&amp;sheet=A0&amp;row=2623&amp;col=6&amp;number=14000000000&amp;sourceID=14","14000000000")</f>
        <v>14000000000</v>
      </c>
      <c r="G2623" s="4" t="str">
        <f>HYPERLINK("http://141.218.60.56/~jnz1568/getInfo.php?workbook=14_09.xlsx&amp;sheet=A0&amp;row=2623&amp;col=7&amp;number=0&amp;sourceID=14","0")</f>
        <v>0</v>
      </c>
    </row>
    <row r="2624" spans="1:7">
      <c r="A2624" s="3">
        <v>14</v>
      </c>
      <c r="B2624" s="3">
        <v>9</v>
      </c>
      <c r="C2624" s="3">
        <v>159</v>
      </c>
      <c r="D2624" s="3">
        <v>54</v>
      </c>
      <c r="E2624" s="3">
        <v>-434.893</v>
      </c>
      <c r="F2624" s="4" t="str">
        <f>HYPERLINK("http://141.218.60.56/~jnz1568/getInfo.php?workbook=14_09.xlsx&amp;sheet=A0&amp;row=2624&amp;col=6&amp;number=2190000&amp;sourceID=14","2190000")</f>
        <v>2190000</v>
      </c>
      <c r="G2624" s="4" t="str">
        <f>HYPERLINK("http://141.218.60.56/~jnz1568/getInfo.php?workbook=14_09.xlsx&amp;sheet=A0&amp;row=2624&amp;col=7&amp;number=0&amp;sourceID=14","0")</f>
        <v>0</v>
      </c>
    </row>
    <row r="2625" spans="1:7">
      <c r="A2625" s="3">
        <v>14</v>
      </c>
      <c r="B2625" s="3">
        <v>9</v>
      </c>
      <c r="C2625" s="3">
        <v>164</v>
      </c>
      <c r="D2625" s="3">
        <v>54</v>
      </c>
      <c r="E2625" s="3">
        <v>-359.054</v>
      </c>
      <c r="F2625" s="4" t="str">
        <f>HYPERLINK("http://141.218.60.56/~jnz1568/getInfo.php?workbook=14_09.xlsx&amp;sheet=A0&amp;row=2625&amp;col=6&amp;number=18800000&amp;sourceID=14","18800000")</f>
        <v>18800000</v>
      </c>
      <c r="G2625" s="4" t="str">
        <f>HYPERLINK("http://141.218.60.56/~jnz1568/getInfo.php?workbook=14_09.xlsx&amp;sheet=A0&amp;row=2625&amp;col=7&amp;number=0&amp;sourceID=14","0")</f>
        <v>0</v>
      </c>
    </row>
    <row r="2626" spans="1:7">
      <c r="A2626" s="3">
        <v>14</v>
      </c>
      <c r="B2626" s="3">
        <v>9</v>
      </c>
      <c r="C2626" s="3">
        <v>165</v>
      </c>
      <c r="D2626" s="3">
        <v>54</v>
      </c>
      <c r="E2626" s="3">
        <v>-359.041</v>
      </c>
      <c r="F2626" s="4" t="str">
        <f>HYPERLINK("http://141.218.60.56/~jnz1568/getInfo.php?workbook=14_09.xlsx&amp;sheet=A0&amp;row=2626&amp;col=6&amp;number=4540000&amp;sourceID=14","4540000")</f>
        <v>4540000</v>
      </c>
      <c r="G2626" s="4" t="str">
        <f>HYPERLINK("http://141.218.60.56/~jnz1568/getInfo.php?workbook=14_09.xlsx&amp;sheet=A0&amp;row=2626&amp;col=7&amp;number=0&amp;sourceID=14","0")</f>
        <v>0</v>
      </c>
    </row>
    <row r="2627" spans="1:7">
      <c r="A2627" s="3">
        <v>14</v>
      </c>
      <c r="B2627" s="3">
        <v>9</v>
      </c>
      <c r="C2627" s="3">
        <v>166</v>
      </c>
      <c r="D2627" s="3">
        <v>54</v>
      </c>
      <c r="E2627" s="3">
        <v>-348.155</v>
      </c>
      <c r="F2627" s="4" t="str">
        <f>HYPERLINK("http://141.218.60.56/~jnz1568/getInfo.php?workbook=14_09.xlsx&amp;sheet=A0&amp;row=2627&amp;col=6&amp;number=3900000&amp;sourceID=14","3900000")</f>
        <v>3900000</v>
      </c>
      <c r="G2627" s="4" t="str">
        <f>HYPERLINK("http://141.218.60.56/~jnz1568/getInfo.php?workbook=14_09.xlsx&amp;sheet=A0&amp;row=2627&amp;col=7&amp;number=0&amp;sourceID=14","0")</f>
        <v>0</v>
      </c>
    </row>
    <row r="2628" spans="1:7">
      <c r="A2628" s="3">
        <v>14</v>
      </c>
      <c r="B2628" s="3">
        <v>9</v>
      </c>
      <c r="C2628" s="3">
        <v>173</v>
      </c>
      <c r="D2628" s="3">
        <v>54</v>
      </c>
      <c r="E2628" s="3">
        <v>-315.601</v>
      </c>
      <c r="F2628" s="4" t="str">
        <f>HYPERLINK("http://141.218.60.56/~jnz1568/getInfo.php?workbook=14_09.xlsx&amp;sheet=A0&amp;row=2628&amp;col=6&amp;number=1510000&amp;sourceID=14","1510000")</f>
        <v>1510000</v>
      </c>
      <c r="G2628" s="4" t="str">
        <f>HYPERLINK("http://141.218.60.56/~jnz1568/getInfo.php?workbook=14_09.xlsx&amp;sheet=A0&amp;row=2628&amp;col=7&amp;number=0&amp;sourceID=14","0")</f>
        <v>0</v>
      </c>
    </row>
    <row r="2629" spans="1:7">
      <c r="A2629" s="3">
        <v>14</v>
      </c>
      <c r="B2629" s="3">
        <v>9</v>
      </c>
      <c r="C2629" s="3">
        <v>174</v>
      </c>
      <c r="D2629" s="3">
        <v>54</v>
      </c>
      <c r="E2629" s="3">
        <v>-314.425</v>
      </c>
      <c r="F2629" s="4" t="str">
        <f>HYPERLINK("http://141.218.60.56/~jnz1568/getInfo.php?workbook=14_09.xlsx&amp;sheet=A0&amp;row=2629&amp;col=6&amp;number=278000&amp;sourceID=14","278000")</f>
        <v>278000</v>
      </c>
      <c r="G2629" s="4" t="str">
        <f>HYPERLINK("http://141.218.60.56/~jnz1568/getInfo.php?workbook=14_09.xlsx&amp;sheet=A0&amp;row=2629&amp;col=7&amp;number=0&amp;sourceID=14","0")</f>
        <v>0</v>
      </c>
    </row>
    <row r="2630" spans="1:7">
      <c r="A2630" s="3">
        <v>14</v>
      </c>
      <c r="B2630" s="3">
        <v>9</v>
      </c>
      <c r="C2630" s="3">
        <v>176</v>
      </c>
      <c r="D2630" s="3">
        <v>54</v>
      </c>
      <c r="E2630" s="3">
        <v>-307.245</v>
      </c>
      <c r="F2630" s="4" t="str">
        <f>HYPERLINK("http://141.218.60.56/~jnz1568/getInfo.php?workbook=14_09.xlsx&amp;sheet=A0&amp;row=2630&amp;col=6&amp;number=3660000&amp;sourceID=14","3660000")</f>
        <v>3660000</v>
      </c>
      <c r="G2630" s="4" t="str">
        <f>HYPERLINK("http://141.218.60.56/~jnz1568/getInfo.php?workbook=14_09.xlsx&amp;sheet=A0&amp;row=2630&amp;col=7&amp;number=0&amp;sourceID=14","0")</f>
        <v>0</v>
      </c>
    </row>
    <row r="2631" spans="1:7">
      <c r="A2631" s="3">
        <v>14</v>
      </c>
      <c r="B2631" s="3">
        <v>9</v>
      </c>
      <c r="C2631" s="3">
        <v>177</v>
      </c>
      <c r="D2631" s="3">
        <v>54</v>
      </c>
      <c r="E2631" s="3">
        <v>-307.085</v>
      </c>
      <c r="F2631" s="4" t="str">
        <f>HYPERLINK("http://141.218.60.56/~jnz1568/getInfo.php?workbook=14_09.xlsx&amp;sheet=A0&amp;row=2631&amp;col=6&amp;number=1480000&amp;sourceID=14","1480000")</f>
        <v>1480000</v>
      </c>
      <c r="G2631" s="4" t="str">
        <f>HYPERLINK("http://141.218.60.56/~jnz1568/getInfo.php?workbook=14_09.xlsx&amp;sheet=A0&amp;row=2631&amp;col=7&amp;number=0&amp;sourceID=14","0")</f>
        <v>0</v>
      </c>
    </row>
    <row r="2632" spans="1:7">
      <c r="A2632" s="3">
        <v>14</v>
      </c>
      <c r="B2632" s="3">
        <v>9</v>
      </c>
      <c r="C2632" s="3">
        <v>179</v>
      </c>
      <c r="D2632" s="3">
        <v>54</v>
      </c>
      <c r="E2632" s="3">
        <v>-306.894</v>
      </c>
      <c r="F2632" s="4" t="str">
        <f>HYPERLINK("http://141.218.60.56/~jnz1568/getInfo.php?workbook=14_09.xlsx&amp;sheet=A0&amp;row=2632&amp;col=6&amp;number=2330000&amp;sourceID=14","2330000")</f>
        <v>2330000</v>
      </c>
      <c r="G2632" s="4" t="str">
        <f>HYPERLINK("http://141.218.60.56/~jnz1568/getInfo.php?workbook=14_09.xlsx&amp;sheet=A0&amp;row=2632&amp;col=7&amp;number=0&amp;sourceID=14","0")</f>
        <v>0</v>
      </c>
    </row>
    <row r="2633" spans="1:7">
      <c r="A2633" s="3">
        <v>14</v>
      </c>
      <c r="B2633" s="3">
        <v>9</v>
      </c>
      <c r="C2633" s="3">
        <v>180</v>
      </c>
      <c r="D2633" s="3">
        <v>54</v>
      </c>
      <c r="E2633" s="3">
        <v>-305.85</v>
      </c>
      <c r="F2633" s="4" t="str">
        <f>HYPERLINK("http://141.218.60.56/~jnz1568/getInfo.php?workbook=14_09.xlsx&amp;sheet=A0&amp;row=2633&amp;col=6&amp;number=12200000&amp;sourceID=14","12200000")</f>
        <v>12200000</v>
      </c>
      <c r="G2633" s="4" t="str">
        <f>HYPERLINK("http://141.218.60.56/~jnz1568/getInfo.php?workbook=14_09.xlsx&amp;sheet=A0&amp;row=2633&amp;col=7&amp;number=0&amp;sourceID=14","0")</f>
        <v>0</v>
      </c>
    </row>
    <row r="2634" spans="1:7">
      <c r="A2634" s="3">
        <v>14</v>
      </c>
      <c r="B2634" s="3">
        <v>9</v>
      </c>
      <c r="C2634" s="3">
        <v>181</v>
      </c>
      <c r="D2634" s="3">
        <v>54</v>
      </c>
      <c r="E2634" s="3">
        <v>-301.868</v>
      </c>
      <c r="F2634" s="4" t="str">
        <f>HYPERLINK("http://141.218.60.56/~jnz1568/getInfo.php?workbook=14_09.xlsx&amp;sheet=A0&amp;row=2634&amp;col=6&amp;number=5840000&amp;sourceID=14","5840000")</f>
        <v>5840000</v>
      </c>
      <c r="G2634" s="4" t="str">
        <f>HYPERLINK("http://141.218.60.56/~jnz1568/getInfo.php?workbook=14_09.xlsx&amp;sheet=A0&amp;row=2634&amp;col=7&amp;number=0&amp;sourceID=14","0")</f>
        <v>0</v>
      </c>
    </row>
    <row r="2635" spans="1:7">
      <c r="A2635" s="3">
        <v>14</v>
      </c>
      <c r="B2635" s="3">
        <v>9</v>
      </c>
      <c r="C2635" s="3">
        <v>182</v>
      </c>
      <c r="D2635" s="3">
        <v>54</v>
      </c>
      <c r="E2635" s="3">
        <v>-301.78</v>
      </c>
      <c r="F2635" s="4" t="str">
        <f>HYPERLINK("http://141.218.60.56/~jnz1568/getInfo.php?workbook=14_09.xlsx&amp;sheet=A0&amp;row=2635&amp;col=6&amp;number=1730000&amp;sourceID=14","1730000")</f>
        <v>1730000</v>
      </c>
      <c r="G2635" s="4" t="str">
        <f>HYPERLINK("http://141.218.60.56/~jnz1568/getInfo.php?workbook=14_09.xlsx&amp;sheet=A0&amp;row=2635&amp;col=7&amp;number=0&amp;sourceID=14","0")</f>
        <v>0</v>
      </c>
    </row>
    <row r="2636" spans="1:7">
      <c r="A2636" s="3">
        <v>14</v>
      </c>
      <c r="B2636" s="3">
        <v>9</v>
      </c>
      <c r="C2636" s="3">
        <v>184</v>
      </c>
      <c r="D2636" s="3">
        <v>54</v>
      </c>
      <c r="E2636" s="3">
        <v>-292.197</v>
      </c>
      <c r="F2636" s="4" t="str">
        <f>HYPERLINK("http://141.218.60.56/~jnz1568/getInfo.php?workbook=14_09.xlsx&amp;sheet=A0&amp;row=2636&amp;col=6&amp;number=6790000&amp;sourceID=14","6790000")</f>
        <v>6790000</v>
      </c>
      <c r="G2636" s="4" t="str">
        <f>HYPERLINK("http://141.218.60.56/~jnz1568/getInfo.php?workbook=14_09.xlsx&amp;sheet=A0&amp;row=2636&amp;col=7&amp;number=0&amp;sourceID=14","0")</f>
        <v>0</v>
      </c>
    </row>
    <row r="2637" spans="1:7">
      <c r="A2637" s="3">
        <v>14</v>
      </c>
      <c r="B2637" s="3">
        <v>9</v>
      </c>
      <c r="C2637" s="3">
        <v>190</v>
      </c>
      <c r="D2637" s="3">
        <v>54</v>
      </c>
      <c r="E2637" s="3">
        <v>-211.468</v>
      </c>
      <c r="F2637" s="4" t="str">
        <f>HYPERLINK("http://141.218.60.56/~jnz1568/getInfo.php?workbook=14_09.xlsx&amp;sheet=A0&amp;row=2637&amp;col=6&amp;number=9380000000&amp;sourceID=14","9380000000")</f>
        <v>9380000000</v>
      </c>
      <c r="G2637" s="4" t="str">
        <f>HYPERLINK("http://141.218.60.56/~jnz1568/getInfo.php?workbook=14_09.xlsx&amp;sheet=A0&amp;row=2637&amp;col=7&amp;number=0&amp;sourceID=14","0")</f>
        <v>0</v>
      </c>
    </row>
    <row r="2638" spans="1:7">
      <c r="A2638" s="3">
        <v>14</v>
      </c>
      <c r="B2638" s="3">
        <v>9</v>
      </c>
      <c r="C2638" s="3">
        <v>191</v>
      </c>
      <c r="D2638" s="3">
        <v>54</v>
      </c>
      <c r="E2638" s="3">
        <v>-211.431</v>
      </c>
      <c r="F2638" s="4" t="str">
        <f>HYPERLINK("http://141.218.60.56/~jnz1568/getInfo.php?workbook=14_09.xlsx&amp;sheet=A0&amp;row=2638&amp;col=6&amp;number=1060000000&amp;sourceID=14","1060000000")</f>
        <v>1060000000</v>
      </c>
      <c r="G2638" s="4" t="str">
        <f>HYPERLINK("http://141.218.60.56/~jnz1568/getInfo.php?workbook=14_09.xlsx&amp;sheet=A0&amp;row=2638&amp;col=7&amp;number=0&amp;sourceID=14","0")</f>
        <v>0</v>
      </c>
    </row>
    <row r="2639" spans="1:7">
      <c r="A2639" s="3">
        <v>14</v>
      </c>
      <c r="B2639" s="3">
        <v>9</v>
      </c>
      <c r="C2639" s="3">
        <v>192</v>
      </c>
      <c r="D2639" s="3">
        <v>54</v>
      </c>
      <c r="E2639" s="3">
        <v>-209.831</v>
      </c>
      <c r="F2639" s="4" t="str">
        <f>HYPERLINK("http://141.218.60.56/~jnz1568/getInfo.php?workbook=14_09.xlsx&amp;sheet=A0&amp;row=2639&amp;col=6&amp;number=2530000000&amp;sourceID=14","2530000000")</f>
        <v>2530000000</v>
      </c>
      <c r="G2639" s="4" t="str">
        <f>HYPERLINK("http://141.218.60.56/~jnz1568/getInfo.php?workbook=14_09.xlsx&amp;sheet=A0&amp;row=2639&amp;col=7&amp;number=0&amp;sourceID=14","0")</f>
        <v>0</v>
      </c>
    </row>
    <row r="2640" spans="1:7">
      <c r="A2640" s="3">
        <v>14</v>
      </c>
      <c r="B2640" s="3">
        <v>9</v>
      </c>
      <c r="C2640" s="3">
        <v>194</v>
      </c>
      <c r="D2640" s="3">
        <v>54</v>
      </c>
      <c r="E2640" s="3">
        <v>-208.529</v>
      </c>
      <c r="F2640" s="4" t="str">
        <f>HYPERLINK("http://141.218.60.56/~jnz1568/getInfo.php?workbook=14_09.xlsx&amp;sheet=A0&amp;row=2640&amp;col=6&amp;number=30200000000&amp;sourceID=14","30200000000")</f>
        <v>30200000000</v>
      </c>
      <c r="G2640" s="4" t="str">
        <f>HYPERLINK("http://141.218.60.56/~jnz1568/getInfo.php?workbook=14_09.xlsx&amp;sheet=A0&amp;row=2640&amp;col=7&amp;number=0&amp;sourceID=14","0")</f>
        <v>0</v>
      </c>
    </row>
    <row r="2641" spans="1:7">
      <c r="A2641" s="3">
        <v>14</v>
      </c>
      <c r="B2641" s="3">
        <v>9</v>
      </c>
      <c r="C2641" s="3">
        <v>195</v>
      </c>
      <c r="D2641" s="3">
        <v>54</v>
      </c>
      <c r="E2641" s="3">
        <v>-208.5</v>
      </c>
      <c r="F2641" s="4" t="str">
        <f>HYPERLINK("http://141.218.60.56/~jnz1568/getInfo.php?workbook=14_09.xlsx&amp;sheet=A0&amp;row=2641&amp;col=6&amp;number=6680000000&amp;sourceID=14","6680000000")</f>
        <v>6680000000</v>
      </c>
      <c r="G2641" s="4" t="str">
        <f>HYPERLINK("http://141.218.60.56/~jnz1568/getInfo.php?workbook=14_09.xlsx&amp;sheet=A0&amp;row=2641&amp;col=7&amp;number=0&amp;sourceID=14","0")</f>
        <v>0</v>
      </c>
    </row>
    <row r="2642" spans="1:7">
      <c r="A2642" s="3">
        <v>14</v>
      </c>
      <c r="B2642" s="3">
        <v>9</v>
      </c>
      <c r="C2642" s="3">
        <v>68</v>
      </c>
      <c r="D2642" s="3">
        <v>55</v>
      </c>
      <c r="E2642" s="3">
        <v>-941.949</v>
      </c>
      <c r="F2642" s="4" t="str">
        <f>HYPERLINK("http://141.218.60.56/~jnz1568/getInfo.php?workbook=14_09.xlsx&amp;sheet=A0&amp;row=2642&amp;col=6&amp;number=668000&amp;sourceID=14","668000")</f>
        <v>668000</v>
      </c>
      <c r="G2642" s="4" t="str">
        <f>HYPERLINK("http://141.218.60.56/~jnz1568/getInfo.php?workbook=14_09.xlsx&amp;sheet=A0&amp;row=2642&amp;col=7&amp;number=0&amp;sourceID=14","0")</f>
        <v>0</v>
      </c>
    </row>
    <row r="2643" spans="1:7">
      <c r="A2643" s="3">
        <v>14</v>
      </c>
      <c r="B2643" s="3">
        <v>9</v>
      </c>
      <c r="C2643" s="3">
        <v>71</v>
      </c>
      <c r="D2643" s="3">
        <v>55</v>
      </c>
      <c r="E2643" s="3">
        <v>-879.579</v>
      </c>
      <c r="F2643" s="4" t="str">
        <f>HYPERLINK("http://141.218.60.56/~jnz1568/getInfo.php?workbook=14_09.xlsx&amp;sheet=A0&amp;row=2643&amp;col=6&amp;number=1770000&amp;sourceID=14","1770000")</f>
        <v>1770000</v>
      </c>
      <c r="G2643" s="4" t="str">
        <f>HYPERLINK("http://141.218.60.56/~jnz1568/getInfo.php?workbook=14_09.xlsx&amp;sheet=A0&amp;row=2643&amp;col=7&amp;number=0&amp;sourceID=14","0")</f>
        <v>0</v>
      </c>
    </row>
    <row r="2644" spans="1:7">
      <c r="A2644" s="3">
        <v>14</v>
      </c>
      <c r="B2644" s="3">
        <v>9</v>
      </c>
      <c r="C2644" s="3">
        <v>73</v>
      </c>
      <c r="D2644" s="3">
        <v>55</v>
      </c>
      <c r="E2644" s="3">
        <v>-870.968</v>
      </c>
      <c r="F2644" s="4" t="str">
        <f>HYPERLINK("http://141.218.60.56/~jnz1568/getInfo.php?workbook=14_09.xlsx&amp;sheet=A0&amp;row=2644&amp;col=6&amp;number=780000&amp;sourceID=14","780000")</f>
        <v>780000</v>
      </c>
      <c r="G2644" s="4" t="str">
        <f>HYPERLINK("http://141.218.60.56/~jnz1568/getInfo.php?workbook=14_09.xlsx&amp;sheet=A0&amp;row=2644&amp;col=7&amp;number=0&amp;sourceID=14","0")</f>
        <v>0</v>
      </c>
    </row>
    <row r="2645" spans="1:7">
      <c r="A2645" s="3">
        <v>14</v>
      </c>
      <c r="B2645" s="3">
        <v>9</v>
      </c>
      <c r="C2645" s="3">
        <v>74</v>
      </c>
      <c r="D2645" s="3">
        <v>55</v>
      </c>
      <c r="E2645" s="3">
        <v>-861.885</v>
      </c>
      <c r="F2645" s="4" t="str">
        <f>HYPERLINK("http://141.218.60.56/~jnz1568/getInfo.php?workbook=14_09.xlsx&amp;sheet=A0&amp;row=2645&amp;col=6&amp;number=106000000&amp;sourceID=14","106000000")</f>
        <v>106000000</v>
      </c>
      <c r="G2645" s="4" t="str">
        <f>HYPERLINK("http://141.218.60.56/~jnz1568/getInfo.php?workbook=14_09.xlsx&amp;sheet=A0&amp;row=2645&amp;col=7&amp;number=0&amp;sourceID=14","0")</f>
        <v>0</v>
      </c>
    </row>
    <row r="2646" spans="1:7">
      <c r="A2646" s="3">
        <v>14</v>
      </c>
      <c r="B2646" s="3">
        <v>9</v>
      </c>
      <c r="C2646" s="3">
        <v>75</v>
      </c>
      <c r="D2646" s="3">
        <v>55</v>
      </c>
      <c r="E2646" s="3">
        <v>-857.767</v>
      </c>
      <c r="F2646" s="4" t="str">
        <f>HYPERLINK("http://141.218.60.56/~jnz1568/getInfo.php?workbook=14_09.xlsx&amp;sheet=A0&amp;row=2646&amp;col=6&amp;number=494000&amp;sourceID=14","494000")</f>
        <v>494000</v>
      </c>
      <c r="G2646" s="4" t="str">
        <f>HYPERLINK("http://141.218.60.56/~jnz1568/getInfo.php?workbook=14_09.xlsx&amp;sheet=A0&amp;row=2646&amp;col=7&amp;number=0&amp;sourceID=14","0")</f>
        <v>0</v>
      </c>
    </row>
    <row r="2647" spans="1:7">
      <c r="A2647" s="3">
        <v>14</v>
      </c>
      <c r="B2647" s="3">
        <v>9</v>
      </c>
      <c r="C2647" s="3">
        <v>76</v>
      </c>
      <c r="D2647" s="3">
        <v>55</v>
      </c>
      <c r="E2647" s="3">
        <v>-855.668</v>
      </c>
      <c r="F2647" s="4" t="str">
        <f>HYPERLINK("http://141.218.60.56/~jnz1568/getInfo.php?workbook=14_09.xlsx&amp;sheet=A0&amp;row=2647&amp;col=6&amp;number=12500000&amp;sourceID=14","12500000")</f>
        <v>12500000</v>
      </c>
      <c r="G2647" s="4" t="str">
        <f>HYPERLINK("http://141.218.60.56/~jnz1568/getInfo.php?workbook=14_09.xlsx&amp;sheet=A0&amp;row=2647&amp;col=7&amp;number=0&amp;sourceID=14","0")</f>
        <v>0</v>
      </c>
    </row>
    <row r="2648" spans="1:7">
      <c r="A2648" s="3">
        <v>14</v>
      </c>
      <c r="B2648" s="3">
        <v>9</v>
      </c>
      <c r="C2648" s="3">
        <v>77</v>
      </c>
      <c r="D2648" s="3">
        <v>55</v>
      </c>
      <c r="E2648" s="3">
        <v>-806.59</v>
      </c>
      <c r="F2648" s="4" t="str">
        <f>HYPERLINK("http://141.218.60.56/~jnz1568/getInfo.php?workbook=14_09.xlsx&amp;sheet=A0&amp;row=2648&amp;col=6&amp;number=279000&amp;sourceID=14","279000")</f>
        <v>279000</v>
      </c>
      <c r="G2648" s="4" t="str">
        <f>HYPERLINK("http://141.218.60.56/~jnz1568/getInfo.php?workbook=14_09.xlsx&amp;sheet=A0&amp;row=2648&amp;col=7&amp;number=0&amp;sourceID=14","0")</f>
        <v>0</v>
      </c>
    </row>
    <row r="2649" spans="1:7">
      <c r="A2649" s="3">
        <v>14</v>
      </c>
      <c r="B2649" s="3">
        <v>9</v>
      </c>
      <c r="C2649" s="3">
        <v>78</v>
      </c>
      <c r="D2649" s="3">
        <v>55</v>
      </c>
      <c r="E2649" s="3">
        <v>-800.943</v>
      </c>
      <c r="F2649" s="4" t="str">
        <f>HYPERLINK("http://141.218.60.56/~jnz1568/getInfo.php?workbook=14_09.xlsx&amp;sheet=A0&amp;row=2649&amp;col=6&amp;number=42100000&amp;sourceID=14","42100000")</f>
        <v>42100000</v>
      </c>
      <c r="G2649" s="4" t="str">
        <f>HYPERLINK("http://141.218.60.56/~jnz1568/getInfo.php?workbook=14_09.xlsx&amp;sheet=A0&amp;row=2649&amp;col=7&amp;number=0&amp;sourceID=14","0")</f>
        <v>0</v>
      </c>
    </row>
    <row r="2650" spans="1:7">
      <c r="A2650" s="3">
        <v>14</v>
      </c>
      <c r="B2650" s="3">
        <v>9</v>
      </c>
      <c r="C2650" s="3">
        <v>83</v>
      </c>
      <c r="D2650" s="3">
        <v>55</v>
      </c>
      <c r="E2650" s="3">
        <v>-752.039</v>
      </c>
      <c r="F2650" s="4" t="str">
        <f>HYPERLINK("http://141.218.60.56/~jnz1568/getInfo.php?workbook=14_09.xlsx&amp;sheet=A0&amp;row=2650&amp;col=6&amp;number=185000&amp;sourceID=14","185000")</f>
        <v>185000</v>
      </c>
      <c r="G2650" s="4" t="str">
        <f>HYPERLINK("http://141.218.60.56/~jnz1568/getInfo.php?workbook=14_09.xlsx&amp;sheet=A0&amp;row=2650&amp;col=7&amp;number=0&amp;sourceID=14","0")</f>
        <v>0</v>
      </c>
    </row>
    <row r="2651" spans="1:7">
      <c r="A2651" s="3">
        <v>14</v>
      </c>
      <c r="B2651" s="3">
        <v>9</v>
      </c>
      <c r="C2651" s="3">
        <v>84</v>
      </c>
      <c r="D2651" s="3">
        <v>55</v>
      </c>
      <c r="E2651" s="3">
        <v>-706.66</v>
      </c>
      <c r="F2651" s="4" t="str">
        <f>HYPERLINK("http://141.218.60.56/~jnz1568/getInfo.php?workbook=14_09.xlsx&amp;sheet=A0&amp;row=2651&amp;col=6&amp;number=17200000&amp;sourceID=14","17200000")</f>
        <v>17200000</v>
      </c>
      <c r="G2651" s="4" t="str">
        <f>HYPERLINK("http://141.218.60.56/~jnz1568/getInfo.php?workbook=14_09.xlsx&amp;sheet=A0&amp;row=2651&amp;col=7&amp;number=0&amp;sourceID=14","0")</f>
        <v>0</v>
      </c>
    </row>
    <row r="2652" spans="1:7">
      <c r="A2652" s="3">
        <v>14</v>
      </c>
      <c r="B2652" s="3">
        <v>9</v>
      </c>
      <c r="C2652" s="3">
        <v>85</v>
      </c>
      <c r="D2652" s="3">
        <v>55</v>
      </c>
      <c r="E2652" s="3">
        <v>-693.574</v>
      </c>
      <c r="F2652" s="4" t="str">
        <f>HYPERLINK("http://141.218.60.56/~jnz1568/getInfo.php?workbook=14_09.xlsx&amp;sheet=A0&amp;row=2652&amp;col=6&amp;number=280000000&amp;sourceID=14","280000000")</f>
        <v>280000000</v>
      </c>
      <c r="G2652" s="4" t="str">
        <f>HYPERLINK("http://141.218.60.56/~jnz1568/getInfo.php?workbook=14_09.xlsx&amp;sheet=A0&amp;row=2652&amp;col=7&amp;number=0&amp;sourceID=14","0")</f>
        <v>0</v>
      </c>
    </row>
    <row r="2653" spans="1:7">
      <c r="A2653" s="3">
        <v>14</v>
      </c>
      <c r="B2653" s="3">
        <v>9</v>
      </c>
      <c r="C2653" s="3">
        <v>108</v>
      </c>
      <c r="D2653" s="3">
        <v>55</v>
      </c>
      <c r="E2653" s="3">
        <v>-623.19</v>
      </c>
      <c r="F2653" s="4" t="str">
        <f>HYPERLINK("http://141.218.60.56/~jnz1568/getInfo.php?workbook=14_09.xlsx&amp;sheet=A0&amp;row=2653&amp;col=6&amp;number=132000000&amp;sourceID=14","132000000")</f>
        <v>132000000</v>
      </c>
      <c r="G2653" s="4" t="str">
        <f>HYPERLINK("http://141.218.60.56/~jnz1568/getInfo.php?workbook=14_09.xlsx&amp;sheet=A0&amp;row=2653&amp;col=7&amp;number=0&amp;sourceID=14","0")</f>
        <v>0</v>
      </c>
    </row>
    <row r="2654" spans="1:7">
      <c r="A2654" s="3">
        <v>14</v>
      </c>
      <c r="B2654" s="3">
        <v>9</v>
      </c>
      <c r="C2654" s="3">
        <v>113</v>
      </c>
      <c r="D2654" s="3">
        <v>55</v>
      </c>
      <c r="E2654" s="3">
        <v>-619.507</v>
      </c>
      <c r="F2654" s="4" t="str">
        <f>HYPERLINK("http://141.218.60.56/~jnz1568/getInfo.php?workbook=14_09.xlsx&amp;sheet=A0&amp;row=2654&amp;col=6&amp;number=308000000&amp;sourceID=14","308000000")</f>
        <v>308000000</v>
      </c>
      <c r="G2654" s="4" t="str">
        <f>HYPERLINK("http://141.218.60.56/~jnz1568/getInfo.php?workbook=14_09.xlsx&amp;sheet=A0&amp;row=2654&amp;col=7&amp;number=0&amp;sourceID=14","0")</f>
        <v>0</v>
      </c>
    </row>
    <row r="2655" spans="1:7">
      <c r="A2655" s="3">
        <v>14</v>
      </c>
      <c r="B2655" s="3">
        <v>9</v>
      </c>
      <c r="C2655" s="3">
        <v>116</v>
      </c>
      <c r="D2655" s="3">
        <v>55</v>
      </c>
      <c r="E2655" s="3">
        <v>-618.824</v>
      </c>
      <c r="F2655" s="4" t="str">
        <f>HYPERLINK("http://141.218.60.56/~jnz1568/getInfo.php?workbook=14_09.xlsx&amp;sheet=A0&amp;row=2655&amp;col=6&amp;number=301000000&amp;sourceID=14","301000000")</f>
        <v>301000000</v>
      </c>
      <c r="G2655" s="4" t="str">
        <f>HYPERLINK("http://141.218.60.56/~jnz1568/getInfo.php?workbook=14_09.xlsx&amp;sheet=A0&amp;row=2655&amp;col=7&amp;number=0&amp;sourceID=14","0")</f>
        <v>0</v>
      </c>
    </row>
    <row r="2656" spans="1:7">
      <c r="A2656" s="3">
        <v>14</v>
      </c>
      <c r="B2656" s="3">
        <v>9</v>
      </c>
      <c r="C2656" s="3">
        <v>117</v>
      </c>
      <c r="D2656" s="3">
        <v>55</v>
      </c>
      <c r="E2656" s="3">
        <v>-608.648</v>
      </c>
      <c r="F2656" s="4" t="str">
        <f>HYPERLINK("http://141.218.60.56/~jnz1568/getInfo.php?workbook=14_09.xlsx&amp;sheet=A0&amp;row=2656&amp;col=6&amp;number=362000000&amp;sourceID=14","362000000")</f>
        <v>362000000</v>
      </c>
      <c r="G2656" s="4" t="str">
        <f>HYPERLINK("http://141.218.60.56/~jnz1568/getInfo.php?workbook=14_09.xlsx&amp;sheet=A0&amp;row=2656&amp;col=7&amp;number=0&amp;sourceID=14","0")</f>
        <v>0</v>
      </c>
    </row>
    <row r="2657" spans="1:7">
      <c r="A2657" s="3">
        <v>14</v>
      </c>
      <c r="B2657" s="3">
        <v>9</v>
      </c>
      <c r="C2657" s="3">
        <v>125</v>
      </c>
      <c r="D2657" s="3">
        <v>55</v>
      </c>
      <c r="E2657" s="3">
        <v>-578.046</v>
      </c>
      <c r="F2657" s="4" t="str">
        <f>HYPERLINK("http://141.218.60.56/~jnz1568/getInfo.php?workbook=14_09.xlsx&amp;sheet=A0&amp;row=2657&amp;col=6&amp;number=58600000&amp;sourceID=14","58600000")</f>
        <v>58600000</v>
      </c>
      <c r="G2657" s="4" t="str">
        <f>HYPERLINK("http://141.218.60.56/~jnz1568/getInfo.php?workbook=14_09.xlsx&amp;sheet=A0&amp;row=2657&amp;col=7&amp;number=0&amp;sourceID=14","0")</f>
        <v>0</v>
      </c>
    </row>
    <row r="2658" spans="1:7">
      <c r="A2658" s="3">
        <v>14</v>
      </c>
      <c r="B2658" s="3">
        <v>9</v>
      </c>
      <c r="C2658" s="3">
        <v>126</v>
      </c>
      <c r="D2658" s="3">
        <v>55</v>
      </c>
      <c r="E2658" s="3">
        <v>-571.25</v>
      </c>
      <c r="F2658" s="4" t="str">
        <f>HYPERLINK("http://141.218.60.56/~jnz1568/getInfo.php?workbook=14_09.xlsx&amp;sheet=A0&amp;row=2658&amp;col=6&amp;number=599000000&amp;sourceID=14","599000000")</f>
        <v>599000000</v>
      </c>
      <c r="G2658" s="4" t="str">
        <f>HYPERLINK("http://141.218.60.56/~jnz1568/getInfo.php?workbook=14_09.xlsx&amp;sheet=A0&amp;row=2658&amp;col=7&amp;number=0&amp;sourceID=14","0")</f>
        <v>0</v>
      </c>
    </row>
    <row r="2659" spans="1:7">
      <c r="A2659" s="3">
        <v>14</v>
      </c>
      <c r="B2659" s="3">
        <v>9</v>
      </c>
      <c r="C2659" s="3">
        <v>138</v>
      </c>
      <c r="D2659" s="3">
        <v>55</v>
      </c>
      <c r="E2659" s="3">
        <v>-483.034</v>
      </c>
      <c r="F2659" s="4" t="str">
        <f>HYPERLINK("http://141.218.60.56/~jnz1568/getInfo.php?workbook=14_09.xlsx&amp;sheet=A0&amp;row=2659&amp;col=6&amp;number=2530000000&amp;sourceID=14","2530000000")</f>
        <v>2530000000</v>
      </c>
      <c r="G2659" s="4" t="str">
        <f>HYPERLINK("http://141.218.60.56/~jnz1568/getInfo.php?workbook=14_09.xlsx&amp;sheet=A0&amp;row=2659&amp;col=7&amp;number=0&amp;sourceID=14","0")</f>
        <v>0</v>
      </c>
    </row>
    <row r="2660" spans="1:7">
      <c r="A2660" s="3">
        <v>14</v>
      </c>
      <c r="B2660" s="3">
        <v>9</v>
      </c>
      <c r="C2660" s="3">
        <v>139</v>
      </c>
      <c r="D2660" s="3">
        <v>55</v>
      </c>
      <c r="E2660" s="3">
        <v>-482.992</v>
      </c>
      <c r="F2660" s="4" t="str">
        <f>HYPERLINK("http://141.218.60.56/~jnz1568/getInfo.php?workbook=14_09.xlsx&amp;sheet=A0&amp;row=2660&amp;col=6&amp;number=2910000000&amp;sourceID=14","2910000000")</f>
        <v>2910000000</v>
      </c>
      <c r="G2660" s="4" t="str">
        <f>HYPERLINK("http://141.218.60.56/~jnz1568/getInfo.php?workbook=14_09.xlsx&amp;sheet=A0&amp;row=2660&amp;col=7&amp;number=0&amp;sourceID=14","0")</f>
        <v>0</v>
      </c>
    </row>
    <row r="2661" spans="1:7">
      <c r="A2661" s="3">
        <v>14</v>
      </c>
      <c r="B2661" s="3">
        <v>9</v>
      </c>
      <c r="C2661" s="3">
        <v>142</v>
      </c>
      <c r="D2661" s="3">
        <v>55</v>
      </c>
      <c r="E2661" s="3">
        <v>-479.794</v>
      </c>
      <c r="F2661" s="4" t="str">
        <f>HYPERLINK("http://141.218.60.56/~jnz1568/getInfo.php?workbook=14_09.xlsx&amp;sheet=A0&amp;row=2661&amp;col=6&amp;number=7910000000&amp;sourceID=14","7910000000")</f>
        <v>7910000000</v>
      </c>
      <c r="G2661" s="4" t="str">
        <f>HYPERLINK("http://141.218.60.56/~jnz1568/getInfo.php?workbook=14_09.xlsx&amp;sheet=A0&amp;row=2661&amp;col=7&amp;number=0&amp;sourceID=14","0")</f>
        <v>0</v>
      </c>
    </row>
    <row r="2662" spans="1:7">
      <c r="A2662" s="3">
        <v>14</v>
      </c>
      <c r="B2662" s="3">
        <v>9</v>
      </c>
      <c r="C2662" s="3">
        <v>160</v>
      </c>
      <c r="D2662" s="3">
        <v>55</v>
      </c>
      <c r="E2662" s="3">
        <v>-435.329</v>
      </c>
      <c r="F2662" s="4" t="str">
        <f>HYPERLINK("http://141.218.60.56/~jnz1568/getInfo.php?workbook=14_09.xlsx&amp;sheet=A0&amp;row=2662&amp;col=6&amp;number=17700000&amp;sourceID=14","17700000")</f>
        <v>17700000</v>
      </c>
      <c r="G2662" s="4" t="str">
        <f>HYPERLINK("http://141.218.60.56/~jnz1568/getInfo.php?workbook=14_09.xlsx&amp;sheet=A0&amp;row=2662&amp;col=7&amp;number=0&amp;sourceID=14","0")</f>
        <v>0</v>
      </c>
    </row>
    <row r="2663" spans="1:7">
      <c r="A2663" s="3">
        <v>14</v>
      </c>
      <c r="B2663" s="3">
        <v>9</v>
      </c>
      <c r="C2663" s="3">
        <v>166</v>
      </c>
      <c r="D2663" s="3">
        <v>55</v>
      </c>
      <c r="E2663" s="3">
        <v>-348.586</v>
      </c>
      <c r="F2663" s="4" t="str">
        <f>HYPERLINK("http://141.218.60.56/~jnz1568/getInfo.php?workbook=14_09.xlsx&amp;sheet=A0&amp;row=2663&amp;col=6&amp;number=2940000&amp;sourceID=14","2940000")</f>
        <v>2940000</v>
      </c>
      <c r="G2663" s="4" t="str">
        <f>HYPERLINK("http://141.218.60.56/~jnz1568/getInfo.php?workbook=14_09.xlsx&amp;sheet=A0&amp;row=2663&amp;col=7&amp;number=0&amp;sourceID=14","0")</f>
        <v>0</v>
      </c>
    </row>
    <row r="2664" spans="1:7">
      <c r="A2664" s="3">
        <v>14</v>
      </c>
      <c r="B2664" s="3">
        <v>9</v>
      </c>
      <c r="C2664" s="3">
        <v>167</v>
      </c>
      <c r="D2664" s="3">
        <v>55</v>
      </c>
      <c r="E2664" s="3">
        <v>-348.412</v>
      </c>
      <c r="F2664" s="4" t="str">
        <f>HYPERLINK("http://141.218.60.56/~jnz1568/getInfo.php?workbook=14_09.xlsx&amp;sheet=A0&amp;row=2664&amp;col=6&amp;number=48900000&amp;sourceID=14","48900000")</f>
        <v>48900000</v>
      </c>
      <c r="G2664" s="4" t="str">
        <f>HYPERLINK("http://141.218.60.56/~jnz1568/getInfo.php?workbook=14_09.xlsx&amp;sheet=A0&amp;row=2664&amp;col=7&amp;number=0&amp;sourceID=14","0")</f>
        <v>0</v>
      </c>
    </row>
    <row r="2665" spans="1:7">
      <c r="A2665" s="3">
        <v>14</v>
      </c>
      <c r="B2665" s="3">
        <v>9</v>
      </c>
      <c r="C2665" s="3">
        <v>168</v>
      </c>
      <c r="D2665" s="3">
        <v>55</v>
      </c>
      <c r="E2665" s="3">
        <v>-323.577</v>
      </c>
      <c r="F2665" s="4" t="str">
        <f>HYPERLINK("http://141.218.60.56/~jnz1568/getInfo.php?workbook=14_09.xlsx&amp;sheet=A0&amp;row=2665&amp;col=6&amp;number=2550000&amp;sourceID=14","2550000")</f>
        <v>2550000</v>
      </c>
      <c r="G2665" s="4" t="str">
        <f>HYPERLINK("http://141.218.60.56/~jnz1568/getInfo.php?workbook=14_09.xlsx&amp;sheet=A0&amp;row=2665&amp;col=7&amp;number=0&amp;sourceID=14","0")</f>
        <v>0</v>
      </c>
    </row>
    <row r="2666" spans="1:7">
      <c r="A2666" s="3">
        <v>14</v>
      </c>
      <c r="B2666" s="3">
        <v>9</v>
      </c>
      <c r="C2666" s="3">
        <v>174</v>
      </c>
      <c r="D2666" s="3">
        <v>55</v>
      </c>
      <c r="E2666" s="3">
        <v>-314.777</v>
      </c>
      <c r="F2666" s="4" t="str">
        <f>HYPERLINK("http://141.218.60.56/~jnz1568/getInfo.php?workbook=14_09.xlsx&amp;sheet=A0&amp;row=2666&amp;col=6&amp;number=4660000&amp;sourceID=14","4660000")</f>
        <v>4660000</v>
      </c>
      <c r="G2666" s="4" t="str">
        <f>HYPERLINK("http://141.218.60.56/~jnz1568/getInfo.php?workbook=14_09.xlsx&amp;sheet=A0&amp;row=2666&amp;col=7&amp;number=0&amp;sourceID=14","0")</f>
        <v>0</v>
      </c>
    </row>
    <row r="2667" spans="1:7">
      <c r="A2667" s="3">
        <v>14</v>
      </c>
      <c r="B2667" s="3">
        <v>9</v>
      </c>
      <c r="C2667" s="3">
        <v>179</v>
      </c>
      <c r="D2667" s="3">
        <v>55</v>
      </c>
      <c r="E2667" s="3">
        <v>-307.229</v>
      </c>
      <c r="F2667" s="4" t="str">
        <f>HYPERLINK("http://141.218.60.56/~jnz1568/getInfo.php?workbook=14_09.xlsx&amp;sheet=A0&amp;row=2667&amp;col=6&amp;number=7510000&amp;sourceID=14","7510000")</f>
        <v>7510000</v>
      </c>
      <c r="G2667" s="4" t="str">
        <f>HYPERLINK("http://141.218.60.56/~jnz1568/getInfo.php?workbook=14_09.xlsx&amp;sheet=A0&amp;row=2667&amp;col=7&amp;number=0&amp;sourceID=14","0")</f>
        <v>0</v>
      </c>
    </row>
    <row r="2668" spans="1:7">
      <c r="A2668" s="3">
        <v>14</v>
      </c>
      <c r="B2668" s="3">
        <v>9</v>
      </c>
      <c r="C2668" s="3">
        <v>182</v>
      </c>
      <c r="D2668" s="3">
        <v>55</v>
      </c>
      <c r="E2668" s="3">
        <v>-302.103</v>
      </c>
      <c r="F2668" s="4" t="str">
        <f>HYPERLINK("http://141.218.60.56/~jnz1568/getInfo.php?workbook=14_09.xlsx&amp;sheet=A0&amp;row=2668&amp;col=6&amp;number=458000000&amp;sourceID=14","458000000")</f>
        <v>458000000</v>
      </c>
      <c r="G2668" s="4" t="str">
        <f>HYPERLINK("http://141.218.60.56/~jnz1568/getInfo.php?workbook=14_09.xlsx&amp;sheet=A0&amp;row=2668&amp;col=7&amp;number=0&amp;sourceID=14","0")</f>
        <v>0</v>
      </c>
    </row>
    <row r="2669" spans="1:7">
      <c r="A2669" s="3">
        <v>14</v>
      </c>
      <c r="B2669" s="3">
        <v>9</v>
      </c>
      <c r="C2669" s="3">
        <v>183</v>
      </c>
      <c r="D2669" s="3">
        <v>55</v>
      </c>
      <c r="E2669" s="3">
        <v>-294.557</v>
      </c>
      <c r="F2669" s="4" t="str">
        <f>HYPERLINK("http://141.218.60.56/~jnz1568/getInfo.php?workbook=14_09.xlsx&amp;sheet=A0&amp;row=2669&amp;col=6&amp;number=85500000&amp;sourceID=14","85500000")</f>
        <v>85500000</v>
      </c>
      <c r="G2669" s="4" t="str">
        <f>HYPERLINK("http://141.218.60.56/~jnz1568/getInfo.php?workbook=14_09.xlsx&amp;sheet=A0&amp;row=2669&amp;col=7&amp;number=0&amp;sourceID=14","0")</f>
        <v>0</v>
      </c>
    </row>
    <row r="2670" spans="1:7">
      <c r="A2670" s="3">
        <v>14</v>
      </c>
      <c r="B2670" s="3">
        <v>9</v>
      </c>
      <c r="C2670" s="3">
        <v>184</v>
      </c>
      <c r="D2670" s="3">
        <v>55</v>
      </c>
      <c r="E2670" s="3">
        <v>-292.501</v>
      </c>
      <c r="F2670" s="4" t="str">
        <f>HYPERLINK("http://141.218.60.56/~jnz1568/getInfo.php?workbook=14_09.xlsx&amp;sheet=A0&amp;row=2670&amp;col=6&amp;number=20400000&amp;sourceID=14","20400000")</f>
        <v>20400000</v>
      </c>
      <c r="G2670" s="4" t="str">
        <f>HYPERLINK("http://141.218.60.56/~jnz1568/getInfo.php?workbook=14_09.xlsx&amp;sheet=A0&amp;row=2670&amp;col=7&amp;number=0&amp;sourceID=14","0")</f>
        <v>0</v>
      </c>
    </row>
    <row r="2671" spans="1:7">
      <c r="A2671" s="3">
        <v>14</v>
      </c>
      <c r="B2671" s="3">
        <v>9</v>
      </c>
      <c r="C2671" s="3">
        <v>192</v>
      </c>
      <c r="D2671" s="3">
        <v>55</v>
      </c>
      <c r="E2671" s="3">
        <v>-209.987</v>
      </c>
      <c r="F2671" s="4" t="str">
        <f>HYPERLINK("http://141.218.60.56/~jnz1568/getInfo.php?workbook=14_09.xlsx&amp;sheet=A0&amp;row=2671&amp;col=6&amp;number=7160000000&amp;sourceID=14","7160000000")</f>
        <v>7160000000</v>
      </c>
      <c r="G2671" s="4" t="str">
        <f>HYPERLINK("http://141.218.60.56/~jnz1568/getInfo.php?workbook=14_09.xlsx&amp;sheet=A0&amp;row=2671&amp;col=7&amp;number=0&amp;sourceID=14","0")</f>
        <v>0</v>
      </c>
    </row>
    <row r="2672" spans="1:7">
      <c r="A2672" s="3">
        <v>14</v>
      </c>
      <c r="B2672" s="3">
        <v>9</v>
      </c>
      <c r="C2672" s="3">
        <v>193</v>
      </c>
      <c r="D2672" s="3">
        <v>55</v>
      </c>
      <c r="E2672" s="3">
        <v>-209.927</v>
      </c>
      <c r="F2672" s="4" t="str">
        <f>HYPERLINK("http://141.218.60.56/~jnz1568/getInfo.php?workbook=14_09.xlsx&amp;sheet=A0&amp;row=2672&amp;col=6&amp;number=9440000000&amp;sourceID=14","9440000000")</f>
        <v>9440000000</v>
      </c>
      <c r="G2672" s="4" t="str">
        <f>HYPERLINK("http://141.218.60.56/~jnz1568/getInfo.php?workbook=14_09.xlsx&amp;sheet=A0&amp;row=2672&amp;col=7&amp;number=0&amp;sourceID=14","0")</f>
        <v>0</v>
      </c>
    </row>
    <row r="2673" spans="1:7">
      <c r="A2673" s="3">
        <v>14</v>
      </c>
      <c r="B2673" s="3">
        <v>9</v>
      </c>
      <c r="C2673" s="3">
        <v>194</v>
      </c>
      <c r="D2673" s="3">
        <v>55</v>
      </c>
      <c r="E2673" s="3">
        <v>-208.684</v>
      </c>
      <c r="F2673" s="4" t="str">
        <f>HYPERLINK("http://141.218.60.56/~jnz1568/getInfo.php?workbook=14_09.xlsx&amp;sheet=A0&amp;row=2673&amp;col=6&amp;number=2910000000&amp;sourceID=14","2910000000")</f>
        <v>2910000000</v>
      </c>
      <c r="G2673" s="4" t="str">
        <f>HYPERLINK("http://141.218.60.56/~jnz1568/getInfo.php?workbook=14_09.xlsx&amp;sheet=A0&amp;row=2673&amp;col=7&amp;number=0&amp;sourceID=14","0")</f>
        <v>0</v>
      </c>
    </row>
    <row r="2674" spans="1:7">
      <c r="A2674" s="3">
        <v>14</v>
      </c>
      <c r="B2674" s="3">
        <v>9</v>
      </c>
      <c r="C2674" s="3">
        <v>69</v>
      </c>
      <c r="D2674" s="3">
        <v>56</v>
      </c>
      <c r="E2674" s="3">
        <v>-906.217</v>
      </c>
      <c r="F2674" s="4" t="str">
        <f>HYPERLINK("http://141.218.60.56/~jnz1568/getInfo.php?workbook=14_09.xlsx&amp;sheet=A0&amp;row=2674&amp;col=6&amp;number=64600&amp;sourceID=14","64600")</f>
        <v>64600</v>
      </c>
      <c r="G2674" s="4" t="str">
        <f>HYPERLINK("http://141.218.60.56/~jnz1568/getInfo.php?workbook=14_09.xlsx&amp;sheet=A0&amp;row=2674&amp;col=7&amp;number=0&amp;sourceID=14","0")</f>
        <v>0</v>
      </c>
    </row>
    <row r="2675" spans="1:7">
      <c r="A2675" s="3">
        <v>14</v>
      </c>
      <c r="B2675" s="3">
        <v>9</v>
      </c>
      <c r="C2675" s="3">
        <v>70</v>
      </c>
      <c r="D2675" s="3">
        <v>56</v>
      </c>
      <c r="E2675" s="3">
        <v>-895.955</v>
      </c>
      <c r="F2675" s="4" t="str">
        <f>HYPERLINK("http://141.218.60.56/~jnz1568/getInfo.php?workbook=14_09.xlsx&amp;sheet=A0&amp;row=2675&amp;col=6&amp;number=793000&amp;sourceID=14","793000")</f>
        <v>793000</v>
      </c>
      <c r="G2675" s="4" t="str">
        <f>HYPERLINK("http://141.218.60.56/~jnz1568/getInfo.php?workbook=14_09.xlsx&amp;sheet=A0&amp;row=2675&amp;col=7&amp;number=0&amp;sourceID=14","0")</f>
        <v>0</v>
      </c>
    </row>
    <row r="2676" spans="1:7">
      <c r="A2676" s="3">
        <v>14</v>
      </c>
      <c r="B2676" s="3">
        <v>9</v>
      </c>
      <c r="C2676" s="3">
        <v>72</v>
      </c>
      <c r="D2676" s="3">
        <v>56</v>
      </c>
      <c r="E2676" s="3">
        <v>-873.654</v>
      </c>
      <c r="F2676" s="4" t="str">
        <f>HYPERLINK("http://141.218.60.56/~jnz1568/getInfo.php?workbook=14_09.xlsx&amp;sheet=A0&amp;row=2676&amp;col=6&amp;number=1510000&amp;sourceID=14","1510000")</f>
        <v>1510000</v>
      </c>
      <c r="G2676" s="4" t="str">
        <f>HYPERLINK("http://141.218.60.56/~jnz1568/getInfo.php?workbook=14_09.xlsx&amp;sheet=A0&amp;row=2676&amp;col=7&amp;number=0&amp;sourceID=14","0")</f>
        <v>0</v>
      </c>
    </row>
    <row r="2677" spans="1:7">
      <c r="A2677" s="3">
        <v>14</v>
      </c>
      <c r="B2677" s="3">
        <v>9</v>
      </c>
      <c r="C2677" s="3">
        <v>81</v>
      </c>
      <c r="D2677" s="3">
        <v>56</v>
      </c>
      <c r="E2677" s="3">
        <v>-777.866</v>
      </c>
      <c r="F2677" s="4" t="str">
        <f>HYPERLINK("http://141.218.60.56/~jnz1568/getInfo.php?workbook=14_09.xlsx&amp;sheet=A0&amp;row=2677&amp;col=6&amp;number=299000&amp;sourceID=14","299000")</f>
        <v>299000</v>
      </c>
      <c r="G2677" s="4" t="str">
        <f>HYPERLINK("http://141.218.60.56/~jnz1568/getInfo.php?workbook=14_09.xlsx&amp;sheet=A0&amp;row=2677&amp;col=7&amp;number=0&amp;sourceID=14","0")</f>
        <v>0</v>
      </c>
    </row>
    <row r="2678" spans="1:7">
      <c r="A2678" s="3">
        <v>14</v>
      </c>
      <c r="B2678" s="3">
        <v>9</v>
      </c>
      <c r="C2678" s="3">
        <v>101</v>
      </c>
      <c r="D2678" s="3">
        <v>56</v>
      </c>
      <c r="E2678" s="3">
        <v>-632.56</v>
      </c>
      <c r="F2678" s="4" t="str">
        <f>HYPERLINK("http://141.218.60.56/~jnz1568/getInfo.php?workbook=14_09.xlsx&amp;sheet=A0&amp;row=2678&amp;col=6&amp;number=14300000&amp;sourceID=14","14300000")</f>
        <v>14300000</v>
      </c>
      <c r="G2678" s="4" t="str">
        <f>HYPERLINK("http://141.218.60.56/~jnz1568/getInfo.php?workbook=14_09.xlsx&amp;sheet=A0&amp;row=2678&amp;col=7&amp;number=0&amp;sourceID=14","0")</f>
        <v>0</v>
      </c>
    </row>
    <row r="2679" spans="1:7">
      <c r="A2679" s="3">
        <v>14</v>
      </c>
      <c r="B2679" s="3">
        <v>9</v>
      </c>
      <c r="C2679" s="3">
        <v>102</v>
      </c>
      <c r="D2679" s="3">
        <v>56</v>
      </c>
      <c r="E2679" s="3">
        <v>-631.709</v>
      </c>
      <c r="F2679" s="4" t="str">
        <f>HYPERLINK("http://141.218.60.56/~jnz1568/getInfo.php?workbook=14_09.xlsx&amp;sheet=A0&amp;row=2679&amp;col=6&amp;number=446000000&amp;sourceID=14","446000000")</f>
        <v>446000000</v>
      </c>
      <c r="G2679" s="4" t="str">
        <f>HYPERLINK("http://141.218.60.56/~jnz1568/getInfo.php?workbook=14_09.xlsx&amp;sheet=A0&amp;row=2679&amp;col=7&amp;number=0&amp;sourceID=14","0")</f>
        <v>0</v>
      </c>
    </row>
    <row r="2680" spans="1:7">
      <c r="A2680" s="3">
        <v>14</v>
      </c>
      <c r="B2680" s="3">
        <v>9</v>
      </c>
      <c r="C2680" s="3">
        <v>114</v>
      </c>
      <c r="D2680" s="3">
        <v>56</v>
      </c>
      <c r="E2680" s="3">
        <v>-619.446</v>
      </c>
      <c r="F2680" s="4" t="str">
        <f>HYPERLINK("http://141.218.60.56/~jnz1568/getInfo.php?workbook=14_09.xlsx&amp;sheet=A0&amp;row=2680&amp;col=6&amp;number=21800000&amp;sourceID=14","21800000")</f>
        <v>21800000</v>
      </c>
      <c r="G2680" s="4" t="str">
        <f>HYPERLINK("http://141.218.60.56/~jnz1568/getInfo.php?workbook=14_09.xlsx&amp;sheet=A0&amp;row=2680&amp;col=7&amp;number=0&amp;sourceID=14","0")</f>
        <v>0</v>
      </c>
    </row>
    <row r="2681" spans="1:7">
      <c r="A2681" s="3">
        <v>14</v>
      </c>
      <c r="B2681" s="3">
        <v>9</v>
      </c>
      <c r="C2681" s="3">
        <v>115</v>
      </c>
      <c r="D2681" s="3">
        <v>56</v>
      </c>
      <c r="E2681" s="3">
        <v>-618.932</v>
      </c>
      <c r="F2681" s="4" t="str">
        <f>HYPERLINK("http://141.218.60.56/~jnz1568/getInfo.php?workbook=14_09.xlsx&amp;sheet=A0&amp;row=2681&amp;col=6&amp;number=1260000000&amp;sourceID=14","1260000000")</f>
        <v>1260000000</v>
      </c>
      <c r="G2681" s="4" t="str">
        <f>HYPERLINK("http://141.218.60.56/~jnz1568/getInfo.php?workbook=14_09.xlsx&amp;sheet=A0&amp;row=2681&amp;col=7&amp;number=0&amp;sourceID=14","0")</f>
        <v>0</v>
      </c>
    </row>
    <row r="2682" spans="1:7">
      <c r="A2682" s="3">
        <v>14</v>
      </c>
      <c r="B2682" s="3">
        <v>9</v>
      </c>
      <c r="C2682" s="3">
        <v>119</v>
      </c>
      <c r="D2682" s="3">
        <v>56</v>
      </c>
      <c r="E2682" s="3">
        <v>-606.952</v>
      </c>
      <c r="F2682" s="4" t="str">
        <f>HYPERLINK("http://141.218.60.56/~jnz1568/getInfo.php?workbook=14_09.xlsx&amp;sheet=A0&amp;row=2682&amp;col=6&amp;number=8520000&amp;sourceID=14","8520000")</f>
        <v>8520000</v>
      </c>
      <c r="G2682" s="4" t="str">
        <f>HYPERLINK("http://141.218.60.56/~jnz1568/getInfo.php?workbook=14_09.xlsx&amp;sheet=A0&amp;row=2682&amp;col=7&amp;number=0&amp;sourceID=14","0")</f>
        <v>0</v>
      </c>
    </row>
    <row r="2683" spans="1:7">
      <c r="A2683" s="3">
        <v>14</v>
      </c>
      <c r="B2683" s="3">
        <v>9</v>
      </c>
      <c r="C2683" s="3">
        <v>121</v>
      </c>
      <c r="D2683" s="3">
        <v>56</v>
      </c>
      <c r="E2683" s="3">
        <v>-605.086</v>
      </c>
      <c r="F2683" s="4" t="str">
        <f>HYPERLINK("http://141.218.60.56/~jnz1568/getInfo.php?workbook=14_09.xlsx&amp;sheet=A0&amp;row=2683&amp;col=6&amp;number=730000&amp;sourceID=14","730000")</f>
        <v>730000</v>
      </c>
      <c r="G2683" s="4" t="str">
        <f>HYPERLINK("http://141.218.60.56/~jnz1568/getInfo.php?workbook=14_09.xlsx&amp;sheet=A0&amp;row=2683&amp;col=7&amp;number=0&amp;sourceID=14","0")</f>
        <v>0</v>
      </c>
    </row>
    <row r="2684" spans="1:7">
      <c r="A2684" s="3">
        <v>14</v>
      </c>
      <c r="B2684" s="3">
        <v>9</v>
      </c>
      <c r="C2684" s="3">
        <v>122</v>
      </c>
      <c r="D2684" s="3">
        <v>56</v>
      </c>
      <c r="E2684" s="3">
        <v>-604.669</v>
      </c>
      <c r="F2684" s="4" t="str">
        <f>HYPERLINK("http://141.218.60.56/~jnz1568/getInfo.php?workbook=14_09.xlsx&amp;sheet=A0&amp;row=2684&amp;col=6&amp;number=604000&amp;sourceID=14","604000")</f>
        <v>604000</v>
      </c>
      <c r="G2684" s="4" t="str">
        <f>HYPERLINK("http://141.218.60.56/~jnz1568/getInfo.php?workbook=14_09.xlsx&amp;sheet=A0&amp;row=2684&amp;col=7&amp;number=0&amp;sourceID=14","0")</f>
        <v>0</v>
      </c>
    </row>
    <row r="2685" spans="1:7">
      <c r="A2685" s="3">
        <v>14</v>
      </c>
      <c r="B2685" s="3">
        <v>9</v>
      </c>
      <c r="C2685" s="3">
        <v>141</v>
      </c>
      <c r="D2685" s="3">
        <v>56</v>
      </c>
      <c r="E2685" s="3">
        <v>-479.82</v>
      </c>
      <c r="F2685" s="4" t="str">
        <f>HYPERLINK("http://141.218.60.56/~jnz1568/getInfo.php?workbook=14_09.xlsx&amp;sheet=A0&amp;row=2685&amp;col=6&amp;number=571000000&amp;sourceID=14","571000000")</f>
        <v>571000000</v>
      </c>
      <c r="G2685" s="4" t="str">
        <f>HYPERLINK("http://141.218.60.56/~jnz1568/getInfo.php?workbook=14_09.xlsx&amp;sheet=A0&amp;row=2685&amp;col=7&amp;number=0&amp;sourceID=14","0")</f>
        <v>0</v>
      </c>
    </row>
    <row r="2686" spans="1:7">
      <c r="A2686" s="3">
        <v>14</v>
      </c>
      <c r="B2686" s="3">
        <v>9</v>
      </c>
      <c r="C2686" s="3">
        <v>143</v>
      </c>
      <c r="D2686" s="3">
        <v>56</v>
      </c>
      <c r="E2686" s="3">
        <v>-479.486</v>
      </c>
      <c r="F2686" s="4" t="str">
        <f>HYPERLINK("http://141.218.60.56/~jnz1568/getInfo.php?workbook=14_09.xlsx&amp;sheet=A0&amp;row=2686&amp;col=6&amp;number=2990000&amp;sourceID=14","2990000")</f>
        <v>2990000</v>
      </c>
      <c r="G2686" s="4" t="str">
        <f>HYPERLINK("http://141.218.60.56/~jnz1568/getInfo.php?workbook=14_09.xlsx&amp;sheet=A0&amp;row=2686&amp;col=7&amp;number=0&amp;sourceID=14","0")</f>
        <v>0</v>
      </c>
    </row>
    <row r="2687" spans="1:7">
      <c r="A2687" s="3">
        <v>14</v>
      </c>
      <c r="B2687" s="3">
        <v>9</v>
      </c>
      <c r="C2687" s="3">
        <v>146</v>
      </c>
      <c r="D2687" s="3">
        <v>56</v>
      </c>
      <c r="E2687" s="3">
        <v>-476.7</v>
      </c>
      <c r="F2687" s="4" t="str">
        <f>HYPERLINK("http://141.218.60.56/~jnz1568/getInfo.php?workbook=14_09.xlsx&amp;sheet=A0&amp;row=2687&amp;col=6&amp;number=5460000000&amp;sourceID=14","5460000000")</f>
        <v>5460000000</v>
      </c>
      <c r="G2687" s="4" t="str">
        <f>HYPERLINK("http://141.218.60.56/~jnz1568/getInfo.php?workbook=14_09.xlsx&amp;sheet=A0&amp;row=2687&amp;col=7&amp;number=0&amp;sourceID=14","0")</f>
        <v>0</v>
      </c>
    </row>
    <row r="2688" spans="1:7">
      <c r="A2688" s="3">
        <v>14</v>
      </c>
      <c r="B2688" s="3">
        <v>9</v>
      </c>
      <c r="C2688" s="3">
        <v>147</v>
      </c>
      <c r="D2688" s="3">
        <v>56</v>
      </c>
      <c r="E2688" s="3">
        <v>-476.695</v>
      </c>
      <c r="F2688" s="4" t="str">
        <f>HYPERLINK("http://141.218.60.56/~jnz1568/getInfo.php?workbook=14_09.xlsx&amp;sheet=A0&amp;row=2688&amp;col=6&amp;number=259000000&amp;sourceID=14","259000000")</f>
        <v>259000000</v>
      </c>
      <c r="G2688" s="4" t="str">
        <f>HYPERLINK("http://141.218.60.56/~jnz1568/getInfo.php?workbook=14_09.xlsx&amp;sheet=A0&amp;row=2688&amp;col=7&amp;number=0&amp;sourceID=14","0")</f>
        <v>0</v>
      </c>
    </row>
    <row r="2689" spans="1:7">
      <c r="A2689" s="3">
        <v>14</v>
      </c>
      <c r="B2689" s="3">
        <v>9</v>
      </c>
      <c r="C2689" s="3">
        <v>149</v>
      </c>
      <c r="D2689" s="3">
        <v>56</v>
      </c>
      <c r="E2689" s="3">
        <v>-475.652</v>
      </c>
      <c r="F2689" s="4" t="str">
        <f>HYPERLINK("http://141.218.60.56/~jnz1568/getInfo.php?workbook=14_09.xlsx&amp;sheet=A0&amp;row=2689&amp;col=6&amp;number=530000000&amp;sourceID=14","530000000")</f>
        <v>530000000</v>
      </c>
      <c r="G2689" s="4" t="str">
        <f>HYPERLINK("http://141.218.60.56/~jnz1568/getInfo.php?workbook=14_09.xlsx&amp;sheet=A0&amp;row=2689&amp;col=7&amp;number=0&amp;sourceID=14","0")</f>
        <v>0</v>
      </c>
    </row>
    <row r="2690" spans="1:7">
      <c r="A2690" s="3">
        <v>14</v>
      </c>
      <c r="B2690" s="3">
        <v>9</v>
      </c>
      <c r="C2690" s="3">
        <v>150</v>
      </c>
      <c r="D2690" s="3">
        <v>56</v>
      </c>
      <c r="E2690" s="3">
        <v>-475.609</v>
      </c>
      <c r="F2690" s="4" t="str">
        <f>HYPERLINK("http://141.218.60.56/~jnz1568/getInfo.php?workbook=14_09.xlsx&amp;sheet=A0&amp;row=2690&amp;col=6&amp;number=16100000000&amp;sourceID=14","16100000000")</f>
        <v>16100000000</v>
      </c>
      <c r="G2690" s="4" t="str">
        <f>HYPERLINK("http://141.218.60.56/~jnz1568/getInfo.php?workbook=14_09.xlsx&amp;sheet=A0&amp;row=2690&amp;col=7&amp;number=0&amp;sourceID=14","0")</f>
        <v>0</v>
      </c>
    </row>
    <row r="2691" spans="1:7">
      <c r="A2691" s="3">
        <v>14</v>
      </c>
      <c r="B2691" s="3">
        <v>9</v>
      </c>
      <c r="C2691" s="3">
        <v>164</v>
      </c>
      <c r="D2691" s="3">
        <v>56</v>
      </c>
      <c r="E2691" s="3">
        <v>-359.512</v>
      </c>
      <c r="F2691" s="4" t="str">
        <f>HYPERLINK("http://141.218.60.56/~jnz1568/getInfo.php?workbook=14_09.xlsx&amp;sheet=A0&amp;row=2691&amp;col=6&amp;number=598000&amp;sourceID=14","598000")</f>
        <v>598000</v>
      </c>
      <c r="G2691" s="4" t="str">
        <f>HYPERLINK("http://141.218.60.56/~jnz1568/getInfo.php?workbook=14_09.xlsx&amp;sheet=A0&amp;row=2691&amp;col=7&amp;number=0&amp;sourceID=14","0")</f>
        <v>0</v>
      </c>
    </row>
    <row r="2692" spans="1:7">
      <c r="A2692" s="3">
        <v>14</v>
      </c>
      <c r="B2692" s="3">
        <v>9</v>
      </c>
      <c r="C2692" s="3">
        <v>165</v>
      </c>
      <c r="D2692" s="3">
        <v>56</v>
      </c>
      <c r="E2692" s="3">
        <v>-359.5</v>
      </c>
      <c r="F2692" s="4" t="str">
        <f>HYPERLINK("http://141.218.60.56/~jnz1568/getInfo.php?workbook=14_09.xlsx&amp;sheet=A0&amp;row=2692&amp;col=6&amp;number=15000000&amp;sourceID=14","15000000")</f>
        <v>15000000</v>
      </c>
      <c r="G2692" s="4" t="str">
        <f>HYPERLINK("http://141.218.60.56/~jnz1568/getInfo.php?workbook=14_09.xlsx&amp;sheet=A0&amp;row=2692&amp;col=7&amp;number=0&amp;sourceID=14","0")</f>
        <v>0</v>
      </c>
    </row>
    <row r="2693" spans="1:7">
      <c r="A2693" s="3">
        <v>14</v>
      </c>
      <c r="B2693" s="3">
        <v>9</v>
      </c>
      <c r="C2693" s="3">
        <v>170</v>
      </c>
      <c r="D2693" s="3">
        <v>56</v>
      </c>
      <c r="E2693" s="3">
        <v>-321.174</v>
      </c>
      <c r="F2693" s="4" t="str">
        <f>HYPERLINK("http://141.218.60.56/~jnz1568/getInfo.php?workbook=14_09.xlsx&amp;sheet=A0&amp;row=2693&amp;col=6&amp;number=4120000&amp;sourceID=14","4120000")</f>
        <v>4120000</v>
      </c>
      <c r="G2693" s="4" t="str">
        <f>HYPERLINK("http://141.218.60.56/~jnz1568/getInfo.php?workbook=14_09.xlsx&amp;sheet=A0&amp;row=2693&amp;col=7&amp;number=0&amp;sourceID=14","0")</f>
        <v>0</v>
      </c>
    </row>
    <row r="2694" spans="1:7">
      <c r="A2694" s="3">
        <v>14</v>
      </c>
      <c r="B2694" s="3">
        <v>9</v>
      </c>
      <c r="C2694" s="3">
        <v>171</v>
      </c>
      <c r="D2694" s="3">
        <v>56</v>
      </c>
      <c r="E2694" s="3">
        <v>-318.784</v>
      </c>
      <c r="F2694" s="4" t="str">
        <f>HYPERLINK("http://141.218.60.56/~jnz1568/getInfo.php?workbook=14_09.xlsx&amp;sheet=A0&amp;row=2694&amp;col=6&amp;number=1680000&amp;sourceID=14","1680000")</f>
        <v>1680000</v>
      </c>
      <c r="G2694" s="4" t="str">
        <f>HYPERLINK("http://141.218.60.56/~jnz1568/getInfo.php?workbook=14_09.xlsx&amp;sheet=A0&amp;row=2694&amp;col=7&amp;number=0&amp;sourceID=14","0")</f>
        <v>0</v>
      </c>
    </row>
    <row r="2695" spans="1:7">
      <c r="A2695" s="3">
        <v>14</v>
      </c>
      <c r="B2695" s="3">
        <v>9</v>
      </c>
      <c r="C2695" s="3">
        <v>172</v>
      </c>
      <c r="D2695" s="3">
        <v>56</v>
      </c>
      <c r="E2695" s="3">
        <v>-317.345</v>
      </c>
      <c r="F2695" s="4" t="str">
        <f>HYPERLINK("http://141.218.60.56/~jnz1568/getInfo.php?workbook=14_09.xlsx&amp;sheet=A0&amp;row=2695&amp;col=6&amp;number=2620000&amp;sourceID=14","2620000")</f>
        <v>2620000</v>
      </c>
      <c r="G2695" s="4" t="str">
        <f>HYPERLINK("http://141.218.60.56/~jnz1568/getInfo.php?workbook=14_09.xlsx&amp;sheet=A0&amp;row=2695&amp;col=7&amp;number=0&amp;sourceID=14","0")</f>
        <v>0</v>
      </c>
    </row>
    <row r="2696" spans="1:7">
      <c r="A2696" s="3">
        <v>14</v>
      </c>
      <c r="B2696" s="3">
        <v>9</v>
      </c>
      <c r="C2696" s="3">
        <v>175</v>
      </c>
      <c r="D2696" s="3">
        <v>56</v>
      </c>
      <c r="E2696" s="3">
        <v>-309.413</v>
      </c>
      <c r="F2696" s="4" t="str">
        <f>HYPERLINK("http://141.218.60.56/~jnz1568/getInfo.php?workbook=14_09.xlsx&amp;sheet=A0&amp;row=2696&amp;col=6&amp;number=36500000&amp;sourceID=14","36500000")</f>
        <v>36500000</v>
      </c>
      <c r="G2696" s="4" t="str">
        <f>HYPERLINK("http://141.218.60.56/~jnz1568/getInfo.php?workbook=14_09.xlsx&amp;sheet=A0&amp;row=2696&amp;col=7&amp;number=0&amp;sourceID=14","0")</f>
        <v>0</v>
      </c>
    </row>
    <row r="2697" spans="1:7">
      <c r="A2697" s="3">
        <v>14</v>
      </c>
      <c r="B2697" s="3">
        <v>9</v>
      </c>
      <c r="C2697" s="3">
        <v>176</v>
      </c>
      <c r="D2697" s="3">
        <v>56</v>
      </c>
      <c r="E2697" s="3">
        <v>-307.58</v>
      </c>
      <c r="F2697" s="4" t="str">
        <f>HYPERLINK("http://141.218.60.56/~jnz1568/getInfo.php?workbook=14_09.xlsx&amp;sheet=A0&amp;row=2697&amp;col=6&amp;number=1720000&amp;sourceID=14","1720000")</f>
        <v>1720000</v>
      </c>
      <c r="G2697" s="4" t="str">
        <f>HYPERLINK("http://141.218.60.56/~jnz1568/getInfo.php?workbook=14_09.xlsx&amp;sheet=A0&amp;row=2697&amp;col=7&amp;number=0&amp;sourceID=14","0")</f>
        <v>0</v>
      </c>
    </row>
    <row r="2698" spans="1:7">
      <c r="A2698" s="3">
        <v>14</v>
      </c>
      <c r="B2698" s="3">
        <v>9</v>
      </c>
      <c r="C2698" s="3">
        <v>177</v>
      </c>
      <c r="D2698" s="3">
        <v>56</v>
      </c>
      <c r="E2698" s="3">
        <v>-307.42</v>
      </c>
      <c r="F2698" s="4" t="str">
        <f>HYPERLINK("http://141.218.60.56/~jnz1568/getInfo.php?workbook=14_09.xlsx&amp;sheet=A0&amp;row=2698&amp;col=6&amp;number=8800000&amp;sourceID=14","8800000")</f>
        <v>8800000</v>
      </c>
      <c r="G2698" s="4" t="str">
        <f>HYPERLINK("http://141.218.60.56/~jnz1568/getInfo.php?workbook=14_09.xlsx&amp;sheet=A0&amp;row=2698&amp;col=7&amp;number=0&amp;sourceID=14","0")</f>
        <v>0</v>
      </c>
    </row>
    <row r="2699" spans="1:7">
      <c r="A2699" s="3">
        <v>14</v>
      </c>
      <c r="B2699" s="3">
        <v>9</v>
      </c>
      <c r="C2699" s="3">
        <v>181</v>
      </c>
      <c r="D2699" s="3">
        <v>56</v>
      </c>
      <c r="E2699" s="3">
        <v>-302.192</v>
      </c>
      <c r="F2699" s="4" t="str">
        <f>HYPERLINK("http://141.218.60.56/~jnz1568/getInfo.php?workbook=14_09.xlsx&amp;sheet=A0&amp;row=2699&amp;col=6&amp;number=5770000&amp;sourceID=14","5770000")</f>
        <v>5770000</v>
      </c>
      <c r="G2699" s="4" t="str">
        <f>HYPERLINK("http://141.218.60.56/~jnz1568/getInfo.php?workbook=14_09.xlsx&amp;sheet=A0&amp;row=2699&amp;col=7&amp;number=0&amp;sourceID=14","0")</f>
        <v>0</v>
      </c>
    </row>
    <row r="2700" spans="1:7">
      <c r="A2700" s="3">
        <v>14</v>
      </c>
      <c r="B2700" s="3">
        <v>9</v>
      </c>
      <c r="C2700" s="3">
        <v>190</v>
      </c>
      <c r="D2700" s="3">
        <v>56</v>
      </c>
      <c r="E2700" s="3">
        <v>-211.627</v>
      </c>
      <c r="F2700" s="4" t="str">
        <f>HYPERLINK("http://141.218.60.56/~jnz1568/getInfo.php?workbook=14_09.xlsx&amp;sheet=A0&amp;row=2700&amp;col=6&amp;number=512000000&amp;sourceID=14","512000000")</f>
        <v>512000000</v>
      </c>
      <c r="G2700" s="4" t="str">
        <f>HYPERLINK("http://141.218.60.56/~jnz1568/getInfo.php?workbook=14_09.xlsx&amp;sheet=A0&amp;row=2700&amp;col=7&amp;number=0&amp;sourceID=14","0")</f>
        <v>0</v>
      </c>
    </row>
    <row r="2701" spans="1:7">
      <c r="A2701" s="3">
        <v>14</v>
      </c>
      <c r="B2701" s="3">
        <v>9</v>
      </c>
      <c r="C2701" s="3">
        <v>191</v>
      </c>
      <c r="D2701" s="3">
        <v>56</v>
      </c>
      <c r="E2701" s="3">
        <v>-211.59</v>
      </c>
      <c r="F2701" s="4" t="str">
        <f>HYPERLINK("http://141.218.60.56/~jnz1568/getInfo.php?workbook=14_09.xlsx&amp;sheet=A0&amp;row=2701&amp;col=6&amp;number=11500000000&amp;sourceID=14","11500000000")</f>
        <v>11500000000</v>
      </c>
      <c r="G2701" s="4" t="str">
        <f>HYPERLINK("http://141.218.60.56/~jnz1568/getInfo.php?workbook=14_09.xlsx&amp;sheet=A0&amp;row=2701&amp;col=7&amp;number=0&amp;sourceID=14","0")</f>
        <v>0</v>
      </c>
    </row>
    <row r="2702" spans="1:7">
      <c r="A2702" s="3">
        <v>14</v>
      </c>
      <c r="B2702" s="3">
        <v>9</v>
      </c>
      <c r="C2702" s="3">
        <v>195</v>
      </c>
      <c r="D2702" s="3">
        <v>56</v>
      </c>
      <c r="E2702" s="3">
        <v>-208.654</v>
      </c>
      <c r="F2702" s="4" t="str">
        <f>HYPERLINK("http://141.218.60.56/~jnz1568/getInfo.php?workbook=14_09.xlsx&amp;sheet=A0&amp;row=2702&amp;col=6&amp;number=36800000000&amp;sourceID=14","36800000000")</f>
        <v>36800000000</v>
      </c>
      <c r="G2702" s="4" t="str">
        <f>HYPERLINK("http://141.218.60.56/~jnz1568/getInfo.php?workbook=14_09.xlsx&amp;sheet=A0&amp;row=2702&amp;col=7&amp;number=0&amp;sourceID=14","0")</f>
        <v>0</v>
      </c>
    </row>
    <row r="2703" spans="1:7">
      <c r="A2703" s="3">
        <v>14</v>
      </c>
      <c r="B2703" s="3">
        <v>9</v>
      </c>
      <c r="C2703" s="3">
        <v>66</v>
      </c>
      <c r="D2703" s="3">
        <v>57</v>
      </c>
      <c r="E2703" s="3">
        <v>-980.202</v>
      </c>
      <c r="F2703" s="4" t="str">
        <f>HYPERLINK("http://141.218.60.56/~jnz1568/getInfo.php?workbook=14_09.xlsx&amp;sheet=A0&amp;row=2703&amp;col=6&amp;number=234000&amp;sourceID=14","234000")</f>
        <v>234000</v>
      </c>
      <c r="G2703" s="4" t="str">
        <f>HYPERLINK("http://141.218.60.56/~jnz1568/getInfo.php?workbook=14_09.xlsx&amp;sheet=A0&amp;row=2703&amp;col=7&amp;number=0&amp;sourceID=14","0")</f>
        <v>0</v>
      </c>
    </row>
    <row r="2704" spans="1:7">
      <c r="A2704" s="3">
        <v>14</v>
      </c>
      <c r="B2704" s="3">
        <v>9</v>
      </c>
      <c r="C2704" s="3">
        <v>70</v>
      </c>
      <c r="D2704" s="3">
        <v>57</v>
      </c>
      <c r="E2704" s="3">
        <v>-905.438</v>
      </c>
      <c r="F2704" s="4" t="str">
        <f>HYPERLINK("http://141.218.60.56/~jnz1568/getInfo.php?workbook=14_09.xlsx&amp;sheet=A0&amp;row=2704&amp;col=6&amp;number=10500000&amp;sourceID=14","10500000")</f>
        <v>10500000</v>
      </c>
      <c r="G2704" s="4" t="str">
        <f>HYPERLINK("http://141.218.60.56/~jnz1568/getInfo.php?workbook=14_09.xlsx&amp;sheet=A0&amp;row=2704&amp;col=7&amp;number=0&amp;sourceID=14","0")</f>
        <v>0</v>
      </c>
    </row>
    <row r="2705" spans="1:7">
      <c r="A2705" s="3">
        <v>14</v>
      </c>
      <c r="B2705" s="3">
        <v>9</v>
      </c>
      <c r="C2705" s="3">
        <v>71</v>
      </c>
      <c r="D2705" s="3">
        <v>57</v>
      </c>
      <c r="E2705" s="3">
        <v>-888.717</v>
      </c>
      <c r="F2705" s="4" t="str">
        <f>HYPERLINK("http://141.218.60.56/~jnz1568/getInfo.php?workbook=14_09.xlsx&amp;sheet=A0&amp;row=2705&amp;col=6&amp;number=81700&amp;sourceID=14","81700")</f>
        <v>81700</v>
      </c>
      <c r="G2705" s="4" t="str">
        <f>HYPERLINK("http://141.218.60.56/~jnz1568/getInfo.php?workbook=14_09.xlsx&amp;sheet=A0&amp;row=2705&amp;col=7&amp;number=0&amp;sourceID=14","0")</f>
        <v>0</v>
      </c>
    </row>
    <row r="2706" spans="1:7">
      <c r="A2706" s="3">
        <v>14</v>
      </c>
      <c r="B2706" s="3">
        <v>9</v>
      </c>
      <c r="C2706" s="3">
        <v>72</v>
      </c>
      <c r="D2706" s="3">
        <v>57</v>
      </c>
      <c r="E2706" s="3">
        <v>-882.669</v>
      </c>
      <c r="F2706" s="4" t="str">
        <f>HYPERLINK("http://141.218.60.56/~jnz1568/getInfo.php?workbook=14_09.xlsx&amp;sheet=A0&amp;row=2706&amp;col=6&amp;number=23700000&amp;sourceID=14","23700000")</f>
        <v>23700000</v>
      </c>
      <c r="G2706" s="4" t="str">
        <f>HYPERLINK("http://141.218.60.56/~jnz1568/getInfo.php?workbook=14_09.xlsx&amp;sheet=A0&amp;row=2706&amp;col=7&amp;number=0&amp;sourceID=14","0")</f>
        <v>0</v>
      </c>
    </row>
    <row r="2707" spans="1:7">
      <c r="A2707" s="3">
        <v>14</v>
      </c>
      <c r="B2707" s="3">
        <v>9</v>
      </c>
      <c r="C2707" s="3">
        <v>76</v>
      </c>
      <c r="D2707" s="3">
        <v>57</v>
      </c>
      <c r="E2707" s="3">
        <v>-864.313</v>
      </c>
      <c r="F2707" s="4" t="str">
        <f>HYPERLINK("http://141.218.60.56/~jnz1568/getInfo.php?workbook=14_09.xlsx&amp;sheet=A0&amp;row=2707&amp;col=6&amp;number=2650000&amp;sourceID=14","2650000")</f>
        <v>2650000</v>
      </c>
      <c r="G2707" s="4" t="str">
        <f>HYPERLINK("http://141.218.60.56/~jnz1568/getInfo.php?workbook=14_09.xlsx&amp;sheet=A0&amp;row=2707&amp;col=7&amp;number=0&amp;sourceID=14","0")</f>
        <v>0</v>
      </c>
    </row>
    <row r="2708" spans="1:7">
      <c r="A2708" s="3">
        <v>14</v>
      </c>
      <c r="B2708" s="3">
        <v>9</v>
      </c>
      <c r="C2708" s="3">
        <v>77</v>
      </c>
      <c r="D2708" s="3">
        <v>57</v>
      </c>
      <c r="E2708" s="3">
        <v>-814.268</v>
      </c>
      <c r="F2708" s="4" t="str">
        <f>HYPERLINK("http://141.218.60.56/~jnz1568/getInfo.php?workbook=14_09.xlsx&amp;sheet=A0&amp;row=2708&amp;col=6&amp;number=39000000&amp;sourceID=14","39000000")</f>
        <v>39000000</v>
      </c>
      <c r="G2708" s="4" t="str">
        <f>HYPERLINK("http://141.218.60.56/~jnz1568/getInfo.php?workbook=14_09.xlsx&amp;sheet=A0&amp;row=2708&amp;col=7&amp;number=0&amp;sourceID=14","0")</f>
        <v>0</v>
      </c>
    </row>
    <row r="2709" spans="1:7">
      <c r="A2709" s="3">
        <v>14</v>
      </c>
      <c r="B2709" s="3">
        <v>9</v>
      </c>
      <c r="C2709" s="3">
        <v>84</v>
      </c>
      <c r="D2709" s="3">
        <v>57</v>
      </c>
      <c r="E2709" s="3">
        <v>-712.546</v>
      </c>
      <c r="F2709" s="4" t="str">
        <f>HYPERLINK("http://141.218.60.56/~jnz1568/getInfo.php?workbook=14_09.xlsx&amp;sheet=A0&amp;row=2709&amp;col=6&amp;number=159000000&amp;sourceID=14","159000000")</f>
        <v>159000000</v>
      </c>
      <c r="G2709" s="4" t="str">
        <f>HYPERLINK("http://141.218.60.56/~jnz1568/getInfo.php?workbook=14_09.xlsx&amp;sheet=A0&amp;row=2709&amp;col=7&amp;number=0&amp;sourceID=14","0")</f>
        <v>0</v>
      </c>
    </row>
    <row r="2710" spans="1:7">
      <c r="A2710" s="3">
        <v>14</v>
      </c>
      <c r="B2710" s="3">
        <v>9</v>
      </c>
      <c r="C2710" s="3">
        <v>101</v>
      </c>
      <c r="D2710" s="3">
        <v>57</v>
      </c>
      <c r="E2710" s="3">
        <v>-637.273</v>
      </c>
      <c r="F2710" s="4" t="str">
        <f>HYPERLINK("http://141.218.60.56/~jnz1568/getInfo.php?workbook=14_09.xlsx&amp;sheet=A0&amp;row=2710&amp;col=6&amp;number=42100000&amp;sourceID=14","42100000")</f>
        <v>42100000</v>
      </c>
      <c r="G2710" s="4" t="str">
        <f>HYPERLINK("http://141.218.60.56/~jnz1568/getInfo.php?workbook=14_09.xlsx&amp;sheet=A0&amp;row=2710&amp;col=7&amp;number=0&amp;sourceID=14","0")</f>
        <v>0</v>
      </c>
    </row>
    <row r="2711" spans="1:7">
      <c r="A2711" s="3">
        <v>14</v>
      </c>
      <c r="B2711" s="3">
        <v>9</v>
      </c>
      <c r="C2711" s="3">
        <v>102</v>
      </c>
      <c r="D2711" s="3">
        <v>57</v>
      </c>
      <c r="E2711" s="3">
        <v>-636.409</v>
      </c>
      <c r="F2711" s="4" t="str">
        <f>HYPERLINK("http://141.218.60.56/~jnz1568/getInfo.php?workbook=14_09.xlsx&amp;sheet=A0&amp;row=2711&amp;col=6&amp;number=47100000&amp;sourceID=14","47100000")</f>
        <v>47100000</v>
      </c>
      <c r="G2711" s="4" t="str">
        <f>HYPERLINK("http://141.218.60.56/~jnz1568/getInfo.php?workbook=14_09.xlsx&amp;sheet=A0&amp;row=2711&amp;col=7&amp;number=0&amp;sourceID=14","0")</f>
        <v>0</v>
      </c>
    </row>
    <row r="2712" spans="1:7">
      <c r="A2712" s="3">
        <v>14</v>
      </c>
      <c r="B2712" s="3">
        <v>9</v>
      </c>
      <c r="C2712" s="3">
        <v>105</v>
      </c>
      <c r="D2712" s="3">
        <v>57</v>
      </c>
      <c r="E2712" s="3">
        <v>-629.974</v>
      </c>
      <c r="F2712" s="4" t="str">
        <f>HYPERLINK("http://141.218.60.56/~jnz1568/getInfo.php?workbook=14_09.xlsx&amp;sheet=A0&amp;row=2712&amp;col=6&amp;number=1320000&amp;sourceID=14","1320000")</f>
        <v>1320000</v>
      </c>
      <c r="G2712" s="4" t="str">
        <f>HYPERLINK("http://141.218.60.56/~jnz1568/getInfo.php?workbook=14_09.xlsx&amp;sheet=A0&amp;row=2712&amp;col=7&amp;number=0&amp;sourceID=14","0")</f>
        <v>0</v>
      </c>
    </row>
    <row r="2713" spans="1:7">
      <c r="A2713" s="3">
        <v>14</v>
      </c>
      <c r="B2713" s="3">
        <v>9</v>
      </c>
      <c r="C2713" s="3">
        <v>106</v>
      </c>
      <c r="D2713" s="3">
        <v>57</v>
      </c>
      <c r="E2713" s="3">
        <v>-629.391</v>
      </c>
      <c r="F2713" s="4" t="str">
        <f>HYPERLINK("http://141.218.60.56/~jnz1568/getInfo.php?workbook=14_09.xlsx&amp;sheet=A0&amp;row=2713&amp;col=6&amp;number=16600000&amp;sourceID=14","16600000")</f>
        <v>16600000</v>
      </c>
      <c r="G2713" s="4" t="str">
        <f>HYPERLINK("http://141.218.60.56/~jnz1568/getInfo.php?workbook=14_09.xlsx&amp;sheet=A0&amp;row=2713&amp;col=7&amp;number=0&amp;sourceID=14","0")</f>
        <v>0</v>
      </c>
    </row>
    <row r="2714" spans="1:7">
      <c r="A2714" s="3">
        <v>14</v>
      </c>
      <c r="B2714" s="3">
        <v>9</v>
      </c>
      <c r="C2714" s="3">
        <v>107</v>
      </c>
      <c r="D2714" s="3">
        <v>57</v>
      </c>
      <c r="E2714" s="3">
        <v>-628.272</v>
      </c>
      <c r="F2714" s="4" t="str">
        <f>HYPERLINK("http://141.218.60.56/~jnz1568/getInfo.php?workbook=14_09.xlsx&amp;sheet=A0&amp;row=2714&amp;col=6&amp;number=569000000&amp;sourceID=14","569000000")</f>
        <v>569000000</v>
      </c>
      <c r="G2714" s="4" t="str">
        <f>HYPERLINK("http://141.218.60.56/~jnz1568/getInfo.php?workbook=14_09.xlsx&amp;sheet=A0&amp;row=2714&amp;col=7&amp;number=0&amp;sourceID=14","0")</f>
        <v>0</v>
      </c>
    </row>
    <row r="2715" spans="1:7">
      <c r="A2715" s="3">
        <v>14</v>
      </c>
      <c r="B2715" s="3">
        <v>9</v>
      </c>
      <c r="C2715" s="3">
        <v>108</v>
      </c>
      <c r="D2715" s="3">
        <v>57</v>
      </c>
      <c r="E2715" s="3">
        <v>-627.763</v>
      </c>
      <c r="F2715" s="4" t="str">
        <f>HYPERLINK("http://141.218.60.56/~jnz1568/getInfo.php?workbook=14_09.xlsx&amp;sheet=A0&amp;row=2715&amp;col=6&amp;number=1040000&amp;sourceID=14","1040000")</f>
        <v>1040000</v>
      </c>
      <c r="G2715" s="4" t="str">
        <f>HYPERLINK("http://141.218.60.56/~jnz1568/getInfo.php?workbook=14_09.xlsx&amp;sheet=A0&amp;row=2715&amp;col=7&amp;number=0&amp;sourceID=14","0")</f>
        <v>0</v>
      </c>
    </row>
    <row r="2716" spans="1:7">
      <c r="A2716" s="3">
        <v>14</v>
      </c>
      <c r="B2716" s="3">
        <v>9</v>
      </c>
      <c r="C2716" s="3">
        <v>109</v>
      </c>
      <c r="D2716" s="3">
        <v>57</v>
      </c>
      <c r="E2716" s="3">
        <v>-626.701</v>
      </c>
      <c r="F2716" s="4" t="str">
        <f>HYPERLINK("http://141.218.60.56/~jnz1568/getInfo.php?workbook=14_09.xlsx&amp;sheet=A0&amp;row=2716&amp;col=6&amp;number=110000000&amp;sourceID=14","110000000")</f>
        <v>110000000</v>
      </c>
      <c r="G2716" s="4" t="str">
        <f>HYPERLINK("http://141.218.60.56/~jnz1568/getInfo.php?workbook=14_09.xlsx&amp;sheet=A0&amp;row=2716&amp;col=7&amp;number=0&amp;sourceID=14","0")</f>
        <v>0</v>
      </c>
    </row>
    <row r="2717" spans="1:7">
      <c r="A2717" s="3">
        <v>14</v>
      </c>
      <c r="B2717" s="3">
        <v>9</v>
      </c>
      <c r="C2717" s="3">
        <v>113</v>
      </c>
      <c r="D2717" s="3">
        <v>57</v>
      </c>
      <c r="E2717" s="3">
        <v>-624.026</v>
      </c>
      <c r="F2717" s="4" t="str">
        <f>HYPERLINK("http://141.218.60.56/~jnz1568/getInfo.php?workbook=14_09.xlsx&amp;sheet=A0&amp;row=2717&amp;col=6&amp;number=2290000&amp;sourceID=14","2290000")</f>
        <v>2290000</v>
      </c>
      <c r="G2717" s="4" t="str">
        <f>HYPERLINK("http://141.218.60.56/~jnz1568/getInfo.php?workbook=14_09.xlsx&amp;sheet=A0&amp;row=2717&amp;col=7&amp;number=0&amp;sourceID=14","0")</f>
        <v>0</v>
      </c>
    </row>
    <row r="2718" spans="1:7">
      <c r="A2718" s="3">
        <v>14</v>
      </c>
      <c r="B2718" s="3">
        <v>9</v>
      </c>
      <c r="C2718" s="3">
        <v>115</v>
      </c>
      <c r="D2718" s="3">
        <v>57</v>
      </c>
      <c r="E2718" s="3">
        <v>-623.443</v>
      </c>
      <c r="F2718" s="4" t="str">
        <f>HYPERLINK("http://141.218.60.56/~jnz1568/getInfo.php?workbook=14_09.xlsx&amp;sheet=A0&amp;row=2718&amp;col=6&amp;number=1000000000&amp;sourceID=14","1000000000")</f>
        <v>1000000000</v>
      </c>
      <c r="G2718" s="4" t="str">
        <f>HYPERLINK("http://141.218.60.56/~jnz1568/getInfo.php?workbook=14_09.xlsx&amp;sheet=A0&amp;row=2718&amp;col=7&amp;number=0&amp;sourceID=14","0")</f>
        <v>0</v>
      </c>
    </row>
    <row r="2719" spans="1:7">
      <c r="A2719" s="3">
        <v>14</v>
      </c>
      <c r="B2719" s="3">
        <v>9</v>
      </c>
      <c r="C2719" s="3">
        <v>116</v>
      </c>
      <c r="D2719" s="3">
        <v>57</v>
      </c>
      <c r="E2719" s="3">
        <v>-623.334</v>
      </c>
      <c r="F2719" s="4" t="str">
        <f>HYPERLINK("http://141.218.60.56/~jnz1568/getInfo.php?workbook=14_09.xlsx&amp;sheet=A0&amp;row=2719&amp;col=6&amp;number=6030000&amp;sourceID=14","6030000")</f>
        <v>6030000</v>
      </c>
      <c r="G2719" s="4" t="str">
        <f>HYPERLINK("http://141.218.60.56/~jnz1568/getInfo.php?workbook=14_09.xlsx&amp;sheet=A0&amp;row=2719&amp;col=7&amp;number=0&amp;sourceID=14","0")</f>
        <v>0</v>
      </c>
    </row>
    <row r="2720" spans="1:7">
      <c r="A2720" s="3">
        <v>14</v>
      </c>
      <c r="B2720" s="3">
        <v>9</v>
      </c>
      <c r="C2720" s="3">
        <v>117</v>
      </c>
      <c r="D2720" s="3">
        <v>57</v>
      </c>
      <c r="E2720" s="3">
        <v>-613.009</v>
      </c>
      <c r="F2720" s="4" t="str">
        <f>HYPERLINK("http://141.218.60.56/~jnz1568/getInfo.php?workbook=14_09.xlsx&amp;sheet=A0&amp;row=2720&amp;col=6&amp;number=4450000&amp;sourceID=14","4450000")</f>
        <v>4450000</v>
      </c>
      <c r="G2720" s="4" t="str">
        <f>HYPERLINK("http://141.218.60.56/~jnz1568/getInfo.php?workbook=14_09.xlsx&amp;sheet=A0&amp;row=2720&amp;col=7&amp;number=0&amp;sourceID=14","0")</f>
        <v>0</v>
      </c>
    </row>
    <row r="2721" spans="1:7">
      <c r="A2721" s="3">
        <v>14</v>
      </c>
      <c r="B2721" s="3">
        <v>9</v>
      </c>
      <c r="C2721" s="3">
        <v>120</v>
      </c>
      <c r="D2721" s="3">
        <v>57</v>
      </c>
      <c r="E2721" s="3">
        <v>-611.024</v>
      </c>
      <c r="F2721" s="4" t="str">
        <f>HYPERLINK("http://141.218.60.56/~jnz1568/getInfo.php?workbook=14_09.xlsx&amp;sheet=A0&amp;row=2721&amp;col=6&amp;number=169000000&amp;sourceID=14","169000000")</f>
        <v>169000000</v>
      </c>
      <c r="G2721" s="4" t="str">
        <f>HYPERLINK("http://141.218.60.56/~jnz1568/getInfo.php?workbook=14_09.xlsx&amp;sheet=A0&amp;row=2721&amp;col=7&amp;number=0&amp;sourceID=14","0")</f>
        <v>0</v>
      </c>
    </row>
    <row r="2722" spans="1:7">
      <c r="A2722" s="3">
        <v>14</v>
      </c>
      <c r="B2722" s="3">
        <v>9</v>
      </c>
      <c r="C2722" s="3">
        <v>121</v>
      </c>
      <c r="D2722" s="3">
        <v>57</v>
      </c>
      <c r="E2722" s="3">
        <v>-609.397</v>
      </c>
      <c r="F2722" s="4" t="str">
        <f>HYPERLINK("http://141.218.60.56/~jnz1568/getInfo.php?workbook=14_09.xlsx&amp;sheet=A0&amp;row=2722&amp;col=6&amp;number=8870000&amp;sourceID=14","8870000")</f>
        <v>8870000</v>
      </c>
      <c r="G2722" s="4" t="str">
        <f>HYPERLINK("http://141.218.60.56/~jnz1568/getInfo.php?workbook=14_09.xlsx&amp;sheet=A0&amp;row=2722&amp;col=7&amp;number=0&amp;sourceID=14","0")</f>
        <v>0</v>
      </c>
    </row>
    <row r="2723" spans="1:7">
      <c r="A2723" s="3">
        <v>14</v>
      </c>
      <c r="B2723" s="3">
        <v>9</v>
      </c>
      <c r="C2723" s="3">
        <v>122</v>
      </c>
      <c r="D2723" s="3">
        <v>57</v>
      </c>
      <c r="E2723" s="3">
        <v>-608.974</v>
      </c>
      <c r="F2723" s="4" t="str">
        <f>HYPERLINK("http://141.218.60.56/~jnz1568/getInfo.php?workbook=14_09.xlsx&amp;sheet=A0&amp;row=2723&amp;col=6&amp;number=60000000&amp;sourceID=14","60000000")</f>
        <v>60000000</v>
      </c>
      <c r="G2723" s="4" t="str">
        <f>HYPERLINK("http://141.218.60.56/~jnz1568/getInfo.php?workbook=14_09.xlsx&amp;sheet=A0&amp;row=2723&amp;col=7&amp;number=0&amp;sourceID=14","0")</f>
        <v>0</v>
      </c>
    </row>
    <row r="2724" spans="1:7">
      <c r="A2724" s="3">
        <v>14</v>
      </c>
      <c r="B2724" s="3">
        <v>9</v>
      </c>
      <c r="C2724" s="3">
        <v>123</v>
      </c>
      <c r="D2724" s="3">
        <v>57</v>
      </c>
      <c r="E2724" s="3">
        <v>-604.889</v>
      </c>
      <c r="F2724" s="4" t="str">
        <f>HYPERLINK("http://141.218.60.56/~jnz1568/getInfo.php?workbook=14_09.xlsx&amp;sheet=A0&amp;row=2724&amp;col=6&amp;number=78000000&amp;sourceID=14","78000000")</f>
        <v>78000000</v>
      </c>
      <c r="G2724" s="4" t="str">
        <f>HYPERLINK("http://141.218.60.56/~jnz1568/getInfo.php?workbook=14_09.xlsx&amp;sheet=A0&amp;row=2724&amp;col=7&amp;number=0&amp;sourceID=14","0")</f>
        <v>0</v>
      </c>
    </row>
    <row r="2725" spans="1:7">
      <c r="A2725" s="3">
        <v>14</v>
      </c>
      <c r="B2725" s="3">
        <v>9</v>
      </c>
      <c r="C2725" s="3">
        <v>124</v>
      </c>
      <c r="D2725" s="3">
        <v>57</v>
      </c>
      <c r="E2725" s="3">
        <v>-604.819</v>
      </c>
      <c r="F2725" s="4" t="str">
        <f>HYPERLINK("http://141.218.60.56/~jnz1568/getInfo.php?workbook=14_09.xlsx&amp;sheet=A0&amp;row=2725&amp;col=6&amp;number=13200000&amp;sourceID=14","13200000")</f>
        <v>13200000</v>
      </c>
      <c r="G2725" s="4" t="str">
        <f>HYPERLINK("http://141.218.60.56/~jnz1568/getInfo.php?workbook=14_09.xlsx&amp;sheet=A0&amp;row=2725&amp;col=7&amp;number=0&amp;sourceID=14","0")</f>
        <v>0</v>
      </c>
    </row>
    <row r="2726" spans="1:7">
      <c r="A2726" s="3">
        <v>14</v>
      </c>
      <c r="B2726" s="3">
        <v>9</v>
      </c>
      <c r="C2726" s="3">
        <v>125</v>
      </c>
      <c r="D2726" s="3">
        <v>57</v>
      </c>
      <c r="E2726" s="3">
        <v>-581.978</v>
      </c>
      <c r="F2726" s="4" t="str">
        <f>HYPERLINK("http://141.218.60.56/~jnz1568/getInfo.php?workbook=14_09.xlsx&amp;sheet=A0&amp;row=2726&amp;col=6&amp;number=385000000&amp;sourceID=14","385000000")</f>
        <v>385000000</v>
      </c>
      <c r="G2726" s="4" t="str">
        <f>HYPERLINK("http://141.218.60.56/~jnz1568/getInfo.php?workbook=14_09.xlsx&amp;sheet=A0&amp;row=2726&amp;col=7&amp;number=0&amp;sourceID=14","0")</f>
        <v>0</v>
      </c>
    </row>
    <row r="2727" spans="1:7">
      <c r="A2727" s="3">
        <v>14</v>
      </c>
      <c r="B2727" s="3">
        <v>9</v>
      </c>
      <c r="C2727" s="3">
        <v>139</v>
      </c>
      <c r="D2727" s="3">
        <v>57</v>
      </c>
      <c r="E2727" s="3">
        <v>-485.735</v>
      </c>
      <c r="F2727" s="4" t="str">
        <f>HYPERLINK("http://141.218.60.56/~jnz1568/getInfo.php?workbook=14_09.xlsx&amp;sheet=A0&amp;row=2727&amp;col=6&amp;number=809000000&amp;sourceID=14","809000000")</f>
        <v>809000000</v>
      </c>
      <c r="G2727" s="4" t="str">
        <f>HYPERLINK("http://141.218.60.56/~jnz1568/getInfo.php?workbook=14_09.xlsx&amp;sheet=A0&amp;row=2727&amp;col=7&amp;number=0&amp;sourceID=14","0")</f>
        <v>0</v>
      </c>
    </row>
    <row r="2728" spans="1:7">
      <c r="A2728" s="3">
        <v>14</v>
      </c>
      <c r="B2728" s="3">
        <v>9</v>
      </c>
      <c r="C2728" s="3">
        <v>141</v>
      </c>
      <c r="D2728" s="3">
        <v>57</v>
      </c>
      <c r="E2728" s="3">
        <v>-482.526</v>
      </c>
      <c r="F2728" s="4" t="str">
        <f>HYPERLINK("http://141.218.60.56/~jnz1568/getInfo.php?workbook=14_09.xlsx&amp;sheet=A0&amp;row=2728&amp;col=6&amp;number=5550000000&amp;sourceID=14","5550000000")</f>
        <v>5550000000</v>
      </c>
      <c r="G2728" s="4" t="str">
        <f>HYPERLINK("http://141.218.60.56/~jnz1568/getInfo.php?workbook=14_09.xlsx&amp;sheet=A0&amp;row=2728&amp;col=7&amp;number=0&amp;sourceID=14","0")</f>
        <v>0</v>
      </c>
    </row>
    <row r="2729" spans="1:7">
      <c r="A2729" s="3">
        <v>14</v>
      </c>
      <c r="B2729" s="3">
        <v>9</v>
      </c>
      <c r="C2729" s="3">
        <v>142</v>
      </c>
      <c r="D2729" s="3">
        <v>57</v>
      </c>
      <c r="E2729" s="3">
        <v>-482.501</v>
      </c>
      <c r="F2729" s="4" t="str">
        <f>HYPERLINK("http://141.218.60.56/~jnz1568/getInfo.php?workbook=14_09.xlsx&amp;sheet=A0&amp;row=2729&amp;col=6&amp;number=1030000000&amp;sourceID=14","1030000000")</f>
        <v>1030000000</v>
      </c>
      <c r="G2729" s="4" t="str">
        <f>HYPERLINK("http://141.218.60.56/~jnz1568/getInfo.php?workbook=14_09.xlsx&amp;sheet=A0&amp;row=2729&amp;col=7&amp;number=0&amp;sourceID=14","0")</f>
        <v>0</v>
      </c>
    </row>
    <row r="2730" spans="1:7">
      <c r="A2730" s="3">
        <v>14</v>
      </c>
      <c r="B2730" s="3">
        <v>9</v>
      </c>
      <c r="C2730" s="3">
        <v>146</v>
      </c>
      <c r="D2730" s="3">
        <v>57</v>
      </c>
      <c r="E2730" s="3">
        <v>-479.371</v>
      </c>
      <c r="F2730" s="4" t="str">
        <f>HYPERLINK("http://141.218.60.56/~jnz1568/getInfo.php?workbook=14_09.xlsx&amp;sheet=A0&amp;row=2730&amp;col=6&amp;number=10200000000&amp;sourceID=14","10200000000")</f>
        <v>10200000000</v>
      </c>
      <c r="G2730" s="4" t="str">
        <f>HYPERLINK("http://141.218.60.56/~jnz1568/getInfo.php?workbook=14_09.xlsx&amp;sheet=A0&amp;row=2730&amp;col=7&amp;number=0&amp;sourceID=14","0")</f>
        <v>0</v>
      </c>
    </row>
    <row r="2731" spans="1:7">
      <c r="A2731" s="3">
        <v>14</v>
      </c>
      <c r="B2731" s="3">
        <v>9</v>
      </c>
      <c r="C2731" s="3">
        <v>147</v>
      </c>
      <c r="D2731" s="3">
        <v>57</v>
      </c>
      <c r="E2731" s="3">
        <v>-479.367</v>
      </c>
      <c r="F2731" s="4" t="str">
        <f>HYPERLINK("http://141.218.60.56/~jnz1568/getInfo.php?workbook=14_09.xlsx&amp;sheet=A0&amp;row=2731&amp;col=6&amp;number=2470000000&amp;sourceID=14","2470000000")</f>
        <v>2470000000</v>
      </c>
      <c r="G2731" s="4" t="str">
        <f>HYPERLINK("http://141.218.60.56/~jnz1568/getInfo.php?workbook=14_09.xlsx&amp;sheet=A0&amp;row=2731&amp;col=7&amp;number=0&amp;sourceID=14","0")</f>
        <v>0</v>
      </c>
    </row>
    <row r="2732" spans="1:7">
      <c r="A2732" s="3">
        <v>14</v>
      </c>
      <c r="B2732" s="3">
        <v>9</v>
      </c>
      <c r="C2732" s="3">
        <v>149</v>
      </c>
      <c r="D2732" s="3">
        <v>57</v>
      </c>
      <c r="E2732" s="3">
        <v>-478.312</v>
      </c>
      <c r="F2732" s="4" t="str">
        <f>HYPERLINK("http://141.218.60.56/~jnz1568/getInfo.php?workbook=14_09.xlsx&amp;sheet=A0&amp;row=2732&amp;col=6&amp;number=1480000000&amp;sourceID=14","1480000000")</f>
        <v>1480000000</v>
      </c>
      <c r="G2732" s="4" t="str">
        <f>HYPERLINK("http://141.218.60.56/~jnz1568/getInfo.php?workbook=14_09.xlsx&amp;sheet=A0&amp;row=2732&amp;col=7&amp;number=0&amp;sourceID=14","0")</f>
        <v>0</v>
      </c>
    </row>
    <row r="2733" spans="1:7">
      <c r="A2733" s="3">
        <v>14</v>
      </c>
      <c r="B2733" s="3">
        <v>9</v>
      </c>
      <c r="C2733" s="3">
        <v>159</v>
      </c>
      <c r="D2733" s="3">
        <v>57</v>
      </c>
      <c r="E2733" s="3">
        <v>-437.795</v>
      </c>
      <c r="F2733" s="4" t="str">
        <f>HYPERLINK("http://141.218.60.56/~jnz1568/getInfo.php?workbook=14_09.xlsx&amp;sheet=A0&amp;row=2733&amp;col=6&amp;number=20700000&amp;sourceID=14","20700000")</f>
        <v>20700000</v>
      </c>
      <c r="G2733" s="4" t="str">
        <f>HYPERLINK("http://141.218.60.56/~jnz1568/getInfo.php?workbook=14_09.xlsx&amp;sheet=A0&amp;row=2733&amp;col=7&amp;number=0&amp;sourceID=14","0")</f>
        <v>0</v>
      </c>
    </row>
    <row r="2734" spans="1:7">
      <c r="A2734" s="3">
        <v>14</v>
      </c>
      <c r="B2734" s="3">
        <v>9</v>
      </c>
      <c r="C2734" s="3">
        <v>164</v>
      </c>
      <c r="D2734" s="3">
        <v>57</v>
      </c>
      <c r="E2734" s="3">
        <v>-361.03</v>
      </c>
      <c r="F2734" s="4" t="str">
        <f>HYPERLINK("http://141.218.60.56/~jnz1568/getInfo.php?workbook=14_09.xlsx&amp;sheet=A0&amp;row=2734&amp;col=6&amp;number=477000&amp;sourceID=14","477000")</f>
        <v>477000</v>
      </c>
      <c r="G2734" s="4" t="str">
        <f>HYPERLINK("http://141.218.60.56/~jnz1568/getInfo.php?workbook=14_09.xlsx&amp;sheet=A0&amp;row=2734&amp;col=7&amp;number=0&amp;sourceID=14","0")</f>
        <v>0</v>
      </c>
    </row>
    <row r="2735" spans="1:7">
      <c r="A2735" s="3">
        <v>14</v>
      </c>
      <c r="B2735" s="3">
        <v>9</v>
      </c>
      <c r="C2735" s="3">
        <v>165</v>
      </c>
      <c r="D2735" s="3">
        <v>57</v>
      </c>
      <c r="E2735" s="3">
        <v>-361.017</v>
      </c>
      <c r="F2735" s="4" t="str">
        <f>HYPERLINK("http://141.218.60.56/~jnz1568/getInfo.php?workbook=14_09.xlsx&amp;sheet=A0&amp;row=2735&amp;col=6&amp;number=55300000&amp;sourceID=14","55300000")</f>
        <v>55300000</v>
      </c>
      <c r="G2735" s="4" t="str">
        <f>HYPERLINK("http://141.218.60.56/~jnz1568/getInfo.php?workbook=14_09.xlsx&amp;sheet=A0&amp;row=2735&amp;col=7&amp;number=0&amp;sourceID=14","0")</f>
        <v>0</v>
      </c>
    </row>
    <row r="2736" spans="1:7">
      <c r="A2736" s="3">
        <v>14</v>
      </c>
      <c r="B2736" s="3">
        <v>9</v>
      </c>
      <c r="C2736" s="3">
        <v>166</v>
      </c>
      <c r="D2736" s="3">
        <v>57</v>
      </c>
      <c r="E2736" s="3">
        <v>-350.012</v>
      </c>
      <c r="F2736" s="4" t="str">
        <f>HYPERLINK("http://141.218.60.56/~jnz1568/getInfo.php?workbook=14_09.xlsx&amp;sheet=A0&amp;row=2736&amp;col=6&amp;number=36200000&amp;sourceID=14","36200000")</f>
        <v>36200000</v>
      </c>
      <c r="G2736" s="4" t="str">
        <f>HYPERLINK("http://141.218.60.56/~jnz1568/getInfo.php?workbook=14_09.xlsx&amp;sheet=A0&amp;row=2736&amp;col=7&amp;number=0&amp;sourceID=14","0")</f>
        <v>0</v>
      </c>
    </row>
    <row r="2737" spans="1:7">
      <c r="A2737" s="3">
        <v>14</v>
      </c>
      <c r="B2737" s="3">
        <v>9</v>
      </c>
      <c r="C2737" s="3">
        <v>169</v>
      </c>
      <c r="D2737" s="3">
        <v>57</v>
      </c>
      <c r="E2737" s="3">
        <v>-323.938</v>
      </c>
      <c r="F2737" s="4" t="str">
        <f>HYPERLINK("http://141.218.60.56/~jnz1568/getInfo.php?workbook=14_09.xlsx&amp;sheet=A0&amp;row=2737&amp;col=6&amp;number=5940000&amp;sourceID=14","5940000")</f>
        <v>5940000</v>
      </c>
      <c r="G2737" s="4" t="str">
        <f>HYPERLINK("http://141.218.60.56/~jnz1568/getInfo.php?workbook=14_09.xlsx&amp;sheet=A0&amp;row=2737&amp;col=7&amp;number=0&amp;sourceID=14","0")</f>
        <v>0</v>
      </c>
    </row>
    <row r="2738" spans="1:7">
      <c r="A2738" s="3">
        <v>14</v>
      </c>
      <c r="B2738" s="3">
        <v>9</v>
      </c>
      <c r="C2738" s="3">
        <v>170</v>
      </c>
      <c r="D2738" s="3">
        <v>57</v>
      </c>
      <c r="E2738" s="3">
        <v>-322.385</v>
      </c>
      <c r="F2738" s="4" t="str">
        <f>HYPERLINK("http://141.218.60.56/~jnz1568/getInfo.php?workbook=14_09.xlsx&amp;sheet=A0&amp;row=2738&amp;col=6&amp;number=355000&amp;sourceID=14","355000")</f>
        <v>355000</v>
      </c>
      <c r="G2738" s="4" t="str">
        <f>HYPERLINK("http://141.218.60.56/~jnz1568/getInfo.php?workbook=14_09.xlsx&amp;sheet=A0&amp;row=2738&amp;col=7&amp;number=0&amp;sourceID=14","0")</f>
        <v>0</v>
      </c>
    </row>
    <row r="2739" spans="1:7">
      <c r="A2739" s="3">
        <v>14</v>
      </c>
      <c r="B2739" s="3">
        <v>9</v>
      </c>
      <c r="C2739" s="3">
        <v>172</v>
      </c>
      <c r="D2739" s="3">
        <v>57</v>
      </c>
      <c r="E2739" s="3">
        <v>-318.527</v>
      </c>
      <c r="F2739" s="4" t="str">
        <f>HYPERLINK("http://141.218.60.56/~jnz1568/getInfo.php?workbook=14_09.xlsx&amp;sheet=A0&amp;row=2739&amp;col=6&amp;number=8180000&amp;sourceID=14","8180000")</f>
        <v>8180000</v>
      </c>
      <c r="G2739" s="4" t="str">
        <f>HYPERLINK("http://141.218.60.56/~jnz1568/getInfo.php?workbook=14_09.xlsx&amp;sheet=A0&amp;row=2739&amp;col=7&amp;number=0&amp;sourceID=14","0")</f>
        <v>0</v>
      </c>
    </row>
    <row r="2740" spans="1:7">
      <c r="A2740" s="3">
        <v>14</v>
      </c>
      <c r="B2740" s="3">
        <v>9</v>
      </c>
      <c r="C2740" s="3">
        <v>173</v>
      </c>
      <c r="D2740" s="3">
        <v>57</v>
      </c>
      <c r="E2740" s="3">
        <v>-317.127</v>
      </c>
      <c r="F2740" s="4" t="str">
        <f>HYPERLINK("http://141.218.60.56/~jnz1568/getInfo.php?workbook=14_09.xlsx&amp;sheet=A0&amp;row=2740&amp;col=6&amp;number=2040000&amp;sourceID=14","2040000")</f>
        <v>2040000</v>
      </c>
      <c r="G2740" s="4" t="str">
        <f>HYPERLINK("http://141.218.60.56/~jnz1568/getInfo.php?workbook=14_09.xlsx&amp;sheet=A0&amp;row=2740&amp;col=7&amp;number=0&amp;sourceID=14","0")</f>
        <v>0</v>
      </c>
    </row>
    <row r="2741" spans="1:7">
      <c r="A2741" s="3">
        <v>14</v>
      </c>
      <c r="B2741" s="3">
        <v>9</v>
      </c>
      <c r="C2741" s="3">
        <v>175</v>
      </c>
      <c r="D2741" s="3">
        <v>57</v>
      </c>
      <c r="E2741" s="3">
        <v>-310.536</v>
      </c>
      <c r="F2741" s="4" t="str">
        <f>HYPERLINK("http://141.218.60.56/~jnz1568/getInfo.php?workbook=14_09.xlsx&amp;sheet=A0&amp;row=2741&amp;col=6&amp;number=64900000&amp;sourceID=14","64900000")</f>
        <v>64900000</v>
      </c>
      <c r="G2741" s="4" t="str">
        <f>HYPERLINK("http://141.218.60.56/~jnz1568/getInfo.php?workbook=14_09.xlsx&amp;sheet=A0&amp;row=2741&amp;col=7&amp;number=0&amp;sourceID=14","0")</f>
        <v>0</v>
      </c>
    </row>
    <row r="2742" spans="1:7">
      <c r="A2742" s="3">
        <v>14</v>
      </c>
      <c r="B2742" s="3">
        <v>9</v>
      </c>
      <c r="C2742" s="3">
        <v>176</v>
      </c>
      <c r="D2742" s="3">
        <v>57</v>
      </c>
      <c r="E2742" s="3">
        <v>-308.69</v>
      </c>
      <c r="F2742" s="4" t="str">
        <f>HYPERLINK("http://141.218.60.56/~jnz1568/getInfo.php?workbook=14_09.xlsx&amp;sheet=A0&amp;row=2742&amp;col=6&amp;number=1910000&amp;sourceID=14","1910000")</f>
        <v>1910000</v>
      </c>
      <c r="G2742" s="4" t="str">
        <f>HYPERLINK("http://141.218.60.56/~jnz1568/getInfo.php?workbook=14_09.xlsx&amp;sheet=A0&amp;row=2742&amp;col=7&amp;number=0&amp;sourceID=14","0")</f>
        <v>0</v>
      </c>
    </row>
    <row r="2743" spans="1:7">
      <c r="A2743" s="3">
        <v>14</v>
      </c>
      <c r="B2743" s="3">
        <v>9</v>
      </c>
      <c r="C2743" s="3">
        <v>177</v>
      </c>
      <c r="D2743" s="3">
        <v>57</v>
      </c>
      <c r="E2743" s="3">
        <v>-308.529</v>
      </c>
      <c r="F2743" s="4" t="str">
        <f>HYPERLINK("http://141.218.60.56/~jnz1568/getInfo.php?workbook=14_09.xlsx&amp;sheet=A0&amp;row=2743&amp;col=6&amp;number=96900000&amp;sourceID=14","96900000")</f>
        <v>96900000</v>
      </c>
      <c r="G2743" s="4" t="str">
        <f>HYPERLINK("http://141.218.60.56/~jnz1568/getInfo.php?workbook=14_09.xlsx&amp;sheet=A0&amp;row=2743&amp;col=7&amp;number=0&amp;sourceID=14","0")</f>
        <v>0</v>
      </c>
    </row>
    <row r="2744" spans="1:7">
      <c r="A2744" s="3">
        <v>14</v>
      </c>
      <c r="B2744" s="3">
        <v>9</v>
      </c>
      <c r="C2744" s="3">
        <v>179</v>
      </c>
      <c r="D2744" s="3">
        <v>57</v>
      </c>
      <c r="E2744" s="3">
        <v>-308.336</v>
      </c>
      <c r="F2744" s="4" t="str">
        <f>HYPERLINK("http://141.218.60.56/~jnz1568/getInfo.php?workbook=14_09.xlsx&amp;sheet=A0&amp;row=2744&amp;col=6&amp;number=1480000&amp;sourceID=14","1480000")</f>
        <v>1480000</v>
      </c>
      <c r="G2744" s="4" t="str">
        <f>HYPERLINK("http://141.218.60.56/~jnz1568/getInfo.php?workbook=14_09.xlsx&amp;sheet=A0&amp;row=2744&amp;col=7&amp;number=0&amp;sourceID=14","0")</f>
        <v>0</v>
      </c>
    </row>
    <row r="2745" spans="1:7">
      <c r="A2745" s="3">
        <v>14</v>
      </c>
      <c r="B2745" s="3">
        <v>9</v>
      </c>
      <c r="C2745" s="3">
        <v>180</v>
      </c>
      <c r="D2745" s="3">
        <v>57</v>
      </c>
      <c r="E2745" s="3">
        <v>-307.283</v>
      </c>
      <c r="F2745" s="4" t="str">
        <f>HYPERLINK("http://141.218.60.56/~jnz1568/getInfo.php?workbook=14_09.xlsx&amp;sheet=A0&amp;row=2745&amp;col=6&amp;number=8260000&amp;sourceID=14","8260000")</f>
        <v>8260000</v>
      </c>
      <c r="G2745" s="4" t="str">
        <f>HYPERLINK("http://141.218.60.56/~jnz1568/getInfo.php?workbook=14_09.xlsx&amp;sheet=A0&amp;row=2745&amp;col=7&amp;number=0&amp;sourceID=14","0")</f>
        <v>0</v>
      </c>
    </row>
    <row r="2746" spans="1:7">
      <c r="A2746" s="3">
        <v>14</v>
      </c>
      <c r="B2746" s="3">
        <v>9</v>
      </c>
      <c r="C2746" s="3">
        <v>181</v>
      </c>
      <c r="D2746" s="3">
        <v>57</v>
      </c>
      <c r="E2746" s="3">
        <v>-303.263</v>
      </c>
      <c r="F2746" s="4" t="str">
        <f>HYPERLINK("http://141.218.60.56/~jnz1568/getInfo.php?workbook=14_09.xlsx&amp;sheet=A0&amp;row=2746&amp;col=6&amp;number=8570000&amp;sourceID=14","8570000")</f>
        <v>8570000</v>
      </c>
      <c r="G2746" s="4" t="str">
        <f>HYPERLINK("http://141.218.60.56/~jnz1568/getInfo.php?workbook=14_09.xlsx&amp;sheet=A0&amp;row=2746&amp;col=7&amp;number=0&amp;sourceID=14","0")</f>
        <v>0</v>
      </c>
    </row>
    <row r="2747" spans="1:7">
      <c r="A2747" s="3">
        <v>14</v>
      </c>
      <c r="B2747" s="3">
        <v>9</v>
      </c>
      <c r="C2747" s="3">
        <v>184</v>
      </c>
      <c r="D2747" s="3">
        <v>57</v>
      </c>
      <c r="E2747" s="3">
        <v>-293.504</v>
      </c>
      <c r="F2747" s="4" t="str">
        <f>HYPERLINK("http://141.218.60.56/~jnz1568/getInfo.php?workbook=14_09.xlsx&amp;sheet=A0&amp;row=2747&amp;col=6&amp;number=328000000&amp;sourceID=14","328000000")</f>
        <v>328000000</v>
      </c>
      <c r="G2747" s="4" t="str">
        <f>HYPERLINK("http://141.218.60.56/~jnz1568/getInfo.php?workbook=14_09.xlsx&amp;sheet=A0&amp;row=2747&amp;col=7&amp;number=0&amp;sourceID=14","0")</f>
        <v>0</v>
      </c>
    </row>
    <row r="2748" spans="1:7">
      <c r="A2748" s="3">
        <v>14</v>
      </c>
      <c r="B2748" s="3">
        <v>9</v>
      </c>
      <c r="C2748" s="3">
        <v>190</v>
      </c>
      <c r="D2748" s="3">
        <v>57</v>
      </c>
      <c r="E2748" s="3">
        <v>-212.152</v>
      </c>
      <c r="F2748" s="4" t="str">
        <f>HYPERLINK("http://141.218.60.56/~jnz1568/getInfo.php?workbook=14_09.xlsx&amp;sheet=A0&amp;row=2748&amp;col=6&amp;number=1860000000&amp;sourceID=14","1860000000")</f>
        <v>1860000000</v>
      </c>
      <c r="G2748" s="4" t="str">
        <f>HYPERLINK("http://141.218.60.56/~jnz1568/getInfo.php?workbook=14_09.xlsx&amp;sheet=A0&amp;row=2748&amp;col=7&amp;number=0&amp;sourceID=14","0")</f>
        <v>0</v>
      </c>
    </row>
    <row r="2749" spans="1:7">
      <c r="A2749" s="3">
        <v>14</v>
      </c>
      <c r="B2749" s="3">
        <v>9</v>
      </c>
      <c r="C2749" s="3">
        <v>191</v>
      </c>
      <c r="D2749" s="3">
        <v>57</v>
      </c>
      <c r="E2749" s="3">
        <v>-212.114</v>
      </c>
      <c r="F2749" s="4" t="str">
        <f>HYPERLINK("http://141.218.60.56/~jnz1568/getInfo.php?workbook=14_09.xlsx&amp;sheet=A0&amp;row=2749&amp;col=6&amp;number=1050000000&amp;sourceID=14","1050000000")</f>
        <v>1050000000</v>
      </c>
      <c r="G2749" s="4" t="str">
        <f>HYPERLINK("http://141.218.60.56/~jnz1568/getInfo.php?workbook=14_09.xlsx&amp;sheet=A0&amp;row=2749&amp;col=7&amp;number=0&amp;sourceID=14","0")</f>
        <v>0</v>
      </c>
    </row>
    <row r="2750" spans="1:7">
      <c r="A2750" s="3">
        <v>14</v>
      </c>
      <c r="B2750" s="3">
        <v>9</v>
      </c>
      <c r="C2750" s="3">
        <v>192</v>
      </c>
      <c r="D2750" s="3">
        <v>57</v>
      </c>
      <c r="E2750" s="3">
        <v>-210.504</v>
      </c>
      <c r="F2750" s="4" t="str">
        <f>HYPERLINK("http://141.218.60.56/~jnz1568/getInfo.php?workbook=14_09.xlsx&amp;sheet=A0&amp;row=2750&amp;col=6&amp;number=20000000000&amp;sourceID=14","20000000000")</f>
        <v>20000000000</v>
      </c>
      <c r="G2750" s="4" t="str">
        <f>HYPERLINK("http://141.218.60.56/~jnz1568/getInfo.php?workbook=14_09.xlsx&amp;sheet=A0&amp;row=2750&amp;col=7&amp;number=0&amp;sourceID=14","0")</f>
        <v>0</v>
      </c>
    </row>
    <row r="2751" spans="1:7">
      <c r="A2751" s="3">
        <v>14</v>
      </c>
      <c r="B2751" s="3">
        <v>9</v>
      </c>
      <c r="C2751" s="3">
        <v>194</v>
      </c>
      <c r="D2751" s="3">
        <v>57</v>
      </c>
      <c r="E2751" s="3">
        <v>-209.194</v>
      </c>
      <c r="F2751" s="4" t="str">
        <f>HYPERLINK("http://141.218.60.56/~jnz1568/getInfo.php?workbook=14_09.xlsx&amp;sheet=A0&amp;row=2751&amp;col=6&amp;number=10400000000&amp;sourceID=14","10400000000")</f>
        <v>10400000000</v>
      </c>
      <c r="G2751" s="4" t="str">
        <f>HYPERLINK("http://141.218.60.56/~jnz1568/getInfo.php?workbook=14_09.xlsx&amp;sheet=A0&amp;row=2751&amp;col=7&amp;number=0&amp;sourceID=14","0")</f>
        <v>0</v>
      </c>
    </row>
    <row r="2752" spans="1:7">
      <c r="A2752" s="3">
        <v>14</v>
      </c>
      <c r="B2752" s="3">
        <v>9</v>
      </c>
      <c r="C2752" s="3">
        <v>195</v>
      </c>
      <c r="D2752" s="3">
        <v>57</v>
      </c>
      <c r="E2752" s="3">
        <v>-209.164</v>
      </c>
      <c r="F2752" s="4" t="str">
        <f>HYPERLINK("http://141.218.60.56/~jnz1568/getInfo.php?workbook=14_09.xlsx&amp;sheet=A0&amp;row=2752&amp;col=6&amp;number=11500000000&amp;sourceID=14","11500000000")</f>
        <v>11500000000</v>
      </c>
      <c r="G2752" s="4" t="str">
        <f>HYPERLINK("http://141.218.60.56/~jnz1568/getInfo.php?workbook=14_09.xlsx&amp;sheet=A0&amp;row=2752&amp;col=7&amp;number=0&amp;sourceID=14","0")</f>
        <v>0</v>
      </c>
    </row>
    <row r="2753" spans="1:7">
      <c r="A2753" s="3">
        <v>14</v>
      </c>
      <c r="B2753" s="3">
        <v>9</v>
      </c>
      <c r="C2753" s="3">
        <v>70</v>
      </c>
      <c r="D2753" s="3">
        <v>58</v>
      </c>
      <c r="E2753" s="3">
        <v>-914.915</v>
      </c>
      <c r="F2753" s="4" t="str">
        <f>HYPERLINK("http://141.218.60.56/~jnz1568/getInfo.php?workbook=14_09.xlsx&amp;sheet=A0&amp;row=2753&amp;col=6&amp;number=1160000&amp;sourceID=14","1160000")</f>
        <v>1160000</v>
      </c>
      <c r="G2753" s="4" t="str">
        <f>HYPERLINK("http://141.218.60.56/~jnz1568/getInfo.php?workbook=14_09.xlsx&amp;sheet=A0&amp;row=2753&amp;col=7&amp;number=0&amp;sourceID=14","0")</f>
        <v>0</v>
      </c>
    </row>
    <row r="2754" spans="1:7">
      <c r="A2754" s="3">
        <v>14</v>
      </c>
      <c r="B2754" s="3">
        <v>9</v>
      </c>
      <c r="C2754" s="3">
        <v>71</v>
      </c>
      <c r="D2754" s="3">
        <v>58</v>
      </c>
      <c r="E2754" s="3">
        <v>-897.845</v>
      </c>
      <c r="F2754" s="4" t="str">
        <f>HYPERLINK("http://141.218.60.56/~jnz1568/getInfo.php?workbook=14_09.xlsx&amp;sheet=A0&amp;row=2754&amp;col=6&amp;number=4160000&amp;sourceID=14","4160000")</f>
        <v>4160000</v>
      </c>
      <c r="G2754" s="4" t="str">
        <f>HYPERLINK("http://141.218.60.56/~jnz1568/getInfo.php?workbook=14_09.xlsx&amp;sheet=A0&amp;row=2754&amp;col=7&amp;number=0&amp;sourceID=14","0")</f>
        <v>0</v>
      </c>
    </row>
    <row r="2755" spans="1:7">
      <c r="A2755" s="3">
        <v>14</v>
      </c>
      <c r="B2755" s="3">
        <v>9</v>
      </c>
      <c r="C2755" s="3">
        <v>72</v>
      </c>
      <c r="D2755" s="3">
        <v>58</v>
      </c>
      <c r="E2755" s="3">
        <v>-891.673</v>
      </c>
      <c r="F2755" s="4" t="str">
        <f>HYPERLINK("http://141.218.60.56/~jnz1568/getInfo.php?workbook=14_09.xlsx&amp;sheet=A0&amp;row=2755&amp;col=6&amp;number=2040000&amp;sourceID=14","2040000")</f>
        <v>2040000</v>
      </c>
      <c r="G2755" s="4" t="str">
        <f>HYPERLINK("http://141.218.60.56/~jnz1568/getInfo.php?workbook=14_09.xlsx&amp;sheet=A0&amp;row=2755&amp;col=7&amp;number=0&amp;sourceID=14","0")</f>
        <v>0</v>
      </c>
    </row>
    <row r="2756" spans="1:7">
      <c r="A2756" s="3">
        <v>14</v>
      </c>
      <c r="B2756" s="3">
        <v>9</v>
      </c>
      <c r="C2756" s="3">
        <v>73</v>
      </c>
      <c r="D2756" s="3">
        <v>58</v>
      </c>
      <c r="E2756" s="3">
        <v>-888.875</v>
      </c>
      <c r="F2756" s="4" t="str">
        <f>HYPERLINK("http://141.218.60.56/~jnz1568/getInfo.php?workbook=14_09.xlsx&amp;sheet=A0&amp;row=2756&amp;col=6&amp;number=223000&amp;sourceID=14","223000")</f>
        <v>223000</v>
      </c>
      <c r="G2756" s="4" t="str">
        <f>HYPERLINK("http://141.218.60.56/~jnz1568/getInfo.php?workbook=14_09.xlsx&amp;sheet=A0&amp;row=2756&amp;col=7&amp;number=0&amp;sourceID=14","0")</f>
        <v>0</v>
      </c>
    </row>
    <row r="2757" spans="1:7">
      <c r="A2757" s="3">
        <v>14</v>
      </c>
      <c r="B2757" s="3">
        <v>9</v>
      </c>
      <c r="C2757" s="3">
        <v>74</v>
      </c>
      <c r="D2757" s="3">
        <v>58</v>
      </c>
      <c r="E2757" s="3">
        <v>-879.416</v>
      </c>
      <c r="F2757" s="4" t="str">
        <f>HYPERLINK("http://141.218.60.56/~jnz1568/getInfo.php?workbook=14_09.xlsx&amp;sheet=A0&amp;row=2757&amp;col=6&amp;number=1070000&amp;sourceID=14","1070000")</f>
        <v>1070000</v>
      </c>
      <c r="G2757" s="4" t="str">
        <f>HYPERLINK("http://141.218.60.56/~jnz1568/getInfo.php?workbook=14_09.xlsx&amp;sheet=A0&amp;row=2757&amp;col=7&amp;number=0&amp;sourceID=14","0")</f>
        <v>0</v>
      </c>
    </row>
    <row r="2758" spans="1:7">
      <c r="A2758" s="3">
        <v>14</v>
      </c>
      <c r="B2758" s="3">
        <v>9</v>
      </c>
      <c r="C2758" s="3">
        <v>75</v>
      </c>
      <c r="D2758" s="3">
        <v>58</v>
      </c>
      <c r="E2758" s="3">
        <v>-875.13</v>
      </c>
      <c r="F2758" s="4" t="str">
        <f>HYPERLINK("http://141.218.60.56/~jnz1568/getInfo.php?workbook=14_09.xlsx&amp;sheet=A0&amp;row=2758&amp;col=6&amp;number=1720000&amp;sourceID=14","1720000")</f>
        <v>1720000</v>
      </c>
      <c r="G2758" s="4" t="str">
        <f>HYPERLINK("http://141.218.60.56/~jnz1568/getInfo.php?workbook=14_09.xlsx&amp;sheet=A0&amp;row=2758&amp;col=7&amp;number=0&amp;sourceID=14","0")</f>
        <v>0</v>
      </c>
    </row>
    <row r="2759" spans="1:7">
      <c r="A2759" s="3">
        <v>14</v>
      </c>
      <c r="B2759" s="3">
        <v>9</v>
      </c>
      <c r="C2759" s="3">
        <v>76</v>
      </c>
      <c r="D2759" s="3">
        <v>58</v>
      </c>
      <c r="E2759" s="3">
        <v>-872.945</v>
      </c>
      <c r="F2759" s="4" t="str">
        <f>HYPERLINK("http://141.218.60.56/~jnz1568/getInfo.php?workbook=14_09.xlsx&amp;sheet=A0&amp;row=2759&amp;col=6&amp;number=36700000&amp;sourceID=14","36700000")</f>
        <v>36700000</v>
      </c>
      <c r="G2759" s="4" t="str">
        <f>HYPERLINK("http://141.218.60.56/~jnz1568/getInfo.php?workbook=14_09.xlsx&amp;sheet=A0&amp;row=2759&amp;col=7&amp;number=0&amp;sourceID=14","0")</f>
        <v>0</v>
      </c>
    </row>
    <row r="2760" spans="1:7">
      <c r="A2760" s="3">
        <v>14</v>
      </c>
      <c r="B2760" s="3">
        <v>9</v>
      </c>
      <c r="C2760" s="3">
        <v>77</v>
      </c>
      <c r="D2760" s="3">
        <v>58</v>
      </c>
      <c r="E2760" s="3">
        <v>-821.924</v>
      </c>
      <c r="F2760" s="4" t="str">
        <f>HYPERLINK("http://141.218.60.56/~jnz1568/getInfo.php?workbook=14_09.xlsx&amp;sheet=A0&amp;row=2760&amp;col=6&amp;number=130000&amp;sourceID=14","130000")</f>
        <v>130000</v>
      </c>
      <c r="G2760" s="4" t="str">
        <f>HYPERLINK("http://141.218.60.56/~jnz1568/getInfo.php?workbook=14_09.xlsx&amp;sheet=A0&amp;row=2760&amp;col=7&amp;number=0&amp;sourceID=14","0")</f>
        <v>0</v>
      </c>
    </row>
    <row r="2761" spans="1:7">
      <c r="A2761" s="3">
        <v>14</v>
      </c>
      <c r="B2761" s="3">
        <v>9</v>
      </c>
      <c r="C2761" s="3">
        <v>78</v>
      </c>
      <c r="D2761" s="3">
        <v>58</v>
      </c>
      <c r="E2761" s="3">
        <v>-816.062</v>
      </c>
      <c r="F2761" s="4" t="str">
        <f>HYPERLINK("http://141.218.60.56/~jnz1568/getInfo.php?workbook=14_09.xlsx&amp;sheet=A0&amp;row=2761&amp;col=6&amp;number=36000000&amp;sourceID=14","36000000")</f>
        <v>36000000</v>
      </c>
      <c r="G2761" s="4" t="str">
        <f>HYPERLINK("http://141.218.60.56/~jnz1568/getInfo.php?workbook=14_09.xlsx&amp;sheet=A0&amp;row=2761&amp;col=7&amp;number=0&amp;sourceID=14","0")</f>
        <v>0</v>
      </c>
    </row>
    <row r="2762" spans="1:7">
      <c r="A2762" s="3">
        <v>14</v>
      </c>
      <c r="B2762" s="3">
        <v>9</v>
      </c>
      <c r="C2762" s="3">
        <v>83</v>
      </c>
      <c r="D2762" s="3">
        <v>58</v>
      </c>
      <c r="E2762" s="3">
        <v>-765.352</v>
      </c>
      <c r="F2762" s="4" t="str">
        <f>HYPERLINK("http://141.218.60.56/~jnz1568/getInfo.php?workbook=14_09.xlsx&amp;sheet=A0&amp;row=2762&amp;col=6&amp;number=143000&amp;sourceID=14","143000")</f>
        <v>143000</v>
      </c>
      <c r="G2762" s="4" t="str">
        <f>HYPERLINK("http://141.218.60.56/~jnz1568/getInfo.php?workbook=14_09.xlsx&amp;sheet=A0&amp;row=2762&amp;col=7&amp;number=0&amp;sourceID=14","0")</f>
        <v>0</v>
      </c>
    </row>
    <row r="2763" spans="1:7">
      <c r="A2763" s="3">
        <v>14</v>
      </c>
      <c r="B2763" s="3">
        <v>9</v>
      </c>
      <c r="C2763" s="3">
        <v>84</v>
      </c>
      <c r="D2763" s="3">
        <v>58</v>
      </c>
      <c r="E2763" s="3">
        <v>-718.403</v>
      </c>
      <c r="F2763" s="4" t="str">
        <f>HYPERLINK("http://141.218.60.56/~jnz1568/getInfo.php?workbook=14_09.xlsx&amp;sheet=A0&amp;row=2763&amp;col=6&amp;number=16700000&amp;sourceID=14","16700000")</f>
        <v>16700000</v>
      </c>
      <c r="G2763" s="4" t="str">
        <f>HYPERLINK("http://141.218.60.56/~jnz1568/getInfo.php?workbook=14_09.xlsx&amp;sheet=A0&amp;row=2763&amp;col=7&amp;number=0&amp;sourceID=14","0")</f>
        <v>0</v>
      </c>
    </row>
    <row r="2764" spans="1:7">
      <c r="A2764" s="3">
        <v>14</v>
      </c>
      <c r="B2764" s="3">
        <v>9</v>
      </c>
      <c r="C2764" s="3">
        <v>85</v>
      </c>
      <c r="D2764" s="3">
        <v>58</v>
      </c>
      <c r="E2764" s="3">
        <v>-704.882</v>
      </c>
      <c r="F2764" s="4" t="str">
        <f>HYPERLINK("http://141.218.60.56/~jnz1568/getInfo.php?workbook=14_09.xlsx&amp;sheet=A0&amp;row=2764&amp;col=6&amp;number=241000000&amp;sourceID=14","241000000")</f>
        <v>241000000</v>
      </c>
      <c r="G2764" s="4" t="str">
        <f>HYPERLINK("http://141.218.60.56/~jnz1568/getInfo.php?workbook=14_09.xlsx&amp;sheet=A0&amp;row=2764&amp;col=7&amp;number=0&amp;sourceID=14","0")</f>
        <v>0</v>
      </c>
    </row>
    <row r="2765" spans="1:7">
      <c r="A2765" s="3">
        <v>14</v>
      </c>
      <c r="B2765" s="3">
        <v>9</v>
      </c>
      <c r="C2765" s="3">
        <v>101</v>
      </c>
      <c r="D2765" s="3">
        <v>58</v>
      </c>
      <c r="E2765" s="3">
        <v>-641.953</v>
      </c>
      <c r="F2765" s="4" t="str">
        <f>HYPERLINK("http://141.218.60.56/~jnz1568/getInfo.php?workbook=14_09.xlsx&amp;sheet=A0&amp;row=2765&amp;col=6&amp;number=34900000&amp;sourceID=14","34900000")</f>
        <v>34900000</v>
      </c>
      <c r="G2765" s="4" t="str">
        <f>HYPERLINK("http://141.218.60.56/~jnz1568/getInfo.php?workbook=14_09.xlsx&amp;sheet=A0&amp;row=2765&amp;col=7&amp;number=0&amp;sourceID=14","0")</f>
        <v>0</v>
      </c>
    </row>
    <row r="2766" spans="1:7">
      <c r="A2766" s="3">
        <v>14</v>
      </c>
      <c r="B2766" s="3">
        <v>9</v>
      </c>
      <c r="C2766" s="3">
        <v>106</v>
      </c>
      <c r="D2766" s="3">
        <v>58</v>
      </c>
      <c r="E2766" s="3">
        <v>-633.956</v>
      </c>
      <c r="F2766" s="4" t="str">
        <f>HYPERLINK("http://141.218.60.56/~jnz1568/getInfo.php?workbook=14_09.xlsx&amp;sheet=A0&amp;row=2766&amp;col=6&amp;number=66300000&amp;sourceID=14","66300000")</f>
        <v>66300000</v>
      </c>
      <c r="G2766" s="4" t="str">
        <f>HYPERLINK("http://141.218.60.56/~jnz1568/getInfo.php?workbook=14_09.xlsx&amp;sheet=A0&amp;row=2766&amp;col=7&amp;number=0&amp;sourceID=14","0")</f>
        <v>0</v>
      </c>
    </row>
    <row r="2767" spans="1:7">
      <c r="A2767" s="3">
        <v>14</v>
      </c>
      <c r="B2767" s="3">
        <v>9</v>
      </c>
      <c r="C2767" s="3">
        <v>108</v>
      </c>
      <c r="D2767" s="3">
        <v>58</v>
      </c>
      <c r="E2767" s="3">
        <v>-632.304</v>
      </c>
      <c r="F2767" s="4" t="str">
        <f>HYPERLINK("http://141.218.60.56/~jnz1568/getInfo.php?workbook=14_09.xlsx&amp;sheet=A0&amp;row=2767&amp;col=6&amp;number=3810000&amp;sourceID=14","3810000")</f>
        <v>3810000</v>
      </c>
      <c r="G2767" s="4" t="str">
        <f>HYPERLINK("http://141.218.60.56/~jnz1568/getInfo.php?workbook=14_09.xlsx&amp;sheet=A0&amp;row=2767&amp;col=7&amp;number=0&amp;sourceID=14","0")</f>
        <v>0</v>
      </c>
    </row>
    <row r="2768" spans="1:7">
      <c r="A2768" s="3">
        <v>14</v>
      </c>
      <c r="B2768" s="3">
        <v>9</v>
      </c>
      <c r="C2768" s="3">
        <v>109</v>
      </c>
      <c r="D2768" s="3">
        <v>58</v>
      </c>
      <c r="E2768" s="3">
        <v>-631.227</v>
      </c>
      <c r="F2768" s="4" t="str">
        <f>HYPERLINK("http://141.218.60.56/~jnz1568/getInfo.php?workbook=14_09.xlsx&amp;sheet=A0&amp;row=2768&amp;col=6&amp;number=362000000&amp;sourceID=14","362000000")</f>
        <v>362000000</v>
      </c>
      <c r="G2768" s="4" t="str">
        <f>HYPERLINK("http://141.218.60.56/~jnz1568/getInfo.php?workbook=14_09.xlsx&amp;sheet=A0&amp;row=2768&amp;col=7&amp;number=0&amp;sourceID=14","0")</f>
        <v>0</v>
      </c>
    </row>
    <row r="2769" spans="1:7">
      <c r="A2769" s="3">
        <v>14</v>
      </c>
      <c r="B2769" s="3">
        <v>9</v>
      </c>
      <c r="C2769" s="3">
        <v>113</v>
      </c>
      <c r="D2769" s="3">
        <v>58</v>
      </c>
      <c r="E2769" s="3">
        <v>-628.513</v>
      </c>
      <c r="F2769" s="4" t="str">
        <f>HYPERLINK("http://141.218.60.56/~jnz1568/getInfo.php?workbook=14_09.xlsx&amp;sheet=A0&amp;row=2769&amp;col=6&amp;number=730000000&amp;sourceID=14","730000000")</f>
        <v>730000000</v>
      </c>
      <c r="G2769" s="4" t="str">
        <f>HYPERLINK("http://141.218.60.56/~jnz1568/getInfo.php?workbook=14_09.xlsx&amp;sheet=A0&amp;row=2769&amp;col=7&amp;number=0&amp;sourceID=14","0")</f>
        <v>0</v>
      </c>
    </row>
    <row r="2770" spans="1:7">
      <c r="A2770" s="3">
        <v>14</v>
      </c>
      <c r="B2770" s="3">
        <v>9</v>
      </c>
      <c r="C2770" s="3">
        <v>115</v>
      </c>
      <c r="D2770" s="3">
        <v>58</v>
      </c>
      <c r="E2770" s="3">
        <v>-627.921</v>
      </c>
      <c r="F2770" s="4" t="str">
        <f>HYPERLINK("http://141.218.60.56/~jnz1568/getInfo.php?workbook=14_09.xlsx&amp;sheet=A0&amp;row=2770&amp;col=6&amp;number=55200000&amp;sourceID=14","55200000")</f>
        <v>55200000</v>
      </c>
      <c r="G2770" s="4" t="str">
        <f>HYPERLINK("http://141.218.60.56/~jnz1568/getInfo.php?workbook=14_09.xlsx&amp;sheet=A0&amp;row=2770&amp;col=7&amp;number=0&amp;sourceID=14","0")</f>
        <v>0</v>
      </c>
    </row>
    <row r="2771" spans="1:7">
      <c r="A2771" s="3">
        <v>14</v>
      </c>
      <c r="B2771" s="3">
        <v>9</v>
      </c>
      <c r="C2771" s="3">
        <v>116</v>
      </c>
      <c r="D2771" s="3">
        <v>58</v>
      </c>
      <c r="E2771" s="3">
        <v>-627.811</v>
      </c>
      <c r="F2771" s="4" t="str">
        <f>HYPERLINK("http://141.218.60.56/~jnz1568/getInfo.php?workbook=14_09.xlsx&amp;sheet=A0&amp;row=2771&amp;col=6&amp;number=269000000&amp;sourceID=14","269000000")</f>
        <v>269000000</v>
      </c>
      <c r="G2771" s="4" t="str">
        <f>HYPERLINK("http://141.218.60.56/~jnz1568/getInfo.php?workbook=14_09.xlsx&amp;sheet=A0&amp;row=2771&amp;col=7&amp;number=0&amp;sourceID=14","0")</f>
        <v>0</v>
      </c>
    </row>
    <row r="2772" spans="1:7">
      <c r="A2772" s="3">
        <v>14</v>
      </c>
      <c r="B2772" s="3">
        <v>9</v>
      </c>
      <c r="C2772" s="3">
        <v>117</v>
      </c>
      <c r="D2772" s="3">
        <v>58</v>
      </c>
      <c r="E2772" s="3">
        <v>-617.338</v>
      </c>
      <c r="F2772" s="4" t="str">
        <f>HYPERLINK("http://141.218.60.56/~jnz1568/getInfo.php?workbook=14_09.xlsx&amp;sheet=A0&amp;row=2772&amp;col=6&amp;number=58300000&amp;sourceID=14","58300000")</f>
        <v>58300000</v>
      </c>
      <c r="G2772" s="4" t="str">
        <f>HYPERLINK("http://141.218.60.56/~jnz1568/getInfo.php?workbook=14_09.xlsx&amp;sheet=A0&amp;row=2772&amp;col=7&amp;number=0&amp;sourceID=14","0")</f>
        <v>0</v>
      </c>
    </row>
    <row r="2773" spans="1:7">
      <c r="A2773" s="3">
        <v>14</v>
      </c>
      <c r="B2773" s="3">
        <v>9</v>
      </c>
      <c r="C2773" s="3">
        <v>118</v>
      </c>
      <c r="D2773" s="3">
        <v>58</v>
      </c>
      <c r="E2773" s="3">
        <v>-617.057</v>
      </c>
      <c r="F2773" s="4" t="str">
        <f>HYPERLINK("http://141.218.60.56/~jnz1568/getInfo.php?workbook=14_09.xlsx&amp;sheet=A0&amp;row=2773&amp;col=6&amp;number=247000000&amp;sourceID=14","247000000")</f>
        <v>247000000</v>
      </c>
      <c r="G2773" s="4" t="str">
        <f>HYPERLINK("http://141.218.60.56/~jnz1568/getInfo.php?workbook=14_09.xlsx&amp;sheet=A0&amp;row=2773&amp;col=7&amp;number=0&amp;sourceID=14","0")</f>
        <v>0</v>
      </c>
    </row>
    <row r="2774" spans="1:7">
      <c r="A2774" s="3">
        <v>14</v>
      </c>
      <c r="B2774" s="3">
        <v>9</v>
      </c>
      <c r="C2774" s="3">
        <v>122</v>
      </c>
      <c r="D2774" s="3">
        <v>58</v>
      </c>
      <c r="E2774" s="3">
        <v>-613.246</v>
      </c>
      <c r="F2774" s="4" t="str">
        <f>HYPERLINK("http://141.218.60.56/~jnz1568/getInfo.php?workbook=14_09.xlsx&amp;sheet=A0&amp;row=2774&amp;col=6&amp;number=55500000&amp;sourceID=14","55500000")</f>
        <v>55500000</v>
      </c>
      <c r="G2774" s="4" t="str">
        <f>HYPERLINK("http://141.218.60.56/~jnz1568/getInfo.php?workbook=14_09.xlsx&amp;sheet=A0&amp;row=2774&amp;col=7&amp;number=0&amp;sourceID=14","0")</f>
        <v>0</v>
      </c>
    </row>
    <row r="2775" spans="1:7">
      <c r="A2775" s="3">
        <v>14</v>
      </c>
      <c r="B2775" s="3">
        <v>9</v>
      </c>
      <c r="C2775" s="3">
        <v>124</v>
      </c>
      <c r="D2775" s="3">
        <v>58</v>
      </c>
      <c r="E2775" s="3">
        <v>-609.033</v>
      </c>
      <c r="F2775" s="4" t="str">
        <f>HYPERLINK("http://141.218.60.56/~jnz1568/getInfo.php?workbook=14_09.xlsx&amp;sheet=A0&amp;row=2775&amp;col=6&amp;number=163000000&amp;sourceID=14","163000000")</f>
        <v>163000000</v>
      </c>
      <c r="G2775" s="4" t="str">
        <f>HYPERLINK("http://141.218.60.56/~jnz1568/getInfo.php?workbook=14_09.xlsx&amp;sheet=A0&amp;row=2775&amp;col=7&amp;number=0&amp;sourceID=14","0")</f>
        <v>0</v>
      </c>
    </row>
    <row r="2776" spans="1:7">
      <c r="A2776" s="3">
        <v>14</v>
      </c>
      <c r="B2776" s="3">
        <v>9</v>
      </c>
      <c r="C2776" s="3">
        <v>125</v>
      </c>
      <c r="D2776" s="3">
        <v>58</v>
      </c>
      <c r="E2776" s="3">
        <v>-585.879</v>
      </c>
      <c r="F2776" s="4" t="str">
        <f>HYPERLINK("http://141.218.60.56/~jnz1568/getInfo.php?workbook=14_09.xlsx&amp;sheet=A0&amp;row=2776&amp;col=6&amp;number=54700000&amp;sourceID=14","54700000")</f>
        <v>54700000</v>
      </c>
      <c r="G2776" s="4" t="str">
        <f>HYPERLINK("http://141.218.60.56/~jnz1568/getInfo.php?workbook=14_09.xlsx&amp;sheet=A0&amp;row=2776&amp;col=7&amp;number=0&amp;sourceID=14","0")</f>
        <v>0</v>
      </c>
    </row>
    <row r="2777" spans="1:7">
      <c r="A2777" s="3">
        <v>14</v>
      </c>
      <c r="B2777" s="3">
        <v>9</v>
      </c>
      <c r="C2777" s="3">
        <v>126</v>
      </c>
      <c r="D2777" s="3">
        <v>58</v>
      </c>
      <c r="E2777" s="3">
        <v>-578.899</v>
      </c>
      <c r="F2777" s="4" t="str">
        <f>HYPERLINK("http://141.218.60.56/~jnz1568/getInfo.php?workbook=14_09.xlsx&amp;sheet=A0&amp;row=2777&amp;col=6&amp;number=476000000&amp;sourceID=14","476000000")</f>
        <v>476000000</v>
      </c>
      <c r="G2777" s="4" t="str">
        <f>HYPERLINK("http://141.218.60.56/~jnz1568/getInfo.php?workbook=14_09.xlsx&amp;sheet=A0&amp;row=2777&amp;col=7&amp;number=0&amp;sourceID=14","0")</f>
        <v>0</v>
      </c>
    </row>
    <row r="2778" spans="1:7">
      <c r="A2778" s="3">
        <v>14</v>
      </c>
      <c r="B2778" s="3">
        <v>9</v>
      </c>
      <c r="C2778" s="3">
        <v>138</v>
      </c>
      <c r="D2778" s="3">
        <v>58</v>
      </c>
      <c r="E2778" s="3">
        <v>-488.492</v>
      </c>
      <c r="F2778" s="4" t="str">
        <f>HYPERLINK("http://141.218.60.56/~jnz1568/getInfo.php?workbook=14_09.xlsx&amp;sheet=A0&amp;row=2778&amp;col=6&amp;number=883000000&amp;sourceID=14","883000000")</f>
        <v>883000000</v>
      </c>
      <c r="G2778" s="4" t="str">
        <f>HYPERLINK("http://141.218.60.56/~jnz1568/getInfo.php?workbook=14_09.xlsx&amp;sheet=A0&amp;row=2778&amp;col=7&amp;number=0&amp;sourceID=14","0")</f>
        <v>0</v>
      </c>
    </row>
    <row r="2779" spans="1:7">
      <c r="A2779" s="3">
        <v>14</v>
      </c>
      <c r="B2779" s="3">
        <v>9</v>
      </c>
      <c r="C2779" s="3">
        <v>139</v>
      </c>
      <c r="D2779" s="3">
        <v>58</v>
      </c>
      <c r="E2779" s="3">
        <v>-488.449</v>
      </c>
      <c r="F2779" s="4" t="str">
        <f>HYPERLINK("http://141.218.60.56/~jnz1568/getInfo.php?workbook=14_09.xlsx&amp;sheet=A0&amp;row=2779&amp;col=6&amp;number=128000000&amp;sourceID=14","128000000")</f>
        <v>128000000</v>
      </c>
      <c r="G2779" s="4" t="str">
        <f>HYPERLINK("http://141.218.60.56/~jnz1568/getInfo.php?workbook=14_09.xlsx&amp;sheet=A0&amp;row=2779&amp;col=7&amp;number=0&amp;sourceID=14","0")</f>
        <v>0</v>
      </c>
    </row>
    <row r="2780" spans="1:7">
      <c r="A2780" s="3">
        <v>14</v>
      </c>
      <c r="B2780" s="3">
        <v>9</v>
      </c>
      <c r="C2780" s="3">
        <v>141</v>
      </c>
      <c r="D2780" s="3">
        <v>58</v>
      </c>
      <c r="E2780" s="3">
        <v>-485.205</v>
      </c>
      <c r="F2780" s="4" t="str">
        <f>HYPERLINK("http://141.218.60.56/~jnz1568/getInfo.php?workbook=14_09.xlsx&amp;sheet=A0&amp;row=2780&amp;col=6&amp;number=564000000&amp;sourceID=14","564000000")</f>
        <v>564000000</v>
      </c>
      <c r="G2780" s="4" t="str">
        <f>HYPERLINK("http://141.218.60.56/~jnz1568/getInfo.php?workbook=14_09.xlsx&amp;sheet=A0&amp;row=2780&amp;col=7&amp;number=0&amp;sourceID=14","0")</f>
        <v>0</v>
      </c>
    </row>
    <row r="2781" spans="1:7">
      <c r="A2781" s="3">
        <v>14</v>
      </c>
      <c r="B2781" s="3">
        <v>9</v>
      </c>
      <c r="C2781" s="3">
        <v>142</v>
      </c>
      <c r="D2781" s="3">
        <v>58</v>
      </c>
      <c r="E2781" s="3">
        <v>-485.179</v>
      </c>
      <c r="F2781" s="4" t="str">
        <f>HYPERLINK("http://141.218.60.56/~jnz1568/getInfo.php?workbook=14_09.xlsx&amp;sheet=A0&amp;row=2781&amp;col=6&amp;number=5980000000&amp;sourceID=14","5980000000")</f>
        <v>5980000000</v>
      </c>
      <c r="G2781" s="4" t="str">
        <f>HYPERLINK("http://141.218.60.56/~jnz1568/getInfo.php?workbook=14_09.xlsx&amp;sheet=A0&amp;row=2781&amp;col=7&amp;number=0&amp;sourceID=14","0")</f>
        <v>0</v>
      </c>
    </row>
    <row r="2782" spans="1:7">
      <c r="A2782" s="3">
        <v>14</v>
      </c>
      <c r="B2782" s="3">
        <v>9</v>
      </c>
      <c r="C2782" s="3">
        <v>147</v>
      </c>
      <c r="D2782" s="3">
        <v>58</v>
      </c>
      <c r="E2782" s="3">
        <v>-482.01</v>
      </c>
      <c r="F2782" s="4" t="str">
        <f>HYPERLINK("http://141.218.60.56/~jnz1568/getInfo.php?workbook=14_09.xlsx&amp;sheet=A0&amp;row=2782&amp;col=6&amp;number=11400000000&amp;sourceID=14","11400000000")</f>
        <v>11400000000</v>
      </c>
      <c r="G2782" s="4" t="str">
        <f>HYPERLINK("http://141.218.60.56/~jnz1568/getInfo.php?workbook=14_09.xlsx&amp;sheet=A0&amp;row=2782&amp;col=7&amp;number=0&amp;sourceID=14","0")</f>
        <v>0</v>
      </c>
    </row>
    <row r="2783" spans="1:7">
      <c r="A2783" s="3">
        <v>14</v>
      </c>
      <c r="B2783" s="3">
        <v>9</v>
      </c>
      <c r="C2783" s="3">
        <v>159</v>
      </c>
      <c r="D2783" s="3">
        <v>58</v>
      </c>
      <c r="E2783" s="3">
        <v>-439.998</v>
      </c>
      <c r="F2783" s="4" t="str">
        <f>HYPERLINK("http://141.218.60.56/~jnz1568/getInfo.php?workbook=14_09.xlsx&amp;sheet=A0&amp;row=2783&amp;col=6&amp;number=2620000&amp;sourceID=14","2620000")</f>
        <v>2620000</v>
      </c>
      <c r="G2783" s="4" t="str">
        <f>HYPERLINK("http://141.218.60.56/~jnz1568/getInfo.php?workbook=14_09.xlsx&amp;sheet=A0&amp;row=2783&amp;col=7&amp;number=0&amp;sourceID=14","0")</f>
        <v>0</v>
      </c>
    </row>
    <row r="2784" spans="1:7">
      <c r="A2784" s="3">
        <v>14</v>
      </c>
      <c r="B2784" s="3">
        <v>9</v>
      </c>
      <c r="C2784" s="3">
        <v>160</v>
      </c>
      <c r="D2784" s="3">
        <v>58</v>
      </c>
      <c r="E2784" s="3">
        <v>-439.757</v>
      </c>
      <c r="F2784" s="4" t="str">
        <f>HYPERLINK("http://141.218.60.56/~jnz1568/getInfo.php?workbook=14_09.xlsx&amp;sheet=A0&amp;row=2784&amp;col=6&amp;number=25500000&amp;sourceID=14","25500000")</f>
        <v>25500000</v>
      </c>
      <c r="G2784" s="4" t="str">
        <f>HYPERLINK("http://141.218.60.56/~jnz1568/getInfo.php?workbook=14_09.xlsx&amp;sheet=A0&amp;row=2784&amp;col=7&amp;number=0&amp;sourceID=14","0")</f>
        <v>0</v>
      </c>
    </row>
    <row r="2785" spans="1:7">
      <c r="A2785" s="3">
        <v>14</v>
      </c>
      <c r="B2785" s="3">
        <v>9</v>
      </c>
      <c r="C2785" s="3">
        <v>164</v>
      </c>
      <c r="D2785" s="3">
        <v>58</v>
      </c>
      <c r="E2785" s="3">
        <v>-362.527</v>
      </c>
      <c r="F2785" s="4" t="str">
        <f>HYPERLINK("http://141.218.60.56/~jnz1568/getInfo.php?workbook=14_09.xlsx&amp;sheet=A0&amp;row=2785&amp;col=6&amp;number=32800000&amp;sourceID=14","32800000")</f>
        <v>32800000</v>
      </c>
      <c r="G2785" s="4" t="str">
        <f>HYPERLINK("http://141.218.60.56/~jnz1568/getInfo.php?workbook=14_09.xlsx&amp;sheet=A0&amp;row=2785&amp;col=7&amp;number=0&amp;sourceID=14","0")</f>
        <v>0</v>
      </c>
    </row>
    <row r="2786" spans="1:7">
      <c r="A2786" s="3">
        <v>14</v>
      </c>
      <c r="B2786" s="3">
        <v>9</v>
      </c>
      <c r="C2786" s="3">
        <v>166</v>
      </c>
      <c r="D2786" s="3">
        <v>58</v>
      </c>
      <c r="E2786" s="3">
        <v>-351.419</v>
      </c>
      <c r="F2786" s="4" t="str">
        <f>HYPERLINK("http://141.218.60.56/~jnz1568/getInfo.php?workbook=14_09.xlsx&amp;sheet=A0&amp;row=2786&amp;col=6&amp;number=3740000&amp;sourceID=14","3740000")</f>
        <v>3740000</v>
      </c>
      <c r="G2786" s="4" t="str">
        <f>HYPERLINK("http://141.218.60.56/~jnz1568/getInfo.php?workbook=14_09.xlsx&amp;sheet=A0&amp;row=2786&amp;col=7&amp;number=0&amp;sourceID=14","0")</f>
        <v>0</v>
      </c>
    </row>
    <row r="2787" spans="1:7">
      <c r="A2787" s="3">
        <v>14</v>
      </c>
      <c r="B2787" s="3">
        <v>9</v>
      </c>
      <c r="C2787" s="3">
        <v>167</v>
      </c>
      <c r="D2787" s="3">
        <v>58</v>
      </c>
      <c r="E2787" s="3">
        <v>-351.243</v>
      </c>
      <c r="F2787" s="4" t="str">
        <f>HYPERLINK("http://141.218.60.56/~jnz1568/getInfo.php?workbook=14_09.xlsx&amp;sheet=A0&amp;row=2787&amp;col=6&amp;number=44400000&amp;sourceID=14","44400000")</f>
        <v>44400000</v>
      </c>
      <c r="G2787" s="4" t="str">
        <f>HYPERLINK("http://141.218.60.56/~jnz1568/getInfo.php?workbook=14_09.xlsx&amp;sheet=A0&amp;row=2787&amp;col=7&amp;number=0&amp;sourceID=14","0")</f>
        <v>0</v>
      </c>
    </row>
    <row r="2788" spans="1:7">
      <c r="A2788" s="3">
        <v>14</v>
      </c>
      <c r="B2788" s="3">
        <v>9</v>
      </c>
      <c r="C2788" s="3">
        <v>168</v>
      </c>
      <c r="D2788" s="3">
        <v>58</v>
      </c>
      <c r="E2788" s="3">
        <v>-326.017</v>
      </c>
      <c r="F2788" s="4" t="str">
        <f>HYPERLINK("http://141.218.60.56/~jnz1568/getInfo.php?workbook=14_09.xlsx&amp;sheet=A0&amp;row=2788&amp;col=6&amp;number=1950000&amp;sourceID=14","1950000")</f>
        <v>1950000</v>
      </c>
      <c r="G2788" s="4" t="str">
        <f>HYPERLINK("http://141.218.60.56/~jnz1568/getInfo.php?workbook=14_09.xlsx&amp;sheet=A0&amp;row=2788&amp;col=7&amp;number=0&amp;sourceID=14","0")</f>
        <v>0</v>
      </c>
    </row>
    <row r="2789" spans="1:7">
      <c r="A2789" s="3">
        <v>14</v>
      </c>
      <c r="B2789" s="3">
        <v>9</v>
      </c>
      <c r="C2789" s="3">
        <v>169</v>
      </c>
      <c r="D2789" s="3">
        <v>58</v>
      </c>
      <c r="E2789" s="3">
        <v>-325.142</v>
      </c>
      <c r="F2789" s="4" t="str">
        <f>HYPERLINK("http://141.218.60.56/~jnz1568/getInfo.php?workbook=14_09.xlsx&amp;sheet=A0&amp;row=2789&amp;col=6&amp;number=755000&amp;sourceID=14","755000")</f>
        <v>755000</v>
      </c>
      <c r="G2789" s="4" t="str">
        <f>HYPERLINK("http://141.218.60.56/~jnz1568/getInfo.php?workbook=14_09.xlsx&amp;sheet=A0&amp;row=2789&amp;col=7&amp;number=0&amp;sourceID=14","0")</f>
        <v>0</v>
      </c>
    </row>
    <row r="2790" spans="1:7">
      <c r="A2790" s="3">
        <v>14</v>
      </c>
      <c r="B2790" s="3">
        <v>9</v>
      </c>
      <c r="C2790" s="3">
        <v>173</v>
      </c>
      <c r="D2790" s="3">
        <v>58</v>
      </c>
      <c r="E2790" s="3">
        <v>-318.281</v>
      </c>
      <c r="F2790" s="4" t="str">
        <f>HYPERLINK("http://141.218.60.56/~jnz1568/getInfo.php?workbook=14_09.xlsx&amp;sheet=A0&amp;row=2790&amp;col=6&amp;number=5360000&amp;sourceID=14","5360000")</f>
        <v>5360000</v>
      </c>
      <c r="G2790" s="4" t="str">
        <f>HYPERLINK("http://141.218.60.56/~jnz1568/getInfo.php?workbook=14_09.xlsx&amp;sheet=A0&amp;row=2790&amp;col=7&amp;number=0&amp;sourceID=14","0")</f>
        <v>0</v>
      </c>
    </row>
    <row r="2791" spans="1:7">
      <c r="A2791" s="3">
        <v>14</v>
      </c>
      <c r="B2791" s="3">
        <v>9</v>
      </c>
      <c r="C2791" s="3">
        <v>174</v>
      </c>
      <c r="D2791" s="3">
        <v>58</v>
      </c>
      <c r="E2791" s="3">
        <v>-317.085</v>
      </c>
      <c r="F2791" s="4" t="str">
        <f>HYPERLINK("http://141.218.60.56/~jnz1568/getInfo.php?workbook=14_09.xlsx&amp;sheet=A0&amp;row=2791&amp;col=6&amp;number=446000&amp;sourceID=14","446000")</f>
        <v>446000</v>
      </c>
      <c r="G2791" s="4" t="str">
        <f>HYPERLINK("http://141.218.60.56/~jnz1568/getInfo.php?workbook=14_09.xlsx&amp;sheet=A0&amp;row=2791&amp;col=7&amp;number=0&amp;sourceID=14","0")</f>
        <v>0</v>
      </c>
    </row>
    <row r="2792" spans="1:7">
      <c r="A2792" s="3">
        <v>14</v>
      </c>
      <c r="B2792" s="3">
        <v>9</v>
      </c>
      <c r="C2792" s="3">
        <v>176</v>
      </c>
      <c r="D2792" s="3">
        <v>58</v>
      </c>
      <c r="E2792" s="3">
        <v>-309.784</v>
      </c>
      <c r="F2792" s="4" t="str">
        <f>HYPERLINK("http://141.218.60.56/~jnz1568/getInfo.php?workbook=14_09.xlsx&amp;sheet=A0&amp;row=2792&amp;col=6&amp;number=14000000&amp;sourceID=14","14000000")</f>
        <v>14000000</v>
      </c>
      <c r="G2792" s="4" t="str">
        <f>HYPERLINK("http://141.218.60.56/~jnz1568/getInfo.php?workbook=14_09.xlsx&amp;sheet=A0&amp;row=2792&amp;col=7&amp;number=0&amp;sourceID=14","0")</f>
        <v>0</v>
      </c>
    </row>
    <row r="2793" spans="1:7">
      <c r="A2793" s="3">
        <v>14</v>
      </c>
      <c r="B2793" s="3">
        <v>9</v>
      </c>
      <c r="C2793" s="3">
        <v>178</v>
      </c>
      <c r="D2793" s="3">
        <v>58</v>
      </c>
      <c r="E2793" s="3">
        <v>-309.458</v>
      </c>
      <c r="F2793" s="4" t="str">
        <f>HYPERLINK("http://141.218.60.56/~jnz1568/getInfo.php?workbook=14_09.xlsx&amp;sheet=A0&amp;row=2793&amp;col=6&amp;number=6810000&amp;sourceID=14","6810000")</f>
        <v>6810000</v>
      </c>
      <c r="G2793" s="4" t="str">
        <f>HYPERLINK("http://141.218.60.56/~jnz1568/getInfo.php?workbook=14_09.xlsx&amp;sheet=A0&amp;row=2793&amp;col=7&amp;number=0&amp;sourceID=14","0")</f>
        <v>0</v>
      </c>
    </row>
    <row r="2794" spans="1:7">
      <c r="A2794" s="3">
        <v>14</v>
      </c>
      <c r="B2794" s="3">
        <v>9</v>
      </c>
      <c r="C2794" s="3">
        <v>179</v>
      </c>
      <c r="D2794" s="3">
        <v>58</v>
      </c>
      <c r="E2794" s="3">
        <v>-309.428</v>
      </c>
      <c r="F2794" s="4" t="str">
        <f>HYPERLINK("http://141.218.60.56/~jnz1568/getInfo.php?workbook=14_09.xlsx&amp;sheet=A0&amp;row=2794&amp;col=6&amp;number=3180000&amp;sourceID=14","3180000")</f>
        <v>3180000</v>
      </c>
      <c r="G2794" s="4" t="str">
        <f>HYPERLINK("http://141.218.60.56/~jnz1568/getInfo.php?workbook=14_09.xlsx&amp;sheet=A0&amp;row=2794&amp;col=7&amp;number=0&amp;sourceID=14","0")</f>
        <v>0</v>
      </c>
    </row>
    <row r="2795" spans="1:7">
      <c r="A2795" s="3">
        <v>14</v>
      </c>
      <c r="B2795" s="3">
        <v>9</v>
      </c>
      <c r="C2795" s="3">
        <v>180</v>
      </c>
      <c r="D2795" s="3">
        <v>58</v>
      </c>
      <c r="E2795" s="3">
        <v>-308.366</v>
      </c>
      <c r="F2795" s="4" t="str">
        <f>HYPERLINK("http://141.218.60.56/~jnz1568/getInfo.php?workbook=14_09.xlsx&amp;sheet=A0&amp;row=2795&amp;col=6&amp;number=162000000&amp;sourceID=14","162000000")</f>
        <v>162000000</v>
      </c>
      <c r="G2795" s="4" t="str">
        <f>HYPERLINK("http://141.218.60.56/~jnz1568/getInfo.php?workbook=14_09.xlsx&amp;sheet=A0&amp;row=2795&amp;col=7&amp;number=0&amp;sourceID=14","0")</f>
        <v>0</v>
      </c>
    </row>
    <row r="2796" spans="1:7">
      <c r="A2796" s="3">
        <v>14</v>
      </c>
      <c r="B2796" s="3">
        <v>9</v>
      </c>
      <c r="C2796" s="3">
        <v>181</v>
      </c>
      <c r="D2796" s="3">
        <v>58</v>
      </c>
      <c r="E2796" s="3">
        <v>-304.319</v>
      </c>
      <c r="F2796" s="4" t="str">
        <f>HYPERLINK("http://141.218.60.56/~jnz1568/getInfo.php?workbook=14_09.xlsx&amp;sheet=A0&amp;row=2796&amp;col=6&amp;number=32000000&amp;sourceID=14","32000000")</f>
        <v>32000000</v>
      </c>
      <c r="G2796" s="4" t="str">
        <f>HYPERLINK("http://141.218.60.56/~jnz1568/getInfo.php?workbook=14_09.xlsx&amp;sheet=A0&amp;row=2796&amp;col=7&amp;number=0&amp;sourceID=14","0")</f>
        <v>0</v>
      </c>
    </row>
    <row r="2797" spans="1:7">
      <c r="A2797" s="3">
        <v>14</v>
      </c>
      <c r="B2797" s="3">
        <v>9</v>
      </c>
      <c r="C2797" s="3">
        <v>182</v>
      </c>
      <c r="D2797" s="3">
        <v>58</v>
      </c>
      <c r="E2797" s="3">
        <v>-304.229</v>
      </c>
      <c r="F2797" s="4" t="str">
        <f>HYPERLINK("http://141.218.60.56/~jnz1568/getInfo.php?workbook=14_09.xlsx&amp;sheet=A0&amp;row=2797&amp;col=6&amp;number=34200000&amp;sourceID=14","34200000")</f>
        <v>34200000</v>
      </c>
      <c r="G2797" s="4" t="str">
        <f>HYPERLINK("http://141.218.60.56/~jnz1568/getInfo.php?workbook=14_09.xlsx&amp;sheet=A0&amp;row=2797&amp;col=7&amp;number=0&amp;sourceID=14","0")</f>
        <v>0</v>
      </c>
    </row>
    <row r="2798" spans="1:7">
      <c r="A2798" s="3">
        <v>14</v>
      </c>
      <c r="B2798" s="3">
        <v>9</v>
      </c>
      <c r="C2798" s="3">
        <v>183</v>
      </c>
      <c r="D2798" s="3">
        <v>58</v>
      </c>
      <c r="E2798" s="3">
        <v>-296.578</v>
      </c>
      <c r="F2798" s="4" t="str">
        <f>HYPERLINK("http://141.218.60.56/~jnz1568/getInfo.php?workbook=14_09.xlsx&amp;sheet=A0&amp;row=2798&amp;col=6&amp;number=591000000&amp;sourceID=14","591000000")</f>
        <v>591000000</v>
      </c>
      <c r="G2798" s="4" t="str">
        <f>HYPERLINK("http://141.218.60.56/~jnz1568/getInfo.php?workbook=14_09.xlsx&amp;sheet=A0&amp;row=2798&amp;col=7&amp;number=0&amp;sourceID=14","0")</f>
        <v>0</v>
      </c>
    </row>
    <row r="2799" spans="1:7">
      <c r="A2799" s="3">
        <v>14</v>
      </c>
      <c r="B2799" s="3">
        <v>9</v>
      </c>
      <c r="C2799" s="3">
        <v>184</v>
      </c>
      <c r="D2799" s="3">
        <v>58</v>
      </c>
      <c r="E2799" s="3">
        <v>-294.493</v>
      </c>
      <c r="F2799" s="4" t="str">
        <f>HYPERLINK("http://141.218.60.56/~jnz1568/getInfo.php?workbook=14_09.xlsx&amp;sheet=A0&amp;row=2799&amp;col=6&amp;number=49100000&amp;sourceID=14","49100000")</f>
        <v>49100000</v>
      </c>
      <c r="G2799" s="4" t="str">
        <f>HYPERLINK("http://141.218.60.56/~jnz1568/getInfo.php?workbook=14_09.xlsx&amp;sheet=A0&amp;row=2799&amp;col=7&amp;number=0&amp;sourceID=14","0")</f>
        <v>0</v>
      </c>
    </row>
    <row r="2800" spans="1:7">
      <c r="A2800" s="3">
        <v>14</v>
      </c>
      <c r="B2800" s="3">
        <v>9</v>
      </c>
      <c r="C2800" s="3">
        <v>190</v>
      </c>
      <c r="D2800" s="3">
        <v>58</v>
      </c>
      <c r="E2800" s="3">
        <v>-212.668</v>
      </c>
      <c r="F2800" s="4" t="str">
        <f>HYPERLINK("http://141.218.60.56/~jnz1568/getInfo.php?workbook=14_09.xlsx&amp;sheet=A0&amp;row=2800&amp;col=6&amp;number=1330000000&amp;sourceID=14","1330000000")</f>
        <v>1330000000</v>
      </c>
      <c r="G2800" s="4" t="str">
        <f>HYPERLINK("http://141.218.60.56/~jnz1568/getInfo.php?workbook=14_09.xlsx&amp;sheet=A0&amp;row=2800&amp;col=7&amp;number=0&amp;sourceID=14","0")</f>
        <v>0</v>
      </c>
    </row>
    <row r="2801" spans="1:7">
      <c r="A2801" s="3">
        <v>14</v>
      </c>
      <c r="B2801" s="3">
        <v>9</v>
      </c>
      <c r="C2801" s="3">
        <v>192</v>
      </c>
      <c r="D2801" s="3">
        <v>58</v>
      </c>
      <c r="E2801" s="3">
        <v>-211.012</v>
      </c>
      <c r="F2801" s="4" t="str">
        <f>HYPERLINK("http://141.218.60.56/~jnz1568/getInfo.php?workbook=14_09.xlsx&amp;sheet=A0&amp;row=2801&amp;col=6&amp;number=2980000000&amp;sourceID=14","2980000000")</f>
        <v>2980000000</v>
      </c>
      <c r="G2801" s="4" t="str">
        <f>HYPERLINK("http://141.218.60.56/~jnz1568/getInfo.php?workbook=14_09.xlsx&amp;sheet=A0&amp;row=2801&amp;col=7&amp;number=0&amp;sourceID=14","0")</f>
        <v>0</v>
      </c>
    </row>
    <row r="2802" spans="1:7">
      <c r="A2802" s="3">
        <v>14</v>
      </c>
      <c r="B2802" s="3">
        <v>9</v>
      </c>
      <c r="C2802" s="3">
        <v>193</v>
      </c>
      <c r="D2802" s="3">
        <v>58</v>
      </c>
      <c r="E2802" s="3">
        <v>-210.951</v>
      </c>
      <c r="F2802" s="4" t="str">
        <f>HYPERLINK("http://141.218.60.56/~jnz1568/getInfo.php?workbook=14_09.xlsx&amp;sheet=A0&amp;row=2802&amp;col=6&amp;number=23500000000&amp;sourceID=14","23500000000")</f>
        <v>23500000000</v>
      </c>
      <c r="G2802" s="4" t="str">
        <f>HYPERLINK("http://141.218.60.56/~jnz1568/getInfo.php?workbook=14_09.xlsx&amp;sheet=A0&amp;row=2802&amp;col=7&amp;number=0&amp;sourceID=14","0")</f>
        <v>0</v>
      </c>
    </row>
    <row r="2803" spans="1:7">
      <c r="A2803" s="3">
        <v>14</v>
      </c>
      <c r="B2803" s="3">
        <v>9</v>
      </c>
      <c r="C2803" s="3">
        <v>194</v>
      </c>
      <c r="D2803" s="3">
        <v>58</v>
      </c>
      <c r="E2803" s="3">
        <v>-209.696</v>
      </c>
      <c r="F2803" s="4" t="str">
        <f>HYPERLINK("http://141.218.60.56/~jnz1568/getInfo.php?workbook=14_09.xlsx&amp;sheet=A0&amp;row=2803&amp;col=6&amp;number=15100000000&amp;sourceID=14","15100000000")</f>
        <v>15100000000</v>
      </c>
      <c r="G2803" s="4" t="str">
        <f>HYPERLINK("http://141.218.60.56/~jnz1568/getInfo.php?workbook=14_09.xlsx&amp;sheet=A0&amp;row=2803&amp;col=7&amp;number=0&amp;sourceID=14","0")</f>
        <v>0</v>
      </c>
    </row>
    <row r="2804" spans="1:7">
      <c r="A2804" s="3">
        <v>14</v>
      </c>
      <c r="B2804" s="3">
        <v>9</v>
      </c>
      <c r="C2804" s="3">
        <v>195</v>
      </c>
      <c r="D2804" s="3">
        <v>58</v>
      </c>
      <c r="E2804" s="3">
        <v>-209.666</v>
      </c>
      <c r="F2804" s="4" t="str">
        <f>HYPERLINK("http://141.218.60.56/~jnz1568/getInfo.php?workbook=14_09.xlsx&amp;sheet=A0&amp;row=2804&amp;col=6&amp;number=1300000000&amp;sourceID=14","1300000000")</f>
        <v>1300000000</v>
      </c>
      <c r="G2804" s="4" t="str">
        <f>HYPERLINK("http://141.218.60.56/~jnz1568/getInfo.php?workbook=14_09.xlsx&amp;sheet=A0&amp;row=2804&amp;col=7&amp;number=0&amp;sourceID=14","0")</f>
        <v>0</v>
      </c>
    </row>
    <row r="2805" spans="1:7">
      <c r="A2805" s="3">
        <v>14</v>
      </c>
      <c r="B2805" s="3">
        <v>9</v>
      </c>
      <c r="C2805" s="3">
        <v>70</v>
      </c>
      <c r="D2805" s="3">
        <v>59</v>
      </c>
      <c r="E2805" s="3">
        <v>-2144.914</v>
      </c>
      <c r="F2805" s="4" t="str">
        <f>HYPERLINK("http://141.218.60.56/~jnz1568/getInfo.php?workbook=14_09.xlsx&amp;sheet=A0&amp;row=2805&amp;col=6&amp;number=167000&amp;sourceID=14","167000")</f>
        <v>167000</v>
      </c>
      <c r="G2805" s="4" t="str">
        <f>HYPERLINK("http://141.218.60.56/~jnz1568/getInfo.php?workbook=14_09.xlsx&amp;sheet=A0&amp;row=2805&amp;col=7&amp;number=0&amp;sourceID=14","0")</f>
        <v>0</v>
      </c>
    </row>
    <row r="2806" spans="1:7">
      <c r="A2806" s="3">
        <v>14</v>
      </c>
      <c r="B2806" s="3">
        <v>9</v>
      </c>
      <c r="C2806" s="3">
        <v>72</v>
      </c>
      <c r="D2806" s="3">
        <v>59</v>
      </c>
      <c r="E2806" s="3">
        <v>-2021.39</v>
      </c>
      <c r="F2806" s="4" t="str">
        <f>HYPERLINK("http://141.218.60.56/~jnz1568/getInfo.php?workbook=14_09.xlsx&amp;sheet=A0&amp;row=2806&amp;col=6&amp;number=406000&amp;sourceID=14","406000")</f>
        <v>406000</v>
      </c>
      <c r="G2806" s="4" t="str">
        <f>HYPERLINK("http://141.218.60.56/~jnz1568/getInfo.php?workbook=14_09.xlsx&amp;sheet=A0&amp;row=2806&amp;col=7&amp;number=0&amp;sourceID=14","0")</f>
        <v>0</v>
      </c>
    </row>
    <row r="2807" spans="1:7">
      <c r="A2807" s="3">
        <v>14</v>
      </c>
      <c r="B2807" s="3">
        <v>9</v>
      </c>
      <c r="C2807" s="3">
        <v>77</v>
      </c>
      <c r="D2807" s="3">
        <v>59</v>
      </c>
      <c r="E2807" s="3">
        <v>-1695.263</v>
      </c>
      <c r="F2807" s="4" t="str">
        <f>HYPERLINK("http://141.218.60.56/~jnz1568/getInfo.php?workbook=14_09.xlsx&amp;sheet=A0&amp;row=2807&amp;col=6&amp;number=2940000&amp;sourceID=14","2940000")</f>
        <v>2940000</v>
      </c>
      <c r="G2807" s="4" t="str">
        <f>HYPERLINK("http://141.218.60.56/~jnz1568/getInfo.php?workbook=14_09.xlsx&amp;sheet=A0&amp;row=2807&amp;col=7&amp;number=0&amp;sourceID=14","0")</f>
        <v>0</v>
      </c>
    </row>
    <row r="2808" spans="1:7">
      <c r="A2808" s="3">
        <v>14</v>
      </c>
      <c r="B2808" s="3">
        <v>9</v>
      </c>
      <c r="C2808" s="3">
        <v>101</v>
      </c>
      <c r="D2808" s="3">
        <v>59</v>
      </c>
      <c r="E2808" s="3">
        <v>-1074.15</v>
      </c>
      <c r="F2808" s="4" t="str">
        <f>HYPERLINK("http://141.218.60.56/~jnz1568/getInfo.php?workbook=14_09.xlsx&amp;sheet=A0&amp;row=2808&amp;col=6&amp;number=437000&amp;sourceID=14","437000")</f>
        <v>437000</v>
      </c>
      <c r="G2808" s="4" t="str">
        <f>HYPERLINK("http://141.218.60.56/~jnz1568/getInfo.php?workbook=14_09.xlsx&amp;sheet=A0&amp;row=2808&amp;col=7&amp;number=0&amp;sourceID=14","0")</f>
        <v>0</v>
      </c>
    </row>
    <row r="2809" spans="1:7">
      <c r="A2809" s="3">
        <v>14</v>
      </c>
      <c r="B2809" s="3">
        <v>9</v>
      </c>
      <c r="C2809" s="3">
        <v>102</v>
      </c>
      <c r="D2809" s="3">
        <v>59</v>
      </c>
      <c r="E2809" s="3">
        <v>-1071.698</v>
      </c>
      <c r="F2809" s="4" t="str">
        <f>HYPERLINK("http://141.218.60.56/~jnz1568/getInfo.php?workbook=14_09.xlsx&amp;sheet=A0&amp;row=2809&amp;col=6&amp;number=5900000&amp;sourceID=14","5900000")</f>
        <v>5900000</v>
      </c>
      <c r="G2809" s="4" t="str">
        <f>HYPERLINK("http://141.218.60.56/~jnz1568/getInfo.php?workbook=14_09.xlsx&amp;sheet=A0&amp;row=2809&amp;col=7&amp;number=0&amp;sourceID=14","0")</f>
        <v>0</v>
      </c>
    </row>
    <row r="2810" spans="1:7">
      <c r="A2810" s="3">
        <v>14</v>
      </c>
      <c r="B2810" s="3">
        <v>9</v>
      </c>
      <c r="C2810" s="3">
        <v>105</v>
      </c>
      <c r="D2810" s="3">
        <v>59</v>
      </c>
      <c r="E2810" s="3">
        <v>-1053.576</v>
      </c>
      <c r="F2810" s="4" t="str">
        <f>HYPERLINK("http://141.218.60.56/~jnz1568/getInfo.php?workbook=14_09.xlsx&amp;sheet=A0&amp;row=2810&amp;col=6&amp;number=209000&amp;sourceID=14","209000")</f>
        <v>209000</v>
      </c>
      <c r="G2810" s="4" t="str">
        <f>HYPERLINK("http://141.218.60.56/~jnz1568/getInfo.php?workbook=14_09.xlsx&amp;sheet=A0&amp;row=2810&amp;col=7&amp;number=0&amp;sourceID=14","0")</f>
        <v>0</v>
      </c>
    </row>
    <row r="2811" spans="1:7">
      <c r="A2811" s="3">
        <v>14</v>
      </c>
      <c r="B2811" s="3">
        <v>9</v>
      </c>
      <c r="C2811" s="3">
        <v>106</v>
      </c>
      <c r="D2811" s="3">
        <v>59</v>
      </c>
      <c r="E2811" s="3">
        <v>-1051.947</v>
      </c>
      <c r="F2811" s="4" t="str">
        <f>HYPERLINK("http://141.218.60.56/~jnz1568/getInfo.php?workbook=14_09.xlsx&amp;sheet=A0&amp;row=2811&amp;col=6&amp;number=869000&amp;sourceID=14","869000")</f>
        <v>869000</v>
      </c>
      <c r="G2811" s="4" t="str">
        <f>HYPERLINK("http://141.218.60.56/~jnz1568/getInfo.php?workbook=14_09.xlsx&amp;sheet=A0&amp;row=2811&amp;col=7&amp;number=0&amp;sourceID=14","0")</f>
        <v>0</v>
      </c>
    </row>
    <row r="2812" spans="1:7">
      <c r="A2812" s="3">
        <v>14</v>
      </c>
      <c r="B2812" s="3">
        <v>9</v>
      </c>
      <c r="C2812" s="3">
        <v>107</v>
      </c>
      <c r="D2812" s="3">
        <v>59</v>
      </c>
      <c r="E2812" s="3">
        <v>-1048.825</v>
      </c>
      <c r="F2812" s="4" t="str">
        <f>HYPERLINK("http://141.218.60.56/~jnz1568/getInfo.php?workbook=14_09.xlsx&amp;sheet=A0&amp;row=2812&amp;col=6&amp;number=19400000&amp;sourceID=14","19400000")</f>
        <v>19400000</v>
      </c>
      <c r="G2812" s="4" t="str">
        <f>HYPERLINK("http://141.218.60.56/~jnz1568/getInfo.php?workbook=14_09.xlsx&amp;sheet=A0&amp;row=2812&amp;col=7&amp;number=0&amp;sourceID=14","0")</f>
        <v>0</v>
      </c>
    </row>
    <row r="2813" spans="1:7">
      <c r="A2813" s="3">
        <v>14</v>
      </c>
      <c r="B2813" s="3">
        <v>9</v>
      </c>
      <c r="C2813" s="3">
        <v>109</v>
      </c>
      <c r="D2813" s="3">
        <v>59</v>
      </c>
      <c r="E2813" s="3">
        <v>-1044.454</v>
      </c>
      <c r="F2813" s="4" t="str">
        <f>HYPERLINK("http://141.218.60.56/~jnz1568/getInfo.php?workbook=14_09.xlsx&amp;sheet=A0&amp;row=2813&amp;col=6&amp;number=3000000&amp;sourceID=14","3000000")</f>
        <v>3000000</v>
      </c>
      <c r="G2813" s="4" t="str">
        <f>HYPERLINK("http://141.218.60.56/~jnz1568/getInfo.php?workbook=14_09.xlsx&amp;sheet=A0&amp;row=2813&amp;col=7&amp;number=0&amp;sourceID=14","0")</f>
        <v>0</v>
      </c>
    </row>
    <row r="2814" spans="1:7">
      <c r="A2814" s="3">
        <v>14</v>
      </c>
      <c r="B2814" s="3">
        <v>9</v>
      </c>
      <c r="C2814" s="3">
        <v>113</v>
      </c>
      <c r="D2814" s="3">
        <v>59</v>
      </c>
      <c r="E2814" s="3">
        <v>-1037.045</v>
      </c>
      <c r="F2814" s="4" t="str">
        <f>HYPERLINK("http://141.218.60.56/~jnz1568/getInfo.php?workbook=14_09.xlsx&amp;sheet=A0&amp;row=2814&amp;col=6&amp;number=113000&amp;sourceID=14","113000")</f>
        <v>113000</v>
      </c>
      <c r="G2814" s="4" t="str">
        <f>HYPERLINK("http://141.218.60.56/~jnz1568/getInfo.php?workbook=14_09.xlsx&amp;sheet=A0&amp;row=2814&amp;col=7&amp;number=0&amp;sourceID=14","0")</f>
        <v>0</v>
      </c>
    </row>
    <row r="2815" spans="1:7">
      <c r="A2815" s="3">
        <v>14</v>
      </c>
      <c r="B2815" s="3">
        <v>9</v>
      </c>
      <c r="C2815" s="3">
        <v>120</v>
      </c>
      <c r="D2815" s="3">
        <v>59</v>
      </c>
      <c r="E2815" s="3">
        <v>-1001.625</v>
      </c>
      <c r="F2815" s="4" t="str">
        <f>HYPERLINK("http://141.218.60.56/~jnz1568/getInfo.php?workbook=14_09.xlsx&amp;sheet=A0&amp;row=2815&amp;col=6&amp;number=3750000&amp;sourceID=14","3750000")</f>
        <v>3750000</v>
      </c>
      <c r="G2815" s="4" t="str">
        <f>HYPERLINK("http://141.218.60.56/~jnz1568/getInfo.php?workbook=14_09.xlsx&amp;sheet=A0&amp;row=2815&amp;col=7&amp;number=0&amp;sourceID=14","0")</f>
        <v>0</v>
      </c>
    </row>
    <row r="2816" spans="1:7">
      <c r="A2816" s="3">
        <v>14</v>
      </c>
      <c r="B2816" s="3">
        <v>9</v>
      </c>
      <c r="C2816" s="3">
        <v>121</v>
      </c>
      <c r="D2816" s="3">
        <v>59</v>
      </c>
      <c r="E2816" s="3">
        <v>-997.259</v>
      </c>
      <c r="F2816" s="4" t="str">
        <f>HYPERLINK("http://141.218.60.56/~jnz1568/getInfo.php?workbook=14_09.xlsx&amp;sheet=A0&amp;row=2816&amp;col=6&amp;number=457000&amp;sourceID=14","457000")</f>
        <v>457000</v>
      </c>
      <c r="G2816" s="4" t="str">
        <f>HYPERLINK("http://141.218.60.56/~jnz1568/getInfo.php?workbook=14_09.xlsx&amp;sheet=A0&amp;row=2816&amp;col=7&amp;number=0&amp;sourceID=14","0")</f>
        <v>0</v>
      </c>
    </row>
    <row r="2817" spans="1:7">
      <c r="A2817" s="3">
        <v>14</v>
      </c>
      <c r="B2817" s="3">
        <v>9</v>
      </c>
      <c r="C2817" s="3">
        <v>122</v>
      </c>
      <c r="D2817" s="3">
        <v>59</v>
      </c>
      <c r="E2817" s="3">
        <v>-996.127</v>
      </c>
      <c r="F2817" s="4" t="str">
        <f>HYPERLINK("http://141.218.60.56/~jnz1568/getInfo.php?workbook=14_09.xlsx&amp;sheet=A0&amp;row=2817&amp;col=6&amp;number=1490000&amp;sourceID=14","1490000")</f>
        <v>1490000</v>
      </c>
      <c r="G2817" s="4" t="str">
        <f>HYPERLINK("http://141.218.60.56/~jnz1568/getInfo.php?workbook=14_09.xlsx&amp;sheet=A0&amp;row=2817&amp;col=7&amp;number=0&amp;sourceID=14","0")</f>
        <v>0</v>
      </c>
    </row>
    <row r="2818" spans="1:7">
      <c r="A2818" s="3">
        <v>14</v>
      </c>
      <c r="B2818" s="3">
        <v>9</v>
      </c>
      <c r="C2818" s="3">
        <v>123</v>
      </c>
      <c r="D2818" s="3">
        <v>59</v>
      </c>
      <c r="E2818" s="3">
        <v>-985.243</v>
      </c>
      <c r="F2818" s="4" t="str">
        <f>HYPERLINK("http://141.218.60.56/~jnz1568/getInfo.php?workbook=14_09.xlsx&amp;sheet=A0&amp;row=2818&amp;col=6&amp;number=1930000&amp;sourceID=14","1930000")</f>
        <v>1930000</v>
      </c>
      <c r="G2818" s="4" t="str">
        <f>HYPERLINK("http://141.218.60.56/~jnz1568/getInfo.php?workbook=14_09.xlsx&amp;sheet=A0&amp;row=2818&amp;col=7&amp;number=0&amp;sourceID=14","0")</f>
        <v>0</v>
      </c>
    </row>
    <row r="2819" spans="1:7">
      <c r="A2819" s="3">
        <v>14</v>
      </c>
      <c r="B2819" s="3">
        <v>9</v>
      </c>
      <c r="C2819" s="3">
        <v>124</v>
      </c>
      <c r="D2819" s="3">
        <v>59</v>
      </c>
      <c r="E2819" s="3">
        <v>-985.058</v>
      </c>
      <c r="F2819" s="4" t="str">
        <f>HYPERLINK("http://141.218.60.56/~jnz1568/getInfo.php?workbook=14_09.xlsx&amp;sheet=A0&amp;row=2819&amp;col=6&amp;number=350000&amp;sourceID=14","350000")</f>
        <v>350000</v>
      </c>
      <c r="G2819" s="4" t="str">
        <f>HYPERLINK("http://141.218.60.56/~jnz1568/getInfo.php?workbook=14_09.xlsx&amp;sheet=A0&amp;row=2819&amp;col=7&amp;number=0&amp;sourceID=14","0")</f>
        <v>0</v>
      </c>
    </row>
    <row r="2820" spans="1:7">
      <c r="A2820" s="3">
        <v>14</v>
      </c>
      <c r="B2820" s="3">
        <v>9</v>
      </c>
      <c r="C2820" s="3">
        <v>125</v>
      </c>
      <c r="D2820" s="3">
        <v>59</v>
      </c>
      <c r="E2820" s="3">
        <v>-925.876</v>
      </c>
      <c r="F2820" s="4" t="str">
        <f>HYPERLINK("http://141.218.60.56/~jnz1568/getInfo.php?workbook=14_09.xlsx&amp;sheet=A0&amp;row=2820&amp;col=6&amp;number=31100000&amp;sourceID=14","31100000")</f>
        <v>31100000</v>
      </c>
      <c r="G2820" s="4" t="str">
        <f>HYPERLINK("http://141.218.60.56/~jnz1568/getInfo.php?workbook=14_09.xlsx&amp;sheet=A0&amp;row=2820&amp;col=7&amp;number=0&amp;sourceID=14","0")</f>
        <v>0</v>
      </c>
    </row>
    <row r="2821" spans="1:7">
      <c r="A2821" s="3">
        <v>14</v>
      </c>
      <c r="B2821" s="3">
        <v>9</v>
      </c>
      <c r="C2821" s="3">
        <v>139</v>
      </c>
      <c r="D2821" s="3">
        <v>59</v>
      </c>
      <c r="E2821" s="3">
        <v>-703.969</v>
      </c>
      <c r="F2821" s="4" t="str">
        <f>HYPERLINK("http://141.218.60.56/~jnz1568/getInfo.php?workbook=14_09.xlsx&amp;sheet=A0&amp;row=2821&amp;col=6&amp;number=29500000&amp;sourceID=14","29500000")</f>
        <v>29500000</v>
      </c>
      <c r="G2821" s="4" t="str">
        <f>HYPERLINK("http://141.218.60.56/~jnz1568/getInfo.php?workbook=14_09.xlsx&amp;sheet=A0&amp;row=2821&amp;col=7&amp;number=0&amp;sourceID=14","0")</f>
        <v>0</v>
      </c>
    </row>
    <row r="2822" spans="1:7">
      <c r="A2822" s="3">
        <v>14</v>
      </c>
      <c r="B2822" s="3">
        <v>9</v>
      </c>
      <c r="C2822" s="3">
        <v>141</v>
      </c>
      <c r="D2822" s="3">
        <v>59</v>
      </c>
      <c r="E2822" s="3">
        <v>-697.249</v>
      </c>
      <c r="F2822" s="4" t="str">
        <f>HYPERLINK("http://141.218.60.56/~jnz1568/getInfo.php?workbook=14_09.xlsx&amp;sheet=A0&amp;row=2822&amp;col=6&amp;number=23200000&amp;sourceID=14","23200000")</f>
        <v>23200000</v>
      </c>
      <c r="G2822" s="4" t="str">
        <f>HYPERLINK("http://141.218.60.56/~jnz1568/getInfo.php?workbook=14_09.xlsx&amp;sheet=A0&amp;row=2822&amp;col=7&amp;number=0&amp;sourceID=14","0")</f>
        <v>0</v>
      </c>
    </row>
    <row r="2823" spans="1:7">
      <c r="A2823" s="3">
        <v>14</v>
      </c>
      <c r="B2823" s="3">
        <v>9</v>
      </c>
      <c r="C2823" s="3">
        <v>142</v>
      </c>
      <c r="D2823" s="3">
        <v>59</v>
      </c>
      <c r="E2823" s="3">
        <v>-697.196</v>
      </c>
      <c r="F2823" s="4" t="str">
        <f>HYPERLINK("http://141.218.60.56/~jnz1568/getInfo.php?workbook=14_09.xlsx&amp;sheet=A0&amp;row=2823&amp;col=6&amp;number=2130000&amp;sourceID=14","2130000")</f>
        <v>2130000</v>
      </c>
      <c r="G2823" s="4" t="str">
        <f>HYPERLINK("http://141.218.60.56/~jnz1568/getInfo.php?workbook=14_09.xlsx&amp;sheet=A0&amp;row=2823&amp;col=7&amp;number=0&amp;sourceID=14","0")</f>
        <v>0</v>
      </c>
    </row>
    <row r="2824" spans="1:7">
      <c r="A2824" s="3">
        <v>14</v>
      </c>
      <c r="B2824" s="3">
        <v>9</v>
      </c>
      <c r="C2824" s="3">
        <v>146</v>
      </c>
      <c r="D2824" s="3">
        <v>59</v>
      </c>
      <c r="E2824" s="3">
        <v>-690.681</v>
      </c>
      <c r="F2824" s="4" t="str">
        <f>HYPERLINK("http://141.218.60.56/~jnz1568/getInfo.php?workbook=14_09.xlsx&amp;sheet=A0&amp;row=2824&amp;col=6&amp;number=41000000&amp;sourceID=14","41000000")</f>
        <v>41000000</v>
      </c>
      <c r="G2824" s="4" t="str">
        <f>HYPERLINK("http://141.218.60.56/~jnz1568/getInfo.php?workbook=14_09.xlsx&amp;sheet=A0&amp;row=2824&amp;col=7&amp;number=0&amp;sourceID=14","0")</f>
        <v>0</v>
      </c>
    </row>
    <row r="2825" spans="1:7">
      <c r="A2825" s="3">
        <v>14</v>
      </c>
      <c r="B2825" s="3">
        <v>9</v>
      </c>
      <c r="C2825" s="3">
        <v>147</v>
      </c>
      <c r="D2825" s="3">
        <v>59</v>
      </c>
      <c r="E2825" s="3">
        <v>-690.671</v>
      </c>
      <c r="F2825" s="4" t="str">
        <f>HYPERLINK("http://141.218.60.56/~jnz1568/getInfo.php?workbook=14_09.xlsx&amp;sheet=A0&amp;row=2825&amp;col=6&amp;number=2130000&amp;sourceID=14","2130000")</f>
        <v>2130000</v>
      </c>
      <c r="G2825" s="4" t="str">
        <f>HYPERLINK("http://141.218.60.56/~jnz1568/getInfo.php?workbook=14_09.xlsx&amp;sheet=A0&amp;row=2825&amp;col=7&amp;number=0&amp;sourceID=14","0")</f>
        <v>0</v>
      </c>
    </row>
    <row r="2826" spans="1:7">
      <c r="A2826" s="3">
        <v>14</v>
      </c>
      <c r="B2826" s="3">
        <v>9</v>
      </c>
      <c r="C2826" s="3">
        <v>159</v>
      </c>
      <c r="D2826" s="3">
        <v>59</v>
      </c>
      <c r="E2826" s="3">
        <v>-607.549</v>
      </c>
      <c r="F2826" s="4" t="str">
        <f>HYPERLINK("http://141.218.60.56/~jnz1568/getInfo.php?workbook=14_09.xlsx&amp;sheet=A0&amp;row=2826&amp;col=6&amp;number=2040000000&amp;sourceID=14","2040000000")</f>
        <v>2040000000</v>
      </c>
      <c r="G2826" s="4" t="str">
        <f>HYPERLINK("http://141.218.60.56/~jnz1568/getInfo.php?workbook=14_09.xlsx&amp;sheet=A0&amp;row=2826&amp;col=7&amp;number=0&amp;sourceID=14","0")</f>
        <v>0</v>
      </c>
    </row>
    <row r="2827" spans="1:7">
      <c r="A2827" s="3">
        <v>14</v>
      </c>
      <c r="B2827" s="3">
        <v>9</v>
      </c>
      <c r="C2827" s="3">
        <v>164</v>
      </c>
      <c r="D2827" s="3">
        <v>59</v>
      </c>
      <c r="E2827" s="3">
        <v>-469.123</v>
      </c>
      <c r="F2827" s="4" t="str">
        <f>HYPERLINK("http://141.218.60.56/~jnz1568/getInfo.php?workbook=14_09.xlsx&amp;sheet=A0&amp;row=2827&amp;col=6&amp;number=1270000000&amp;sourceID=14","1270000000")</f>
        <v>1270000000</v>
      </c>
      <c r="G2827" s="4" t="str">
        <f>HYPERLINK("http://141.218.60.56/~jnz1568/getInfo.php?workbook=14_09.xlsx&amp;sheet=A0&amp;row=2827&amp;col=7&amp;number=0&amp;sourceID=14","0")</f>
        <v>0</v>
      </c>
    </row>
    <row r="2828" spans="1:7">
      <c r="A2828" s="3">
        <v>14</v>
      </c>
      <c r="B2828" s="3">
        <v>9</v>
      </c>
      <c r="C2828" s="3">
        <v>165</v>
      </c>
      <c r="D2828" s="3">
        <v>59</v>
      </c>
      <c r="E2828" s="3">
        <v>-469.101</v>
      </c>
      <c r="F2828" s="4" t="str">
        <f>HYPERLINK("http://141.218.60.56/~jnz1568/getInfo.php?workbook=14_09.xlsx&amp;sheet=A0&amp;row=2828&amp;col=6&amp;number=19100000000&amp;sourceID=14","19100000000")</f>
        <v>19100000000</v>
      </c>
      <c r="G2828" s="4" t="str">
        <f>HYPERLINK("http://141.218.60.56/~jnz1568/getInfo.php?workbook=14_09.xlsx&amp;sheet=A0&amp;row=2828&amp;col=7&amp;number=0&amp;sourceID=14","0")</f>
        <v>0</v>
      </c>
    </row>
    <row r="2829" spans="1:7">
      <c r="A2829" s="3">
        <v>14</v>
      </c>
      <c r="B2829" s="3">
        <v>9</v>
      </c>
      <c r="C2829" s="3">
        <v>166</v>
      </c>
      <c r="D2829" s="3">
        <v>59</v>
      </c>
      <c r="E2829" s="3">
        <v>-450.689</v>
      </c>
      <c r="F2829" s="4" t="str">
        <f>HYPERLINK("http://141.218.60.56/~jnz1568/getInfo.php?workbook=14_09.xlsx&amp;sheet=A0&amp;row=2829&amp;col=6&amp;number=17900000&amp;sourceID=14","17900000")</f>
        <v>17900000</v>
      </c>
      <c r="G2829" s="4" t="str">
        <f>HYPERLINK("http://141.218.60.56/~jnz1568/getInfo.php?workbook=14_09.xlsx&amp;sheet=A0&amp;row=2829&amp;col=7&amp;number=0&amp;sourceID=14","0")</f>
        <v>0</v>
      </c>
    </row>
    <row r="2830" spans="1:7">
      <c r="A2830" s="3">
        <v>14</v>
      </c>
      <c r="B2830" s="3">
        <v>9</v>
      </c>
      <c r="C2830" s="3">
        <v>170</v>
      </c>
      <c r="D2830" s="3">
        <v>59</v>
      </c>
      <c r="E2830" s="3">
        <v>-405.899</v>
      </c>
      <c r="F2830" s="4" t="str">
        <f>HYPERLINK("http://141.218.60.56/~jnz1568/getInfo.php?workbook=14_09.xlsx&amp;sheet=A0&amp;row=2830&amp;col=6&amp;number=407000&amp;sourceID=14","407000")</f>
        <v>407000</v>
      </c>
      <c r="G2830" s="4" t="str">
        <f>HYPERLINK("http://141.218.60.56/~jnz1568/getInfo.php?workbook=14_09.xlsx&amp;sheet=A0&amp;row=2830&amp;col=7&amp;number=0&amp;sourceID=14","0")</f>
        <v>0</v>
      </c>
    </row>
    <row r="2831" spans="1:7">
      <c r="A2831" s="3">
        <v>14</v>
      </c>
      <c r="B2831" s="3">
        <v>9</v>
      </c>
      <c r="C2831" s="3">
        <v>172</v>
      </c>
      <c r="D2831" s="3">
        <v>59</v>
      </c>
      <c r="E2831" s="3">
        <v>-399.802</v>
      </c>
      <c r="F2831" s="4" t="str">
        <f>HYPERLINK("http://141.218.60.56/~jnz1568/getInfo.php?workbook=14_09.xlsx&amp;sheet=A0&amp;row=2831&amp;col=6&amp;number=735000&amp;sourceID=14","735000")</f>
        <v>735000</v>
      </c>
      <c r="G2831" s="4" t="str">
        <f>HYPERLINK("http://141.218.60.56/~jnz1568/getInfo.php?workbook=14_09.xlsx&amp;sheet=A0&amp;row=2831&amp;col=7&amp;number=0&amp;sourceID=14","0")</f>
        <v>0</v>
      </c>
    </row>
    <row r="2832" spans="1:7">
      <c r="A2832" s="3">
        <v>14</v>
      </c>
      <c r="B2832" s="3">
        <v>9</v>
      </c>
      <c r="C2832" s="3">
        <v>176</v>
      </c>
      <c r="D2832" s="3">
        <v>59</v>
      </c>
      <c r="E2832" s="3">
        <v>-384.427</v>
      </c>
      <c r="F2832" s="4" t="str">
        <f>HYPERLINK("http://141.218.60.56/~jnz1568/getInfo.php?workbook=14_09.xlsx&amp;sheet=A0&amp;row=2832&amp;col=6&amp;number=796000&amp;sourceID=14","796000")</f>
        <v>796000</v>
      </c>
      <c r="G2832" s="4" t="str">
        <f>HYPERLINK("http://141.218.60.56/~jnz1568/getInfo.php?workbook=14_09.xlsx&amp;sheet=A0&amp;row=2832&amp;col=7&amp;number=0&amp;sourceID=14","0")</f>
        <v>0</v>
      </c>
    </row>
    <row r="2833" spans="1:7">
      <c r="A2833" s="3">
        <v>14</v>
      </c>
      <c r="B2833" s="3">
        <v>9</v>
      </c>
      <c r="C2833" s="3">
        <v>177</v>
      </c>
      <c r="D2833" s="3">
        <v>59</v>
      </c>
      <c r="E2833" s="3">
        <v>-384.177</v>
      </c>
      <c r="F2833" s="4" t="str">
        <f>HYPERLINK("http://141.218.60.56/~jnz1568/getInfo.php?workbook=14_09.xlsx&amp;sheet=A0&amp;row=2833&amp;col=6&amp;number=1860000&amp;sourceID=14","1860000")</f>
        <v>1860000</v>
      </c>
      <c r="G2833" s="4" t="str">
        <f>HYPERLINK("http://141.218.60.56/~jnz1568/getInfo.php?workbook=14_09.xlsx&amp;sheet=A0&amp;row=2833&amp;col=7&amp;number=0&amp;sourceID=14","0")</f>
        <v>0</v>
      </c>
    </row>
    <row r="2834" spans="1:7">
      <c r="A2834" s="3">
        <v>14</v>
      </c>
      <c r="B2834" s="3">
        <v>9</v>
      </c>
      <c r="C2834" s="3">
        <v>179</v>
      </c>
      <c r="D2834" s="3">
        <v>59</v>
      </c>
      <c r="E2834" s="3">
        <v>-383.878</v>
      </c>
      <c r="F2834" s="4" t="str">
        <f>HYPERLINK("http://141.218.60.56/~jnz1568/getInfo.php?workbook=14_09.xlsx&amp;sheet=A0&amp;row=2834&amp;col=6&amp;number=577000&amp;sourceID=14","577000")</f>
        <v>577000</v>
      </c>
      <c r="G2834" s="4" t="str">
        <f>HYPERLINK("http://141.218.60.56/~jnz1568/getInfo.php?workbook=14_09.xlsx&amp;sheet=A0&amp;row=2834&amp;col=7&amp;number=0&amp;sourceID=14","0")</f>
        <v>0</v>
      </c>
    </row>
    <row r="2835" spans="1:7">
      <c r="A2835" s="3">
        <v>14</v>
      </c>
      <c r="B2835" s="3">
        <v>9</v>
      </c>
      <c r="C2835" s="3">
        <v>180</v>
      </c>
      <c r="D2835" s="3">
        <v>59</v>
      </c>
      <c r="E2835" s="3">
        <v>-382.246</v>
      </c>
      <c r="F2835" s="4" t="str">
        <f>HYPERLINK("http://141.218.60.56/~jnz1568/getInfo.php?workbook=14_09.xlsx&amp;sheet=A0&amp;row=2835&amp;col=6&amp;number=2600000&amp;sourceID=14","2600000")</f>
        <v>2600000</v>
      </c>
      <c r="G2835" s="4" t="str">
        <f>HYPERLINK("http://141.218.60.56/~jnz1568/getInfo.php?workbook=14_09.xlsx&amp;sheet=A0&amp;row=2835&amp;col=7&amp;number=0&amp;sourceID=14","0")</f>
        <v>0</v>
      </c>
    </row>
    <row r="2836" spans="1:7">
      <c r="A2836" s="3">
        <v>14</v>
      </c>
      <c r="B2836" s="3">
        <v>9</v>
      </c>
      <c r="C2836" s="3">
        <v>181</v>
      </c>
      <c r="D2836" s="3">
        <v>59</v>
      </c>
      <c r="E2836" s="3">
        <v>-376.047</v>
      </c>
      <c r="F2836" s="4" t="str">
        <f>HYPERLINK("http://141.218.60.56/~jnz1568/getInfo.php?workbook=14_09.xlsx&amp;sheet=A0&amp;row=2836&amp;col=6&amp;number=3470000&amp;sourceID=14","3470000")</f>
        <v>3470000</v>
      </c>
      <c r="G2836" s="4" t="str">
        <f>HYPERLINK("http://141.218.60.56/~jnz1568/getInfo.php?workbook=14_09.xlsx&amp;sheet=A0&amp;row=2836&amp;col=7&amp;number=0&amp;sourceID=14","0")</f>
        <v>0</v>
      </c>
    </row>
    <row r="2837" spans="1:7">
      <c r="A2837" s="3">
        <v>14</v>
      </c>
      <c r="B2837" s="3">
        <v>9</v>
      </c>
      <c r="C2837" s="3">
        <v>190</v>
      </c>
      <c r="D2837" s="3">
        <v>59</v>
      </c>
      <c r="E2837" s="3">
        <v>-245.376</v>
      </c>
      <c r="F2837" s="4" t="str">
        <f>HYPERLINK("http://141.218.60.56/~jnz1568/getInfo.php?workbook=14_09.xlsx&amp;sheet=A0&amp;row=2837&amp;col=6&amp;number=400000000&amp;sourceID=14","400000000")</f>
        <v>400000000</v>
      </c>
      <c r="G2837" s="4" t="str">
        <f>HYPERLINK("http://141.218.60.56/~jnz1568/getInfo.php?workbook=14_09.xlsx&amp;sheet=A0&amp;row=2837&amp;col=7&amp;number=0&amp;sourceID=14","0")</f>
        <v>0</v>
      </c>
    </row>
    <row r="2838" spans="1:7">
      <c r="A2838" s="3">
        <v>14</v>
      </c>
      <c r="B2838" s="3">
        <v>9</v>
      </c>
      <c r="C2838" s="3">
        <v>191</v>
      </c>
      <c r="D2838" s="3">
        <v>59</v>
      </c>
      <c r="E2838" s="3">
        <v>-245.325</v>
      </c>
      <c r="F2838" s="4" t="str">
        <f>HYPERLINK("http://141.218.60.56/~jnz1568/getInfo.php?workbook=14_09.xlsx&amp;sheet=A0&amp;row=2838&amp;col=6&amp;number=6710000000&amp;sourceID=14","6710000000")</f>
        <v>6710000000</v>
      </c>
      <c r="G2838" s="4" t="str">
        <f>HYPERLINK("http://141.218.60.56/~jnz1568/getInfo.php?workbook=14_09.xlsx&amp;sheet=A0&amp;row=2838&amp;col=7&amp;number=0&amp;sourceID=14","0")</f>
        <v>0</v>
      </c>
    </row>
    <row r="2839" spans="1:7">
      <c r="A2839" s="3">
        <v>14</v>
      </c>
      <c r="B2839" s="3">
        <v>9</v>
      </c>
      <c r="C2839" s="3">
        <v>192</v>
      </c>
      <c r="D2839" s="3">
        <v>59</v>
      </c>
      <c r="E2839" s="3">
        <v>-243.173</v>
      </c>
      <c r="F2839" s="4" t="str">
        <f>HYPERLINK("http://141.218.60.56/~jnz1568/getInfo.php?workbook=14_09.xlsx&amp;sheet=A0&amp;row=2839&amp;col=6&amp;number=6890000000&amp;sourceID=14","6890000000")</f>
        <v>6890000000</v>
      </c>
      <c r="G2839" s="4" t="str">
        <f>HYPERLINK("http://141.218.60.56/~jnz1568/getInfo.php?workbook=14_09.xlsx&amp;sheet=A0&amp;row=2839&amp;col=7&amp;number=0&amp;sourceID=14","0")</f>
        <v>0</v>
      </c>
    </row>
    <row r="2840" spans="1:7">
      <c r="A2840" s="3">
        <v>14</v>
      </c>
      <c r="B2840" s="3">
        <v>9</v>
      </c>
      <c r="C2840" s="3">
        <v>194</v>
      </c>
      <c r="D2840" s="3">
        <v>59</v>
      </c>
      <c r="E2840" s="3">
        <v>-241.427</v>
      </c>
      <c r="F2840" s="4" t="str">
        <f>HYPERLINK("http://141.218.60.56/~jnz1568/getInfo.php?workbook=14_09.xlsx&amp;sheet=A0&amp;row=2840&amp;col=6&amp;number=1040000000&amp;sourceID=14","1040000000")</f>
        <v>1040000000</v>
      </c>
      <c r="G2840" s="4" t="str">
        <f>HYPERLINK("http://141.218.60.56/~jnz1568/getInfo.php?workbook=14_09.xlsx&amp;sheet=A0&amp;row=2840&amp;col=7&amp;number=0&amp;sourceID=14","0")</f>
        <v>0</v>
      </c>
    </row>
    <row r="2841" spans="1:7">
      <c r="A2841" s="3">
        <v>14</v>
      </c>
      <c r="B2841" s="3">
        <v>9</v>
      </c>
      <c r="C2841" s="3">
        <v>195</v>
      </c>
      <c r="D2841" s="3">
        <v>59</v>
      </c>
      <c r="E2841" s="3">
        <v>-241.388</v>
      </c>
      <c r="F2841" s="4" t="str">
        <f>HYPERLINK("http://141.218.60.56/~jnz1568/getInfo.php?workbook=14_09.xlsx&amp;sheet=A0&amp;row=2841&amp;col=6&amp;number=10800000000&amp;sourceID=14","10800000000")</f>
        <v>10800000000</v>
      </c>
      <c r="G2841" s="4" t="str">
        <f>HYPERLINK("http://141.218.60.56/~jnz1568/getInfo.php?workbook=14_09.xlsx&amp;sheet=A0&amp;row=2841&amp;col=7&amp;number=0&amp;sourceID=14","0")</f>
        <v>0</v>
      </c>
    </row>
    <row r="2842" spans="1:7">
      <c r="A2842" s="3">
        <v>14</v>
      </c>
      <c r="B2842" s="3">
        <v>9</v>
      </c>
      <c r="C2842" s="3">
        <v>71</v>
      </c>
      <c r="D2842" s="3">
        <v>60</v>
      </c>
      <c r="E2842" s="3">
        <v>-2063.135</v>
      </c>
      <c r="F2842" s="4" t="str">
        <f>HYPERLINK("http://141.218.60.56/~jnz1568/getInfo.php?workbook=14_09.xlsx&amp;sheet=A0&amp;row=2842&amp;col=6&amp;number=97900&amp;sourceID=14","97900")</f>
        <v>97900</v>
      </c>
      <c r="G2842" s="4" t="str">
        <f>HYPERLINK("http://141.218.60.56/~jnz1568/getInfo.php?workbook=14_09.xlsx&amp;sheet=A0&amp;row=2842&amp;col=7&amp;number=0&amp;sourceID=14","0")</f>
        <v>0</v>
      </c>
    </row>
    <row r="2843" spans="1:7">
      <c r="A2843" s="3">
        <v>14</v>
      </c>
      <c r="B2843" s="3">
        <v>9</v>
      </c>
      <c r="C2843" s="3">
        <v>74</v>
      </c>
      <c r="D2843" s="3">
        <v>60</v>
      </c>
      <c r="E2843" s="3">
        <v>-1968.352</v>
      </c>
      <c r="F2843" s="4" t="str">
        <f>HYPERLINK("http://141.218.60.56/~jnz1568/getInfo.php?workbook=14_09.xlsx&amp;sheet=A0&amp;row=2843&amp;col=6&amp;number=78000&amp;sourceID=14","78000")</f>
        <v>78000</v>
      </c>
      <c r="G2843" s="4" t="str">
        <f>HYPERLINK("http://141.218.60.56/~jnz1568/getInfo.php?workbook=14_09.xlsx&amp;sheet=A0&amp;row=2843&amp;col=7&amp;number=0&amp;sourceID=14","0")</f>
        <v>0</v>
      </c>
    </row>
    <row r="2844" spans="1:7">
      <c r="A2844" s="3">
        <v>14</v>
      </c>
      <c r="B2844" s="3">
        <v>9</v>
      </c>
      <c r="C2844" s="3">
        <v>76</v>
      </c>
      <c r="D2844" s="3">
        <v>60</v>
      </c>
      <c r="E2844" s="3">
        <v>-1936.225</v>
      </c>
      <c r="F2844" s="4" t="str">
        <f>HYPERLINK("http://141.218.60.56/~jnz1568/getInfo.php?workbook=14_09.xlsx&amp;sheet=A0&amp;row=2844&amp;col=6&amp;number=778000&amp;sourceID=14","778000")</f>
        <v>778000</v>
      </c>
      <c r="G2844" s="4" t="str">
        <f>HYPERLINK("http://141.218.60.56/~jnz1568/getInfo.php?workbook=14_09.xlsx&amp;sheet=A0&amp;row=2844&amp;col=7&amp;number=0&amp;sourceID=14","0")</f>
        <v>0</v>
      </c>
    </row>
    <row r="2845" spans="1:7">
      <c r="A2845" s="3">
        <v>14</v>
      </c>
      <c r="B2845" s="3">
        <v>9</v>
      </c>
      <c r="C2845" s="3">
        <v>77</v>
      </c>
      <c r="D2845" s="3">
        <v>60</v>
      </c>
      <c r="E2845" s="3">
        <v>-1701.899</v>
      </c>
      <c r="F2845" s="4" t="str">
        <f>HYPERLINK("http://141.218.60.56/~jnz1568/getInfo.php?workbook=14_09.xlsx&amp;sheet=A0&amp;row=2845&amp;col=6&amp;number=163000&amp;sourceID=14","163000")</f>
        <v>163000</v>
      </c>
      <c r="G2845" s="4" t="str">
        <f>HYPERLINK("http://141.218.60.56/~jnz1568/getInfo.php?workbook=14_09.xlsx&amp;sheet=A0&amp;row=2845&amp;col=7&amp;number=0&amp;sourceID=14","0")</f>
        <v>0</v>
      </c>
    </row>
    <row r="2846" spans="1:7">
      <c r="A2846" s="3">
        <v>14</v>
      </c>
      <c r="B2846" s="3">
        <v>9</v>
      </c>
      <c r="C2846" s="3">
        <v>78</v>
      </c>
      <c r="D2846" s="3">
        <v>60</v>
      </c>
      <c r="E2846" s="3">
        <v>-1676.955</v>
      </c>
      <c r="F2846" s="4" t="str">
        <f>HYPERLINK("http://141.218.60.56/~jnz1568/getInfo.php?workbook=14_09.xlsx&amp;sheet=A0&amp;row=2846&amp;col=6&amp;number=3550000&amp;sourceID=14","3550000")</f>
        <v>3550000</v>
      </c>
      <c r="G2846" s="4" t="str">
        <f>HYPERLINK("http://141.218.60.56/~jnz1568/getInfo.php?workbook=14_09.xlsx&amp;sheet=A0&amp;row=2846&amp;col=7&amp;number=0&amp;sourceID=14","0")</f>
        <v>0</v>
      </c>
    </row>
    <row r="2847" spans="1:7">
      <c r="A2847" s="3">
        <v>14</v>
      </c>
      <c r="B2847" s="3">
        <v>9</v>
      </c>
      <c r="C2847" s="3">
        <v>85</v>
      </c>
      <c r="D2847" s="3">
        <v>60</v>
      </c>
      <c r="E2847" s="3">
        <v>-1266.466</v>
      </c>
      <c r="F2847" s="4" t="str">
        <f>HYPERLINK("http://141.218.60.56/~jnz1568/getInfo.php?workbook=14_09.xlsx&amp;sheet=A0&amp;row=2847&amp;col=6&amp;number=1050000&amp;sourceID=14","1050000")</f>
        <v>1050000</v>
      </c>
      <c r="G2847" s="4" t="str">
        <f>HYPERLINK("http://141.218.60.56/~jnz1568/getInfo.php?workbook=14_09.xlsx&amp;sheet=A0&amp;row=2847&amp;col=7&amp;number=0&amp;sourceID=14","0")</f>
        <v>0</v>
      </c>
    </row>
    <row r="2848" spans="1:7">
      <c r="A2848" s="3">
        <v>14</v>
      </c>
      <c r="B2848" s="3">
        <v>9</v>
      </c>
      <c r="C2848" s="3">
        <v>101</v>
      </c>
      <c r="D2848" s="3">
        <v>60</v>
      </c>
      <c r="E2848" s="3">
        <v>-1076.811</v>
      </c>
      <c r="F2848" s="4" t="str">
        <f>HYPERLINK("http://141.218.60.56/~jnz1568/getInfo.php?workbook=14_09.xlsx&amp;sheet=A0&amp;row=2848&amp;col=6&amp;number=5390000&amp;sourceID=14","5390000")</f>
        <v>5390000</v>
      </c>
      <c r="G2848" s="4" t="str">
        <f>HYPERLINK("http://141.218.60.56/~jnz1568/getInfo.php?workbook=14_09.xlsx&amp;sheet=A0&amp;row=2848&amp;col=7&amp;number=0&amp;sourceID=14","0")</f>
        <v>0</v>
      </c>
    </row>
    <row r="2849" spans="1:7">
      <c r="A2849" s="3">
        <v>14</v>
      </c>
      <c r="B2849" s="3">
        <v>9</v>
      </c>
      <c r="C2849" s="3">
        <v>106</v>
      </c>
      <c r="D2849" s="3">
        <v>60</v>
      </c>
      <c r="E2849" s="3">
        <v>-1054.498</v>
      </c>
      <c r="F2849" s="4" t="str">
        <f>HYPERLINK("http://141.218.60.56/~jnz1568/getInfo.php?workbook=14_09.xlsx&amp;sheet=A0&amp;row=2849&amp;col=6&amp;number=2960000&amp;sourceID=14","2960000")</f>
        <v>2960000</v>
      </c>
      <c r="G2849" s="4" t="str">
        <f>HYPERLINK("http://141.218.60.56/~jnz1568/getInfo.php?workbook=14_09.xlsx&amp;sheet=A0&amp;row=2849&amp;col=7&amp;number=0&amp;sourceID=14","0")</f>
        <v>0</v>
      </c>
    </row>
    <row r="2850" spans="1:7">
      <c r="A2850" s="3">
        <v>14</v>
      </c>
      <c r="B2850" s="3">
        <v>9</v>
      </c>
      <c r="C2850" s="3">
        <v>108</v>
      </c>
      <c r="D2850" s="3">
        <v>60</v>
      </c>
      <c r="E2850" s="3">
        <v>-1049.937</v>
      </c>
      <c r="F2850" s="4" t="str">
        <f>HYPERLINK("http://141.218.60.56/~jnz1568/getInfo.php?workbook=14_09.xlsx&amp;sheet=A0&amp;row=2850&amp;col=6&amp;number=601000&amp;sourceID=14","601000")</f>
        <v>601000</v>
      </c>
      <c r="G2850" s="4" t="str">
        <f>HYPERLINK("http://141.218.60.56/~jnz1568/getInfo.php?workbook=14_09.xlsx&amp;sheet=A0&amp;row=2850&amp;col=7&amp;number=0&amp;sourceID=14","0")</f>
        <v>0</v>
      </c>
    </row>
    <row r="2851" spans="1:7">
      <c r="A2851" s="3">
        <v>14</v>
      </c>
      <c r="B2851" s="3">
        <v>9</v>
      </c>
      <c r="C2851" s="3">
        <v>109</v>
      </c>
      <c r="D2851" s="3">
        <v>60</v>
      </c>
      <c r="E2851" s="3">
        <v>-1046.969</v>
      </c>
      <c r="F2851" s="4" t="str">
        <f>HYPERLINK("http://141.218.60.56/~jnz1568/getInfo.php?workbook=14_09.xlsx&amp;sheet=A0&amp;row=2851&amp;col=6&amp;number=13200000&amp;sourceID=14","13200000")</f>
        <v>13200000</v>
      </c>
      <c r="G2851" s="4" t="str">
        <f>HYPERLINK("http://141.218.60.56/~jnz1568/getInfo.php?workbook=14_09.xlsx&amp;sheet=A0&amp;row=2851&amp;col=7&amp;number=0&amp;sourceID=14","0")</f>
        <v>0</v>
      </c>
    </row>
    <row r="2852" spans="1:7">
      <c r="A2852" s="3">
        <v>14</v>
      </c>
      <c r="B2852" s="3">
        <v>9</v>
      </c>
      <c r="C2852" s="3">
        <v>116</v>
      </c>
      <c r="D2852" s="3">
        <v>60</v>
      </c>
      <c r="E2852" s="3">
        <v>-1037.605</v>
      </c>
      <c r="F2852" s="4" t="str">
        <f>HYPERLINK("http://141.218.60.56/~jnz1568/getInfo.php?workbook=14_09.xlsx&amp;sheet=A0&amp;row=2852&amp;col=6&amp;number=2560000&amp;sourceID=14","2560000")</f>
        <v>2560000</v>
      </c>
      <c r="G2852" s="4" t="str">
        <f>HYPERLINK("http://141.218.60.56/~jnz1568/getInfo.php?workbook=14_09.xlsx&amp;sheet=A0&amp;row=2852&amp;col=7&amp;number=0&amp;sourceID=14","0")</f>
        <v>0</v>
      </c>
    </row>
    <row r="2853" spans="1:7">
      <c r="A2853" s="3">
        <v>14</v>
      </c>
      <c r="B2853" s="3">
        <v>9</v>
      </c>
      <c r="C2853" s="3">
        <v>117</v>
      </c>
      <c r="D2853" s="3">
        <v>60</v>
      </c>
      <c r="E2853" s="3">
        <v>-1009.308</v>
      </c>
      <c r="F2853" s="4" t="str">
        <f>HYPERLINK("http://141.218.60.56/~jnz1568/getInfo.php?workbook=14_09.xlsx&amp;sheet=A0&amp;row=2853&amp;col=6&amp;number=1640000&amp;sourceID=14","1640000")</f>
        <v>1640000</v>
      </c>
      <c r="G2853" s="4" t="str">
        <f>HYPERLINK("http://141.218.60.56/~jnz1568/getInfo.php?workbook=14_09.xlsx&amp;sheet=A0&amp;row=2853&amp;col=7&amp;number=0&amp;sourceID=14","0")</f>
        <v>0</v>
      </c>
    </row>
    <row r="2854" spans="1:7">
      <c r="A2854" s="3">
        <v>14</v>
      </c>
      <c r="B2854" s="3">
        <v>9</v>
      </c>
      <c r="C2854" s="3">
        <v>118</v>
      </c>
      <c r="D2854" s="3">
        <v>60</v>
      </c>
      <c r="E2854" s="3">
        <v>-1008.554</v>
      </c>
      <c r="F2854" s="4" t="str">
        <f>HYPERLINK("http://141.218.60.56/~jnz1568/getInfo.php?workbook=14_09.xlsx&amp;sheet=A0&amp;row=2854&amp;col=6&amp;number=8290000&amp;sourceID=14","8290000")</f>
        <v>8290000</v>
      </c>
      <c r="G2854" s="4" t="str">
        <f>HYPERLINK("http://141.218.60.56/~jnz1568/getInfo.php?workbook=14_09.xlsx&amp;sheet=A0&amp;row=2854&amp;col=7&amp;number=0&amp;sourceID=14","0")</f>
        <v>0</v>
      </c>
    </row>
    <row r="2855" spans="1:7">
      <c r="A2855" s="3">
        <v>14</v>
      </c>
      <c r="B2855" s="3">
        <v>9</v>
      </c>
      <c r="C2855" s="3">
        <v>122</v>
      </c>
      <c r="D2855" s="3">
        <v>60</v>
      </c>
      <c r="E2855" s="3">
        <v>-998.414</v>
      </c>
      <c r="F2855" s="4" t="str">
        <f>HYPERLINK("http://141.218.60.56/~jnz1568/getInfo.php?workbook=14_09.xlsx&amp;sheet=A0&amp;row=2855&amp;col=6&amp;number=2190000&amp;sourceID=14","2190000")</f>
        <v>2190000</v>
      </c>
      <c r="G2855" s="4" t="str">
        <f>HYPERLINK("http://141.218.60.56/~jnz1568/getInfo.php?workbook=14_09.xlsx&amp;sheet=A0&amp;row=2855&amp;col=7&amp;number=0&amp;sourceID=14","0")</f>
        <v>0</v>
      </c>
    </row>
    <row r="2856" spans="1:7">
      <c r="A2856" s="3">
        <v>14</v>
      </c>
      <c r="B2856" s="3">
        <v>9</v>
      </c>
      <c r="C2856" s="3">
        <v>124</v>
      </c>
      <c r="D2856" s="3">
        <v>60</v>
      </c>
      <c r="E2856" s="3">
        <v>-987.295</v>
      </c>
      <c r="F2856" s="4" t="str">
        <f>HYPERLINK("http://141.218.60.56/~jnz1568/getInfo.php?workbook=14_09.xlsx&amp;sheet=A0&amp;row=2856&amp;col=6&amp;number=4560000&amp;sourceID=14","4560000")</f>
        <v>4560000</v>
      </c>
      <c r="G2856" s="4" t="str">
        <f>HYPERLINK("http://141.218.60.56/~jnz1568/getInfo.php?workbook=14_09.xlsx&amp;sheet=A0&amp;row=2856&amp;col=7&amp;number=0&amp;sourceID=14","0")</f>
        <v>0</v>
      </c>
    </row>
    <row r="2857" spans="1:7">
      <c r="A2857" s="3">
        <v>14</v>
      </c>
      <c r="B2857" s="3">
        <v>9</v>
      </c>
      <c r="C2857" s="3">
        <v>125</v>
      </c>
      <c r="D2857" s="3">
        <v>60</v>
      </c>
      <c r="E2857" s="3">
        <v>-927.852</v>
      </c>
      <c r="F2857" s="4" t="str">
        <f>HYPERLINK("http://141.218.60.56/~jnz1568/getInfo.php?workbook=14_09.xlsx&amp;sheet=A0&amp;row=2857&amp;col=6&amp;number=3800000&amp;sourceID=14","3800000")</f>
        <v>3800000</v>
      </c>
      <c r="G2857" s="4" t="str">
        <f>HYPERLINK("http://141.218.60.56/~jnz1568/getInfo.php?workbook=14_09.xlsx&amp;sheet=A0&amp;row=2857&amp;col=7&amp;number=0&amp;sourceID=14","0")</f>
        <v>0</v>
      </c>
    </row>
    <row r="2858" spans="1:7">
      <c r="A2858" s="3">
        <v>14</v>
      </c>
      <c r="B2858" s="3">
        <v>9</v>
      </c>
      <c r="C2858" s="3">
        <v>126</v>
      </c>
      <c r="D2858" s="3">
        <v>60</v>
      </c>
      <c r="E2858" s="3">
        <v>-910.467</v>
      </c>
      <c r="F2858" s="4" t="str">
        <f>HYPERLINK("http://141.218.60.56/~jnz1568/getInfo.php?workbook=14_09.xlsx&amp;sheet=A0&amp;row=2858&amp;col=6&amp;number=39700000&amp;sourceID=14","39700000")</f>
        <v>39700000</v>
      </c>
      <c r="G2858" s="4" t="str">
        <f>HYPERLINK("http://141.218.60.56/~jnz1568/getInfo.php?workbook=14_09.xlsx&amp;sheet=A0&amp;row=2858&amp;col=7&amp;number=0&amp;sourceID=14","0")</f>
        <v>0</v>
      </c>
    </row>
    <row r="2859" spans="1:7">
      <c r="A2859" s="3">
        <v>14</v>
      </c>
      <c r="B2859" s="3">
        <v>9</v>
      </c>
      <c r="C2859" s="3">
        <v>138</v>
      </c>
      <c r="D2859" s="3">
        <v>60</v>
      </c>
      <c r="E2859" s="3">
        <v>-705.2</v>
      </c>
      <c r="F2859" s="4" t="str">
        <f>HYPERLINK("http://141.218.60.56/~jnz1568/getInfo.php?workbook=14_09.xlsx&amp;sheet=A0&amp;row=2859&amp;col=6&amp;number=32300000&amp;sourceID=14","32300000")</f>
        <v>32300000</v>
      </c>
      <c r="G2859" s="4" t="str">
        <f>HYPERLINK("http://141.218.60.56/~jnz1568/getInfo.php?workbook=14_09.xlsx&amp;sheet=A0&amp;row=2859&amp;col=7&amp;number=0&amp;sourceID=14","0")</f>
        <v>0</v>
      </c>
    </row>
    <row r="2860" spans="1:7">
      <c r="A2860" s="3">
        <v>14</v>
      </c>
      <c r="B2860" s="3">
        <v>9</v>
      </c>
      <c r="C2860" s="3">
        <v>139</v>
      </c>
      <c r="D2860" s="3">
        <v>60</v>
      </c>
      <c r="E2860" s="3">
        <v>-705.111</v>
      </c>
      <c r="F2860" s="4" t="str">
        <f>HYPERLINK("http://141.218.60.56/~jnz1568/getInfo.php?workbook=14_09.xlsx&amp;sheet=A0&amp;row=2860&amp;col=6&amp;number=1480000&amp;sourceID=14","1480000")</f>
        <v>1480000</v>
      </c>
      <c r="G2860" s="4" t="str">
        <f>HYPERLINK("http://141.218.60.56/~jnz1568/getInfo.php?workbook=14_09.xlsx&amp;sheet=A0&amp;row=2860&amp;col=7&amp;number=0&amp;sourceID=14","0")</f>
        <v>0</v>
      </c>
    </row>
    <row r="2861" spans="1:7">
      <c r="A2861" s="3">
        <v>14</v>
      </c>
      <c r="B2861" s="3">
        <v>9</v>
      </c>
      <c r="C2861" s="3">
        <v>141</v>
      </c>
      <c r="D2861" s="3">
        <v>60</v>
      </c>
      <c r="E2861" s="3">
        <v>-698.369</v>
      </c>
      <c r="F2861" s="4" t="str">
        <f>HYPERLINK("http://141.218.60.56/~jnz1568/getInfo.php?workbook=14_09.xlsx&amp;sheet=A0&amp;row=2861&amp;col=6&amp;number=287000&amp;sourceID=14","287000")</f>
        <v>287000</v>
      </c>
      <c r="G2861" s="4" t="str">
        <f>HYPERLINK("http://141.218.60.56/~jnz1568/getInfo.php?workbook=14_09.xlsx&amp;sheet=A0&amp;row=2861&amp;col=7&amp;number=0&amp;sourceID=14","0")</f>
        <v>0</v>
      </c>
    </row>
    <row r="2862" spans="1:7">
      <c r="A2862" s="3">
        <v>14</v>
      </c>
      <c r="B2862" s="3">
        <v>9</v>
      </c>
      <c r="C2862" s="3">
        <v>142</v>
      </c>
      <c r="D2862" s="3">
        <v>60</v>
      </c>
      <c r="E2862" s="3">
        <v>-698.316</v>
      </c>
      <c r="F2862" s="4" t="str">
        <f>HYPERLINK("http://141.218.60.56/~jnz1568/getInfo.php?workbook=14_09.xlsx&amp;sheet=A0&amp;row=2862&amp;col=6&amp;number=17800000&amp;sourceID=14","17800000")</f>
        <v>17800000</v>
      </c>
      <c r="G2862" s="4" t="str">
        <f>HYPERLINK("http://141.218.60.56/~jnz1568/getInfo.php?workbook=14_09.xlsx&amp;sheet=A0&amp;row=2862&amp;col=7&amp;number=0&amp;sourceID=14","0")</f>
        <v>0</v>
      </c>
    </row>
    <row r="2863" spans="1:7">
      <c r="A2863" s="3">
        <v>14</v>
      </c>
      <c r="B2863" s="3">
        <v>9</v>
      </c>
      <c r="C2863" s="3">
        <v>147</v>
      </c>
      <c r="D2863" s="3">
        <v>60</v>
      </c>
      <c r="E2863" s="3">
        <v>-691.77</v>
      </c>
      <c r="F2863" s="4" t="str">
        <f>HYPERLINK("http://141.218.60.56/~jnz1568/getInfo.php?workbook=14_09.xlsx&amp;sheet=A0&amp;row=2863&amp;col=6&amp;number=26800000&amp;sourceID=14","26800000")</f>
        <v>26800000</v>
      </c>
      <c r="G2863" s="4" t="str">
        <f>HYPERLINK("http://141.218.60.56/~jnz1568/getInfo.php?workbook=14_09.xlsx&amp;sheet=A0&amp;row=2863&amp;col=7&amp;number=0&amp;sourceID=14","0")</f>
        <v>0</v>
      </c>
    </row>
    <row r="2864" spans="1:7">
      <c r="A2864" s="3">
        <v>14</v>
      </c>
      <c r="B2864" s="3">
        <v>9</v>
      </c>
      <c r="C2864" s="3">
        <v>159</v>
      </c>
      <c r="D2864" s="3">
        <v>60</v>
      </c>
      <c r="E2864" s="3">
        <v>-608.399</v>
      </c>
      <c r="F2864" s="4" t="str">
        <f>HYPERLINK("http://141.218.60.56/~jnz1568/getInfo.php?workbook=14_09.xlsx&amp;sheet=A0&amp;row=2864&amp;col=6&amp;number=229000000&amp;sourceID=14","229000000")</f>
        <v>229000000</v>
      </c>
      <c r="G2864" s="4" t="str">
        <f>HYPERLINK("http://141.218.60.56/~jnz1568/getInfo.php?workbook=14_09.xlsx&amp;sheet=A0&amp;row=2864&amp;col=7&amp;number=0&amp;sourceID=14","0")</f>
        <v>0</v>
      </c>
    </row>
    <row r="2865" spans="1:7">
      <c r="A2865" s="3">
        <v>14</v>
      </c>
      <c r="B2865" s="3">
        <v>9</v>
      </c>
      <c r="C2865" s="3">
        <v>160</v>
      </c>
      <c r="D2865" s="3">
        <v>60</v>
      </c>
      <c r="E2865" s="3">
        <v>-607.937</v>
      </c>
      <c r="F2865" s="4" t="str">
        <f>HYPERLINK("http://141.218.60.56/~jnz1568/getInfo.php?workbook=14_09.xlsx&amp;sheet=A0&amp;row=2865&amp;col=6&amp;number=2280000000&amp;sourceID=14","2280000000")</f>
        <v>2280000000</v>
      </c>
      <c r="G2865" s="4" t="str">
        <f>HYPERLINK("http://141.218.60.56/~jnz1568/getInfo.php?workbook=14_09.xlsx&amp;sheet=A0&amp;row=2865&amp;col=7&amp;number=0&amp;sourceID=14","0")</f>
        <v>0</v>
      </c>
    </row>
    <row r="2866" spans="1:7">
      <c r="A2866" s="3">
        <v>14</v>
      </c>
      <c r="B2866" s="3">
        <v>9</v>
      </c>
      <c r="C2866" s="3">
        <v>164</v>
      </c>
      <c r="D2866" s="3">
        <v>60</v>
      </c>
      <c r="E2866" s="3">
        <v>-469.63</v>
      </c>
      <c r="F2866" s="4" t="str">
        <f>HYPERLINK("http://141.218.60.56/~jnz1568/getInfo.php?workbook=14_09.xlsx&amp;sheet=A0&amp;row=2866&amp;col=6&amp;number=17800000000&amp;sourceID=14","17800000000")</f>
        <v>17800000000</v>
      </c>
      <c r="G2866" s="4" t="str">
        <f>HYPERLINK("http://141.218.60.56/~jnz1568/getInfo.php?workbook=14_09.xlsx&amp;sheet=A0&amp;row=2866&amp;col=7&amp;number=0&amp;sourceID=14","0")</f>
        <v>0</v>
      </c>
    </row>
    <row r="2867" spans="1:7">
      <c r="A2867" s="3">
        <v>14</v>
      </c>
      <c r="B2867" s="3">
        <v>9</v>
      </c>
      <c r="C2867" s="3">
        <v>166</v>
      </c>
      <c r="D2867" s="3">
        <v>60</v>
      </c>
      <c r="E2867" s="3">
        <v>-451.156</v>
      </c>
      <c r="F2867" s="4" t="str">
        <f>HYPERLINK("http://141.218.60.56/~jnz1568/getInfo.php?workbook=14_09.xlsx&amp;sheet=A0&amp;row=2867&amp;col=6&amp;number=1830000&amp;sourceID=14","1830000")</f>
        <v>1830000</v>
      </c>
      <c r="G2867" s="4" t="str">
        <f>HYPERLINK("http://141.218.60.56/~jnz1568/getInfo.php?workbook=14_09.xlsx&amp;sheet=A0&amp;row=2867&amp;col=7&amp;number=0&amp;sourceID=14","0")</f>
        <v>0</v>
      </c>
    </row>
    <row r="2868" spans="1:7">
      <c r="A2868" s="3">
        <v>14</v>
      </c>
      <c r="B2868" s="3">
        <v>9</v>
      </c>
      <c r="C2868" s="3">
        <v>167</v>
      </c>
      <c r="D2868" s="3">
        <v>60</v>
      </c>
      <c r="E2868" s="3">
        <v>-450.866</v>
      </c>
      <c r="F2868" s="4" t="str">
        <f>HYPERLINK("http://141.218.60.56/~jnz1568/getInfo.php?workbook=14_09.xlsx&amp;sheet=A0&amp;row=2868&amp;col=6&amp;number=19100000&amp;sourceID=14","19100000")</f>
        <v>19100000</v>
      </c>
      <c r="G2868" s="4" t="str">
        <f>HYPERLINK("http://141.218.60.56/~jnz1568/getInfo.php?workbook=14_09.xlsx&amp;sheet=A0&amp;row=2868&amp;col=7&amp;number=0&amp;sourceID=14","0")</f>
        <v>0</v>
      </c>
    </row>
    <row r="2869" spans="1:7">
      <c r="A2869" s="3">
        <v>14</v>
      </c>
      <c r="B2869" s="3">
        <v>9</v>
      </c>
      <c r="C2869" s="3">
        <v>173</v>
      </c>
      <c r="D2869" s="3">
        <v>60</v>
      </c>
      <c r="E2869" s="3">
        <v>-397.963</v>
      </c>
      <c r="F2869" s="4" t="str">
        <f>HYPERLINK("http://141.218.60.56/~jnz1568/getInfo.php?workbook=14_09.xlsx&amp;sheet=A0&amp;row=2869&amp;col=6&amp;number=1020000&amp;sourceID=14","1020000")</f>
        <v>1020000</v>
      </c>
      <c r="G2869" s="4" t="str">
        <f>HYPERLINK("http://141.218.60.56/~jnz1568/getInfo.php?workbook=14_09.xlsx&amp;sheet=A0&amp;row=2869&amp;col=7&amp;number=0&amp;sourceID=14","0")</f>
        <v>0</v>
      </c>
    </row>
    <row r="2870" spans="1:7">
      <c r="A2870" s="3">
        <v>14</v>
      </c>
      <c r="B2870" s="3">
        <v>9</v>
      </c>
      <c r="C2870" s="3">
        <v>174</v>
      </c>
      <c r="D2870" s="3">
        <v>60</v>
      </c>
      <c r="E2870" s="3">
        <v>-396.095</v>
      </c>
      <c r="F2870" s="4" t="str">
        <f>HYPERLINK("http://141.218.60.56/~jnz1568/getInfo.php?workbook=14_09.xlsx&amp;sheet=A0&amp;row=2870&amp;col=6&amp;number=903000&amp;sourceID=14","903000")</f>
        <v>903000</v>
      </c>
      <c r="G2870" s="4" t="str">
        <f>HYPERLINK("http://141.218.60.56/~jnz1568/getInfo.php?workbook=14_09.xlsx&amp;sheet=A0&amp;row=2870&amp;col=7&amp;number=0&amp;sourceID=14","0")</f>
        <v>0</v>
      </c>
    </row>
    <row r="2871" spans="1:7">
      <c r="A2871" s="3">
        <v>14</v>
      </c>
      <c r="B2871" s="3">
        <v>9</v>
      </c>
      <c r="C2871" s="3">
        <v>176</v>
      </c>
      <c r="D2871" s="3">
        <v>60</v>
      </c>
      <c r="E2871" s="3">
        <v>-384.767</v>
      </c>
      <c r="F2871" s="4" t="str">
        <f>HYPERLINK("http://141.218.60.56/~jnz1568/getInfo.php?workbook=14_09.xlsx&amp;sheet=A0&amp;row=2871&amp;col=6&amp;number=497000&amp;sourceID=14","497000")</f>
        <v>497000</v>
      </c>
      <c r="G2871" s="4" t="str">
        <f>HYPERLINK("http://141.218.60.56/~jnz1568/getInfo.php?workbook=14_09.xlsx&amp;sheet=A0&amp;row=2871&amp;col=7&amp;number=0&amp;sourceID=14","0")</f>
        <v>0</v>
      </c>
    </row>
    <row r="2872" spans="1:7">
      <c r="A2872" s="3">
        <v>14</v>
      </c>
      <c r="B2872" s="3">
        <v>9</v>
      </c>
      <c r="C2872" s="3">
        <v>178</v>
      </c>
      <c r="D2872" s="3">
        <v>60</v>
      </c>
      <c r="E2872" s="3">
        <v>-384.264</v>
      </c>
      <c r="F2872" s="4" t="str">
        <f>HYPERLINK("http://141.218.60.56/~jnz1568/getInfo.php?workbook=14_09.xlsx&amp;sheet=A0&amp;row=2872&amp;col=6&amp;number=1310000&amp;sourceID=14","1310000")</f>
        <v>1310000</v>
      </c>
      <c r="G2872" s="4" t="str">
        <f>HYPERLINK("http://141.218.60.56/~jnz1568/getInfo.php?workbook=14_09.xlsx&amp;sheet=A0&amp;row=2872&amp;col=7&amp;number=0&amp;sourceID=14","0")</f>
        <v>0</v>
      </c>
    </row>
    <row r="2873" spans="1:7">
      <c r="A2873" s="3">
        <v>14</v>
      </c>
      <c r="B2873" s="3">
        <v>9</v>
      </c>
      <c r="C2873" s="3">
        <v>181</v>
      </c>
      <c r="D2873" s="3">
        <v>60</v>
      </c>
      <c r="E2873" s="3">
        <v>-376.372</v>
      </c>
      <c r="F2873" s="4" t="str">
        <f>HYPERLINK("http://141.218.60.56/~jnz1568/getInfo.php?workbook=14_09.xlsx&amp;sheet=A0&amp;row=2873&amp;col=6&amp;number=3670000&amp;sourceID=14","3670000")</f>
        <v>3670000</v>
      </c>
      <c r="G2873" s="4" t="str">
        <f>HYPERLINK("http://141.218.60.56/~jnz1568/getInfo.php?workbook=14_09.xlsx&amp;sheet=A0&amp;row=2873&amp;col=7&amp;number=0&amp;sourceID=14","0")</f>
        <v>0</v>
      </c>
    </row>
    <row r="2874" spans="1:7">
      <c r="A2874" s="3">
        <v>14</v>
      </c>
      <c r="B2874" s="3">
        <v>9</v>
      </c>
      <c r="C2874" s="3">
        <v>182</v>
      </c>
      <c r="D2874" s="3">
        <v>60</v>
      </c>
      <c r="E2874" s="3">
        <v>-376.235</v>
      </c>
      <c r="F2874" s="4" t="str">
        <f>HYPERLINK("http://141.218.60.56/~jnz1568/getInfo.php?workbook=14_09.xlsx&amp;sheet=A0&amp;row=2874&amp;col=6&amp;number=6020000&amp;sourceID=14","6020000")</f>
        <v>6020000</v>
      </c>
      <c r="G2874" s="4" t="str">
        <f>HYPERLINK("http://141.218.60.56/~jnz1568/getInfo.php?workbook=14_09.xlsx&amp;sheet=A0&amp;row=2874&amp;col=7&amp;number=0&amp;sourceID=14","0")</f>
        <v>0</v>
      </c>
    </row>
    <row r="2875" spans="1:7">
      <c r="A2875" s="3">
        <v>14</v>
      </c>
      <c r="B2875" s="3">
        <v>9</v>
      </c>
      <c r="C2875" s="3">
        <v>190</v>
      </c>
      <c r="D2875" s="3">
        <v>60</v>
      </c>
      <c r="E2875" s="3">
        <v>-245.514</v>
      </c>
      <c r="F2875" s="4" t="str">
        <f>HYPERLINK("http://141.218.60.56/~jnz1568/getInfo.php?workbook=14_09.xlsx&amp;sheet=A0&amp;row=2875&amp;col=6&amp;number=6320000000&amp;sourceID=14","6320000000")</f>
        <v>6320000000</v>
      </c>
      <c r="G2875" s="4" t="str">
        <f>HYPERLINK("http://141.218.60.56/~jnz1568/getInfo.php?workbook=14_09.xlsx&amp;sheet=A0&amp;row=2875&amp;col=7&amp;number=0&amp;sourceID=14","0")</f>
        <v>0</v>
      </c>
    </row>
    <row r="2876" spans="1:7">
      <c r="A2876" s="3">
        <v>14</v>
      </c>
      <c r="B2876" s="3">
        <v>9</v>
      </c>
      <c r="C2876" s="3">
        <v>192</v>
      </c>
      <c r="D2876" s="3">
        <v>60</v>
      </c>
      <c r="E2876" s="3">
        <v>-243.309</v>
      </c>
      <c r="F2876" s="4" t="str">
        <f>HYPERLINK("http://141.218.60.56/~jnz1568/getInfo.php?workbook=14_09.xlsx&amp;sheet=A0&amp;row=2876&amp;col=6&amp;number=710000000&amp;sourceID=14","710000000")</f>
        <v>710000000</v>
      </c>
      <c r="G2876" s="4" t="str">
        <f>HYPERLINK("http://141.218.60.56/~jnz1568/getInfo.php?workbook=14_09.xlsx&amp;sheet=A0&amp;row=2876&amp;col=7&amp;number=0&amp;sourceID=14","0")</f>
        <v>0</v>
      </c>
    </row>
    <row r="2877" spans="1:7">
      <c r="A2877" s="3">
        <v>14</v>
      </c>
      <c r="B2877" s="3">
        <v>9</v>
      </c>
      <c r="C2877" s="3">
        <v>193</v>
      </c>
      <c r="D2877" s="3">
        <v>60</v>
      </c>
      <c r="E2877" s="3">
        <v>-243.229</v>
      </c>
      <c r="F2877" s="4" t="str">
        <f>HYPERLINK("http://141.218.60.56/~jnz1568/getInfo.php?workbook=14_09.xlsx&amp;sheet=A0&amp;row=2877&amp;col=6&amp;number=7680000000&amp;sourceID=14","7680000000")</f>
        <v>7680000000</v>
      </c>
      <c r="G2877" s="4" t="str">
        <f>HYPERLINK("http://141.218.60.56/~jnz1568/getInfo.php?workbook=14_09.xlsx&amp;sheet=A0&amp;row=2877&amp;col=7&amp;number=0&amp;sourceID=14","0")</f>
        <v>0</v>
      </c>
    </row>
    <row r="2878" spans="1:7">
      <c r="A2878" s="3">
        <v>14</v>
      </c>
      <c r="B2878" s="3">
        <v>9</v>
      </c>
      <c r="C2878" s="3">
        <v>194</v>
      </c>
      <c r="D2878" s="3">
        <v>60</v>
      </c>
      <c r="E2878" s="3">
        <v>-241.561</v>
      </c>
      <c r="F2878" s="4" t="str">
        <f>HYPERLINK("http://141.218.60.56/~jnz1568/getInfo.php?workbook=14_09.xlsx&amp;sheet=A0&amp;row=2878&amp;col=6&amp;number=10200000000&amp;sourceID=14","10200000000")</f>
        <v>10200000000</v>
      </c>
      <c r="G2878" s="4" t="str">
        <f>HYPERLINK("http://141.218.60.56/~jnz1568/getInfo.php?workbook=14_09.xlsx&amp;sheet=A0&amp;row=2878&amp;col=7&amp;number=0&amp;sourceID=14","0")</f>
        <v>0</v>
      </c>
    </row>
    <row r="2879" spans="1:7">
      <c r="A2879" s="3">
        <v>14</v>
      </c>
      <c r="B2879" s="3">
        <v>9</v>
      </c>
      <c r="C2879" s="3">
        <v>195</v>
      </c>
      <c r="D2879" s="3">
        <v>60</v>
      </c>
      <c r="E2879" s="3">
        <v>-241.522</v>
      </c>
      <c r="F2879" s="4" t="str">
        <f>HYPERLINK("http://141.218.60.56/~jnz1568/getInfo.php?workbook=14_09.xlsx&amp;sheet=A0&amp;row=2879&amp;col=6&amp;number=680000000&amp;sourceID=14","680000000")</f>
        <v>680000000</v>
      </c>
      <c r="G2879" s="4" t="str">
        <f>HYPERLINK("http://141.218.60.56/~jnz1568/getInfo.php?workbook=14_09.xlsx&amp;sheet=A0&amp;row=2879&amp;col=7&amp;number=0&amp;sourceID=14","0")</f>
        <v>0</v>
      </c>
    </row>
    <row r="2880" spans="1:7">
      <c r="A2880" s="3">
        <v>14</v>
      </c>
      <c r="B2880" s="3">
        <v>9</v>
      </c>
      <c r="C2880" s="3">
        <v>66</v>
      </c>
      <c r="D2880" s="3">
        <v>61</v>
      </c>
      <c r="E2880" s="3">
        <v>-3907.936</v>
      </c>
      <c r="F2880" s="4" t="str">
        <f>HYPERLINK("http://141.218.60.56/~jnz1568/getInfo.php?workbook=14_09.xlsx&amp;sheet=A0&amp;row=2880&amp;col=6&amp;number=78300000&amp;sourceID=14","78300000")</f>
        <v>78300000</v>
      </c>
      <c r="G2880" s="4" t="str">
        <f>HYPERLINK("http://141.218.60.56/~jnz1568/getInfo.php?workbook=14_09.xlsx&amp;sheet=A0&amp;row=2880&amp;col=7&amp;number=0&amp;sourceID=14","0")</f>
        <v>0</v>
      </c>
    </row>
    <row r="2881" spans="1:7">
      <c r="A2881" s="3">
        <v>14</v>
      </c>
      <c r="B2881" s="3">
        <v>9</v>
      </c>
      <c r="C2881" s="3">
        <v>67</v>
      </c>
      <c r="D2881" s="3">
        <v>61</v>
      </c>
      <c r="E2881" s="3">
        <v>-3690.725</v>
      </c>
      <c r="F2881" s="4" t="str">
        <f>HYPERLINK("http://141.218.60.56/~jnz1568/getInfo.php?workbook=14_09.xlsx&amp;sheet=A0&amp;row=2881&amp;col=6&amp;number=73400000&amp;sourceID=14","73400000")</f>
        <v>73400000</v>
      </c>
      <c r="G2881" s="4" t="str">
        <f>HYPERLINK("http://141.218.60.56/~jnz1568/getInfo.php?workbook=14_09.xlsx&amp;sheet=A0&amp;row=2881&amp;col=7&amp;number=0&amp;sourceID=14","0")</f>
        <v>0</v>
      </c>
    </row>
    <row r="2882" spans="1:7">
      <c r="A2882" s="3">
        <v>14</v>
      </c>
      <c r="B2882" s="3">
        <v>9</v>
      </c>
      <c r="C2882" s="3">
        <v>69</v>
      </c>
      <c r="D2882" s="3">
        <v>61</v>
      </c>
      <c r="E2882" s="3">
        <v>-3053.534</v>
      </c>
      <c r="F2882" s="4" t="str">
        <f>HYPERLINK("http://141.218.60.56/~jnz1568/getInfo.php?workbook=14_09.xlsx&amp;sheet=A0&amp;row=2882&amp;col=6&amp;number=226000000&amp;sourceID=14","226000000")</f>
        <v>226000000</v>
      </c>
      <c r="G2882" s="4" t="str">
        <f>HYPERLINK("http://141.218.60.56/~jnz1568/getInfo.php?workbook=14_09.xlsx&amp;sheet=A0&amp;row=2882&amp;col=7&amp;number=0&amp;sourceID=14","0")</f>
        <v>0</v>
      </c>
    </row>
    <row r="2883" spans="1:7">
      <c r="A2883" s="3">
        <v>14</v>
      </c>
      <c r="B2883" s="3">
        <v>9</v>
      </c>
      <c r="C2883" s="3">
        <v>70</v>
      </c>
      <c r="D2883" s="3">
        <v>61</v>
      </c>
      <c r="E2883" s="3">
        <v>-2940.058</v>
      </c>
      <c r="F2883" s="4" t="str">
        <f>HYPERLINK("http://141.218.60.56/~jnz1568/getInfo.php?workbook=14_09.xlsx&amp;sheet=A0&amp;row=2883&amp;col=6&amp;number=35500000&amp;sourceID=14","35500000")</f>
        <v>35500000</v>
      </c>
      <c r="G2883" s="4" t="str">
        <f>HYPERLINK("http://141.218.60.56/~jnz1568/getInfo.php?workbook=14_09.xlsx&amp;sheet=A0&amp;row=2883&amp;col=7&amp;number=0&amp;sourceID=14","0")</f>
        <v>0</v>
      </c>
    </row>
    <row r="2884" spans="1:7">
      <c r="A2884" s="3">
        <v>14</v>
      </c>
      <c r="B2884" s="3">
        <v>9</v>
      </c>
      <c r="C2884" s="3">
        <v>71</v>
      </c>
      <c r="D2884" s="3">
        <v>61</v>
      </c>
      <c r="E2884" s="3">
        <v>-2770.779</v>
      </c>
      <c r="F2884" s="4" t="str">
        <f>HYPERLINK("http://141.218.60.56/~jnz1568/getInfo.php?workbook=14_09.xlsx&amp;sheet=A0&amp;row=2884&amp;col=6&amp;number=2850000&amp;sourceID=14","2850000")</f>
        <v>2850000</v>
      </c>
      <c r="G2884" s="4" t="str">
        <f>HYPERLINK("http://141.218.60.56/~jnz1568/getInfo.php?workbook=14_09.xlsx&amp;sheet=A0&amp;row=2884&amp;col=7&amp;number=0&amp;sourceID=14","0")</f>
        <v>0</v>
      </c>
    </row>
    <row r="2885" spans="1:7">
      <c r="A2885" s="3">
        <v>14</v>
      </c>
      <c r="B2885" s="3">
        <v>9</v>
      </c>
      <c r="C2885" s="3">
        <v>72</v>
      </c>
      <c r="D2885" s="3">
        <v>61</v>
      </c>
      <c r="E2885" s="3">
        <v>-2712.826</v>
      </c>
      <c r="F2885" s="4" t="str">
        <f>HYPERLINK("http://141.218.60.56/~jnz1568/getInfo.php?workbook=14_09.xlsx&amp;sheet=A0&amp;row=2885&amp;col=6&amp;number=20600000&amp;sourceID=14","20600000")</f>
        <v>20600000</v>
      </c>
      <c r="G2885" s="4" t="str">
        <f>HYPERLINK("http://141.218.60.56/~jnz1568/getInfo.php?workbook=14_09.xlsx&amp;sheet=A0&amp;row=2885&amp;col=7&amp;number=0&amp;sourceID=14","0")</f>
        <v>0</v>
      </c>
    </row>
    <row r="2886" spans="1:7">
      <c r="A2886" s="3">
        <v>14</v>
      </c>
      <c r="B2886" s="3">
        <v>9</v>
      </c>
      <c r="C2886" s="3">
        <v>75</v>
      </c>
      <c r="D2886" s="3">
        <v>61</v>
      </c>
      <c r="E2886" s="3">
        <v>-2565.291</v>
      </c>
      <c r="F2886" s="4" t="str">
        <f>HYPERLINK("http://141.218.60.56/~jnz1568/getInfo.php?workbook=14_09.xlsx&amp;sheet=A0&amp;row=2886&amp;col=6&amp;number=133000000&amp;sourceID=14","133000000")</f>
        <v>133000000</v>
      </c>
      <c r="G2886" s="4" t="str">
        <f>HYPERLINK("http://141.218.60.56/~jnz1568/getInfo.php?workbook=14_09.xlsx&amp;sheet=A0&amp;row=2886&amp;col=7&amp;number=0&amp;sourceID=14","0")</f>
        <v>0</v>
      </c>
    </row>
    <row r="2887" spans="1:7">
      <c r="A2887" s="3">
        <v>14</v>
      </c>
      <c r="B2887" s="3">
        <v>9</v>
      </c>
      <c r="C2887" s="3">
        <v>76</v>
      </c>
      <c r="D2887" s="3">
        <v>61</v>
      </c>
      <c r="E2887" s="3">
        <v>-2546.607</v>
      </c>
      <c r="F2887" s="4" t="str">
        <f>HYPERLINK("http://141.218.60.56/~jnz1568/getInfo.php?workbook=14_09.xlsx&amp;sheet=A0&amp;row=2887&amp;col=6&amp;number=2830000&amp;sourceID=14","2830000")</f>
        <v>2830000</v>
      </c>
      <c r="G2887" s="4" t="str">
        <f>HYPERLINK("http://141.218.60.56/~jnz1568/getInfo.php?workbook=14_09.xlsx&amp;sheet=A0&amp;row=2887&amp;col=7&amp;number=0&amp;sourceID=14","0")</f>
        <v>0</v>
      </c>
    </row>
    <row r="2888" spans="1:7">
      <c r="A2888" s="3">
        <v>14</v>
      </c>
      <c r="B2888" s="3">
        <v>9</v>
      </c>
      <c r="C2888" s="3">
        <v>77</v>
      </c>
      <c r="D2888" s="3">
        <v>61</v>
      </c>
      <c r="E2888" s="3">
        <v>-2156.152</v>
      </c>
      <c r="F2888" s="4" t="str">
        <f>HYPERLINK("http://141.218.60.56/~jnz1568/getInfo.php?workbook=14_09.xlsx&amp;sheet=A0&amp;row=2888&amp;col=6&amp;number=142000&amp;sourceID=14","142000")</f>
        <v>142000</v>
      </c>
      <c r="G2888" s="4" t="str">
        <f>HYPERLINK("http://141.218.60.56/~jnz1568/getInfo.php?workbook=14_09.xlsx&amp;sheet=A0&amp;row=2888&amp;col=7&amp;number=0&amp;sourceID=14","0")</f>
        <v>0</v>
      </c>
    </row>
    <row r="2889" spans="1:7">
      <c r="A2889" s="3">
        <v>14</v>
      </c>
      <c r="B2889" s="3">
        <v>9</v>
      </c>
      <c r="C2889" s="3">
        <v>81</v>
      </c>
      <c r="D2889" s="3">
        <v>61</v>
      </c>
      <c r="E2889" s="3">
        <v>-1962.443</v>
      </c>
      <c r="F2889" s="4" t="str">
        <f>HYPERLINK("http://141.218.60.56/~jnz1568/getInfo.php?workbook=14_09.xlsx&amp;sheet=A0&amp;row=2889&amp;col=6&amp;number=92300000&amp;sourceID=14","92300000")</f>
        <v>92300000</v>
      </c>
      <c r="G2889" s="4" t="str">
        <f>HYPERLINK("http://141.218.60.56/~jnz1568/getInfo.php?workbook=14_09.xlsx&amp;sheet=A0&amp;row=2889&amp;col=7&amp;number=0&amp;sourceID=14","0")</f>
        <v>0</v>
      </c>
    </row>
    <row r="2890" spans="1:7">
      <c r="A2890" s="3">
        <v>14</v>
      </c>
      <c r="B2890" s="3">
        <v>9</v>
      </c>
      <c r="C2890" s="3">
        <v>82</v>
      </c>
      <c r="D2890" s="3">
        <v>61</v>
      </c>
      <c r="E2890" s="3">
        <v>-1861.958</v>
      </c>
      <c r="F2890" s="4" t="str">
        <f>HYPERLINK("http://141.218.60.56/~jnz1568/getInfo.php?workbook=14_09.xlsx&amp;sheet=A0&amp;row=2890&amp;col=6&amp;number=49200000&amp;sourceID=14","49200000")</f>
        <v>49200000</v>
      </c>
      <c r="G2890" s="4" t="str">
        <f>HYPERLINK("http://141.218.60.56/~jnz1568/getInfo.php?workbook=14_09.xlsx&amp;sheet=A0&amp;row=2890&amp;col=7&amp;number=0&amp;sourceID=14","0")</f>
        <v>0</v>
      </c>
    </row>
    <row r="2891" spans="1:7">
      <c r="A2891" s="3">
        <v>14</v>
      </c>
      <c r="B2891" s="3">
        <v>9</v>
      </c>
      <c r="C2891" s="3">
        <v>105</v>
      </c>
      <c r="D2891" s="3">
        <v>61</v>
      </c>
      <c r="E2891" s="3">
        <v>-1214.98</v>
      </c>
      <c r="F2891" s="4" t="str">
        <f>HYPERLINK("http://141.218.60.56/~jnz1568/getInfo.php?workbook=14_09.xlsx&amp;sheet=A0&amp;row=2891&amp;col=6&amp;number=506000&amp;sourceID=14","506000")</f>
        <v>506000</v>
      </c>
      <c r="G2891" s="4" t="str">
        <f>HYPERLINK("http://141.218.60.56/~jnz1568/getInfo.php?workbook=14_09.xlsx&amp;sheet=A0&amp;row=2891&amp;col=7&amp;number=0&amp;sourceID=14","0")</f>
        <v>0</v>
      </c>
    </row>
    <row r="2892" spans="1:7">
      <c r="A2892" s="3">
        <v>14</v>
      </c>
      <c r="B2892" s="3">
        <v>9</v>
      </c>
      <c r="C2892" s="3">
        <v>107</v>
      </c>
      <c r="D2892" s="3">
        <v>61</v>
      </c>
      <c r="E2892" s="3">
        <v>-1208.666</v>
      </c>
      <c r="F2892" s="4" t="str">
        <f>HYPERLINK("http://141.218.60.56/~jnz1568/getInfo.php?workbook=14_09.xlsx&amp;sheet=A0&amp;row=2892&amp;col=6&amp;number=217000&amp;sourceID=14","217000")</f>
        <v>217000</v>
      </c>
      <c r="G2892" s="4" t="str">
        <f>HYPERLINK("http://141.218.60.56/~jnz1568/getInfo.php?workbook=14_09.xlsx&amp;sheet=A0&amp;row=2892&amp;col=7&amp;number=0&amp;sourceID=14","0")</f>
        <v>0</v>
      </c>
    </row>
    <row r="2893" spans="1:7">
      <c r="A2893" s="3">
        <v>14</v>
      </c>
      <c r="B2893" s="3">
        <v>9</v>
      </c>
      <c r="C2893" s="3">
        <v>109</v>
      </c>
      <c r="D2893" s="3">
        <v>61</v>
      </c>
      <c r="E2893" s="3">
        <v>-1202.865</v>
      </c>
      <c r="F2893" s="4" t="str">
        <f>HYPERLINK("http://141.218.60.56/~jnz1568/getInfo.php?workbook=14_09.xlsx&amp;sheet=A0&amp;row=2893&amp;col=6&amp;number=293000&amp;sourceID=14","293000")</f>
        <v>293000</v>
      </c>
      <c r="G2893" s="4" t="str">
        <f>HYPERLINK("http://141.218.60.56/~jnz1568/getInfo.php?workbook=14_09.xlsx&amp;sheet=A0&amp;row=2893&amp;col=7&amp;number=0&amp;sourceID=14","0")</f>
        <v>0</v>
      </c>
    </row>
    <row r="2894" spans="1:7">
      <c r="A2894" s="3">
        <v>14</v>
      </c>
      <c r="B2894" s="3">
        <v>9</v>
      </c>
      <c r="C2894" s="3">
        <v>118</v>
      </c>
      <c r="D2894" s="3">
        <v>61</v>
      </c>
      <c r="E2894" s="3">
        <v>-1152.434</v>
      </c>
      <c r="F2894" s="4" t="str">
        <f>HYPERLINK("http://141.218.60.56/~jnz1568/getInfo.php?workbook=14_09.xlsx&amp;sheet=A0&amp;row=2894&amp;col=6&amp;number=760000&amp;sourceID=14","760000")</f>
        <v>760000</v>
      </c>
      <c r="G2894" s="4" t="str">
        <f>HYPERLINK("http://141.218.60.56/~jnz1568/getInfo.php?workbook=14_09.xlsx&amp;sheet=A0&amp;row=2894&amp;col=7&amp;number=0&amp;sourceID=14","0")</f>
        <v>0</v>
      </c>
    </row>
    <row r="2895" spans="1:7">
      <c r="A2895" s="3">
        <v>14</v>
      </c>
      <c r="B2895" s="3">
        <v>9</v>
      </c>
      <c r="C2895" s="3">
        <v>121</v>
      </c>
      <c r="D2895" s="3">
        <v>61</v>
      </c>
      <c r="E2895" s="3">
        <v>-1140.695</v>
      </c>
      <c r="F2895" s="4" t="str">
        <f>HYPERLINK("http://141.218.60.56/~jnz1568/getInfo.php?workbook=14_09.xlsx&amp;sheet=A0&amp;row=2895&amp;col=6&amp;number=3170000&amp;sourceID=14","3170000")</f>
        <v>3170000</v>
      </c>
      <c r="G2895" s="4" t="str">
        <f>HYPERLINK("http://141.218.60.56/~jnz1568/getInfo.php?workbook=14_09.xlsx&amp;sheet=A0&amp;row=2895&amp;col=7&amp;number=0&amp;sourceID=14","0")</f>
        <v>0</v>
      </c>
    </row>
    <row r="2896" spans="1:7">
      <c r="A2896" s="3">
        <v>14</v>
      </c>
      <c r="B2896" s="3">
        <v>9</v>
      </c>
      <c r="C2896" s="3">
        <v>123</v>
      </c>
      <c r="D2896" s="3">
        <v>61</v>
      </c>
      <c r="E2896" s="3">
        <v>-1125.001</v>
      </c>
      <c r="F2896" s="4" t="str">
        <f>HYPERLINK("http://141.218.60.56/~jnz1568/getInfo.php?workbook=14_09.xlsx&amp;sheet=A0&amp;row=2896&amp;col=6&amp;number=1010000&amp;sourceID=14","1010000")</f>
        <v>1010000</v>
      </c>
      <c r="G2896" s="4" t="str">
        <f>HYPERLINK("http://141.218.60.56/~jnz1568/getInfo.php?workbook=14_09.xlsx&amp;sheet=A0&amp;row=2896&amp;col=7&amp;number=0&amp;sourceID=14","0")</f>
        <v>0</v>
      </c>
    </row>
    <row r="2897" spans="1:7">
      <c r="A2897" s="3">
        <v>14</v>
      </c>
      <c r="B2897" s="3">
        <v>9</v>
      </c>
      <c r="C2897" s="3">
        <v>125</v>
      </c>
      <c r="D2897" s="3">
        <v>61</v>
      </c>
      <c r="E2897" s="3">
        <v>-1048.253</v>
      </c>
      <c r="F2897" s="4" t="str">
        <f>HYPERLINK("http://141.218.60.56/~jnz1568/getInfo.php?workbook=14_09.xlsx&amp;sheet=A0&amp;row=2897&amp;col=6&amp;number=332000&amp;sourceID=14","332000")</f>
        <v>332000</v>
      </c>
      <c r="G2897" s="4" t="str">
        <f>HYPERLINK("http://141.218.60.56/~jnz1568/getInfo.php?workbook=14_09.xlsx&amp;sheet=A0&amp;row=2897&amp;col=7&amp;number=0&amp;sourceID=14","0")</f>
        <v>0</v>
      </c>
    </row>
    <row r="2898" spans="1:7">
      <c r="A2898" s="3">
        <v>14</v>
      </c>
      <c r="B2898" s="3">
        <v>9</v>
      </c>
      <c r="C2898" s="3">
        <v>159</v>
      </c>
      <c r="D2898" s="3">
        <v>61</v>
      </c>
      <c r="E2898" s="3">
        <v>-657.952</v>
      </c>
      <c r="F2898" s="4" t="str">
        <f>HYPERLINK("http://141.218.60.56/~jnz1568/getInfo.php?workbook=14_09.xlsx&amp;sheet=A0&amp;row=2898&amp;col=6&amp;number=127000&amp;sourceID=14","127000")</f>
        <v>127000</v>
      </c>
      <c r="G2898" s="4" t="str">
        <f>HYPERLINK("http://141.218.60.56/~jnz1568/getInfo.php?workbook=14_09.xlsx&amp;sheet=A0&amp;row=2898&amp;col=7&amp;number=0&amp;sourceID=14","0")</f>
        <v>0</v>
      </c>
    </row>
    <row r="2899" spans="1:7">
      <c r="A2899" s="3">
        <v>14</v>
      </c>
      <c r="B2899" s="3">
        <v>9</v>
      </c>
      <c r="C2899" s="3">
        <v>165</v>
      </c>
      <c r="D2899" s="3">
        <v>61</v>
      </c>
      <c r="E2899" s="3">
        <v>-498.592</v>
      </c>
      <c r="F2899" s="4" t="str">
        <f>HYPERLINK("http://141.218.60.56/~jnz1568/getInfo.php?workbook=14_09.xlsx&amp;sheet=A0&amp;row=2899&amp;col=6&amp;number=311000&amp;sourceID=14","311000")</f>
        <v>311000</v>
      </c>
      <c r="G2899" s="4" t="str">
        <f>HYPERLINK("http://141.218.60.56/~jnz1568/getInfo.php?workbook=14_09.xlsx&amp;sheet=A0&amp;row=2899&amp;col=7&amp;number=0&amp;sourceID=14","0")</f>
        <v>0</v>
      </c>
    </row>
    <row r="2900" spans="1:7">
      <c r="A2900" s="3">
        <v>14</v>
      </c>
      <c r="B2900" s="3">
        <v>9</v>
      </c>
      <c r="C2900" s="3">
        <v>169</v>
      </c>
      <c r="D2900" s="3">
        <v>61</v>
      </c>
      <c r="E2900" s="3">
        <v>-430.532</v>
      </c>
      <c r="F2900" s="4" t="str">
        <f>HYPERLINK("http://141.218.60.56/~jnz1568/getInfo.php?workbook=14_09.xlsx&amp;sheet=A0&amp;row=2900&amp;col=6&amp;number=2480000&amp;sourceID=14","2480000")</f>
        <v>2480000</v>
      </c>
      <c r="G2900" s="4" t="str">
        <f>HYPERLINK("http://141.218.60.56/~jnz1568/getInfo.php?workbook=14_09.xlsx&amp;sheet=A0&amp;row=2900&amp;col=7&amp;number=0&amp;sourceID=14","0")</f>
        <v>0</v>
      </c>
    </row>
    <row r="2901" spans="1:7">
      <c r="A2901" s="3">
        <v>14</v>
      </c>
      <c r="B2901" s="3">
        <v>9</v>
      </c>
      <c r="C2901" s="3">
        <v>170</v>
      </c>
      <c r="D2901" s="3">
        <v>61</v>
      </c>
      <c r="E2901" s="3">
        <v>-427.794</v>
      </c>
      <c r="F2901" s="4" t="str">
        <f>HYPERLINK("http://141.218.60.56/~jnz1568/getInfo.php?workbook=14_09.xlsx&amp;sheet=A0&amp;row=2901&amp;col=6&amp;number=4880000&amp;sourceID=14","4880000")</f>
        <v>4880000</v>
      </c>
      <c r="G2901" s="4" t="str">
        <f>HYPERLINK("http://141.218.60.56/~jnz1568/getInfo.php?workbook=14_09.xlsx&amp;sheet=A0&amp;row=2901&amp;col=7&amp;number=0&amp;sourceID=14","0")</f>
        <v>0</v>
      </c>
    </row>
    <row r="2902" spans="1:7">
      <c r="A2902" s="3">
        <v>14</v>
      </c>
      <c r="B2902" s="3">
        <v>9</v>
      </c>
      <c r="C2902" s="3">
        <v>172</v>
      </c>
      <c r="D2902" s="3">
        <v>61</v>
      </c>
      <c r="E2902" s="3">
        <v>-421.027</v>
      </c>
      <c r="F2902" s="4" t="str">
        <f>HYPERLINK("http://141.218.60.56/~jnz1568/getInfo.php?workbook=14_09.xlsx&amp;sheet=A0&amp;row=2902&amp;col=6&amp;number=838000&amp;sourceID=14","838000")</f>
        <v>838000</v>
      </c>
      <c r="G2902" s="4" t="str">
        <f>HYPERLINK("http://141.218.60.56/~jnz1568/getInfo.php?workbook=14_09.xlsx&amp;sheet=A0&amp;row=2902&amp;col=7&amp;number=0&amp;sourceID=14","0")</f>
        <v>0</v>
      </c>
    </row>
    <row r="2903" spans="1:7">
      <c r="A2903" s="3">
        <v>14</v>
      </c>
      <c r="B2903" s="3">
        <v>9</v>
      </c>
      <c r="C2903" s="3">
        <v>175</v>
      </c>
      <c r="D2903" s="3">
        <v>61</v>
      </c>
      <c r="E2903" s="3">
        <v>-407.178</v>
      </c>
      <c r="F2903" s="4" t="str">
        <f>HYPERLINK("http://141.218.60.56/~jnz1568/getInfo.php?workbook=14_09.xlsx&amp;sheet=A0&amp;row=2903&amp;col=6&amp;number=15700000&amp;sourceID=14","15700000")</f>
        <v>15700000</v>
      </c>
      <c r="G2903" s="4" t="str">
        <f>HYPERLINK("http://141.218.60.56/~jnz1568/getInfo.php?workbook=14_09.xlsx&amp;sheet=A0&amp;row=2903&amp;col=7&amp;number=0&amp;sourceID=14","0")</f>
        <v>0</v>
      </c>
    </row>
    <row r="2904" spans="1:7">
      <c r="A2904" s="3">
        <v>14</v>
      </c>
      <c r="B2904" s="3">
        <v>9</v>
      </c>
      <c r="C2904" s="3">
        <v>176</v>
      </c>
      <c r="D2904" s="3">
        <v>61</v>
      </c>
      <c r="E2904" s="3">
        <v>-404.01</v>
      </c>
      <c r="F2904" s="4" t="str">
        <f>HYPERLINK("http://141.218.60.56/~jnz1568/getInfo.php?workbook=14_09.xlsx&amp;sheet=A0&amp;row=2904&amp;col=6&amp;number=7410000&amp;sourceID=14","7410000")</f>
        <v>7410000</v>
      </c>
      <c r="G2904" s="4" t="str">
        <f>HYPERLINK("http://141.218.60.56/~jnz1568/getInfo.php?workbook=14_09.xlsx&amp;sheet=A0&amp;row=2904&amp;col=7&amp;number=0&amp;sourceID=14","0")</f>
        <v>0</v>
      </c>
    </row>
    <row r="2905" spans="1:7">
      <c r="A2905" s="3">
        <v>14</v>
      </c>
      <c r="B2905" s="3">
        <v>9</v>
      </c>
      <c r="C2905" s="3">
        <v>177</v>
      </c>
      <c r="D2905" s="3">
        <v>61</v>
      </c>
      <c r="E2905" s="3">
        <v>-403.735</v>
      </c>
      <c r="F2905" s="4" t="str">
        <f>HYPERLINK("http://141.218.60.56/~jnz1568/getInfo.php?workbook=14_09.xlsx&amp;sheet=A0&amp;row=2905&amp;col=6&amp;number=15800000&amp;sourceID=14","15800000")</f>
        <v>15800000</v>
      </c>
      <c r="G2905" s="4" t="str">
        <f>HYPERLINK("http://141.218.60.56/~jnz1568/getInfo.php?workbook=14_09.xlsx&amp;sheet=A0&amp;row=2905&amp;col=7&amp;number=0&amp;sourceID=14","0")</f>
        <v>0</v>
      </c>
    </row>
    <row r="2906" spans="1:7">
      <c r="A2906" s="3">
        <v>14</v>
      </c>
      <c r="B2906" s="3">
        <v>9</v>
      </c>
      <c r="C2906" s="3">
        <v>179</v>
      </c>
      <c r="D2906" s="3">
        <v>61</v>
      </c>
      <c r="E2906" s="3">
        <v>-403.404</v>
      </c>
      <c r="F2906" s="4" t="str">
        <f>HYPERLINK("http://141.218.60.56/~jnz1568/getInfo.php?workbook=14_09.xlsx&amp;sheet=A0&amp;row=2906&amp;col=6&amp;number=1250000&amp;sourceID=14","1250000")</f>
        <v>1250000</v>
      </c>
      <c r="G2906" s="4" t="str">
        <f>HYPERLINK("http://141.218.60.56/~jnz1568/getInfo.php?workbook=14_09.xlsx&amp;sheet=A0&amp;row=2906&amp;col=7&amp;number=0&amp;sourceID=14","0")</f>
        <v>0</v>
      </c>
    </row>
    <row r="2907" spans="1:7">
      <c r="A2907" s="3">
        <v>14</v>
      </c>
      <c r="B2907" s="3">
        <v>9</v>
      </c>
      <c r="C2907" s="3">
        <v>180</v>
      </c>
      <c r="D2907" s="3">
        <v>61</v>
      </c>
      <c r="E2907" s="3">
        <v>-401.602</v>
      </c>
      <c r="F2907" s="4" t="str">
        <f>HYPERLINK("http://141.218.60.56/~jnz1568/getInfo.php?workbook=14_09.xlsx&amp;sheet=A0&amp;row=2907&amp;col=6&amp;number=492000&amp;sourceID=14","492000")</f>
        <v>492000</v>
      </c>
      <c r="G2907" s="4" t="str">
        <f>HYPERLINK("http://141.218.60.56/~jnz1568/getInfo.php?workbook=14_09.xlsx&amp;sheet=A0&amp;row=2907&amp;col=7&amp;number=0&amp;sourceID=14","0")</f>
        <v>0</v>
      </c>
    </row>
    <row r="2908" spans="1:7">
      <c r="A2908" s="3">
        <v>14</v>
      </c>
      <c r="B2908" s="3">
        <v>9</v>
      </c>
      <c r="C2908" s="3">
        <v>66</v>
      </c>
      <c r="D2908" s="3">
        <v>62</v>
      </c>
      <c r="E2908" s="3">
        <v>-4338.026</v>
      </c>
      <c r="F2908" s="4" t="str">
        <f>HYPERLINK("http://141.218.60.56/~jnz1568/getInfo.php?workbook=14_09.xlsx&amp;sheet=A0&amp;row=2908&amp;col=6&amp;number=11000000&amp;sourceID=14","11000000")</f>
        <v>11000000</v>
      </c>
      <c r="G2908" s="4" t="str">
        <f>HYPERLINK("http://141.218.60.56/~jnz1568/getInfo.php?workbook=14_09.xlsx&amp;sheet=A0&amp;row=2908&amp;col=7&amp;number=0&amp;sourceID=14","0")</f>
        <v>0</v>
      </c>
    </row>
    <row r="2909" spans="1:7">
      <c r="A2909" s="3">
        <v>14</v>
      </c>
      <c r="B2909" s="3">
        <v>9</v>
      </c>
      <c r="C2909" s="3">
        <v>67</v>
      </c>
      <c r="D2909" s="3">
        <v>62</v>
      </c>
      <c r="E2909" s="3">
        <v>-4072</v>
      </c>
      <c r="F2909" s="4" t="str">
        <f>HYPERLINK("http://141.218.60.56/~jnz1568/getInfo.php?workbook=14_09.xlsx&amp;sheet=A0&amp;row=2909&amp;col=6&amp;number=10300000&amp;sourceID=14","10300000")</f>
        <v>10300000</v>
      </c>
      <c r="G2909" s="4" t="str">
        <f>HYPERLINK("http://141.218.60.56/~jnz1568/getInfo.php?workbook=14_09.xlsx&amp;sheet=A0&amp;row=2909&amp;col=7&amp;number=0&amp;sourceID=14","0")</f>
        <v>0</v>
      </c>
    </row>
    <row r="2910" spans="1:7">
      <c r="A2910" s="3">
        <v>14</v>
      </c>
      <c r="B2910" s="3">
        <v>9</v>
      </c>
      <c r="C2910" s="3">
        <v>68</v>
      </c>
      <c r="D2910" s="3">
        <v>62</v>
      </c>
      <c r="E2910" s="3">
        <v>-3842.319</v>
      </c>
      <c r="F2910" s="4" t="str">
        <f>HYPERLINK("http://141.218.60.56/~jnz1568/getInfo.php?workbook=14_09.xlsx&amp;sheet=A0&amp;row=2910&amp;col=6&amp;number=82400000&amp;sourceID=14","82400000")</f>
        <v>82400000</v>
      </c>
      <c r="G2910" s="4" t="str">
        <f>HYPERLINK("http://141.218.60.56/~jnz1568/getInfo.php?workbook=14_09.xlsx&amp;sheet=A0&amp;row=2910&amp;col=7&amp;number=0&amp;sourceID=14","0")</f>
        <v>0</v>
      </c>
    </row>
    <row r="2911" spans="1:7">
      <c r="A2911" s="3">
        <v>14</v>
      </c>
      <c r="B2911" s="3">
        <v>9</v>
      </c>
      <c r="C2911" s="3">
        <v>70</v>
      </c>
      <c r="D2911" s="3">
        <v>62</v>
      </c>
      <c r="E2911" s="3">
        <v>-3177.03</v>
      </c>
      <c r="F2911" s="4" t="str">
        <f>HYPERLINK("http://141.218.60.56/~jnz1568/getInfo.php?workbook=14_09.xlsx&amp;sheet=A0&amp;row=2911&amp;col=6&amp;number=159000000&amp;sourceID=14","159000000")</f>
        <v>159000000</v>
      </c>
      <c r="G2911" s="4" t="str">
        <f>HYPERLINK("http://141.218.60.56/~jnz1568/getInfo.php?workbook=14_09.xlsx&amp;sheet=A0&amp;row=2911&amp;col=7&amp;number=0&amp;sourceID=14","0")</f>
        <v>0</v>
      </c>
    </row>
    <row r="2912" spans="1:7">
      <c r="A2912" s="3">
        <v>14</v>
      </c>
      <c r="B2912" s="3">
        <v>9</v>
      </c>
      <c r="C2912" s="3">
        <v>71</v>
      </c>
      <c r="D2912" s="3">
        <v>62</v>
      </c>
      <c r="E2912" s="3">
        <v>-2980.276</v>
      </c>
      <c r="F2912" s="4" t="str">
        <f>HYPERLINK("http://141.218.60.56/~jnz1568/getInfo.php?workbook=14_09.xlsx&amp;sheet=A0&amp;row=2912&amp;col=6&amp;number=122000000&amp;sourceID=14","122000000")</f>
        <v>122000000</v>
      </c>
      <c r="G2912" s="4" t="str">
        <f>HYPERLINK("http://141.218.60.56/~jnz1568/getInfo.php?workbook=14_09.xlsx&amp;sheet=A0&amp;row=2912&amp;col=7&amp;number=0&amp;sourceID=14","0")</f>
        <v>0</v>
      </c>
    </row>
    <row r="2913" spans="1:7">
      <c r="A2913" s="3">
        <v>14</v>
      </c>
      <c r="B2913" s="3">
        <v>9</v>
      </c>
      <c r="C2913" s="3">
        <v>72</v>
      </c>
      <c r="D2913" s="3">
        <v>62</v>
      </c>
      <c r="E2913" s="3">
        <v>-2913.334</v>
      </c>
      <c r="F2913" s="4" t="str">
        <f>HYPERLINK("http://141.218.60.56/~jnz1568/getInfo.php?workbook=14_09.xlsx&amp;sheet=A0&amp;row=2913&amp;col=6&amp;number=6480000&amp;sourceID=14","6480000")</f>
        <v>6480000</v>
      </c>
      <c r="G2913" s="4" t="str">
        <f>HYPERLINK("http://141.218.60.56/~jnz1568/getInfo.php?workbook=14_09.xlsx&amp;sheet=A0&amp;row=2913&amp;col=7&amp;number=0&amp;sourceID=14","0")</f>
        <v>0</v>
      </c>
    </row>
    <row r="2914" spans="1:7">
      <c r="A2914" s="3">
        <v>14</v>
      </c>
      <c r="B2914" s="3">
        <v>9</v>
      </c>
      <c r="C2914" s="3">
        <v>73</v>
      </c>
      <c r="D2914" s="3">
        <v>62</v>
      </c>
      <c r="E2914" s="3">
        <v>-2883.678</v>
      </c>
      <c r="F2914" s="4" t="str">
        <f>HYPERLINK("http://141.218.60.56/~jnz1568/getInfo.php?workbook=14_09.xlsx&amp;sheet=A0&amp;row=2914&amp;col=6&amp;number=34100000&amp;sourceID=14","34100000")</f>
        <v>34100000</v>
      </c>
      <c r="G2914" s="4" t="str">
        <f>HYPERLINK("http://141.218.60.56/~jnz1568/getInfo.php?workbook=14_09.xlsx&amp;sheet=A0&amp;row=2914&amp;col=7&amp;number=0&amp;sourceID=14","0")</f>
        <v>0</v>
      </c>
    </row>
    <row r="2915" spans="1:7">
      <c r="A2915" s="3">
        <v>14</v>
      </c>
      <c r="B2915" s="3">
        <v>9</v>
      </c>
      <c r="C2915" s="3">
        <v>74</v>
      </c>
      <c r="D2915" s="3">
        <v>62</v>
      </c>
      <c r="E2915" s="3">
        <v>-2786.452</v>
      </c>
      <c r="F2915" s="4" t="str">
        <f>HYPERLINK("http://141.218.60.56/~jnz1568/getInfo.php?workbook=14_09.xlsx&amp;sheet=A0&amp;row=2915&amp;col=6&amp;number=17900000&amp;sourceID=14","17900000")</f>
        <v>17900000</v>
      </c>
      <c r="G2915" s="4" t="str">
        <f>HYPERLINK("http://141.218.60.56/~jnz1568/getInfo.php?workbook=14_09.xlsx&amp;sheet=A0&amp;row=2915&amp;col=7&amp;number=0&amp;sourceID=14","0")</f>
        <v>0</v>
      </c>
    </row>
    <row r="2916" spans="1:7">
      <c r="A2916" s="3">
        <v>14</v>
      </c>
      <c r="B2916" s="3">
        <v>9</v>
      </c>
      <c r="C2916" s="3">
        <v>75</v>
      </c>
      <c r="D2916" s="3">
        <v>62</v>
      </c>
      <c r="E2916" s="3">
        <v>-2743.866</v>
      </c>
      <c r="F2916" s="4" t="str">
        <f>HYPERLINK("http://141.218.60.56/~jnz1568/getInfo.php?workbook=14_09.xlsx&amp;sheet=A0&amp;row=2916&amp;col=6&amp;number=78500000&amp;sourceID=14","78500000")</f>
        <v>78500000</v>
      </c>
      <c r="G2916" s="4" t="str">
        <f>HYPERLINK("http://141.218.60.56/~jnz1568/getInfo.php?workbook=14_09.xlsx&amp;sheet=A0&amp;row=2916&amp;col=7&amp;number=0&amp;sourceID=14","0")</f>
        <v>0</v>
      </c>
    </row>
    <row r="2917" spans="1:7">
      <c r="A2917" s="3">
        <v>14</v>
      </c>
      <c r="B2917" s="3">
        <v>9</v>
      </c>
      <c r="C2917" s="3">
        <v>76</v>
      </c>
      <c r="D2917" s="3">
        <v>62</v>
      </c>
      <c r="E2917" s="3">
        <v>-2722.501</v>
      </c>
      <c r="F2917" s="4" t="str">
        <f>HYPERLINK("http://141.218.60.56/~jnz1568/getInfo.php?workbook=14_09.xlsx&amp;sheet=A0&amp;row=2917&amp;col=6&amp;number=5150000&amp;sourceID=14","5150000")</f>
        <v>5150000</v>
      </c>
      <c r="G2917" s="4" t="str">
        <f>HYPERLINK("http://141.218.60.56/~jnz1568/getInfo.php?workbook=14_09.xlsx&amp;sheet=A0&amp;row=2917&amp;col=7&amp;number=0&amp;sourceID=14","0")</f>
        <v>0</v>
      </c>
    </row>
    <row r="2918" spans="1:7">
      <c r="A2918" s="3">
        <v>14</v>
      </c>
      <c r="B2918" s="3">
        <v>9</v>
      </c>
      <c r="C2918" s="3">
        <v>77</v>
      </c>
      <c r="D2918" s="3">
        <v>62</v>
      </c>
      <c r="E2918" s="3">
        <v>-2280.922</v>
      </c>
      <c r="F2918" s="4" t="str">
        <f>HYPERLINK("http://141.218.60.56/~jnz1568/getInfo.php?workbook=14_09.xlsx&amp;sheet=A0&amp;row=2918&amp;col=6&amp;number=44700000&amp;sourceID=14","44700000")</f>
        <v>44700000</v>
      </c>
      <c r="G2918" s="4" t="str">
        <f>HYPERLINK("http://141.218.60.56/~jnz1568/getInfo.php?workbook=14_09.xlsx&amp;sheet=A0&amp;row=2918&amp;col=7&amp;number=0&amp;sourceID=14","0")</f>
        <v>0</v>
      </c>
    </row>
    <row r="2919" spans="1:7">
      <c r="A2919" s="3">
        <v>14</v>
      </c>
      <c r="B2919" s="3">
        <v>9</v>
      </c>
      <c r="C2919" s="3">
        <v>78</v>
      </c>
      <c r="D2919" s="3">
        <v>62</v>
      </c>
      <c r="E2919" s="3">
        <v>-2236.34</v>
      </c>
      <c r="F2919" s="4" t="str">
        <f>HYPERLINK("http://141.218.60.56/~jnz1568/getInfo.php?workbook=14_09.xlsx&amp;sheet=A0&amp;row=2919&amp;col=6&amp;number=9310000&amp;sourceID=14","9310000")</f>
        <v>9310000</v>
      </c>
      <c r="G2919" s="4" t="str">
        <f>HYPERLINK("http://141.218.60.56/~jnz1568/getInfo.php?workbook=14_09.xlsx&amp;sheet=A0&amp;row=2919&amp;col=7&amp;number=0&amp;sourceID=14","0")</f>
        <v>0</v>
      </c>
    </row>
    <row r="2920" spans="1:7">
      <c r="A2920" s="3">
        <v>14</v>
      </c>
      <c r="B2920" s="3">
        <v>9</v>
      </c>
      <c r="C2920" s="3">
        <v>81</v>
      </c>
      <c r="D2920" s="3">
        <v>62</v>
      </c>
      <c r="E2920" s="3">
        <v>-2065.266</v>
      </c>
      <c r="F2920" s="4" t="str">
        <f>HYPERLINK("http://141.218.60.56/~jnz1568/getInfo.php?workbook=14_09.xlsx&amp;sheet=A0&amp;row=2920&amp;col=6&amp;number=39800000&amp;sourceID=14","39800000")</f>
        <v>39800000</v>
      </c>
      <c r="G2920" s="4" t="str">
        <f>HYPERLINK("http://141.218.60.56/~jnz1568/getInfo.php?workbook=14_09.xlsx&amp;sheet=A0&amp;row=2920&amp;col=7&amp;number=0&amp;sourceID=14","0")</f>
        <v>0</v>
      </c>
    </row>
    <row r="2921" spans="1:7">
      <c r="A2921" s="3">
        <v>14</v>
      </c>
      <c r="B2921" s="3">
        <v>9</v>
      </c>
      <c r="C2921" s="3">
        <v>82</v>
      </c>
      <c r="D2921" s="3">
        <v>62</v>
      </c>
      <c r="E2921" s="3">
        <v>-1954.274</v>
      </c>
      <c r="F2921" s="4" t="str">
        <f>HYPERLINK("http://141.218.60.56/~jnz1568/getInfo.php?workbook=14_09.xlsx&amp;sheet=A0&amp;row=2921&amp;col=6&amp;number=11300000&amp;sourceID=14","11300000")</f>
        <v>11300000</v>
      </c>
      <c r="G2921" s="4" t="str">
        <f>HYPERLINK("http://141.218.60.56/~jnz1568/getInfo.php?workbook=14_09.xlsx&amp;sheet=A0&amp;row=2921&amp;col=7&amp;number=0&amp;sourceID=14","0")</f>
        <v>0</v>
      </c>
    </row>
    <row r="2922" spans="1:7">
      <c r="A2922" s="3">
        <v>14</v>
      </c>
      <c r="B2922" s="3">
        <v>9</v>
      </c>
      <c r="C2922" s="3">
        <v>83</v>
      </c>
      <c r="D2922" s="3">
        <v>62</v>
      </c>
      <c r="E2922" s="3">
        <v>-1892.688</v>
      </c>
      <c r="F2922" s="4" t="str">
        <f>HYPERLINK("http://141.218.60.56/~jnz1568/getInfo.php?workbook=14_09.xlsx&amp;sheet=A0&amp;row=2922&amp;col=6&amp;number=83600000&amp;sourceID=14","83600000")</f>
        <v>83600000</v>
      </c>
      <c r="G2922" s="4" t="str">
        <f>HYPERLINK("http://141.218.60.56/~jnz1568/getInfo.php?workbook=14_09.xlsx&amp;sheet=A0&amp;row=2922&amp;col=7&amp;number=0&amp;sourceID=14","0")</f>
        <v>0</v>
      </c>
    </row>
    <row r="2923" spans="1:7">
      <c r="A2923" s="3">
        <v>14</v>
      </c>
      <c r="B2923" s="3">
        <v>9</v>
      </c>
      <c r="C2923" s="3">
        <v>106</v>
      </c>
      <c r="D2923" s="3">
        <v>62</v>
      </c>
      <c r="E2923" s="3">
        <v>-1251.316</v>
      </c>
      <c r="F2923" s="4" t="str">
        <f>HYPERLINK("http://141.218.60.56/~jnz1568/getInfo.php?workbook=14_09.xlsx&amp;sheet=A0&amp;row=2923&amp;col=6&amp;number=773000&amp;sourceID=14","773000")</f>
        <v>773000</v>
      </c>
      <c r="G2923" s="4" t="str">
        <f>HYPERLINK("http://141.218.60.56/~jnz1568/getInfo.php?workbook=14_09.xlsx&amp;sheet=A0&amp;row=2923&amp;col=7&amp;number=0&amp;sourceID=14","0")</f>
        <v>0</v>
      </c>
    </row>
    <row r="2924" spans="1:7">
      <c r="A2924" s="3">
        <v>14</v>
      </c>
      <c r="B2924" s="3">
        <v>9</v>
      </c>
      <c r="C2924" s="3">
        <v>108</v>
      </c>
      <c r="D2924" s="3">
        <v>62</v>
      </c>
      <c r="E2924" s="3">
        <v>-1244.898</v>
      </c>
      <c r="F2924" s="4" t="str">
        <f>HYPERLINK("http://141.218.60.56/~jnz1568/getInfo.php?workbook=14_09.xlsx&amp;sheet=A0&amp;row=2924&amp;col=6&amp;number=789000&amp;sourceID=14","789000")</f>
        <v>789000</v>
      </c>
      <c r="G2924" s="4" t="str">
        <f>HYPERLINK("http://141.218.60.56/~jnz1568/getInfo.php?workbook=14_09.xlsx&amp;sheet=A0&amp;row=2924&amp;col=7&amp;number=0&amp;sourceID=14","0")</f>
        <v>0</v>
      </c>
    </row>
    <row r="2925" spans="1:7">
      <c r="A2925" s="3">
        <v>14</v>
      </c>
      <c r="B2925" s="3">
        <v>9</v>
      </c>
      <c r="C2925" s="3">
        <v>112</v>
      </c>
      <c r="D2925" s="3">
        <v>62</v>
      </c>
      <c r="E2925" s="3">
        <v>-1230.287</v>
      </c>
      <c r="F2925" s="4" t="str">
        <f>HYPERLINK("http://141.218.60.56/~jnz1568/getInfo.php?workbook=14_09.xlsx&amp;sheet=A0&amp;row=2925&amp;col=6&amp;number=589000&amp;sourceID=14","589000")</f>
        <v>589000</v>
      </c>
      <c r="G2925" s="4" t="str">
        <f>HYPERLINK("http://141.218.60.56/~jnz1568/getInfo.php?workbook=14_09.xlsx&amp;sheet=A0&amp;row=2925&amp;col=7&amp;number=0&amp;sourceID=14","0")</f>
        <v>0</v>
      </c>
    </row>
    <row r="2926" spans="1:7">
      <c r="A2926" s="3">
        <v>14</v>
      </c>
      <c r="B2926" s="3">
        <v>9</v>
      </c>
      <c r="C2926" s="3">
        <v>115</v>
      </c>
      <c r="D2926" s="3">
        <v>62</v>
      </c>
      <c r="E2926" s="3">
        <v>-1228.021</v>
      </c>
      <c r="F2926" s="4" t="str">
        <f>HYPERLINK("http://141.218.60.56/~jnz1568/getInfo.php?workbook=14_09.xlsx&amp;sheet=A0&amp;row=2926&amp;col=6&amp;number=282000&amp;sourceID=14","282000")</f>
        <v>282000</v>
      </c>
      <c r="G2926" s="4" t="str">
        <f>HYPERLINK("http://141.218.60.56/~jnz1568/getInfo.php?workbook=14_09.xlsx&amp;sheet=A0&amp;row=2926&amp;col=7&amp;number=0&amp;sourceID=14","0")</f>
        <v>0</v>
      </c>
    </row>
    <row r="2927" spans="1:7">
      <c r="A2927" s="3">
        <v>14</v>
      </c>
      <c r="B2927" s="3">
        <v>9</v>
      </c>
      <c r="C2927" s="3">
        <v>116</v>
      </c>
      <c r="D2927" s="3">
        <v>62</v>
      </c>
      <c r="E2927" s="3">
        <v>-1227.599</v>
      </c>
      <c r="F2927" s="4" t="str">
        <f>HYPERLINK("http://141.218.60.56/~jnz1568/getInfo.php?workbook=14_09.xlsx&amp;sheet=A0&amp;row=2927&amp;col=6&amp;number=399000&amp;sourceID=14","399000")</f>
        <v>399000</v>
      </c>
      <c r="G2927" s="4" t="str">
        <f>HYPERLINK("http://141.218.60.56/~jnz1568/getInfo.php?workbook=14_09.xlsx&amp;sheet=A0&amp;row=2927&amp;col=7&amp;number=0&amp;sourceID=14","0")</f>
        <v>0</v>
      </c>
    </row>
    <row r="2928" spans="1:7">
      <c r="A2928" s="3">
        <v>14</v>
      </c>
      <c r="B2928" s="3">
        <v>9</v>
      </c>
      <c r="C2928" s="3">
        <v>117</v>
      </c>
      <c r="D2928" s="3">
        <v>62</v>
      </c>
      <c r="E2928" s="3">
        <v>-1188.187</v>
      </c>
      <c r="F2928" s="4" t="str">
        <f>HYPERLINK("http://141.218.60.56/~jnz1568/getInfo.php?workbook=14_09.xlsx&amp;sheet=A0&amp;row=2928&amp;col=6&amp;number=1140000&amp;sourceID=14","1140000")</f>
        <v>1140000</v>
      </c>
      <c r="G2928" s="4" t="str">
        <f>HYPERLINK("http://141.218.60.56/~jnz1568/getInfo.php?workbook=14_09.xlsx&amp;sheet=A0&amp;row=2928&amp;col=7&amp;number=0&amp;sourceID=14","0")</f>
        <v>0</v>
      </c>
    </row>
    <row r="2929" spans="1:7">
      <c r="A2929" s="3">
        <v>14</v>
      </c>
      <c r="B2929" s="3">
        <v>9</v>
      </c>
      <c r="C2929" s="3">
        <v>118</v>
      </c>
      <c r="D2929" s="3">
        <v>62</v>
      </c>
      <c r="E2929" s="3">
        <v>-1187.143</v>
      </c>
      <c r="F2929" s="4" t="str">
        <f>HYPERLINK("http://141.218.60.56/~jnz1568/getInfo.php?workbook=14_09.xlsx&amp;sheet=A0&amp;row=2929&amp;col=6&amp;number=721000&amp;sourceID=14","721000")</f>
        <v>721000</v>
      </c>
      <c r="G2929" s="4" t="str">
        <f>HYPERLINK("http://141.218.60.56/~jnz1568/getInfo.php?workbook=14_09.xlsx&amp;sheet=A0&amp;row=2929&amp;col=7&amp;number=0&amp;sourceID=14","0")</f>
        <v>0</v>
      </c>
    </row>
    <row r="2930" spans="1:7">
      <c r="A2930" s="3">
        <v>14</v>
      </c>
      <c r="B2930" s="3">
        <v>9</v>
      </c>
      <c r="C2930" s="3">
        <v>122</v>
      </c>
      <c r="D2930" s="3">
        <v>62</v>
      </c>
      <c r="E2930" s="3">
        <v>-1173.119</v>
      </c>
      <c r="F2930" s="4" t="str">
        <f>HYPERLINK("http://141.218.60.56/~jnz1568/getInfo.php?workbook=14_09.xlsx&amp;sheet=A0&amp;row=2930&amp;col=6&amp;number=1900000&amp;sourceID=14","1900000")</f>
        <v>1900000</v>
      </c>
      <c r="G2930" s="4" t="str">
        <f>HYPERLINK("http://141.218.60.56/~jnz1568/getInfo.php?workbook=14_09.xlsx&amp;sheet=A0&amp;row=2930&amp;col=7&amp;number=0&amp;sourceID=14","0")</f>
        <v>0</v>
      </c>
    </row>
    <row r="2931" spans="1:7">
      <c r="A2931" s="3">
        <v>14</v>
      </c>
      <c r="B2931" s="3">
        <v>9</v>
      </c>
      <c r="C2931" s="3">
        <v>124</v>
      </c>
      <c r="D2931" s="3">
        <v>62</v>
      </c>
      <c r="E2931" s="3">
        <v>-1157.798</v>
      </c>
      <c r="F2931" s="4" t="str">
        <f>HYPERLINK("http://141.218.60.56/~jnz1568/getInfo.php?workbook=14_09.xlsx&amp;sheet=A0&amp;row=2931&amp;col=6&amp;number=968000&amp;sourceID=14","968000")</f>
        <v>968000</v>
      </c>
      <c r="G2931" s="4" t="str">
        <f>HYPERLINK("http://141.218.60.56/~jnz1568/getInfo.php?workbook=14_09.xlsx&amp;sheet=A0&amp;row=2931&amp;col=7&amp;number=0&amp;sourceID=14","0")</f>
        <v>0</v>
      </c>
    </row>
    <row r="2932" spans="1:7">
      <c r="A2932" s="3">
        <v>14</v>
      </c>
      <c r="B2932" s="3">
        <v>9</v>
      </c>
      <c r="C2932" s="3">
        <v>125</v>
      </c>
      <c r="D2932" s="3">
        <v>62</v>
      </c>
      <c r="E2932" s="3">
        <v>-1076.892</v>
      </c>
      <c r="F2932" s="4" t="str">
        <f>HYPERLINK("http://141.218.60.56/~jnz1568/getInfo.php?workbook=14_09.xlsx&amp;sheet=A0&amp;row=2932&amp;col=6&amp;number=60300000&amp;sourceID=14","60300000")</f>
        <v>60300000</v>
      </c>
      <c r="G2932" s="4" t="str">
        <f>HYPERLINK("http://141.218.60.56/~jnz1568/getInfo.php?workbook=14_09.xlsx&amp;sheet=A0&amp;row=2932&amp;col=7&amp;number=0&amp;sourceID=14","0")</f>
        <v>0</v>
      </c>
    </row>
    <row r="2933" spans="1:7">
      <c r="A2933" s="3">
        <v>14</v>
      </c>
      <c r="B2933" s="3">
        <v>9</v>
      </c>
      <c r="C2933" s="3">
        <v>126</v>
      </c>
      <c r="D2933" s="3">
        <v>62</v>
      </c>
      <c r="E2933" s="3">
        <v>-1053.543</v>
      </c>
      <c r="F2933" s="4" t="str">
        <f>HYPERLINK("http://141.218.60.56/~jnz1568/getInfo.php?workbook=14_09.xlsx&amp;sheet=A0&amp;row=2933&amp;col=6&amp;number=18000000&amp;sourceID=14","18000000")</f>
        <v>18000000</v>
      </c>
      <c r="G2933" s="4" t="str">
        <f>HYPERLINK("http://141.218.60.56/~jnz1568/getInfo.php?workbook=14_09.xlsx&amp;sheet=A0&amp;row=2933&amp;col=7&amp;number=0&amp;sourceID=14","0")</f>
        <v>0</v>
      </c>
    </row>
    <row r="2934" spans="1:7">
      <c r="A2934" s="3">
        <v>14</v>
      </c>
      <c r="B2934" s="3">
        <v>9</v>
      </c>
      <c r="C2934" s="3">
        <v>141</v>
      </c>
      <c r="D2934" s="3">
        <v>62</v>
      </c>
      <c r="E2934" s="3">
        <v>-779.577</v>
      </c>
      <c r="F2934" s="4" t="str">
        <f>HYPERLINK("http://141.218.60.56/~jnz1568/getInfo.php?workbook=14_09.xlsx&amp;sheet=A0&amp;row=2934&amp;col=6&amp;number=295000&amp;sourceID=14","295000")</f>
        <v>295000</v>
      </c>
      <c r="G2934" s="4" t="str">
        <f>HYPERLINK("http://141.218.60.56/~jnz1568/getInfo.php?workbook=14_09.xlsx&amp;sheet=A0&amp;row=2934&amp;col=7&amp;number=0&amp;sourceID=14","0")</f>
        <v>0</v>
      </c>
    </row>
    <row r="2935" spans="1:7">
      <c r="A2935" s="3">
        <v>14</v>
      </c>
      <c r="B2935" s="3">
        <v>9</v>
      </c>
      <c r="C2935" s="3">
        <v>159</v>
      </c>
      <c r="D2935" s="3">
        <v>62</v>
      </c>
      <c r="E2935" s="3">
        <v>-669.121</v>
      </c>
      <c r="F2935" s="4" t="str">
        <f>HYPERLINK("http://141.218.60.56/~jnz1568/getInfo.php?workbook=14_09.xlsx&amp;sheet=A0&amp;row=2935&amp;col=6&amp;number=5990000&amp;sourceID=14","5990000")</f>
        <v>5990000</v>
      </c>
      <c r="G2935" s="4" t="str">
        <f>HYPERLINK("http://141.218.60.56/~jnz1568/getInfo.php?workbook=14_09.xlsx&amp;sheet=A0&amp;row=2935&amp;col=7&amp;number=0&amp;sourceID=14","0")</f>
        <v>0</v>
      </c>
    </row>
    <row r="2936" spans="1:7">
      <c r="A2936" s="3">
        <v>14</v>
      </c>
      <c r="B2936" s="3">
        <v>9</v>
      </c>
      <c r="C2936" s="3">
        <v>160</v>
      </c>
      <c r="D2936" s="3">
        <v>62</v>
      </c>
      <c r="E2936" s="3">
        <v>-668.562</v>
      </c>
      <c r="F2936" s="4" t="str">
        <f>HYPERLINK("http://141.218.60.56/~jnz1568/getInfo.php?workbook=14_09.xlsx&amp;sheet=A0&amp;row=2936&amp;col=6&amp;number=2120000&amp;sourceID=14","2120000")</f>
        <v>2120000</v>
      </c>
      <c r="G2936" s="4" t="str">
        <f>HYPERLINK("http://141.218.60.56/~jnz1568/getInfo.php?workbook=14_09.xlsx&amp;sheet=A0&amp;row=2936&amp;col=7&amp;number=0&amp;sourceID=14","0")</f>
        <v>0</v>
      </c>
    </row>
    <row r="2937" spans="1:7">
      <c r="A2937" s="3">
        <v>14</v>
      </c>
      <c r="B2937" s="3">
        <v>9</v>
      </c>
      <c r="C2937" s="3">
        <v>166</v>
      </c>
      <c r="D2937" s="3">
        <v>62</v>
      </c>
      <c r="E2937" s="3">
        <v>-483.707</v>
      </c>
      <c r="F2937" s="4" t="str">
        <f>HYPERLINK("http://141.218.60.56/~jnz1568/getInfo.php?workbook=14_09.xlsx&amp;sheet=A0&amp;row=2937&amp;col=6&amp;number=8160000&amp;sourceID=14","8160000")</f>
        <v>8160000</v>
      </c>
      <c r="G2937" s="4" t="str">
        <f>HYPERLINK("http://141.218.60.56/~jnz1568/getInfo.php?workbook=14_09.xlsx&amp;sheet=A0&amp;row=2937&amp;col=7&amp;number=0&amp;sourceID=14","0")</f>
        <v>0</v>
      </c>
    </row>
    <row r="2938" spans="1:7">
      <c r="A2938" s="3">
        <v>14</v>
      </c>
      <c r="B2938" s="3">
        <v>9</v>
      </c>
      <c r="C2938" s="3">
        <v>167</v>
      </c>
      <c r="D2938" s="3">
        <v>62</v>
      </c>
      <c r="E2938" s="3">
        <v>-483.373</v>
      </c>
      <c r="F2938" s="4" t="str">
        <f>HYPERLINK("http://141.218.60.56/~jnz1568/getInfo.php?workbook=14_09.xlsx&amp;sheet=A0&amp;row=2938&amp;col=6&amp;number=3890000&amp;sourceID=14","3890000")</f>
        <v>3890000</v>
      </c>
      <c r="G2938" s="4" t="str">
        <f>HYPERLINK("http://141.218.60.56/~jnz1568/getInfo.php?workbook=14_09.xlsx&amp;sheet=A0&amp;row=2938&amp;col=7&amp;number=0&amp;sourceID=14","0")</f>
        <v>0</v>
      </c>
    </row>
    <row r="2939" spans="1:7">
      <c r="A2939" s="3">
        <v>14</v>
      </c>
      <c r="B2939" s="3">
        <v>9</v>
      </c>
      <c r="C2939" s="3">
        <v>168</v>
      </c>
      <c r="D2939" s="3">
        <v>62</v>
      </c>
      <c r="E2939" s="3">
        <v>-436.856</v>
      </c>
      <c r="F2939" s="4" t="str">
        <f>HYPERLINK("http://141.218.60.56/~jnz1568/getInfo.php?workbook=14_09.xlsx&amp;sheet=A0&amp;row=2939&amp;col=6&amp;number=3820000&amp;sourceID=14","3820000")</f>
        <v>3820000</v>
      </c>
      <c r="G2939" s="4" t="str">
        <f>HYPERLINK("http://141.218.60.56/~jnz1568/getInfo.php?workbook=14_09.xlsx&amp;sheet=A0&amp;row=2939&amp;col=7&amp;number=0&amp;sourceID=14","0")</f>
        <v>0</v>
      </c>
    </row>
    <row r="2940" spans="1:7">
      <c r="A2940" s="3">
        <v>14</v>
      </c>
      <c r="B2940" s="3">
        <v>9</v>
      </c>
      <c r="C2940" s="3">
        <v>169</v>
      </c>
      <c r="D2940" s="3">
        <v>62</v>
      </c>
      <c r="E2940" s="3">
        <v>-435.287</v>
      </c>
      <c r="F2940" s="4" t="str">
        <f>HYPERLINK("http://141.218.60.56/~jnz1568/getInfo.php?workbook=14_09.xlsx&amp;sheet=A0&amp;row=2940&amp;col=6&amp;number=1350000&amp;sourceID=14","1350000")</f>
        <v>1350000</v>
      </c>
      <c r="G2940" s="4" t="str">
        <f>HYPERLINK("http://141.218.60.56/~jnz1568/getInfo.php?workbook=14_09.xlsx&amp;sheet=A0&amp;row=2940&amp;col=7&amp;number=0&amp;sourceID=14","0")</f>
        <v>0</v>
      </c>
    </row>
    <row r="2941" spans="1:7">
      <c r="A2941" s="3">
        <v>14</v>
      </c>
      <c r="B2941" s="3">
        <v>9</v>
      </c>
      <c r="C2941" s="3">
        <v>173</v>
      </c>
      <c r="D2941" s="3">
        <v>62</v>
      </c>
      <c r="E2941" s="3">
        <v>-423.077</v>
      </c>
      <c r="F2941" s="4" t="str">
        <f>HYPERLINK("http://141.218.60.56/~jnz1568/getInfo.php?workbook=14_09.xlsx&amp;sheet=A0&amp;row=2941&amp;col=6&amp;number=722000&amp;sourceID=14","722000")</f>
        <v>722000</v>
      </c>
      <c r="G2941" s="4" t="str">
        <f>HYPERLINK("http://141.218.60.56/~jnz1568/getInfo.php?workbook=14_09.xlsx&amp;sheet=A0&amp;row=2941&amp;col=7&amp;number=0&amp;sourceID=14","0")</f>
        <v>0</v>
      </c>
    </row>
    <row r="2942" spans="1:7">
      <c r="A2942" s="3">
        <v>14</v>
      </c>
      <c r="B2942" s="3">
        <v>9</v>
      </c>
      <c r="C2942" s="3">
        <v>174</v>
      </c>
      <c r="D2942" s="3">
        <v>62</v>
      </c>
      <c r="E2942" s="3">
        <v>-420.967</v>
      </c>
      <c r="F2942" s="4" t="str">
        <f>HYPERLINK("http://141.218.60.56/~jnz1568/getInfo.php?workbook=14_09.xlsx&amp;sheet=A0&amp;row=2942&amp;col=6&amp;number=299000&amp;sourceID=14","299000")</f>
        <v>299000</v>
      </c>
      <c r="G2942" s="4" t="str">
        <f>HYPERLINK("http://141.218.60.56/~jnz1568/getInfo.php?workbook=14_09.xlsx&amp;sheet=A0&amp;row=2942&amp;col=7&amp;number=0&amp;sourceID=14","0")</f>
        <v>0</v>
      </c>
    </row>
    <row r="2943" spans="1:7">
      <c r="A2943" s="3">
        <v>14</v>
      </c>
      <c r="B2943" s="3">
        <v>9</v>
      </c>
      <c r="C2943" s="3">
        <v>176</v>
      </c>
      <c r="D2943" s="3">
        <v>62</v>
      </c>
      <c r="E2943" s="3">
        <v>-408.194</v>
      </c>
      <c r="F2943" s="4" t="str">
        <f>HYPERLINK("http://141.218.60.56/~jnz1568/getInfo.php?workbook=14_09.xlsx&amp;sheet=A0&amp;row=2943&amp;col=6&amp;number=17700000&amp;sourceID=14","17700000")</f>
        <v>17700000</v>
      </c>
      <c r="G2943" s="4" t="str">
        <f>HYPERLINK("http://141.218.60.56/~jnz1568/getInfo.php?workbook=14_09.xlsx&amp;sheet=A0&amp;row=2943&amp;col=7&amp;number=0&amp;sourceID=14","0")</f>
        <v>0</v>
      </c>
    </row>
    <row r="2944" spans="1:7">
      <c r="A2944" s="3">
        <v>14</v>
      </c>
      <c r="B2944" s="3">
        <v>9</v>
      </c>
      <c r="C2944" s="3">
        <v>178</v>
      </c>
      <c r="D2944" s="3">
        <v>62</v>
      </c>
      <c r="E2944" s="3">
        <v>-407.628</v>
      </c>
      <c r="F2944" s="4" t="str">
        <f>HYPERLINK("http://141.218.60.56/~jnz1568/getInfo.php?workbook=14_09.xlsx&amp;sheet=A0&amp;row=2944&amp;col=6&amp;number=3970000&amp;sourceID=14","3970000")</f>
        <v>3970000</v>
      </c>
      <c r="G2944" s="4" t="str">
        <f>HYPERLINK("http://141.218.60.56/~jnz1568/getInfo.php?workbook=14_09.xlsx&amp;sheet=A0&amp;row=2944&amp;col=7&amp;number=0&amp;sourceID=14","0")</f>
        <v>0</v>
      </c>
    </row>
    <row r="2945" spans="1:7">
      <c r="A2945" s="3">
        <v>14</v>
      </c>
      <c r="B2945" s="3">
        <v>9</v>
      </c>
      <c r="C2945" s="3">
        <v>179</v>
      </c>
      <c r="D2945" s="3">
        <v>62</v>
      </c>
      <c r="E2945" s="3">
        <v>-407.575</v>
      </c>
      <c r="F2945" s="4" t="str">
        <f>HYPERLINK("http://141.218.60.56/~jnz1568/getInfo.php?workbook=14_09.xlsx&amp;sheet=A0&amp;row=2945&amp;col=6&amp;number=13100000&amp;sourceID=14","13100000")</f>
        <v>13100000</v>
      </c>
      <c r="G2945" s="4" t="str">
        <f>HYPERLINK("http://141.218.60.56/~jnz1568/getInfo.php?workbook=14_09.xlsx&amp;sheet=A0&amp;row=2945&amp;col=7&amp;number=0&amp;sourceID=14","0")</f>
        <v>0</v>
      </c>
    </row>
    <row r="2946" spans="1:7">
      <c r="A2946" s="3">
        <v>14</v>
      </c>
      <c r="B2946" s="3">
        <v>9</v>
      </c>
      <c r="C2946" s="3">
        <v>180</v>
      </c>
      <c r="D2946" s="3">
        <v>62</v>
      </c>
      <c r="E2946" s="3">
        <v>-405.736</v>
      </c>
      <c r="F2946" s="4" t="str">
        <f>HYPERLINK("http://141.218.60.56/~jnz1568/getInfo.php?workbook=14_09.xlsx&amp;sheet=A0&amp;row=2946&amp;col=6&amp;number=1620000&amp;sourceID=14","1620000")</f>
        <v>1620000</v>
      </c>
      <c r="G2946" s="4" t="str">
        <f>HYPERLINK("http://141.218.60.56/~jnz1568/getInfo.php?workbook=14_09.xlsx&amp;sheet=A0&amp;row=2946&amp;col=7&amp;number=0&amp;sourceID=14","0")</f>
        <v>0</v>
      </c>
    </row>
    <row r="2947" spans="1:7">
      <c r="A2947" s="3">
        <v>14</v>
      </c>
      <c r="B2947" s="3">
        <v>9</v>
      </c>
      <c r="C2947" s="3">
        <v>67</v>
      </c>
      <c r="D2947" s="3">
        <v>63</v>
      </c>
      <c r="E2947" s="3">
        <v>-4495.805</v>
      </c>
      <c r="F2947" s="4" t="str">
        <f>HYPERLINK("http://141.218.60.56/~jnz1568/getInfo.php?workbook=14_09.xlsx&amp;sheet=A0&amp;row=2947&amp;col=6&amp;number=14700000&amp;sourceID=14","14700000")</f>
        <v>14700000</v>
      </c>
      <c r="G2947" s="4" t="str">
        <f>HYPERLINK("http://141.218.60.56/~jnz1568/getInfo.php?workbook=14_09.xlsx&amp;sheet=A0&amp;row=2947&amp;col=7&amp;number=0&amp;sourceID=14","0")</f>
        <v>0</v>
      </c>
    </row>
    <row r="2948" spans="1:7">
      <c r="A2948" s="3">
        <v>14</v>
      </c>
      <c r="B2948" s="3">
        <v>9</v>
      </c>
      <c r="C2948" s="3">
        <v>68</v>
      </c>
      <c r="D2948" s="3">
        <v>63</v>
      </c>
      <c r="E2948" s="3">
        <v>-4217.459</v>
      </c>
      <c r="F2948" s="4" t="str">
        <f>HYPERLINK("http://141.218.60.56/~jnz1568/getInfo.php?workbook=14_09.xlsx&amp;sheet=A0&amp;row=2948&amp;col=6&amp;number=8480000&amp;sourceID=14","8480000")</f>
        <v>8480000</v>
      </c>
      <c r="G2948" s="4" t="str">
        <f>HYPERLINK("http://141.218.60.56/~jnz1568/getInfo.php?workbook=14_09.xlsx&amp;sheet=A0&amp;row=2948&amp;col=7&amp;number=0&amp;sourceID=14","0")</f>
        <v>0</v>
      </c>
    </row>
    <row r="2949" spans="1:7">
      <c r="A2949" s="3">
        <v>14</v>
      </c>
      <c r="B2949" s="3">
        <v>9</v>
      </c>
      <c r="C2949" s="3">
        <v>71</v>
      </c>
      <c r="D2949" s="3">
        <v>63</v>
      </c>
      <c r="E2949" s="3">
        <v>-3201.133</v>
      </c>
      <c r="F2949" s="4" t="str">
        <f>HYPERLINK("http://141.218.60.56/~jnz1568/getInfo.php?workbook=14_09.xlsx&amp;sheet=A0&amp;row=2949&amp;col=6&amp;number=87300000&amp;sourceID=14","87300000")</f>
        <v>87300000</v>
      </c>
      <c r="G2949" s="4" t="str">
        <f>HYPERLINK("http://141.218.60.56/~jnz1568/getInfo.php?workbook=14_09.xlsx&amp;sheet=A0&amp;row=2949&amp;col=7&amp;number=0&amp;sourceID=14","0")</f>
        <v>0</v>
      </c>
    </row>
    <row r="2950" spans="1:7">
      <c r="A2950" s="3">
        <v>14</v>
      </c>
      <c r="B2950" s="3">
        <v>9</v>
      </c>
      <c r="C2950" s="3">
        <v>73</v>
      </c>
      <c r="D2950" s="3">
        <v>63</v>
      </c>
      <c r="E2950" s="3">
        <v>-3089.954</v>
      </c>
      <c r="F2950" s="4" t="str">
        <f>HYPERLINK("http://141.218.60.56/~jnz1568/getInfo.php?workbook=14_09.xlsx&amp;sheet=A0&amp;row=2950&amp;col=6&amp;number=185000000&amp;sourceID=14","185000000")</f>
        <v>185000000</v>
      </c>
      <c r="G2950" s="4" t="str">
        <f>HYPERLINK("http://141.218.60.56/~jnz1568/getInfo.php?workbook=14_09.xlsx&amp;sheet=A0&amp;row=2950&amp;col=7&amp;number=0&amp;sourceID=14","0")</f>
        <v>0</v>
      </c>
    </row>
    <row r="2951" spans="1:7">
      <c r="A2951" s="3">
        <v>14</v>
      </c>
      <c r="B2951" s="3">
        <v>9</v>
      </c>
      <c r="C2951" s="3">
        <v>74</v>
      </c>
      <c r="D2951" s="3">
        <v>63</v>
      </c>
      <c r="E2951" s="3">
        <v>-2978.589</v>
      </c>
      <c r="F2951" s="4" t="str">
        <f>HYPERLINK("http://141.218.60.56/~jnz1568/getInfo.php?workbook=14_09.xlsx&amp;sheet=A0&amp;row=2951&amp;col=6&amp;number=5480000&amp;sourceID=14","5480000")</f>
        <v>5480000</v>
      </c>
      <c r="G2951" s="4" t="str">
        <f>HYPERLINK("http://141.218.60.56/~jnz1568/getInfo.php?workbook=14_09.xlsx&amp;sheet=A0&amp;row=2951&amp;col=7&amp;number=0&amp;sourceID=14","0")</f>
        <v>0</v>
      </c>
    </row>
    <row r="2952" spans="1:7">
      <c r="A2952" s="3">
        <v>14</v>
      </c>
      <c r="B2952" s="3">
        <v>9</v>
      </c>
      <c r="C2952" s="3">
        <v>75</v>
      </c>
      <c r="D2952" s="3">
        <v>63</v>
      </c>
      <c r="E2952" s="3">
        <v>-2929.979</v>
      </c>
      <c r="F2952" s="4" t="str">
        <f>HYPERLINK("http://141.218.60.56/~jnz1568/getInfo.php?workbook=14_09.xlsx&amp;sheet=A0&amp;row=2952&amp;col=6&amp;number=67100000&amp;sourceID=14","67100000")</f>
        <v>67100000</v>
      </c>
      <c r="G2952" s="4" t="str">
        <f>HYPERLINK("http://141.218.60.56/~jnz1568/getInfo.php?workbook=14_09.xlsx&amp;sheet=A0&amp;row=2952&amp;col=7&amp;number=0&amp;sourceID=14","0")</f>
        <v>0</v>
      </c>
    </row>
    <row r="2953" spans="1:7">
      <c r="A2953" s="3">
        <v>14</v>
      </c>
      <c r="B2953" s="3">
        <v>9</v>
      </c>
      <c r="C2953" s="3">
        <v>77</v>
      </c>
      <c r="D2953" s="3">
        <v>63</v>
      </c>
      <c r="E2953" s="3">
        <v>-2408.076</v>
      </c>
      <c r="F2953" s="4" t="str">
        <f>HYPERLINK("http://141.218.60.56/~jnz1568/getInfo.php?workbook=14_09.xlsx&amp;sheet=A0&amp;row=2953&amp;col=6&amp;number=3730000&amp;sourceID=14","3730000")</f>
        <v>3730000</v>
      </c>
      <c r="G2953" s="4" t="str">
        <f>HYPERLINK("http://141.218.60.56/~jnz1568/getInfo.php?workbook=14_09.xlsx&amp;sheet=A0&amp;row=2953&amp;col=7&amp;number=0&amp;sourceID=14","0")</f>
        <v>0</v>
      </c>
    </row>
    <row r="2954" spans="1:7">
      <c r="A2954" s="3">
        <v>14</v>
      </c>
      <c r="B2954" s="3">
        <v>9</v>
      </c>
      <c r="C2954" s="3">
        <v>78</v>
      </c>
      <c r="D2954" s="3">
        <v>63</v>
      </c>
      <c r="E2954" s="3">
        <v>-2358.439</v>
      </c>
      <c r="F2954" s="4" t="str">
        <f>HYPERLINK("http://141.218.60.56/~jnz1568/getInfo.php?workbook=14_09.xlsx&amp;sheet=A0&amp;row=2954&amp;col=6&amp;number=4240000&amp;sourceID=14","4240000")</f>
        <v>4240000</v>
      </c>
      <c r="G2954" s="4" t="str">
        <f>HYPERLINK("http://141.218.60.56/~jnz1568/getInfo.php?workbook=14_09.xlsx&amp;sheet=A0&amp;row=2954&amp;col=7&amp;number=0&amp;sourceID=14","0")</f>
        <v>0</v>
      </c>
    </row>
    <row r="2955" spans="1:7">
      <c r="A2955" s="3">
        <v>14</v>
      </c>
      <c r="B2955" s="3">
        <v>9</v>
      </c>
      <c r="C2955" s="3">
        <v>82</v>
      </c>
      <c r="D2955" s="3">
        <v>63</v>
      </c>
      <c r="E2955" s="3">
        <v>-2046.877</v>
      </c>
      <c r="F2955" s="4" t="str">
        <f>HYPERLINK("http://141.218.60.56/~jnz1568/getInfo.php?workbook=14_09.xlsx&amp;sheet=A0&amp;row=2955&amp;col=6&amp;number=65100000&amp;sourceID=14","65100000")</f>
        <v>65100000</v>
      </c>
      <c r="G2955" s="4" t="str">
        <f>HYPERLINK("http://141.218.60.56/~jnz1568/getInfo.php?workbook=14_09.xlsx&amp;sheet=A0&amp;row=2955&amp;col=7&amp;number=0&amp;sourceID=14","0")</f>
        <v>0</v>
      </c>
    </row>
    <row r="2956" spans="1:7">
      <c r="A2956" s="3">
        <v>14</v>
      </c>
      <c r="B2956" s="3">
        <v>9</v>
      </c>
      <c r="C2956" s="3">
        <v>83</v>
      </c>
      <c r="D2956" s="3">
        <v>63</v>
      </c>
      <c r="E2956" s="3">
        <v>-1979.418</v>
      </c>
      <c r="F2956" s="4" t="str">
        <f>HYPERLINK("http://141.218.60.56/~jnz1568/getInfo.php?workbook=14_09.xlsx&amp;sheet=A0&amp;row=2956&amp;col=6&amp;number=24600000&amp;sourceID=14","24600000")</f>
        <v>24600000</v>
      </c>
      <c r="G2956" s="4" t="str">
        <f>HYPERLINK("http://141.218.60.56/~jnz1568/getInfo.php?workbook=14_09.xlsx&amp;sheet=A0&amp;row=2956&amp;col=7&amp;number=0&amp;sourceID=14","0")</f>
        <v>0</v>
      </c>
    </row>
    <row r="2957" spans="1:7">
      <c r="A2957" s="3">
        <v>14</v>
      </c>
      <c r="B2957" s="3">
        <v>9</v>
      </c>
      <c r="C2957" s="3">
        <v>108</v>
      </c>
      <c r="D2957" s="3">
        <v>63</v>
      </c>
      <c r="E2957" s="3">
        <v>-1281.84</v>
      </c>
      <c r="F2957" s="4" t="str">
        <f>HYPERLINK("http://141.218.60.56/~jnz1568/getInfo.php?workbook=14_09.xlsx&amp;sheet=A0&amp;row=2957&amp;col=6&amp;number=671000&amp;sourceID=14","671000")</f>
        <v>671000</v>
      </c>
      <c r="G2957" s="4" t="str">
        <f>HYPERLINK("http://141.218.60.56/~jnz1568/getInfo.php?workbook=14_09.xlsx&amp;sheet=A0&amp;row=2957&amp;col=7&amp;number=0&amp;sourceID=14","0")</f>
        <v>0</v>
      </c>
    </row>
    <row r="2958" spans="1:7">
      <c r="A2958" s="3">
        <v>14</v>
      </c>
      <c r="B2958" s="3">
        <v>9</v>
      </c>
      <c r="C2958" s="3">
        <v>112</v>
      </c>
      <c r="D2958" s="3">
        <v>63</v>
      </c>
      <c r="E2958" s="3">
        <v>-1266.354</v>
      </c>
      <c r="F2958" s="4" t="str">
        <f>HYPERLINK("http://141.218.60.56/~jnz1568/getInfo.php?workbook=14_09.xlsx&amp;sheet=A0&amp;row=2958&amp;col=6&amp;number=3520000&amp;sourceID=14","3520000")</f>
        <v>3520000</v>
      </c>
      <c r="G2958" s="4" t="str">
        <f>HYPERLINK("http://141.218.60.56/~jnz1568/getInfo.php?workbook=14_09.xlsx&amp;sheet=A0&amp;row=2958&amp;col=7&amp;number=0&amp;sourceID=14","0")</f>
        <v>0</v>
      </c>
    </row>
    <row r="2959" spans="1:7">
      <c r="A2959" s="3">
        <v>14</v>
      </c>
      <c r="B2959" s="3">
        <v>9</v>
      </c>
      <c r="C2959" s="3">
        <v>116</v>
      </c>
      <c r="D2959" s="3">
        <v>63</v>
      </c>
      <c r="E2959" s="3">
        <v>-1263.506</v>
      </c>
      <c r="F2959" s="4" t="str">
        <f>HYPERLINK("http://141.218.60.56/~jnz1568/getInfo.php?workbook=14_09.xlsx&amp;sheet=A0&amp;row=2959&amp;col=6&amp;number=394000&amp;sourceID=14","394000")</f>
        <v>394000</v>
      </c>
      <c r="G2959" s="4" t="str">
        <f>HYPERLINK("http://141.218.60.56/~jnz1568/getInfo.php?workbook=14_09.xlsx&amp;sheet=A0&amp;row=2959&amp;col=7&amp;number=0&amp;sourceID=14","0")</f>
        <v>0</v>
      </c>
    </row>
    <row r="2960" spans="1:7">
      <c r="A2960" s="3">
        <v>14</v>
      </c>
      <c r="B2960" s="3">
        <v>9</v>
      </c>
      <c r="C2960" s="3">
        <v>117</v>
      </c>
      <c r="D2960" s="3">
        <v>63</v>
      </c>
      <c r="E2960" s="3">
        <v>-1221.794</v>
      </c>
      <c r="F2960" s="4" t="str">
        <f>HYPERLINK("http://141.218.60.56/~jnz1568/getInfo.php?workbook=14_09.xlsx&amp;sheet=A0&amp;row=2960&amp;col=6&amp;number=960000&amp;sourceID=14","960000")</f>
        <v>960000</v>
      </c>
      <c r="G2960" s="4" t="str">
        <f>HYPERLINK("http://141.218.60.56/~jnz1568/getInfo.php?workbook=14_09.xlsx&amp;sheet=A0&amp;row=2960&amp;col=7&amp;number=0&amp;sourceID=14","0")</f>
        <v>0</v>
      </c>
    </row>
    <row r="2961" spans="1:7">
      <c r="A2961" s="3">
        <v>14</v>
      </c>
      <c r="B2961" s="3">
        <v>9</v>
      </c>
      <c r="C2961" s="3">
        <v>125</v>
      </c>
      <c r="D2961" s="3">
        <v>63</v>
      </c>
      <c r="E2961" s="3">
        <v>-1104.425</v>
      </c>
      <c r="F2961" s="4" t="str">
        <f>HYPERLINK("http://141.218.60.56/~jnz1568/getInfo.php?workbook=14_09.xlsx&amp;sheet=A0&amp;row=2961&amp;col=6&amp;number=1260000&amp;sourceID=14","1260000")</f>
        <v>1260000</v>
      </c>
      <c r="G2961" s="4" t="str">
        <f>HYPERLINK("http://141.218.60.56/~jnz1568/getInfo.php?workbook=14_09.xlsx&amp;sheet=A0&amp;row=2961&amp;col=7&amp;number=0&amp;sourceID=14","0")</f>
        <v>0</v>
      </c>
    </row>
    <row r="2962" spans="1:7">
      <c r="A2962" s="3">
        <v>14</v>
      </c>
      <c r="B2962" s="3">
        <v>9</v>
      </c>
      <c r="C2962" s="3">
        <v>126</v>
      </c>
      <c r="D2962" s="3">
        <v>63</v>
      </c>
      <c r="E2962" s="3">
        <v>-1079.881</v>
      </c>
      <c r="F2962" s="4" t="str">
        <f>HYPERLINK("http://141.218.60.56/~jnz1568/getInfo.php?workbook=14_09.xlsx&amp;sheet=A0&amp;row=2962&amp;col=6&amp;number=8130000&amp;sourceID=14","8130000")</f>
        <v>8130000</v>
      </c>
      <c r="G2962" s="4" t="str">
        <f>HYPERLINK("http://141.218.60.56/~jnz1568/getInfo.php?workbook=14_09.xlsx&amp;sheet=A0&amp;row=2962&amp;col=7&amp;number=0&amp;sourceID=14","0")</f>
        <v>0</v>
      </c>
    </row>
    <row r="2963" spans="1:7">
      <c r="A2963" s="3">
        <v>14</v>
      </c>
      <c r="B2963" s="3">
        <v>9</v>
      </c>
      <c r="C2963" s="3">
        <v>159</v>
      </c>
      <c r="D2963" s="3">
        <v>63</v>
      </c>
      <c r="E2963" s="3">
        <v>-679.649</v>
      </c>
      <c r="F2963" s="4" t="str">
        <f>HYPERLINK("http://141.218.60.56/~jnz1568/getInfo.php?workbook=14_09.xlsx&amp;sheet=A0&amp;row=2963&amp;col=6&amp;number=170000&amp;sourceID=14","170000")</f>
        <v>170000</v>
      </c>
      <c r="G2963" s="4" t="str">
        <f>HYPERLINK("http://141.218.60.56/~jnz1568/getInfo.php?workbook=14_09.xlsx&amp;sheet=A0&amp;row=2963&amp;col=7&amp;number=0&amp;sourceID=14","0")</f>
        <v>0</v>
      </c>
    </row>
    <row r="2964" spans="1:7">
      <c r="A2964" s="3">
        <v>14</v>
      </c>
      <c r="B2964" s="3">
        <v>9</v>
      </c>
      <c r="C2964" s="3">
        <v>160</v>
      </c>
      <c r="D2964" s="3">
        <v>63</v>
      </c>
      <c r="E2964" s="3">
        <v>-679.072</v>
      </c>
      <c r="F2964" s="4" t="str">
        <f>HYPERLINK("http://141.218.60.56/~jnz1568/getInfo.php?workbook=14_09.xlsx&amp;sheet=A0&amp;row=2964&amp;col=6&amp;number=871000&amp;sourceID=14","871000")</f>
        <v>871000</v>
      </c>
      <c r="G2964" s="4" t="str">
        <f>HYPERLINK("http://141.218.60.56/~jnz1568/getInfo.php?workbook=14_09.xlsx&amp;sheet=A0&amp;row=2964&amp;col=7&amp;number=0&amp;sourceID=14","0")</f>
        <v>0</v>
      </c>
    </row>
    <row r="2965" spans="1:7">
      <c r="A2965" s="3">
        <v>14</v>
      </c>
      <c r="B2965" s="3">
        <v>9</v>
      </c>
      <c r="C2965" s="3">
        <v>167</v>
      </c>
      <c r="D2965" s="3">
        <v>63</v>
      </c>
      <c r="E2965" s="3">
        <v>-488.843</v>
      </c>
      <c r="F2965" s="4" t="str">
        <f>HYPERLINK("http://141.218.60.56/~jnz1568/getInfo.php?workbook=14_09.xlsx&amp;sheet=A0&amp;row=2965&amp;col=6&amp;number=1100000&amp;sourceID=14","1100000")</f>
        <v>1100000</v>
      </c>
      <c r="G2965" s="4" t="str">
        <f>HYPERLINK("http://141.218.60.56/~jnz1568/getInfo.php?workbook=14_09.xlsx&amp;sheet=A0&amp;row=2965&amp;col=7&amp;number=0&amp;sourceID=14","0")</f>
        <v>0</v>
      </c>
    </row>
    <row r="2966" spans="1:7">
      <c r="A2966" s="3">
        <v>14</v>
      </c>
      <c r="B2966" s="3">
        <v>9</v>
      </c>
      <c r="C2966" s="3">
        <v>168</v>
      </c>
      <c r="D2966" s="3">
        <v>63</v>
      </c>
      <c r="E2966" s="3">
        <v>-441.319</v>
      </c>
      <c r="F2966" s="4" t="str">
        <f>HYPERLINK("http://141.218.60.56/~jnz1568/getInfo.php?workbook=14_09.xlsx&amp;sheet=A0&amp;row=2966&amp;col=6&amp;number=361000&amp;sourceID=14","361000")</f>
        <v>361000</v>
      </c>
      <c r="G2966" s="4" t="str">
        <f>HYPERLINK("http://141.218.60.56/~jnz1568/getInfo.php?workbook=14_09.xlsx&amp;sheet=A0&amp;row=2966&amp;col=7&amp;number=0&amp;sourceID=14","0")</f>
        <v>0</v>
      </c>
    </row>
    <row r="2967" spans="1:7">
      <c r="A2967" s="3">
        <v>14</v>
      </c>
      <c r="B2967" s="3">
        <v>9</v>
      </c>
      <c r="C2967" s="3">
        <v>169</v>
      </c>
      <c r="D2967" s="3">
        <v>63</v>
      </c>
      <c r="E2967" s="3">
        <v>-439.718</v>
      </c>
      <c r="F2967" s="4" t="str">
        <f>HYPERLINK("http://141.218.60.56/~jnz1568/getInfo.php?workbook=14_09.xlsx&amp;sheet=A0&amp;row=2967&amp;col=6&amp;number=1020000&amp;sourceID=14","1020000")</f>
        <v>1020000</v>
      </c>
      <c r="G2967" s="4" t="str">
        <f>HYPERLINK("http://141.218.60.56/~jnz1568/getInfo.php?workbook=14_09.xlsx&amp;sheet=A0&amp;row=2967&amp;col=7&amp;number=0&amp;sourceID=14","0")</f>
        <v>0</v>
      </c>
    </row>
    <row r="2968" spans="1:7">
      <c r="A2968" s="3">
        <v>14</v>
      </c>
      <c r="B2968" s="3">
        <v>9</v>
      </c>
      <c r="C2968" s="3">
        <v>174</v>
      </c>
      <c r="D2968" s="3">
        <v>63</v>
      </c>
      <c r="E2968" s="3">
        <v>-425.109</v>
      </c>
      <c r="F2968" s="4" t="str">
        <f>HYPERLINK("http://141.218.60.56/~jnz1568/getInfo.php?workbook=14_09.xlsx&amp;sheet=A0&amp;row=2968&amp;col=6&amp;number=350000&amp;sourceID=14","350000")</f>
        <v>350000</v>
      </c>
      <c r="G2968" s="4" t="str">
        <f>HYPERLINK("http://141.218.60.56/~jnz1568/getInfo.php?workbook=14_09.xlsx&amp;sheet=A0&amp;row=2968&amp;col=7&amp;number=0&amp;sourceID=14","0")</f>
        <v>0</v>
      </c>
    </row>
    <row r="2969" spans="1:7">
      <c r="A2969" s="3">
        <v>14</v>
      </c>
      <c r="B2969" s="3">
        <v>9</v>
      </c>
      <c r="C2969" s="3">
        <v>178</v>
      </c>
      <c r="D2969" s="3">
        <v>63</v>
      </c>
      <c r="E2969" s="3">
        <v>-411.512</v>
      </c>
      <c r="F2969" s="4" t="str">
        <f>HYPERLINK("http://141.218.60.56/~jnz1568/getInfo.php?workbook=14_09.xlsx&amp;sheet=A0&amp;row=2969&amp;col=6&amp;number=27000000&amp;sourceID=14","27000000")</f>
        <v>27000000</v>
      </c>
      <c r="G2969" s="4" t="str">
        <f>HYPERLINK("http://141.218.60.56/~jnz1568/getInfo.php?workbook=14_09.xlsx&amp;sheet=A0&amp;row=2969&amp;col=7&amp;number=0&amp;sourceID=14","0")</f>
        <v>0</v>
      </c>
    </row>
    <row r="2970" spans="1:7">
      <c r="A2970" s="3">
        <v>14</v>
      </c>
      <c r="B2970" s="3">
        <v>9</v>
      </c>
      <c r="C2970" s="3">
        <v>179</v>
      </c>
      <c r="D2970" s="3">
        <v>63</v>
      </c>
      <c r="E2970" s="3">
        <v>-411.457</v>
      </c>
      <c r="F2970" s="4" t="str">
        <f>HYPERLINK("http://141.218.60.56/~jnz1568/getInfo.php?workbook=14_09.xlsx&amp;sheet=A0&amp;row=2970&amp;col=6&amp;number=13900000&amp;sourceID=14","13900000")</f>
        <v>13900000</v>
      </c>
      <c r="G2970" s="4" t="str">
        <f>HYPERLINK("http://141.218.60.56/~jnz1568/getInfo.php?workbook=14_09.xlsx&amp;sheet=A0&amp;row=2970&amp;col=7&amp;number=0&amp;sourceID=14","0")</f>
        <v>0</v>
      </c>
    </row>
    <row r="2971" spans="1:7">
      <c r="A2971" s="3">
        <v>14</v>
      </c>
      <c r="B2971" s="3">
        <v>9</v>
      </c>
      <c r="C2971" s="3">
        <v>66</v>
      </c>
      <c r="D2971" s="3">
        <v>64</v>
      </c>
      <c r="E2971" s="3">
        <v>-5164.232</v>
      </c>
      <c r="F2971" s="4" t="str">
        <f>HYPERLINK("http://141.218.60.56/~jnz1568/getInfo.php?workbook=14_09.xlsx&amp;sheet=A0&amp;row=2971&amp;col=6&amp;number=794000&amp;sourceID=14","794000")</f>
        <v>794000</v>
      </c>
      <c r="G2971" s="4" t="str">
        <f>HYPERLINK("http://141.218.60.56/~jnz1568/getInfo.php?workbook=14_09.xlsx&amp;sheet=A0&amp;row=2971&amp;col=7&amp;number=0&amp;sourceID=14","0")</f>
        <v>0</v>
      </c>
    </row>
    <row r="2972" spans="1:7">
      <c r="A2972" s="3">
        <v>14</v>
      </c>
      <c r="B2972" s="3">
        <v>9</v>
      </c>
      <c r="C2972" s="3">
        <v>67</v>
      </c>
      <c r="D2972" s="3">
        <v>64</v>
      </c>
      <c r="E2972" s="3">
        <v>-4791.576</v>
      </c>
      <c r="F2972" s="4" t="str">
        <f>HYPERLINK("http://141.218.60.56/~jnz1568/getInfo.php?workbook=14_09.xlsx&amp;sheet=A0&amp;row=2972&amp;col=6&amp;number=694000&amp;sourceID=14","694000")</f>
        <v>694000</v>
      </c>
      <c r="G2972" s="4" t="str">
        <f>HYPERLINK("http://141.218.60.56/~jnz1568/getInfo.php?workbook=14_09.xlsx&amp;sheet=A0&amp;row=2972&amp;col=7&amp;number=0&amp;sourceID=14","0")</f>
        <v>0</v>
      </c>
    </row>
    <row r="2973" spans="1:7">
      <c r="A2973" s="3">
        <v>14</v>
      </c>
      <c r="B2973" s="3">
        <v>9</v>
      </c>
      <c r="C2973" s="3">
        <v>68</v>
      </c>
      <c r="D2973" s="3">
        <v>64</v>
      </c>
      <c r="E2973" s="3">
        <v>-4476.685</v>
      </c>
      <c r="F2973" s="4" t="str">
        <f>HYPERLINK("http://141.218.60.56/~jnz1568/getInfo.php?workbook=14_09.xlsx&amp;sheet=A0&amp;row=2973&amp;col=6&amp;number=5900000&amp;sourceID=14","5900000")</f>
        <v>5900000</v>
      </c>
      <c r="G2973" s="4" t="str">
        <f>HYPERLINK("http://141.218.60.56/~jnz1568/getInfo.php?workbook=14_09.xlsx&amp;sheet=A0&amp;row=2973&amp;col=7&amp;number=0&amp;sourceID=14","0")</f>
        <v>0</v>
      </c>
    </row>
    <row r="2974" spans="1:7">
      <c r="A2974" s="3">
        <v>14</v>
      </c>
      <c r="B2974" s="3">
        <v>9</v>
      </c>
      <c r="C2974" s="3">
        <v>70</v>
      </c>
      <c r="D2974" s="3">
        <v>64</v>
      </c>
      <c r="E2974" s="3">
        <v>-3598.682</v>
      </c>
      <c r="F2974" s="4" t="str">
        <f>HYPERLINK("http://141.218.60.56/~jnz1568/getInfo.php?workbook=14_09.xlsx&amp;sheet=A0&amp;row=2974&amp;col=6&amp;number=8320000&amp;sourceID=14","8320000")</f>
        <v>8320000</v>
      </c>
      <c r="G2974" s="4" t="str">
        <f>HYPERLINK("http://141.218.60.56/~jnz1568/getInfo.php?workbook=14_09.xlsx&amp;sheet=A0&amp;row=2974&amp;col=7&amp;number=0&amp;sourceID=14","0")</f>
        <v>0</v>
      </c>
    </row>
    <row r="2975" spans="1:7">
      <c r="A2975" s="3">
        <v>14</v>
      </c>
      <c r="B2975" s="3">
        <v>9</v>
      </c>
      <c r="C2975" s="3">
        <v>71</v>
      </c>
      <c r="D2975" s="3">
        <v>64</v>
      </c>
      <c r="E2975" s="3">
        <v>-3348.295</v>
      </c>
      <c r="F2975" s="4" t="str">
        <f>HYPERLINK("http://141.218.60.56/~jnz1568/getInfo.php?workbook=14_09.xlsx&amp;sheet=A0&amp;row=2975&amp;col=6&amp;number=1560000&amp;sourceID=14","1560000")</f>
        <v>1560000</v>
      </c>
      <c r="G2975" s="4" t="str">
        <f>HYPERLINK("http://141.218.60.56/~jnz1568/getInfo.php?workbook=14_09.xlsx&amp;sheet=A0&amp;row=2975&amp;col=7&amp;number=0&amp;sourceID=14","0")</f>
        <v>0</v>
      </c>
    </row>
    <row r="2976" spans="1:7">
      <c r="A2976" s="3">
        <v>14</v>
      </c>
      <c r="B2976" s="3">
        <v>9</v>
      </c>
      <c r="C2976" s="3">
        <v>72</v>
      </c>
      <c r="D2976" s="3">
        <v>64</v>
      </c>
      <c r="E2976" s="3">
        <v>-3264.033</v>
      </c>
      <c r="F2976" s="4" t="str">
        <f>HYPERLINK("http://141.218.60.56/~jnz1568/getInfo.php?workbook=14_09.xlsx&amp;sheet=A0&amp;row=2976&amp;col=6&amp;number=165000000&amp;sourceID=14","165000000")</f>
        <v>165000000</v>
      </c>
      <c r="G2976" s="4" t="str">
        <f>HYPERLINK("http://141.218.60.56/~jnz1568/getInfo.php?workbook=14_09.xlsx&amp;sheet=A0&amp;row=2976&amp;col=7&amp;number=0&amp;sourceID=14","0")</f>
        <v>0</v>
      </c>
    </row>
    <row r="2977" spans="1:7">
      <c r="A2977" s="3">
        <v>14</v>
      </c>
      <c r="B2977" s="3">
        <v>9</v>
      </c>
      <c r="C2977" s="3">
        <v>73</v>
      </c>
      <c r="D2977" s="3">
        <v>64</v>
      </c>
      <c r="E2977" s="3">
        <v>-3226.853</v>
      </c>
      <c r="F2977" s="4" t="str">
        <f>HYPERLINK("http://141.218.60.56/~jnz1568/getInfo.php?workbook=14_09.xlsx&amp;sheet=A0&amp;row=2977&amp;col=6&amp;number=69400&amp;sourceID=14","69400")</f>
        <v>69400</v>
      </c>
      <c r="G2977" s="4" t="str">
        <f>HYPERLINK("http://141.218.60.56/~jnz1568/getInfo.php?workbook=14_09.xlsx&amp;sheet=A0&amp;row=2977&amp;col=7&amp;number=0&amp;sourceID=14","0")</f>
        <v>0</v>
      </c>
    </row>
    <row r="2978" spans="1:7">
      <c r="A2978" s="3">
        <v>14</v>
      </c>
      <c r="B2978" s="3">
        <v>9</v>
      </c>
      <c r="C2978" s="3">
        <v>74</v>
      </c>
      <c r="D2978" s="3">
        <v>64</v>
      </c>
      <c r="E2978" s="3">
        <v>-3105.596</v>
      </c>
      <c r="F2978" s="4" t="str">
        <f>HYPERLINK("http://141.218.60.56/~jnz1568/getInfo.php?workbook=14_09.xlsx&amp;sheet=A0&amp;row=2978&amp;col=6&amp;number=148000000&amp;sourceID=14","148000000")</f>
        <v>148000000</v>
      </c>
      <c r="G2978" s="4" t="str">
        <f>HYPERLINK("http://141.218.60.56/~jnz1568/getInfo.php?workbook=14_09.xlsx&amp;sheet=A0&amp;row=2978&amp;col=7&amp;number=0&amp;sourceID=14","0")</f>
        <v>0</v>
      </c>
    </row>
    <row r="2979" spans="1:7">
      <c r="A2979" s="3">
        <v>14</v>
      </c>
      <c r="B2979" s="3">
        <v>9</v>
      </c>
      <c r="C2979" s="3">
        <v>75</v>
      </c>
      <c r="D2979" s="3">
        <v>64</v>
      </c>
      <c r="E2979" s="3">
        <v>-3052.788</v>
      </c>
      <c r="F2979" s="4" t="str">
        <f>HYPERLINK("http://141.218.60.56/~jnz1568/getInfo.php?workbook=14_09.xlsx&amp;sheet=A0&amp;row=2979&amp;col=6&amp;number=1180000&amp;sourceID=14","1180000")</f>
        <v>1180000</v>
      </c>
      <c r="G2979" s="4" t="str">
        <f>HYPERLINK("http://141.218.60.56/~jnz1568/getInfo.php?workbook=14_09.xlsx&amp;sheet=A0&amp;row=2979&amp;col=7&amp;number=0&amp;sourceID=14","0")</f>
        <v>0</v>
      </c>
    </row>
    <row r="2980" spans="1:7">
      <c r="A2980" s="3">
        <v>14</v>
      </c>
      <c r="B2980" s="3">
        <v>9</v>
      </c>
      <c r="C2980" s="3">
        <v>76</v>
      </c>
      <c r="D2980" s="3">
        <v>64</v>
      </c>
      <c r="E2980" s="3">
        <v>-3026.365</v>
      </c>
      <c r="F2980" s="4" t="str">
        <f>HYPERLINK("http://141.218.60.56/~jnz1568/getInfo.php?workbook=14_09.xlsx&amp;sheet=A0&amp;row=2980&amp;col=6&amp;number=82200000&amp;sourceID=14","82200000")</f>
        <v>82200000</v>
      </c>
      <c r="G2980" s="4" t="str">
        <f>HYPERLINK("http://141.218.60.56/~jnz1568/getInfo.php?workbook=14_09.xlsx&amp;sheet=A0&amp;row=2980&amp;col=7&amp;number=0&amp;sourceID=14","0")</f>
        <v>0</v>
      </c>
    </row>
    <row r="2981" spans="1:7">
      <c r="A2981" s="3">
        <v>14</v>
      </c>
      <c r="B2981" s="3">
        <v>9</v>
      </c>
      <c r="C2981" s="3">
        <v>77</v>
      </c>
      <c r="D2981" s="3">
        <v>64</v>
      </c>
      <c r="E2981" s="3">
        <v>-2490.416</v>
      </c>
      <c r="F2981" s="4" t="str">
        <f>HYPERLINK("http://141.218.60.56/~jnz1568/getInfo.php?workbook=14_09.xlsx&amp;sheet=A0&amp;row=2981&amp;col=6&amp;number=227000000&amp;sourceID=14","227000000")</f>
        <v>227000000</v>
      </c>
      <c r="G2981" s="4" t="str">
        <f>HYPERLINK("http://141.218.60.56/~jnz1568/getInfo.php?workbook=14_09.xlsx&amp;sheet=A0&amp;row=2981&amp;col=7&amp;number=0&amp;sourceID=14","0")</f>
        <v>0</v>
      </c>
    </row>
    <row r="2982" spans="1:7">
      <c r="A2982" s="3">
        <v>14</v>
      </c>
      <c r="B2982" s="3">
        <v>9</v>
      </c>
      <c r="C2982" s="3">
        <v>78</v>
      </c>
      <c r="D2982" s="3">
        <v>64</v>
      </c>
      <c r="E2982" s="3">
        <v>-2437.364</v>
      </c>
      <c r="F2982" s="4" t="str">
        <f>HYPERLINK("http://141.218.60.56/~jnz1568/getInfo.php?workbook=14_09.xlsx&amp;sheet=A0&amp;row=2982&amp;col=6&amp;number=51500000&amp;sourceID=14","51500000")</f>
        <v>51500000</v>
      </c>
      <c r="G2982" s="4" t="str">
        <f>HYPERLINK("http://141.218.60.56/~jnz1568/getInfo.php?workbook=14_09.xlsx&amp;sheet=A0&amp;row=2982&amp;col=7&amp;number=0&amp;sourceID=14","0")</f>
        <v>0</v>
      </c>
    </row>
    <row r="2983" spans="1:7">
      <c r="A2983" s="3">
        <v>14</v>
      </c>
      <c r="B2983" s="3">
        <v>9</v>
      </c>
      <c r="C2983" s="3">
        <v>81</v>
      </c>
      <c r="D2983" s="3">
        <v>64</v>
      </c>
      <c r="E2983" s="3">
        <v>-2235.54</v>
      </c>
      <c r="F2983" s="4" t="str">
        <f>HYPERLINK("http://141.218.60.56/~jnz1568/getInfo.php?workbook=14_09.xlsx&amp;sheet=A0&amp;row=2983&amp;col=6&amp;number=12100000&amp;sourceID=14","12100000")</f>
        <v>12100000</v>
      </c>
      <c r="G2983" s="4" t="str">
        <f>HYPERLINK("http://141.218.60.56/~jnz1568/getInfo.php?workbook=14_09.xlsx&amp;sheet=A0&amp;row=2983&amp;col=7&amp;number=0&amp;sourceID=14","0")</f>
        <v>0</v>
      </c>
    </row>
    <row r="2984" spans="1:7">
      <c r="A2984" s="3">
        <v>14</v>
      </c>
      <c r="B2984" s="3">
        <v>9</v>
      </c>
      <c r="C2984" s="3">
        <v>82</v>
      </c>
      <c r="D2984" s="3">
        <v>64</v>
      </c>
      <c r="E2984" s="3">
        <v>-2106.065</v>
      </c>
      <c r="F2984" s="4" t="str">
        <f>HYPERLINK("http://141.218.60.56/~jnz1568/getInfo.php?workbook=14_09.xlsx&amp;sheet=A0&amp;row=2984&amp;col=6&amp;number=12100000&amp;sourceID=14","12100000")</f>
        <v>12100000</v>
      </c>
      <c r="G2984" s="4" t="str">
        <f>HYPERLINK("http://141.218.60.56/~jnz1568/getInfo.php?workbook=14_09.xlsx&amp;sheet=A0&amp;row=2984&amp;col=7&amp;number=0&amp;sourceID=14","0")</f>
        <v>0</v>
      </c>
    </row>
    <row r="2985" spans="1:7">
      <c r="A2985" s="3">
        <v>14</v>
      </c>
      <c r="B2985" s="3">
        <v>9</v>
      </c>
      <c r="C2985" s="3">
        <v>83</v>
      </c>
      <c r="D2985" s="3">
        <v>64</v>
      </c>
      <c r="E2985" s="3">
        <v>-2034.716</v>
      </c>
      <c r="F2985" s="4" t="str">
        <f>HYPERLINK("http://141.218.60.56/~jnz1568/getInfo.php?workbook=14_09.xlsx&amp;sheet=A0&amp;row=2985&amp;col=6&amp;number=26500000&amp;sourceID=14","26500000")</f>
        <v>26500000</v>
      </c>
      <c r="G2985" s="4" t="str">
        <f>HYPERLINK("http://141.218.60.56/~jnz1568/getInfo.php?workbook=14_09.xlsx&amp;sheet=A0&amp;row=2985&amp;col=7&amp;number=0&amp;sourceID=14","0")</f>
        <v>0</v>
      </c>
    </row>
    <row r="2986" spans="1:7">
      <c r="A2986" s="3">
        <v>14</v>
      </c>
      <c r="B2986" s="3">
        <v>9</v>
      </c>
      <c r="C2986" s="3">
        <v>85</v>
      </c>
      <c r="D2986" s="3">
        <v>64</v>
      </c>
      <c r="E2986" s="3">
        <v>-1656.839</v>
      </c>
      <c r="F2986" s="4" t="str">
        <f>HYPERLINK("http://141.218.60.56/~jnz1568/getInfo.php?workbook=14_09.xlsx&amp;sheet=A0&amp;row=2986&amp;col=6&amp;number=2960000&amp;sourceID=14","2960000")</f>
        <v>2960000</v>
      </c>
      <c r="G2986" s="4" t="str">
        <f>HYPERLINK("http://141.218.60.56/~jnz1568/getInfo.php?workbook=14_09.xlsx&amp;sheet=A0&amp;row=2986&amp;col=7&amp;number=0&amp;sourceID=14","0")</f>
        <v>0</v>
      </c>
    </row>
    <row r="2987" spans="1:7">
      <c r="A2987" s="3">
        <v>14</v>
      </c>
      <c r="B2987" s="3">
        <v>9</v>
      </c>
      <c r="C2987" s="3">
        <v>109</v>
      </c>
      <c r="D2987" s="3">
        <v>64</v>
      </c>
      <c r="E2987" s="3">
        <v>-1300.223</v>
      </c>
      <c r="F2987" s="4" t="str">
        <f>HYPERLINK("http://141.218.60.56/~jnz1568/getInfo.php?workbook=14_09.xlsx&amp;sheet=A0&amp;row=2987&amp;col=6&amp;number=2040000&amp;sourceID=14","2040000")</f>
        <v>2040000</v>
      </c>
      <c r="G2987" s="4" t="str">
        <f>HYPERLINK("http://141.218.60.56/~jnz1568/getInfo.php?workbook=14_09.xlsx&amp;sheet=A0&amp;row=2987&amp;col=7&amp;number=0&amp;sourceID=14","0")</f>
        <v>0</v>
      </c>
    </row>
    <row r="2988" spans="1:7">
      <c r="A2988" s="3">
        <v>14</v>
      </c>
      <c r="B2988" s="3">
        <v>9</v>
      </c>
      <c r="C2988" s="3">
        <v>113</v>
      </c>
      <c r="D2988" s="3">
        <v>64</v>
      </c>
      <c r="E2988" s="3">
        <v>-1288.762</v>
      </c>
      <c r="F2988" s="4" t="str">
        <f>HYPERLINK("http://141.218.60.56/~jnz1568/getInfo.php?workbook=14_09.xlsx&amp;sheet=A0&amp;row=2988&amp;col=6&amp;number=1140000&amp;sourceID=14","1140000")</f>
        <v>1140000</v>
      </c>
      <c r="G2988" s="4" t="str">
        <f>HYPERLINK("http://141.218.60.56/~jnz1568/getInfo.php?workbook=14_09.xlsx&amp;sheet=A0&amp;row=2988&amp;col=7&amp;number=0&amp;sourceID=14","0")</f>
        <v>0</v>
      </c>
    </row>
    <row r="2989" spans="1:7">
      <c r="A2989" s="3">
        <v>14</v>
      </c>
      <c r="B2989" s="3">
        <v>9</v>
      </c>
      <c r="C2989" s="3">
        <v>115</v>
      </c>
      <c r="D2989" s="3">
        <v>64</v>
      </c>
      <c r="E2989" s="3">
        <v>-1286.275</v>
      </c>
      <c r="F2989" s="4" t="str">
        <f>HYPERLINK("http://141.218.60.56/~jnz1568/getInfo.php?workbook=14_09.xlsx&amp;sheet=A0&amp;row=2989&amp;col=6&amp;number=1130000&amp;sourceID=14","1130000")</f>
        <v>1130000</v>
      </c>
      <c r="G2989" s="4" t="str">
        <f>HYPERLINK("http://141.218.60.56/~jnz1568/getInfo.php?workbook=14_09.xlsx&amp;sheet=A0&amp;row=2989&amp;col=7&amp;number=0&amp;sourceID=14","0")</f>
        <v>0</v>
      </c>
    </row>
    <row r="2990" spans="1:7">
      <c r="A2990" s="3">
        <v>14</v>
      </c>
      <c r="B2990" s="3">
        <v>9</v>
      </c>
      <c r="C2990" s="3">
        <v>116</v>
      </c>
      <c r="D2990" s="3">
        <v>64</v>
      </c>
      <c r="E2990" s="3">
        <v>-1285.812</v>
      </c>
      <c r="F2990" s="4" t="str">
        <f>HYPERLINK("http://141.218.60.56/~jnz1568/getInfo.php?workbook=14_09.xlsx&amp;sheet=A0&amp;row=2990&amp;col=6&amp;number=966000&amp;sourceID=14","966000")</f>
        <v>966000</v>
      </c>
      <c r="G2990" s="4" t="str">
        <f>HYPERLINK("http://141.218.60.56/~jnz1568/getInfo.php?workbook=14_09.xlsx&amp;sheet=A0&amp;row=2990&amp;col=7&amp;number=0&amp;sourceID=14","0")</f>
        <v>0</v>
      </c>
    </row>
    <row r="2991" spans="1:7">
      <c r="A2991" s="3">
        <v>14</v>
      </c>
      <c r="B2991" s="3">
        <v>9</v>
      </c>
      <c r="C2991" s="3">
        <v>118</v>
      </c>
      <c r="D2991" s="3">
        <v>64</v>
      </c>
      <c r="E2991" s="3">
        <v>-1241.498</v>
      </c>
      <c r="F2991" s="4" t="str">
        <f>HYPERLINK("http://141.218.60.56/~jnz1568/getInfo.php?workbook=14_09.xlsx&amp;sheet=A0&amp;row=2991&amp;col=6&amp;number=1480000&amp;sourceID=14","1480000")</f>
        <v>1480000</v>
      </c>
      <c r="G2991" s="4" t="str">
        <f>HYPERLINK("http://141.218.60.56/~jnz1568/getInfo.php?workbook=14_09.xlsx&amp;sheet=A0&amp;row=2991&amp;col=7&amp;number=0&amp;sourceID=14","0")</f>
        <v>0</v>
      </c>
    </row>
    <row r="2992" spans="1:7">
      <c r="A2992" s="3">
        <v>14</v>
      </c>
      <c r="B2992" s="3">
        <v>9</v>
      </c>
      <c r="C2992" s="3">
        <v>122</v>
      </c>
      <c r="D2992" s="3">
        <v>64</v>
      </c>
      <c r="E2992" s="3">
        <v>-1226.169</v>
      </c>
      <c r="F2992" s="4" t="str">
        <f>HYPERLINK("http://141.218.60.56/~jnz1568/getInfo.php?workbook=14_09.xlsx&amp;sheet=A0&amp;row=2992&amp;col=6&amp;number=2560000&amp;sourceID=14","2560000")</f>
        <v>2560000</v>
      </c>
      <c r="G2992" s="4" t="str">
        <f>HYPERLINK("http://141.218.60.56/~jnz1568/getInfo.php?workbook=14_09.xlsx&amp;sheet=A0&amp;row=2992&amp;col=7&amp;number=0&amp;sourceID=14","0")</f>
        <v>0</v>
      </c>
    </row>
    <row r="2993" spans="1:7">
      <c r="A2993" s="3">
        <v>14</v>
      </c>
      <c r="B2993" s="3">
        <v>9</v>
      </c>
      <c r="C2993" s="3">
        <v>124</v>
      </c>
      <c r="D2993" s="3">
        <v>64</v>
      </c>
      <c r="E2993" s="3">
        <v>-1209.441</v>
      </c>
      <c r="F2993" s="4" t="str">
        <f>HYPERLINK("http://141.218.60.56/~jnz1568/getInfo.php?workbook=14_09.xlsx&amp;sheet=A0&amp;row=2993&amp;col=6&amp;number=1200000&amp;sourceID=14","1200000")</f>
        <v>1200000</v>
      </c>
      <c r="G2993" s="4" t="str">
        <f>HYPERLINK("http://141.218.60.56/~jnz1568/getInfo.php?workbook=14_09.xlsx&amp;sheet=A0&amp;row=2993&amp;col=7&amp;number=0&amp;sourceID=14","0")</f>
        <v>0</v>
      </c>
    </row>
    <row r="2994" spans="1:7">
      <c r="A2994" s="3">
        <v>14</v>
      </c>
      <c r="B2994" s="3">
        <v>9</v>
      </c>
      <c r="C2994" s="3">
        <v>125</v>
      </c>
      <c r="D2994" s="3">
        <v>64</v>
      </c>
      <c r="E2994" s="3">
        <v>-1121.43</v>
      </c>
      <c r="F2994" s="4" t="str">
        <f>HYPERLINK("http://141.218.60.56/~jnz1568/getInfo.php?workbook=14_09.xlsx&amp;sheet=A0&amp;row=2994&amp;col=6&amp;number=245000000&amp;sourceID=14","245000000")</f>
        <v>245000000</v>
      </c>
      <c r="G2994" s="4" t="str">
        <f>HYPERLINK("http://141.218.60.56/~jnz1568/getInfo.php?workbook=14_09.xlsx&amp;sheet=A0&amp;row=2994&amp;col=7&amp;number=0&amp;sourceID=14","0")</f>
        <v>0</v>
      </c>
    </row>
    <row r="2995" spans="1:7">
      <c r="A2995" s="3">
        <v>14</v>
      </c>
      <c r="B2995" s="3">
        <v>9</v>
      </c>
      <c r="C2995" s="3">
        <v>126</v>
      </c>
      <c r="D2995" s="3">
        <v>64</v>
      </c>
      <c r="E2995" s="3">
        <v>-1096.133</v>
      </c>
      <c r="F2995" s="4" t="str">
        <f>HYPERLINK("http://141.218.60.56/~jnz1568/getInfo.php?workbook=14_09.xlsx&amp;sheet=A0&amp;row=2995&amp;col=6&amp;number=84700000&amp;sourceID=14","84700000")</f>
        <v>84700000</v>
      </c>
      <c r="G2995" s="4" t="str">
        <f>HYPERLINK("http://141.218.60.56/~jnz1568/getInfo.php?workbook=14_09.xlsx&amp;sheet=A0&amp;row=2995&amp;col=7&amp;number=0&amp;sourceID=14","0")</f>
        <v>0</v>
      </c>
    </row>
    <row r="2996" spans="1:7">
      <c r="A2996" s="3">
        <v>14</v>
      </c>
      <c r="B2996" s="3">
        <v>9</v>
      </c>
      <c r="C2996" s="3">
        <v>138</v>
      </c>
      <c r="D2996" s="3">
        <v>64</v>
      </c>
      <c r="E2996" s="3">
        <v>-811.69</v>
      </c>
      <c r="F2996" s="4" t="str">
        <f>HYPERLINK("http://141.218.60.56/~jnz1568/getInfo.php?workbook=14_09.xlsx&amp;sheet=A0&amp;row=2996&amp;col=6&amp;number=224000&amp;sourceID=14","224000")</f>
        <v>224000</v>
      </c>
      <c r="G2996" s="4" t="str">
        <f>HYPERLINK("http://141.218.60.56/~jnz1568/getInfo.php?workbook=14_09.xlsx&amp;sheet=A0&amp;row=2996&amp;col=7&amp;number=0&amp;sourceID=14","0")</f>
        <v>0</v>
      </c>
    </row>
    <row r="2997" spans="1:7">
      <c r="A2997" s="3">
        <v>14</v>
      </c>
      <c r="B2997" s="3">
        <v>9</v>
      </c>
      <c r="C2997" s="3">
        <v>139</v>
      </c>
      <c r="D2997" s="3">
        <v>64</v>
      </c>
      <c r="E2997" s="3">
        <v>-811.571</v>
      </c>
      <c r="F2997" s="4" t="str">
        <f>HYPERLINK("http://141.218.60.56/~jnz1568/getInfo.php?workbook=14_09.xlsx&amp;sheet=A0&amp;row=2997&amp;col=6&amp;number=377000&amp;sourceID=14","377000")</f>
        <v>377000</v>
      </c>
      <c r="G2997" s="4" t="str">
        <f>HYPERLINK("http://141.218.60.56/~jnz1568/getInfo.php?workbook=14_09.xlsx&amp;sheet=A0&amp;row=2997&amp;col=7&amp;number=0&amp;sourceID=14","0")</f>
        <v>0</v>
      </c>
    </row>
    <row r="2998" spans="1:7">
      <c r="A2998" s="3">
        <v>14</v>
      </c>
      <c r="B2998" s="3">
        <v>9</v>
      </c>
      <c r="C2998" s="3">
        <v>141</v>
      </c>
      <c r="D2998" s="3">
        <v>64</v>
      </c>
      <c r="E2998" s="3">
        <v>-802.653</v>
      </c>
      <c r="F2998" s="4" t="str">
        <f>HYPERLINK("http://141.218.60.56/~jnz1568/getInfo.php?workbook=14_09.xlsx&amp;sheet=A0&amp;row=2998&amp;col=6&amp;number=677000&amp;sourceID=14","677000")</f>
        <v>677000</v>
      </c>
      <c r="G2998" s="4" t="str">
        <f>HYPERLINK("http://141.218.60.56/~jnz1568/getInfo.php?workbook=14_09.xlsx&amp;sheet=A0&amp;row=2998&amp;col=7&amp;number=0&amp;sourceID=14","0")</f>
        <v>0</v>
      </c>
    </row>
    <row r="2999" spans="1:7">
      <c r="A2999" s="3">
        <v>14</v>
      </c>
      <c r="B2999" s="3">
        <v>9</v>
      </c>
      <c r="C2999" s="3">
        <v>142</v>
      </c>
      <c r="D2999" s="3">
        <v>64</v>
      </c>
      <c r="E2999" s="3">
        <v>-802.583</v>
      </c>
      <c r="F2999" s="4" t="str">
        <f>HYPERLINK("http://141.218.60.56/~jnz1568/getInfo.php?workbook=14_09.xlsx&amp;sheet=A0&amp;row=2999&amp;col=6&amp;number=259000&amp;sourceID=14","259000")</f>
        <v>259000</v>
      </c>
      <c r="G2999" s="4" t="str">
        <f>HYPERLINK("http://141.218.60.56/~jnz1568/getInfo.php?workbook=14_09.xlsx&amp;sheet=A0&amp;row=2999&amp;col=7&amp;number=0&amp;sourceID=14","0")</f>
        <v>0</v>
      </c>
    </row>
    <row r="3000" spans="1:7">
      <c r="A3000" s="3">
        <v>14</v>
      </c>
      <c r="B3000" s="3">
        <v>9</v>
      </c>
      <c r="C3000" s="3">
        <v>159</v>
      </c>
      <c r="D3000" s="3">
        <v>64</v>
      </c>
      <c r="E3000" s="3">
        <v>-686.051</v>
      </c>
      <c r="F3000" s="4" t="str">
        <f>HYPERLINK("http://141.218.60.56/~jnz1568/getInfo.php?workbook=14_09.xlsx&amp;sheet=A0&amp;row=3000&amp;col=6&amp;number=23700000&amp;sourceID=14","23700000")</f>
        <v>23700000</v>
      </c>
      <c r="G3000" s="4" t="str">
        <f>HYPERLINK("http://141.218.60.56/~jnz1568/getInfo.php?workbook=14_09.xlsx&amp;sheet=A0&amp;row=3000&amp;col=7&amp;number=0&amp;sourceID=14","0")</f>
        <v>0</v>
      </c>
    </row>
    <row r="3001" spans="1:7">
      <c r="A3001" s="3">
        <v>14</v>
      </c>
      <c r="B3001" s="3">
        <v>9</v>
      </c>
      <c r="C3001" s="3">
        <v>160</v>
      </c>
      <c r="D3001" s="3">
        <v>64</v>
      </c>
      <c r="E3001" s="3">
        <v>-685.463</v>
      </c>
      <c r="F3001" s="4" t="str">
        <f>HYPERLINK("http://141.218.60.56/~jnz1568/getInfo.php?workbook=14_09.xlsx&amp;sheet=A0&amp;row=3001&amp;col=6&amp;number=11000000&amp;sourceID=14","11000000")</f>
        <v>11000000</v>
      </c>
      <c r="G3001" s="4" t="str">
        <f>HYPERLINK("http://141.218.60.56/~jnz1568/getInfo.php?workbook=14_09.xlsx&amp;sheet=A0&amp;row=3001&amp;col=7&amp;number=0&amp;sourceID=14","0")</f>
        <v>0</v>
      </c>
    </row>
    <row r="3002" spans="1:7">
      <c r="A3002" s="3">
        <v>14</v>
      </c>
      <c r="B3002" s="3">
        <v>9</v>
      </c>
      <c r="C3002" s="3">
        <v>166</v>
      </c>
      <c r="D3002" s="3">
        <v>64</v>
      </c>
      <c r="E3002" s="3">
        <v>-492.493</v>
      </c>
      <c r="F3002" s="4" t="str">
        <f>HYPERLINK("http://141.218.60.56/~jnz1568/getInfo.php?workbook=14_09.xlsx&amp;sheet=A0&amp;row=3002&amp;col=6&amp;number=35400000&amp;sourceID=14","35400000")</f>
        <v>35400000</v>
      </c>
      <c r="G3002" s="4" t="str">
        <f>HYPERLINK("http://141.218.60.56/~jnz1568/getInfo.php?workbook=14_09.xlsx&amp;sheet=A0&amp;row=3002&amp;col=7&amp;number=0&amp;sourceID=14","0")</f>
        <v>0</v>
      </c>
    </row>
    <row r="3003" spans="1:7">
      <c r="A3003" s="3">
        <v>14</v>
      </c>
      <c r="B3003" s="3">
        <v>9</v>
      </c>
      <c r="C3003" s="3">
        <v>167</v>
      </c>
      <c r="D3003" s="3">
        <v>64</v>
      </c>
      <c r="E3003" s="3">
        <v>-492.146</v>
      </c>
      <c r="F3003" s="4" t="str">
        <f>HYPERLINK("http://141.218.60.56/~jnz1568/getInfo.php?workbook=14_09.xlsx&amp;sheet=A0&amp;row=3003&amp;col=6&amp;number=16300000&amp;sourceID=14","16300000")</f>
        <v>16300000</v>
      </c>
      <c r="G3003" s="4" t="str">
        <f>HYPERLINK("http://141.218.60.56/~jnz1568/getInfo.php?workbook=14_09.xlsx&amp;sheet=A0&amp;row=3003&amp;col=7&amp;number=0&amp;sourceID=14","0")</f>
        <v>0</v>
      </c>
    </row>
    <row r="3004" spans="1:7">
      <c r="A3004" s="3">
        <v>14</v>
      </c>
      <c r="B3004" s="3">
        <v>9</v>
      </c>
      <c r="C3004" s="3">
        <v>168</v>
      </c>
      <c r="D3004" s="3">
        <v>64</v>
      </c>
      <c r="E3004" s="3">
        <v>-444.009</v>
      </c>
      <c r="F3004" s="4" t="str">
        <f>HYPERLINK("http://141.218.60.56/~jnz1568/getInfo.php?workbook=14_09.xlsx&amp;sheet=A0&amp;row=3004&amp;col=6&amp;number=961000&amp;sourceID=14","961000")</f>
        <v>961000</v>
      </c>
      <c r="G3004" s="4" t="str">
        <f>HYPERLINK("http://141.218.60.56/~jnz1568/getInfo.php?workbook=14_09.xlsx&amp;sheet=A0&amp;row=3004&amp;col=7&amp;number=0&amp;sourceID=14","0")</f>
        <v>0</v>
      </c>
    </row>
    <row r="3005" spans="1:7">
      <c r="A3005" s="3">
        <v>14</v>
      </c>
      <c r="B3005" s="3">
        <v>9</v>
      </c>
      <c r="C3005" s="3">
        <v>169</v>
      </c>
      <c r="D3005" s="3">
        <v>64</v>
      </c>
      <c r="E3005" s="3">
        <v>-442.389</v>
      </c>
      <c r="F3005" s="4" t="str">
        <f>HYPERLINK("http://141.218.60.56/~jnz1568/getInfo.php?workbook=14_09.xlsx&amp;sheet=A0&amp;row=3005&amp;col=6&amp;number=317000&amp;sourceID=14","317000")</f>
        <v>317000</v>
      </c>
      <c r="G3005" s="4" t="str">
        <f>HYPERLINK("http://141.218.60.56/~jnz1568/getInfo.php?workbook=14_09.xlsx&amp;sheet=A0&amp;row=3005&amp;col=7&amp;number=0&amp;sourceID=14","0")</f>
        <v>0</v>
      </c>
    </row>
    <row r="3006" spans="1:7">
      <c r="A3006" s="3">
        <v>14</v>
      </c>
      <c r="B3006" s="3">
        <v>9</v>
      </c>
      <c r="C3006" s="3">
        <v>176</v>
      </c>
      <c r="D3006" s="3">
        <v>64</v>
      </c>
      <c r="E3006" s="3">
        <v>-414.433</v>
      </c>
      <c r="F3006" s="4" t="str">
        <f>HYPERLINK("http://141.218.60.56/~jnz1568/getInfo.php?workbook=14_09.xlsx&amp;sheet=A0&amp;row=3006&amp;col=6&amp;number=3840000&amp;sourceID=14","3840000")</f>
        <v>3840000</v>
      </c>
      <c r="G3006" s="4" t="str">
        <f>HYPERLINK("http://141.218.60.56/~jnz1568/getInfo.php?workbook=14_09.xlsx&amp;sheet=A0&amp;row=3006&amp;col=7&amp;number=0&amp;sourceID=14","0")</f>
        <v>0</v>
      </c>
    </row>
    <row r="3007" spans="1:7">
      <c r="A3007" s="3">
        <v>14</v>
      </c>
      <c r="B3007" s="3">
        <v>9</v>
      </c>
      <c r="C3007" s="3">
        <v>178</v>
      </c>
      <c r="D3007" s="3">
        <v>64</v>
      </c>
      <c r="E3007" s="3">
        <v>-413.85</v>
      </c>
      <c r="F3007" s="4" t="str">
        <f>HYPERLINK("http://141.218.60.56/~jnz1568/getInfo.php?workbook=14_09.xlsx&amp;sheet=A0&amp;row=3007&amp;col=6&amp;number=1030000&amp;sourceID=14","1030000")</f>
        <v>1030000</v>
      </c>
      <c r="G3007" s="4" t="str">
        <f>HYPERLINK("http://141.218.60.56/~jnz1568/getInfo.php?workbook=14_09.xlsx&amp;sheet=A0&amp;row=3007&amp;col=7&amp;number=0&amp;sourceID=14","0")</f>
        <v>0</v>
      </c>
    </row>
    <row r="3008" spans="1:7">
      <c r="A3008" s="3">
        <v>14</v>
      </c>
      <c r="B3008" s="3">
        <v>9</v>
      </c>
      <c r="C3008" s="3">
        <v>179</v>
      </c>
      <c r="D3008" s="3">
        <v>64</v>
      </c>
      <c r="E3008" s="3">
        <v>-413.795</v>
      </c>
      <c r="F3008" s="4" t="str">
        <f>HYPERLINK("http://141.218.60.56/~jnz1568/getInfo.php?workbook=14_09.xlsx&amp;sheet=A0&amp;row=3008&amp;col=6&amp;number=3120000&amp;sourceID=14","3120000")</f>
        <v>3120000</v>
      </c>
      <c r="G3008" s="4" t="str">
        <f>HYPERLINK("http://141.218.60.56/~jnz1568/getInfo.php?workbook=14_09.xlsx&amp;sheet=A0&amp;row=3008&amp;col=7&amp;number=0&amp;sourceID=14","0")</f>
        <v>0</v>
      </c>
    </row>
    <row r="3009" spans="1:7">
      <c r="A3009" s="3">
        <v>14</v>
      </c>
      <c r="B3009" s="3">
        <v>9</v>
      </c>
      <c r="C3009" s="3">
        <v>181</v>
      </c>
      <c r="D3009" s="3">
        <v>64</v>
      </c>
      <c r="E3009" s="3">
        <v>-404.71</v>
      </c>
      <c r="F3009" s="4" t="str">
        <f>HYPERLINK("http://141.218.60.56/~jnz1568/getInfo.php?workbook=14_09.xlsx&amp;sheet=A0&amp;row=3009&amp;col=6&amp;number=3570000&amp;sourceID=14","3570000")</f>
        <v>3570000</v>
      </c>
      <c r="G3009" s="4" t="str">
        <f>HYPERLINK("http://141.218.60.56/~jnz1568/getInfo.php?workbook=14_09.xlsx&amp;sheet=A0&amp;row=3009&amp;col=7&amp;number=0&amp;sourceID=14","0")</f>
        <v>0</v>
      </c>
    </row>
    <row r="3010" spans="1:7">
      <c r="A3010" s="3">
        <v>14</v>
      </c>
      <c r="B3010" s="3">
        <v>9</v>
      </c>
      <c r="C3010" s="3">
        <v>182</v>
      </c>
      <c r="D3010" s="3">
        <v>64</v>
      </c>
      <c r="E3010" s="3">
        <v>-404.551</v>
      </c>
      <c r="F3010" s="4" t="str">
        <f>HYPERLINK("http://141.218.60.56/~jnz1568/getInfo.php?workbook=14_09.xlsx&amp;sheet=A0&amp;row=3010&amp;col=6&amp;number=354000&amp;sourceID=14","354000")</f>
        <v>354000</v>
      </c>
      <c r="G3010" s="4" t="str">
        <f>HYPERLINK("http://141.218.60.56/~jnz1568/getInfo.php?workbook=14_09.xlsx&amp;sheet=A0&amp;row=3010&amp;col=7&amp;number=0&amp;sourceID=14","0")</f>
        <v>0</v>
      </c>
    </row>
    <row r="3011" spans="1:7">
      <c r="A3011" s="3">
        <v>14</v>
      </c>
      <c r="B3011" s="3">
        <v>9</v>
      </c>
      <c r="C3011" s="3">
        <v>195</v>
      </c>
      <c r="D3011" s="3">
        <v>64</v>
      </c>
      <c r="E3011" s="3">
        <v>-252.885</v>
      </c>
      <c r="F3011" s="4" t="str">
        <f>HYPERLINK("http://141.218.60.56/~jnz1568/getInfo.php?workbook=14_09.xlsx&amp;sheet=A0&amp;row=3011&amp;col=6&amp;number=3720000&amp;sourceID=14","3720000")</f>
        <v>3720000</v>
      </c>
      <c r="G3011" s="4" t="str">
        <f>HYPERLINK("http://141.218.60.56/~jnz1568/getInfo.php?workbook=14_09.xlsx&amp;sheet=A0&amp;row=3011&amp;col=7&amp;number=0&amp;sourceID=14","0")</f>
        <v>0</v>
      </c>
    </row>
    <row r="3012" spans="1:7">
      <c r="A3012" s="3">
        <v>14</v>
      </c>
      <c r="B3012" s="3">
        <v>9</v>
      </c>
      <c r="C3012" s="3">
        <v>71</v>
      </c>
      <c r="D3012" s="3">
        <v>65</v>
      </c>
      <c r="E3012" s="3">
        <v>-3753.056</v>
      </c>
      <c r="F3012" s="4" t="str">
        <f>HYPERLINK("http://141.218.60.56/~jnz1568/getInfo.php?workbook=14_09.xlsx&amp;sheet=A0&amp;row=3012&amp;col=6&amp;number=3380000&amp;sourceID=14","3380000")</f>
        <v>3380000</v>
      </c>
      <c r="G3012" s="4" t="str">
        <f>HYPERLINK("http://141.218.60.56/~jnz1568/getInfo.php?workbook=14_09.xlsx&amp;sheet=A0&amp;row=3012&amp;col=7&amp;number=0&amp;sourceID=14","0")</f>
        <v>0</v>
      </c>
    </row>
    <row r="3013" spans="1:7">
      <c r="A3013" s="3">
        <v>14</v>
      </c>
      <c r="B3013" s="3">
        <v>9</v>
      </c>
      <c r="C3013" s="3">
        <v>73</v>
      </c>
      <c r="D3013" s="3">
        <v>65</v>
      </c>
      <c r="E3013" s="3">
        <v>-3601.144</v>
      </c>
      <c r="F3013" s="4" t="str">
        <f>HYPERLINK("http://141.218.60.56/~jnz1568/getInfo.php?workbook=14_09.xlsx&amp;sheet=A0&amp;row=3013&amp;col=6&amp;number=2970000&amp;sourceID=14","2970000")</f>
        <v>2970000</v>
      </c>
      <c r="G3013" s="4" t="str">
        <f>HYPERLINK("http://141.218.60.56/~jnz1568/getInfo.php?workbook=14_09.xlsx&amp;sheet=A0&amp;row=3013&amp;col=7&amp;number=0&amp;sourceID=14","0")</f>
        <v>0</v>
      </c>
    </row>
    <row r="3014" spans="1:7">
      <c r="A3014" s="3">
        <v>14</v>
      </c>
      <c r="B3014" s="3">
        <v>9</v>
      </c>
      <c r="C3014" s="3">
        <v>74</v>
      </c>
      <c r="D3014" s="3">
        <v>65</v>
      </c>
      <c r="E3014" s="3">
        <v>-3450.781</v>
      </c>
      <c r="F3014" s="4" t="str">
        <f>HYPERLINK("http://141.218.60.56/~jnz1568/getInfo.php?workbook=14_09.xlsx&amp;sheet=A0&amp;row=3014&amp;col=6&amp;number=16500000&amp;sourceID=14","16500000")</f>
        <v>16500000</v>
      </c>
      <c r="G3014" s="4" t="str">
        <f>HYPERLINK("http://141.218.60.56/~jnz1568/getInfo.php?workbook=14_09.xlsx&amp;sheet=A0&amp;row=3014&amp;col=7&amp;number=0&amp;sourceID=14","0")</f>
        <v>0</v>
      </c>
    </row>
    <row r="3015" spans="1:7">
      <c r="A3015" s="3">
        <v>14</v>
      </c>
      <c r="B3015" s="3">
        <v>9</v>
      </c>
      <c r="C3015" s="3">
        <v>75</v>
      </c>
      <c r="D3015" s="3">
        <v>65</v>
      </c>
      <c r="E3015" s="3">
        <v>-3385.705</v>
      </c>
      <c r="F3015" s="4" t="str">
        <f>HYPERLINK("http://141.218.60.56/~jnz1568/getInfo.php?workbook=14_09.xlsx&amp;sheet=A0&amp;row=3015&amp;col=6&amp;number=8310000&amp;sourceID=14","8310000")</f>
        <v>8310000</v>
      </c>
      <c r="G3015" s="4" t="str">
        <f>HYPERLINK("http://141.218.60.56/~jnz1568/getInfo.php?workbook=14_09.xlsx&amp;sheet=A0&amp;row=3015&amp;col=7&amp;number=0&amp;sourceID=14","0")</f>
        <v>0</v>
      </c>
    </row>
    <row r="3016" spans="1:7">
      <c r="A3016" s="3">
        <v>14</v>
      </c>
      <c r="B3016" s="3">
        <v>9</v>
      </c>
      <c r="C3016" s="3">
        <v>76</v>
      </c>
      <c r="D3016" s="3">
        <v>65</v>
      </c>
      <c r="E3016" s="3">
        <v>-3353.235</v>
      </c>
      <c r="F3016" s="4" t="str">
        <f>HYPERLINK("http://141.218.60.56/~jnz1568/getInfo.php?workbook=14_09.xlsx&amp;sheet=A0&amp;row=3016&amp;col=6&amp;number=103000000&amp;sourceID=14","103000000")</f>
        <v>103000000</v>
      </c>
      <c r="G3016" s="4" t="str">
        <f>HYPERLINK("http://141.218.60.56/~jnz1568/getInfo.php?workbook=14_09.xlsx&amp;sheet=A0&amp;row=3016&amp;col=7&amp;number=0&amp;sourceID=14","0")</f>
        <v>0</v>
      </c>
    </row>
    <row r="3017" spans="1:7">
      <c r="A3017" s="3">
        <v>14</v>
      </c>
      <c r="B3017" s="3">
        <v>9</v>
      </c>
      <c r="C3017" s="3">
        <v>77</v>
      </c>
      <c r="D3017" s="3">
        <v>65</v>
      </c>
      <c r="E3017" s="3">
        <v>-2707.611</v>
      </c>
      <c r="F3017" s="4" t="str">
        <f>HYPERLINK("http://141.218.60.56/~jnz1568/getInfo.php?workbook=14_09.xlsx&amp;sheet=A0&amp;row=3017&amp;col=6&amp;number=89800000&amp;sourceID=14","89800000")</f>
        <v>89800000</v>
      </c>
      <c r="G3017" s="4" t="str">
        <f>HYPERLINK("http://141.218.60.56/~jnz1568/getInfo.php?workbook=14_09.xlsx&amp;sheet=A0&amp;row=3017&amp;col=7&amp;number=0&amp;sourceID=14","0")</f>
        <v>0</v>
      </c>
    </row>
    <row r="3018" spans="1:7">
      <c r="A3018" s="3">
        <v>14</v>
      </c>
      <c r="B3018" s="3">
        <v>9</v>
      </c>
      <c r="C3018" s="3">
        <v>78</v>
      </c>
      <c r="D3018" s="3">
        <v>65</v>
      </c>
      <c r="E3018" s="3">
        <v>-2645.018</v>
      </c>
      <c r="F3018" s="4" t="str">
        <f>HYPERLINK("http://141.218.60.56/~jnz1568/getInfo.php?workbook=14_09.xlsx&amp;sheet=A0&amp;row=3018&amp;col=6&amp;number=270000000&amp;sourceID=14","270000000")</f>
        <v>270000000</v>
      </c>
      <c r="G3018" s="4" t="str">
        <f>HYPERLINK("http://141.218.60.56/~jnz1568/getInfo.php?workbook=14_09.xlsx&amp;sheet=A0&amp;row=3018&amp;col=7&amp;number=0&amp;sourceID=14","0")</f>
        <v>0</v>
      </c>
    </row>
    <row r="3019" spans="1:7">
      <c r="A3019" s="3">
        <v>14</v>
      </c>
      <c r="B3019" s="3">
        <v>9</v>
      </c>
      <c r="C3019" s="3">
        <v>82</v>
      </c>
      <c r="D3019" s="3">
        <v>65</v>
      </c>
      <c r="E3019" s="3">
        <v>-2259.33</v>
      </c>
      <c r="F3019" s="4" t="str">
        <f>HYPERLINK("http://141.218.60.56/~jnz1568/getInfo.php?workbook=14_09.xlsx&amp;sheet=A0&amp;row=3019&amp;col=6&amp;number=5520000&amp;sourceID=14","5520000")</f>
        <v>5520000</v>
      </c>
      <c r="G3019" s="4" t="str">
        <f>HYPERLINK("http://141.218.60.56/~jnz1568/getInfo.php?workbook=14_09.xlsx&amp;sheet=A0&amp;row=3019&amp;col=7&amp;number=0&amp;sourceID=14","0")</f>
        <v>0</v>
      </c>
    </row>
    <row r="3020" spans="1:7">
      <c r="A3020" s="3">
        <v>14</v>
      </c>
      <c r="B3020" s="3">
        <v>9</v>
      </c>
      <c r="C3020" s="3">
        <v>83</v>
      </c>
      <c r="D3020" s="3">
        <v>65</v>
      </c>
      <c r="E3020" s="3">
        <v>-2177.42</v>
      </c>
      <c r="F3020" s="4" t="str">
        <f>HYPERLINK("http://141.218.60.56/~jnz1568/getInfo.php?workbook=14_09.xlsx&amp;sheet=A0&amp;row=3020&amp;col=6&amp;number=153000&amp;sourceID=14","153000")</f>
        <v>153000</v>
      </c>
      <c r="G3020" s="4" t="str">
        <f>HYPERLINK("http://141.218.60.56/~jnz1568/getInfo.php?workbook=14_09.xlsx&amp;sheet=A0&amp;row=3020&amp;col=7&amp;number=0&amp;sourceID=14","0")</f>
        <v>0</v>
      </c>
    </row>
    <row r="3021" spans="1:7">
      <c r="A3021" s="3">
        <v>14</v>
      </c>
      <c r="B3021" s="3">
        <v>9</v>
      </c>
      <c r="C3021" s="3">
        <v>85</v>
      </c>
      <c r="D3021" s="3">
        <v>65</v>
      </c>
      <c r="E3021" s="3">
        <v>-1750.244</v>
      </c>
      <c r="F3021" s="4" t="str">
        <f>HYPERLINK("http://141.218.60.56/~jnz1568/getInfo.php?workbook=14_09.xlsx&amp;sheet=A0&amp;row=3021&amp;col=6&amp;number=4310000&amp;sourceID=14","4310000")</f>
        <v>4310000</v>
      </c>
      <c r="G3021" s="4" t="str">
        <f>HYPERLINK("http://141.218.60.56/~jnz1568/getInfo.php?workbook=14_09.xlsx&amp;sheet=A0&amp;row=3021&amp;col=7&amp;number=0&amp;sourceID=14","0")</f>
        <v>0</v>
      </c>
    </row>
    <row r="3022" spans="1:7">
      <c r="A3022" s="3">
        <v>14</v>
      </c>
      <c r="B3022" s="3">
        <v>9</v>
      </c>
      <c r="C3022" s="3">
        <v>108</v>
      </c>
      <c r="D3022" s="3">
        <v>65</v>
      </c>
      <c r="E3022" s="3">
        <v>-1362.048</v>
      </c>
      <c r="F3022" s="4" t="str">
        <f>HYPERLINK("http://141.218.60.56/~jnz1568/getInfo.php?workbook=14_09.xlsx&amp;sheet=A0&amp;row=3022&amp;col=6&amp;number=723000&amp;sourceID=14","723000")</f>
        <v>723000</v>
      </c>
      <c r="G3022" s="4" t="str">
        <f>HYPERLINK("http://141.218.60.56/~jnz1568/getInfo.php?workbook=14_09.xlsx&amp;sheet=A0&amp;row=3022&amp;col=7&amp;number=0&amp;sourceID=14","0")</f>
        <v>0</v>
      </c>
    </row>
    <row r="3023" spans="1:7">
      <c r="A3023" s="3">
        <v>14</v>
      </c>
      <c r="B3023" s="3">
        <v>9</v>
      </c>
      <c r="C3023" s="3">
        <v>113</v>
      </c>
      <c r="D3023" s="3">
        <v>65</v>
      </c>
      <c r="E3023" s="3">
        <v>-1344.576</v>
      </c>
      <c r="F3023" s="4" t="str">
        <f>HYPERLINK("http://141.218.60.56/~jnz1568/getInfo.php?workbook=14_09.xlsx&amp;sheet=A0&amp;row=3023&amp;col=6&amp;number=2190000&amp;sourceID=14","2190000")</f>
        <v>2190000</v>
      </c>
      <c r="G3023" s="4" t="str">
        <f>HYPERLINK("http://141.218.60.56/~jnz1568/getInfo.php?workbook=14_09.xlsx&amp;sheet=A0&amp;row=3023&amp;col=7&amp;number=0&amp;sourceID=14","0")</f>
        <v>0</v>
      </c>
    </row>
    <row r="3024" spans="1:7">
      <c r="A3024" s="3">
        <v>14</v>
      </c>
      <c r="B3024" s="3">
        <v>9</v>
      </c>
      <c r="C3024" s="3">
        <v>116</v>
      </c>
      <c r="D3024" s="3">
        <v>65</v>
      </c>
      <c r="E3024" s="3">
        <v>-1341.366</v>
      </c>
      <c r="F3024" s="4" t="str">
        <f>HYPERLINK("http://141.218.60.56/~jnz1568/getInfo.php?workbook=14_09.xlsx&amp;sheet=A0&amp;row=3024&amp;col=6&amp;number=2430000&amp;sourceID=14","2430000")</f>
        <v>2430000</v>
      </c>
      <c r="G3024" s="4" t="str">
        <f>HYPERLINK("http://141.218.60.56/~jnz1568/getInfo.php?workbook=14_09.xlsx&amp;sheet=A0&amp;row=3024&amp;col=7&amp;number=0&amp;sourceID=14","0")</f>
        <v>0</v>
      </c>
    </row>
    <row r="3025" spans="1:7">
      <c r="A3025" s="3">
        <v>14</v>
      </c>
      <c r="B3025" s="3">
        <v>9</v>
      </c>
      <c r="C3025" s="3">
        <v>117</v>
      </c>
      <c r="D3025" s="3">
        <v>65</v>
      </c>
      <c r="E3025" s="3">
        <v>-1294.45</v>
      </c>
      <c r="F3025" s="4" t="str">
        <f>HYPERLINK("http://141.218.60.56/~jnz1568/getInfo.php?workbook=14_09.xlsx&amp;sheet=A0&amp;row=3025&amp;col=6&amp;number=1790000&amp;sourceID=14","1790000")</f>
        <v>1790000</v>
      </c>
      <c r="G3025" s="4" t="str">
        <f>HYPERLINK("http://141.218.60.56/~jnz1568/getInfo.php?workbook=14_09.xlsx&amp;sheet=A0&amp;row=3025&amp;col=7&amp;number=0&amp;sourceID=14","0")</f>
        <v>0</v>
      </c>
    </row>
    <row r="3026" spans="1:7">
      <c r="A3026" s="3">
        <v>14</v>
      </c>
      <c r="B3026" s="3">
        <v>9</v>
      </c>
      <c r="C3026" s="3">
        <v>125</v>
      </c>
      <c r="D3026" s="3">
        <v>65</v>
      </c>
      <c r="E3026" s="3">
        <v>-1163.456</v>
      </c>
      <c r="F3026" s="4" t="str">
        <f>HYPERLINK("http://141.218.60.56/~jnz1568/getInfo.php?workbook=14_09.xlsx&amp;sheet=A0&amp;row=3026&amp;col=6&amp;number=60400000&amp;sourceID=14","60400000")</f>
        <v>60400000</v>
      </c>
      <c r="G3026" s="4" t="str">
        <f>HYPERLINK("http://141.218.60.56/~jnz1568/getInfo.php?workbook=14_09.xlsx&amp;sheet=A0&amp;row=3026&amp;col=7&amp;number=0&amp;sourceID=14","0")</f>
        <v>0</v>
      </c>
    </row>
    <row r="3027" spans="1:7">
      <c r="A3027" s="3">
        <v>14</v>
      </c>
      <c r="B3027" s="3">
        <v>9</v>
      </c>
      <c r="C3027" s="3">
        <v>126</v>
      </c>
      <c r="D3027" s="3">
        <v>65</v>
      </c>
      <c r="E3027" s="3">
        <v>-1136.249</v>
      </c>
      <c r="F3027" s="4" t="str">
        <f>HYPERLINK("http://141.218.60.56/~jnz1568/getInfo.php?workbook=14_09.xlsx&amp;sheet=A0&amp;row=3027&amp;col=6&amp;number=229000000&amp;sourceID=14","229000000")</f>
        <v>229000000</v>
      </c>
      <c r="G3027" s="4" t="str">
        <f>HYPERLINK("http://141.218.60.56/~jnz1568/getInfo.php?workbook=14_09.xlsx&amp;sheet=A0&amp;row=3027&amp;col=7&amp;number=0&amp;sourceID=14","0")</f>
        <v>0</v>
      </c>
    </row>
    <row r="3028" spans="1:7">
      <c r="A3028" s="3">
        <v>14</v>
      </c>
      <c r="B3028" s="3">
        <v>9</v>
      </c>
      <c r="C3028" s="3">
        <v>138</v>
      </c>
      <c r="D3028" s="3">
        <v>65</v>
      </c>
      <c r="E3028" s="3">
        <v>-833.481</v>
      </c>
      <c r="F3028" s="4" t="str">
        <f>HYPERLINK("http://141.218.60.56/~jnz1568/getInfo.php?workbook=14_09.xlsx&amp;sheet=A0&amp;row=3028&amp;col=6&amp;number=674000&amp;sourceID=14","674000")</f>
        <v>674000</v>
      </c>
      <c r="G3028" s="4" t="str">
        <f>HYPERLINK("http://141.218.60.56/~jnz1568/getInfo.php?workbook=14_09.xlsx&amp;sheet=A0&amp;row=3028&amp;col=7&amp;number=0&amp;sourceID=14","0")</f>
        <v>0</v>
      </c>
    </row>
    <row r="3029" spans="1:7">
      <c r="A3029" s="3">
        <v>14</v>
      </c>
      <c r="B3029" s="3">
        <v>9</v>
      </c>
      <c r="C3029" s="3">
        <v>142</v>
      </c>
      <c r="D3029" s="3">
        <v>65</v>
      </c>
      <c r="E3029" s="3">
        <v>-823.881</v>
      </c>
      <c r="F3029" s="4" t="str">
        <f>HYPERLINK("http://141.218.60.56/~jnz1568/getInfo.php?workbook=14_09.xlsx&amp;sheet=A0&amp;row=3029&amp;col=6&amp;number=1090000&amp;sourceID=14","1090000")</f>
        <v>1090000</v>
      </c>
      <c r="G3029" s="4" t="str">
        <f>HYPERLINK("http://141.218.60.56/~jnz1568/getInfo.php?workbook=14_09.xlsx&amp;sheet=A0&amp;row=3029&amp;col=7&amp;number=0&amp;sourceID=14","0")</f>
        <v>0</v>
      </c>
    </row>
    <row r="3030" spans="1:7">
      <c r="A3030" s="3">
        <v>14</v>
      </c>
      <c r="B3030" s="3">
        <v>9</v>
      </c>
      <c r="C3030" s="3">
        <v>159</v>
      </c>
      <c r="D3030" s="3">
        <v>65</v>
      </c>
      <c r="E3030" s="3">
        <v>-701.554</v>
      </c>
      <c r="F3030" s="4" t="str">
        <f>HYPERLINK("http://141.218.60.56/~jnz1568/getInfo.php?workbook=14_09.xlsx&amp;sheet=A0&amp;row=3030&amp;col=6&amp;number=6100000&amp;sourceID=14","6100000")</f>
        <v>6100000</v>
      </c>
      <c r="G3030" s="4" t="str">
        <f>HYPERLINK("http://141.218.60.56/~jnz1568/getInfo.php?workbook=14_09.xlsx&amp;sheet=A0&amp;row=3030&amp;col=7&amp;number=0&amp;sourceID=14","0")</f>
        <v>0</v>
      </c>
    </row>
    <row r="3031" spans="1:7">
      <c r="A3031" s="3">
        <v>14</v>
      </c>
      <c r="B3031" s="3">
        <v>9</v>
      </c>
      <c r="C3031" s="3">
        <v>160</v>
      </c>
      <c r="D3031" s="3">
        <v>65</v>
      </c>
      <c r="E3031" s="3">
        <v>-700.939</v>
      </c>
      <c r="F3031" s="4" t="str">
        <f>HYPERLINK("http://141.218.60.56/~jnz1568/getInfo.php?workbook=14_09.xlsx&amp;sheet=A0&amp;row=3031&amp;col=6&amp;number=27100000&amp;sourceID=14","27100000")</f>
        <v>27100000</v>
      </c>
      <c r="G3031" s="4" t="str">
        <f>HYPERLINK("http://141.218.60.56/~jnz1568/getInfo.php?workbook=14_09.xlsx&amp;sheet=A0&amp;row=3031&amp;col=7&amp;number=0&amp;sourceID=14","0")</f>
        <v>0</v>
      </c>
    </row>
    <row r="3032" spans="1:7">
      <c r="A3032" s="3">
        <v>14</v>
      </c>
      <c r="B3032" s="3">
        <v>9</v>
      </c>
      <c r="C3032" s="3">
        <v>166</v>
      </c>
      <c r="D3032" s="3">
        <v>65</v>
      </c>
      <c r="E3032" s="3">
        <v>-500.431</v>
      </c>
      <c r="F3032" s="4" t="str">
        <f>HYPERLINK("http://141.218.60.56/~jnz1568/getInfo.php?workbook=14_09.xlsx&amp;sheet=A0&amp;row=3032&amp;col=6&amp;number=8400000&amp;sourceID=14","8400000")</f>
        <v>8400000</v>
      </c>
      <c r="G3032" s="4" t="str">
        <f>HYPERLINK("http://141.218.60.56/~jnz1568/getInfo.php?workbook=14_09.xlsx&amp;sheet=A0&amp;row=3032&amp;col=7&amp;number=0&amp;sourceID=14","0")</f>
        <v>0</v>
      </c>
    </row>
    <row r="3033" spans="1:7">
      <c r="A3033" s="3">
        <v>14</v>
      </c>
      <c r="B3033" s="3">
        <v>9</v>
      </c>
      <c r="C3033" s="3">
        <v>167</v>
      </c>
      <c r="D3033" s="3">
        <v>65</v>
      </c>
      <c r="E3033" s="3">
        <v>-500.073</v>
      </c>
      <c r="F3033" s="4" t="str">
        <f>HYPERLINK("http://141.218.60.56/~jnz1568/getInfo.php?workbook=14_09.xlsx&amp;sheet=A0&amp;row=3033&amp;col=6&amp;number=37400000&amp;sourceID=14","37400000")</f>
        <v>37400000</v>
      </c>
      <c r="G3033" s="4" t="str">
        <f>HYPERLINK("http://141.218.60.56/~jnz1568/getInfo.php?workbook=14_09.xlsx&amp;sheet=A0&amp;row=3033&amp;col=7&amp;number=0&amp;sourceID=14","0")</f>
        <v>0</v>
      </c>
    </row>
    <row r="3034" spans="1:7">
      <c r="A3034" s="3">
        <v>14</v>
      </c>
      <c r="B3034" s="3">
        <v>9</v>
      </c>
      <c r="C3034" s="3">
        <v>178</v>
      </c>
      <c r="D3034" s="3">
        <v>65</v>
      </c>
      <c r="E3034" s="3">
        <v>-419.441</v>
      </c>
      <c r="F3034" s="4" t="str">
        <f>HYPERLINK("http://141.218.60.56/~jnz1568/getInfo.php?workbook=14_09.xlsx&amp;sheet=A0&amp;row=3034&amp;col=6&amp;number=885000&amp;sourceID=14","885000")</f>
        <v>885000</v>
      </c>
      <c r="G3034" s="4" t="str">
        <f>HYPERLINK("http://141.218.60.56/~jnz1568/getInfo.php?workbook=14_09.xlsx&amp;sheet=A0&amp;row=3034&amp;col=7&amp;number=0&amp;sourceID=14","0")</f>
        <v>0</v>
      </c>
    </row>
    <row r="3035" spans="1:7">
      <c r="A3035" s="3">
        <v>14</v>
      </c>
      <c r="B3035" s="3">
        <v>9</v>
      </c>
      <c r="C3035" s="3">
        <v>179</v>
      </c>
      <c r="D3035" s="3">
        <v>65</v>
      </c>
      <c r="E3035" s="3">
        <v>-419.385</v>
      </c>
      <c r="F3035" s="4" t="str">
        <f>HYPERLINK("http://141.218.60.56/~jnz1568/getInfo.php?workbook=14_09.xlsx&amp;sheet=A0&amp;row=3035&amp;col=6&amp;number=261000&amp;sourceID=14","261000")</f>
        <v>261000</v>
      </c>
      <c r="G3035" s="4" t="str">
        <f>HYPERLINK("http://141.218.60.56/~jnz1568/getInfo.php?workbook=14_09.xlsx&amp;sheet=A0&amp;row=3035&amp;col=7&amp;number=0&amp;sourceID=14","0")</f>
        <v>0</v>
      </c>
    </row>
    <row r="3036" spans="1:7">
      <c r="A3036" s="3">
        <v>14</v>
      </c>
      <c r="B3036" s="3">
        <v>9</v>
      </c>
      <c r="C3036" s="3">
        <v>182</v>
      </c>
      <c r="D3036" s="3">
        <v>65</v>
      </c>
      <c r="E3036" s="3">
        <v>-409.892</v>
      </c>
      <c r="F3036" s="4" t="str">
        <f>HYPERLINK("http://141.218.60.56/~jnz1568/getInfo.php?workbook=14_09.xlsx&amp;sheet=A0&amp;row=3036&amp;col=6&amp;number=3130000&amp;sourceID=14","3130000")</f>
        <v>3130000</v>
      </c>
      <c r="G3036" s="4" t="str">
        <f>HYPERLINK("http://141.218.60.56/~jnz1568/getInfo.php?workbook=14_09.xlsx&amp;sheet=A0&amp;row=3036&amp;col=7&amp;number=0&amp;sourceID=14","0")</f>
        <v>0</v>
      </c>
    </row>
    <row r="3037" spans="1:7">
      <c r="A3037" s="3">
        <v>14</v>
      </c>
      <c r="B3037" s="3">
        <v>9</v>
      </c>
      <c r="C3037" s="3">
        <v>194</v>
      </c>
      <c r="D3037" s="3">
        <v>65</v>
      </c>
      <c r="E3037" s="3">
        <v>-255.006</v>
      </c>
      <c r="F3037" s="4" t="str">
        <f>HYPERLINK("http://141.218.60.56/~jnz1568/getInfo.php?workbook=14_09.xlsx&amp;sheet=A0&amp;row=3037&amp;col=6&amp;number=3600000&amp;sourceID=14","3600000")</f>
        <v>3600000</v>
      </c>
      <c r="G3037" s="4" t="str">
        <f>HYPERLINK("http://141.218.60.56/~jnz1568/getInfo.php?workbook=14_09.xlsx&amp;sheet=A0&amp;row=3037&amp;col=7&amp;number=0&amp;sourceID=14","0")</f>
        <v>0</v>
      </c>
    </row>
    <row r="3038" spans="1:7">
      <c r="A3038" s="3">
        <v>14</v>
      </c>
      <c r="B3038" s="3">
        <v>9</v>
      </c>
      <c r="C3038" s="3">
        <v>86</v>
      </c>
      <c r="D3038" s="3">
        <v>66</v>
      </c>
      <c r="E3038" s="3">
        <v>-2267.064</v>
      </c>
      <c r="F3038" s="4" t="str">
        <f>HYPERLINK("http://141.218.60.56/~jnz1568/getInfo.php?workbook=14_09.xlsx&amp;sheet=A0&amp;row=3038&amp;col=6&amp;number=426000000&amp;sourceID=14","426000000")</f>
        <v>426000000</v>
      </c>
      <c r="G3038" s="4" t="str">
        <f>HYPERLINK("http://141.218.60.56/~jnz1568/getInfo.php?workbook=14_09.xlsx&amp;sheet=A0&amp;row=3038&amp;col=7&amp;number=0&amp;sourceID=14","0")</f>
        <v>0</v>
      </c>
    </row>
    <row r="3039" spans="1:7">
      <c r="A3039" s="3">
        <v>14</v>
      </c>
      <c r="B3039" s="3">
        <v>9</v>
      </c>
      <c r="C3039" s="3">
        <v>87</v>
      </c>
      <c r="D3039" s="3">
        <v>66</v>
      </c>
      <c r="E3039" s="3">
        <v>-2251.496</v>
      </c>
      <c r="F3039" s="4" t="str">
        <f>HYPERLINK("http://141.218.60.56/~jnz1568/getInfo.php?workbook=14_09.xlsx&amp;sheet=A0&amp;row=3039&amp;col=6&amp;number=257000000&amp;sourceID=14","257000000")</f>
        <v>257000000</v>
      </c>
      <c r="G3039" s="4" t="str">
        <f>HYPERLINK("http://141.218.60.56/~jnz1568/getInfo.php?workbook=14_09.xlsx&amp;sheet=A0&amp;row=3039&amp;col=7&amp;number=0&amp;sourceID=14","0")</f>
        <v>0</v>
      </c>
    </row>
    <row r="3040" spans="1:7">
      <c r="A3040" s="3">
        <v>14</v>
      </c>
      <c r="B3040" s="3">
        <v>9</v>
      </c>
      <c r="C3040" s="3">
        <v>88</v>
      </c>
      <c r="D3040" s="3">
        <v>66</v>
      </c>
      <c r="E3040" s="3">
        <v>-2221.535</v>
      </c>
      <c r="F3040" s="4" t="str">
        <f>HYPERLINK("http://141.218.60.56/~jnz1568/getInfo.php?workbook=14_09.xlsx&amp;sheet=A0&amp;row=3040&amp;col=6&amp;number=88000000&amp;sourceID=14","88000000")</f>
        <v>88000000</v>
      </c>
      <c r="G3040" s="4" t="str">
        <f>HYPERLINK("http://141.218.60.56/~jnz1568/getInfo.php?workbook=14_09.xlsx&amp;sheet=A0&amp;row=3040&amp;col=7&amp;number=0&amp;sourceID=14","0")</f>
        <v>0</v>
      </c>
    </row>
    <row r="3041" spans="1:7">
      <c r="A3041" s="3">
        <v>14</v>
      </c>
      <c r="B3041" s="3">
        <v>9</v>
      </c>
      <c r="C3041" s="3">
        <v>91</v>
      </c>
      <c r="D3041" s="3">
        <v>66</v>
      </c>
      <c r="E3041" s="3">
        <v>-2084.597</v>
      </c>
      <c r="F3041" s="4" t="str">
        <f>HYPERLINK("http://141.218.60.56/~jnz1568/getInfo.php?workbook=14_09.xlsx&amp;sheet=A0&amp;row=3041&amp;col=6&amp;number=3880000&amp;sourceID=14","3880000")</f>
        <v>3880000</v>
      </c>
      <c r="G3041" s="4" t="str">
        <f>HYPERLINK("http://141.218.60.56/~jnz1568/getInfo.php?workbook=14_09.xlsx&amp;sheet=A0&amp;row=3041&amp;col=7&amp;number=0&amp;sourceID=14","0")</f>
        <v>0</v>
      </c>
    </row>
    <row r="3042" spans="1:7">
      <c r="A3042" s="3">
        <v>14</v>
      </c>
      <c r="B3042" s="3">
        <v>9</v>
      </c>
      <c r="C3042" s="3">
        <v>93</v>
      </c>
      <c r="D3042" s="3">
        <v>66</v>
      </c>
      <c r="E3042" s="3">
        <v>-2012.4</v>
      </c>
      <c r="F3042" s="4" t="str">
        <f>HYPERLINK("http://141.218.60.56/~jnz1568/getInfo.php?workbook=14_09.xlsx&amp;sheet=A0&amp;row=3042&amp;col=6&amp;number=28300000&amp;sourceID=14","28300000")</f>
        <v>28300000</v>
      </c>
      <c r="G3042" s="4" t="str">
        <f>HYPERLINK("http://141.218.60.56/~jnz1568/getInfo.php?workbook=14_09.xlsx&amp;sheet=A0&amp;row=3042&amp;col=7&amp;number=0&amp;sourceID=14","0")</f>
        <v>0</v>
      </c>
    </row>
    <row r="3043" spans="1:7">
      <c r="A3043" s="3">
        <v>14</v>
      </c>
      <c r="B3043" s="3">
        <v>9</v>
      </c>
      <c r="C3043" s="3">
        <v>94</v>
      </c>
      <c r="D3043" s="3">
        <v>66</v>
      </c>
      <c r="E3043" s="3">
        <v>-2003.49</v>
      </c>
      <c r="F3043" s="4" t="str">
        <f>HYPERLINK("http://141.218.60.56/~jnz1568/getInfo.php?workbook=14_09.xlsx&amp;sheet=A0&amp;row=3043&amp;col=6&amp;number=94300000&amp;sourceID=14","94300000")</f>
        <v>94300000</v>
      </c>
      <c r="G3043" s="4" t="str">
        <f>HYPERLINK("http://141.218.60.56/~jnz1568/getInfo.php?workbook=14_09.xlsx&amp;sheet=A0&amp;row=3043&amp;col=7&amp;number=0&amp;sourceID=14","0")</f>
        <v>0</v>
      </c>
    </row>
    <row r="3044" spans="1:7">
      <c r="A3044" s="3">
        <v>14</v>
      </c>
      <c r="B3044" s="3">
        <v>9</v>
      </c>
      <c r="C3044" s="3">
        <v>95</v>
      </c>
      <c r="D3044" s="3">
        <v>66</v>
      </c>
      <c r="E3044" s="3">
        <v>-1970.486</v>
      </c>
      <c r="F3044" s="4" t="str">
        <f>HYPERLINK("http://141.218.60.56/~jnz1568/getInfo.php?workbook=14_09.xlsx&amp;sheet=A0&amp;row=3044&amp;col=6&amp;number=10700000&amp;sourceID=14","10700000")</f>
        <v>10700000</v>
      </c>
      <c r="G3044" s="4" t="str">
        <f>HYPERLINK("http://141.218.60.56/~jnz1568/getInfo.php?workbook=14_09.xlsx&amp;sheet=A0&amp;row=3044&amp;col=7&amp;number=0&amp;sourceID=14","0")</f>
        <v>0</v>
      </c>
    </row>
    <row r="3045" spans="1:7">
      <c r="A3045" s="3">
        <v>14</v>
      </c>
      <c r="B3045" s="3">
        <v>9</v>
      </c>
      <c r="C3045" s="3">
        <v>96</v>
      </c>
      <c r="D3045" s="3">
        <v>66</v>
      </c>
      <c r="E3045" s="3">
        <v>-1951.299</v>
      </c>
      <c r="F3045" s="4" t="str">
        <f>HYPERLINK("http://141.218.60.56/~jnz1568/getInfo.php?workbook=14_09.xlsx&amp;sheet=A0&amp;row=3045&amp;col=6&amp;number=5970000&amp;sourceID=14","5970000")</f>
        <v>5970000</v>
      </c>
      <c r="G3045" s="4" t="str">
        <f>HYPERLINK("http://141.218.60.56/~jnz1568/getInfo.php?workbook=14_09.xlsx&amp;sheet=A0&amp;row=3045&amp;col=7&amp;number=0&amp;sourceID=14","0")</f>
        <v>0</v>
      </c>
    </row>
    <row r="3046" spans="1:7">
      <c r="A3046" s="3">
        <v>14</v>
      </c>
      <c r="B3046" s="3">
        <v>9</v>
      </c>
      <c r="C3046" s="3">
        <v>97</v>
      </c>
      <c r="D3046" s="3">
        <v>66</v>
      </c>
      <c r="E3046" s="3">
        <v>-1934.239</v>
      </c>
      <c r="F3046" s="4" t="str">
        <f>HYPERLINK("http://141.218.60.56/~jnz1568/getInfo.php?workbook=14_09.xlsx&amp;sheet=A0&amp;row=3046&amp;col=6&amp;number=89300000&amp;sourceID=14","89300000")</f>
        <v>89300000</v>
      </c>
      <c r="G3046" s="4" t="str">
        <f>HYPERLINK("http://141.218.60.56/~jnz1568/getInfo.php?workbook=14_09.xlsx&amp;sheet=A0&amp;row=3046&amp;col=7&amp;number=0&amp;sourceID=14","0")</f>
        <v>0</v>
      </c>
    </row>
    <row r="3047" spans="1:7">
      <c r="A3047" s="3">
        <v>14</v>
      </c>
      <c r="B3047" s="3">
        <v>9</v>
      </c>
      <c r="C3047" s="3">
        <v>98</v>
      </c>
      <c r="D3047" s="3">
        <v>66</v>
      </c>
      <c r="E3047" s="3">
        <v>-1903.714</v>
      </c>
      <c r="F3047" s="4" t="str">
        <f>HYPERLINK("http://141.218.60.56/~jnz1568/getInfo.php?workbook=14_09.xlsx&amp;sheet=A0&amp;row=3047&amp;col=6&amp;number=4010000&amp;sourceID=14","4010000")</f>
        <v>4010000</v>
      </c>
      <c r="G3047" s="4" t="str">
        <f>HYPERLINK("http://141.218.60.56/~jnz1568/getInfo.php?workbook=14_09.xlsx&amp;sheet=A0&amp;row=3047&amp;col=7&amp;number=0&amp;sourceID=14","0")</f>
        <v>0</v>
      </c>
    </row>
    <row r="3048" spans="1:7">
      <c r="A3048" s="3">
        <v>14</v>
      </c>
      <c r="B3048" s="3">
        <v>9</v>
      </c>
      <c r="C3048" s="3">
        <v>128</v>
      </c>
      <c r="D3048" s="3">
        <v>66</v>
      </c>
      <c r="E3048" s="3">
        <v>-1088.817</v>
      </c>
      <c r="F3048" s="4" t="str">
        <f>HYPERLINK("http://141.218.60.56/~jnz1568/getInfo.php?workbook=14_09.xlsx&amp;sheet=A0&amp;row=3048&amp;col=6&amp;number=122000000&amp;sourceID=14","122000000")</f>
        <v>122000000</v>
      </c>
      <c r="G3048" s="4" t="str">
        <f>HYPERLINK("http://141.218.60.56/~jnz1568/getInfo.php?workbook=14_09.xlsx&amp;sheet=A0&amp;row=3048&amp;col=7&amp;number=0&amp;sourceID=14","0")</f>
        <v>0</v>
      </c>
    </row>
    <row r="3049" spans="1:7">
      <c r="A3049" s="3">
        <v>14</v>
      </c>
      <c r="B3049" s="3">
        <v>9</v>
      </c>
      <c r="C3049" s="3">
        <v>133</v>
      </c>
      <c r="D3049" s="3">
        <v>66</v>
      </c>
      <c r="E3049" s="3">
        <v>-1026.917</v>
      </c>
      <c r="F3049" s="4" t="str">
        <f>HYPERLINK("http://141.218.60.56/~jnz1568/getInfo.php?workbook=14_09.xlsx&amp;sheet=A0&amp;row=3049&amp;col=6&amp;number=459000&amp;sourceID=14","459000")</f>
        <v>459000</v>
      </c>
      <c r="G3049" s="4" t="str">
        <f>HYPERLINK("http://141.218.60.56/~jnz1568/getInfo.php?workbook=14_09.xlsx&amp;sheet=A0&amp;row=3049&amp;col=7&amp;number=0&amp;sourceID=14","0")</f>
        <v>0</v>
      </c>
    </row>
    <row r="3050" spans="1:7">
      <c r="A3050" s="3">
        <v>14</v>
      </c>
      <c r="B3050" s="3">
        <v>9</v>
      </c>
      <c r="C3050" s="3">
        <v>140</v>
      </c>
      <c r="D3050" s="3">
        <v>66</v>
      </c>
      <c r="E3050" s="3">
        <v>-961.355</v>
      </c>
      <c r="F3050" s="4" t="str">
        <f>HYPERLINK("http://141.218.60.56/~jnz1568/getInfo.php?workbook=14_09.xlsx&amp;sheet=A0&amp;row=3050&amp;col=6&amp;number=266000000&amp;sourceID=14","266000000")</f>
        <v>266000000</v>
      </c>
      <c r="G3050" s="4" t="str">
        <f>HYPERLINK("http://141.218.60.56/~jnz1568/getInfo.php?workbook=14_09.xlsx&amp;sheet=A0&amp;row=3050&amp;col=7&amp;number=0&amp;sourceID=14","0")</f>
        <v>0</v>
      </c>
    </row>
    <row r="3051" spans="1:7">
      <c r="A3051" s="3">
        <v>14</v>
      </c>
      <c r="B3051" s="3">
        <v>9</v>
      </c>
      <c r="C3051" s="3">
        <v>145</v>
      </c>
      <c r="D3051" s="3">
        <v>66</v>
      </c>
      <c r="E3051" s="3">
        <v>-948.525</v>
      </c>
      <c r="F3051" s="4" t="str">
        <f>HYPERLINK("http://141.218.60.56/~jnz1568/getInfo.php?workbook=14_09.xlsx&amp;sheet=A0&amp;row=3051&amp;col=6&amp;number=115000000&amp;sourceID=14","115000000")</f>
        <v>115000000</v>
      </c>
      <c r="G3051" s="4" t="str">
        <f>HYPERLINK("http://141.218.60.56/~jnz1568/getInfo.php?workbook=14_09.xlsx&amp;sheet=A0&amp;row=3051&amp;col=7&amp;number=0&amp;sourceID=14","0")</f>
        <v>0</v>
      </c>
    </row>
    <row r="3052" spans="1:7">
      <c r="A3052" s="3">
        <v>14</v>
      </c>
      <c r="B3052" s="3">
        <v>9</v>
      </c>
      <c r="C3052" s="3">
        <v>148</v>
      </c>
      <c r="D3052" s="3">
        <v>66</v>
      </c>
      <c r="E3052" s="3">
        <v>-935.771</v>
      </c>
      <c r="F3052" s="4" t="str">
        <f>HYPERLINK("http://141.218.60.56/~jnz1568/getInfo.php?workbook=14_09.xlsx&amp;sheet=A0&amp;row=3052&amp;col=6&amp;number=24600000&amp;sourceID=14","24600000")</f>
        <v>24600000</v>
      </c>
      <c r="G3052" s="4" t="str">
        <f>HYPERLINK("http://141.218.60.56/~jnz1568/getInfo.php?workbook=14_09.xlsx&amp;sheet=A0&amp;row=3052&amp;col=7&amp;number=0&amp;sourceID=14","0")</f>
        <v>0</v>
      </c>
    </row>
    <row r="3053" spans="1:7">
      <c r="A3053" s="3">
        <v>14</v>
      </c>
      <c r="B3053" s="3">
        <v>9</v>
      </c>
      <c r="C3053" s="3">
        <v>152</v>
      </c>
      <c r="D3053" s="3">
        <v>66</v>
      </c>
      <c r="E3053" s="3">
        <v>-874.816</v>
      </c>
      <c r="F3053" s="4" t="str">
        <f>HYPERLINK("http://141.218.60.56/~jnz1568/getInfo.php?workbook=14_09.xlsx&amp;sheet=A0&amp;row=3053&amp;col=6&amp;number=108000000&amp;sourceID=14","108000000")</f>
        <v>108000000</v>
      </c>
      <c r="G3053" s="4" t="str">
        <f>HYPERLINK("http://141.218.60.56/~jnz1568/getInfo.php?workbook=14_09.xlsx&amp;sheet=A0&amp;row=3053&amp;col=7&amp;number=0&amp;sourceID=14","0")</f>
        <v>0</v>
      </c>
    </row>
    <row r="3054" spans="1:7">
      <c r="A3054" s="3">
        <v>14</v>
      </c>
      <c r="B3054" s="3">
        <v>9</v>
      </c>
      <c r="C3054" s="3">
        <v>153</v>
      </c>
      <c r="D3054" s="3">
        <v>66</v>
      </c>
      <c r="E3054" s="3">
        <v>-861.625</v>
      </c>
      <c r="F3054" s="4" t="str">
        <f>HYPERLINK("http://141.218.60.56/~jnz1568/getInfo.php?workbook=14_09.xlsx&amp;sheet=A0&amp;row=3054&amp;col=6&amp;number=29600000&amp;sourceID=14","29600000")</f>
        <v>29600000</v>
      </c>
      <c r="G3054" s="4" t="str">
        <f>HYPERLINK("http://141.218.60.56/~jnz1568/getInfo.php?workbook=14_09.xlsx&amp;sheet=A0&amp;row=3054&amp;col=7&amp;number=0&amp;sourceID=14","0")</f>
        <v>0</v>
      </c>
    </row>
    <row r="3055" spans="1:7">
      <c r="A3055" s="3">
        <v>14</v>
      </c>
      <c r="B3055" s="3">
        <v>9</v>
      </c>
      <c r="C3055" s="3">
        <v>154</v>
      </c>
      <c r="D3055" s="3">
        <v>66</v>
      </c>
      <c r="E3055" s="3">
        <v>-861.454</v>
      </c>
      <c r="F3055" s="4" t="str">
        <f>HYPERLINK("http://141.218.60.56/~jnz1568/getInfo.php?workbook=14_09.xlsx&amp;sheet=A0&amp;row=3055&amp;col=6&amp;number=86800000&amp;sourceID=14","86800000")</f>
        <v>86800000</v>
      </c>
      <c r="G3055" s="4" t="str">
        <f>HYPERLINK("http://141.218.60.56/~jnz1568/getInfo.php?workbook=14_09.xlsx&amp;sheet=A0&amp;row=3055&amp;col=7&amp;number=0&amp;sourceID=14","0")</f>
        <v>0</v>
      </c>
    </row>
    <row r="3056" spans="1:7">
      <c r="A3056" s="3">
        <v>14</v>
      </c>
      <c r="B3056" s="3">
        <v>9</v>
      </c>
      <c r="C3056" s="3">
        <v>156</v>
      </c>
      <c r="D3056" s="3">
        <v>66</v>
      </c>
      <c r="E3056" s="3">
        <v>-849.886</v>
      </c>
      <c r="F3056" s="4" t="str">
        <f>HYPERLINK("http://141.218.60.56/~jnz1568/getInfo.php?workbook=14_09.xlsx&amp;sheet=A0&amp;row=3056&amp;col=6&amp;number=4350000&amp;sourceID=14","4350000")</f>
        <v>4350000</v>
      </c>
      <c r="G3056" s="4" t="str">
        <f>HYPERLINK("http://141.218.60.56/~jnz1568/getInfo.php?workbook=14_09.xlsx&amp;sheet=A0&amp;row=3056&amp;col=7&amp;number=0&amp;sourceID=14","0")</f>
        <v>0</v>
      </c>
    </row>
    <row r="3057" spans="1:7">
      <c r="A3057" s="3">
        <v>14</v>
      </c>
      <c r="B3057" s="3">
        <v>9</v>
      </c>
      <c r="C3057" s="3">
        <v>157</v>
      </c>
      <c r="D3057" s="3">
        <v>66</v>
      </c>
      <c r="E3057" s="3">
        <v>-831.803</v>
      </c>
      <c r="F3057" s="4" t="str">
        <f>HYPERLINK("http://141.218.60.56/~jnz1568/getInfo.php?workbook=14_09.xlsx&amp;sheet=A0&amp;row=3057&amp;col=6&amp;number=4670000&amp;sourceID=14","4670000")</f>
        <v>4670000</v>
      </c>
      <c r="G3057" s="4" t="str">
        <f>HYPERLINK("http://141.218.60.56/~jnz1568/getInfo.php?workbook=14_09.xlsx&amp;sheet=A0&amp;row=3057&amp;col=7&amp;number=0&amp;sourceID=14","0")</f>
        <v>0</v>
      </c>
    </row>
    <row r="3058" spans="1:7">
      <c r="A3058" s="3">
        <v>14</v>
      </c>
      <c r="B3058" s="3">
        <v>9</v>
      </c>
      <c r="C3058" s="3">
        <v>87</v>
      </c>
      <c r="D3058" s="3">
        <v>67</v>
      </c>
      <c r="E3058" s="3">
        <v>-2330.518</v>
      </c>
      <c r="F3058" s="4" t="str">
        <f>HYPERLINK("http://141.218.60.56/~jnz1568/getInfo.php?workbook=14_09.xlsx&amp;sheet=A0&amp;row=3058&amp;col=6&amp;number=215000000&amp;sourceID=14","215000000")</f>
        <v>215000000</v>
      </c>
      <c r="G3058" s="4" t="str">
        <f>HYPERLINK("http://141.218.60.56/~jnz1568/getInfo.php?workbook=14_09.xlsx&amp;sheet=A0&amp;row=3058&amp;col=7&amp;number=0&amp;sourceID=14","0")</f>
        <v>0</v>
      </c>
    </row>
    <row r="3059" spans="1:7">
      <c r="A3059" s="3">
        <v>14</v>
      </c>
      <c r="B3059" s="3">
        <v>9</v>
      </c>
      <c r="C3059" s="3">
        <v>88</v>
      </c>
      <c r="D3059" s="3">
        <v>67</v>
      </c>
      <c r="E3059" s="3">
        <v>-2298.432</v>
      </c>
      <c r="F3059" s="4" t="str">
        <f>HYPERLINK("http://141.218.60.56/~jnz1568/getInfo.php?workbook=14_09.xlsx&amp;sheet=A0&amp;row=3059&amp;col=6&amp;number=329000000&amp;sourceID=14","329000000")</f>
        <v>329000000</v>
      </c>
      <c r="G3059" s="4" t="str">
        <f>HYPERLINK("http://141.218.60.56/~jnz1568/getInfo.php?workbook=14_09.xlsx&amp;sheet=A0&amp;row=3059&amp;col=7&amp;number=0&amp;sourceID=14","0")</f>
        <v>0</v>
      </c>
    </row>
    <row r="3060" spans="1:7">
      <c r="A3060" s="3">
        <v>14</v>
      </c>
      <c r="B3060" s="3">
        <v>9</v>
      </c>
      <c r="C3060" s="3">
        <v>89</v>
      </c>
      <c r="D3060" s="3">
        <v>67</v>
      </c>
      <c r="E3060" s="3">
        <v>-2260.402</v>
      </c>
      <c r="F3060" s="4" t="str">
        <f>HYPERLINK("http://141.218.60.56/~jnz1568/getInfo.php?workbook=14_09.xlsx&amp;sheet=A0&amp;row=3060&amp;col=6&amp;number=219000000&amp;sourceID=14","219000000")</f>
        <v>219000000</v>
      </c>
      <c r="G3060" s="4" t="str">
        <f>HYPERLINK("http://141.218.60.56/~jnz1568/getInfo.php?workbook=14_09.xlsx&amp;sheet=A0&amp;row=3060&amp;col=7&amp;number=0&amp;sourceID=14","0")</f>
        <v>0</v>
      </c>
    </row>
    <row r="3061" spans="1:7">
      <c r="A3061" s="3">
        <v>14</v>
      </c>
      <c r="B3061" s="3">
        <v>9</v>
      </c>
      <c r="C3061" s="3">
        <v>92</v>
      </c>
      <c r="D3061" s="3">
        <v>67</v>
      </c>
      <c r="E3061" s="3">
        <v>-2111.802</v>
      </c>
      <c r="F3061" s="4" t="str">
        <f>HYPERLINK("http://141.218.60.56/~jnz1568/getInfo.php?workbook=14_09.xlsx&amp;sheet=A0&amp;row=3061&amp;col=6&amp;number=236000000&amp;sourceID=14","236000000")</f>
        <v>236000000</v>
      </c>
      <c r="G3061" s="4" t="str">
        <f>HYPERLINK("http://141.218.60.56/~jnz1568/getInfo.php?workbook=14_09.xlsx&amp;sheet=A0&amp;row=3061&amp;col=7&amp;number=0&amp;sourceID=14","0")</f>
        <v>0</v>
      </c>
    </row>
    <row r="3062" spans="1:7">
      <c r="A3062" s="3">
        <v>14</v>
      </c>
      <c r="B3062" s="3">
        <v>9</v>
      </c>
      <c r="C3062" s="3">
        <v>93</v>
      </c>
      <c r="D3062" s="3">
        <v>67</v>
      </c>
      <c r="E3062" s="3">
        <v>-2075.295</v>
      </c>
      <c r="F3062" s="4" t="str">
        <f>HYPERLINK("http://141.218.60.56/~jnz1568/getInfo.php?workbook=14_09.xlsx&amp;sheet=A0&amp;row=3062&amp;col=6&amp;number=4360000&amp;sourceID=14","4360000")</f>
        <v>4360000</v>
      </c>
      <c r="G3062" s="4" t="str">
        <f>HYPERLINK("http://141.218.60.56/~jnz1568/getInfo.php?workbook=14_09.xlsx&amp;sheet=A0&amp;row=3062&amp;col=7&amp;number=0&amp;sourceID=14","0")</f>
        <v>0</v>
      </c>
    </row>
    <row r="3063" spans="1:7">
      <c r="A3063" s="3">
        <v>14</v>
      </c>
      <c r="B3063" s="3">
        <v>9</v>
      </c>
      <c r="C3063" s="3">
        <v>94</v>
      </c>
      <c r="D3063" s="3">
        <v>67</v>
      </c>
      <c r="E3063" s="3">
        <v>-2065.821</v>
      </c>
      <c r="F3063" s="4" t="str">
        <f>HYPERLINK("http://141.218.60.56/~jnz1568/getInfo.php?workbook=14_09.xlsx&amp;sheet=A0&amp;row=3063&amp;col=6&amp;number=9390000&amp;sourceID=14","9390000")</f>
        <v>9390000</v>
      </c>
      <c r="G3063" s="4" t="str">
        <f>HYPERLINK("http://141.218.60.56/~jnz1568/getInfo.php?workbook=14_09.xlsx&amp;sheet=A0&amp;row=3063&amp;col=7&amp;number=0&amp;sourceID=14","0")</f>
        <v>0</v>
      </c>
    </row>
    <row r="3064" spans="1:7">
      <c r="A3064" s="3">
        <v>14</v>
      </c>
      <c r="B3064" s="3">
        <v>9</v>
      </c>
      <c r="C3064" s="3">
        <v>96</v>
      </c>
      <c r="D3064" s="3">
        <v>67</v>
      </c>
      <c r="E3064" s="3">
        <v>-2010.377</v>
      </c>
      <c r="F3064" s="4" t="str">
        <f>HYPERLINK("http://141.218.60.56/~jnz1568/getInfo.php?workbook=14_09.xlsx&amp;sheet=A0&amp;row=3064&amp;col=6&amp;number=349000&amp;sourceID=14","349000")</f>
        <v>349000</v>
      </c>
      <c r="G3064" s="4" t="str">
        <f>HYPERLINK("http://141.218.60.56/~jnz1568/getInfo.php?workbook=14_09.xlsx&amp;sheet=A0&amp;row=3064&amp;col=7&amp;number=0&amp;sourceID=14","0")</f>
        <v>0</v>
      </c>
    </row>
    <row r="3065" spans="1:7">
      <c r="A3065" s="3">
        <v>14</v>
      </c>
      <c r="B3065" s="3">
        <v>9</v>
      </c>
      <c r="C3065" s="3">
        <v>97</v>
      </c>
      <c r="D3065" s="3">
        <v>67</v>
      </c>
      <c r="E3065" s="3">
        <v>-1992.274</v>
      </c>
      <c r="F3065" s="4" t="str">
        <f>HYPERLINK("http://141.218.60.56/~jnz1568/getInfo.php?workbook=14_09.xlsx&amp;sheet=A0&amp;row=3065&amp;col=6&amp;number=127000000&amp;sourceID=14","127000000")</f>
        <v>127000000</v>
      </c>
      <c r="G3065" s="4" t="str">
        <f>HYPERLINK("http://141.218.60.56/~jnz1568/getInfo.php?workbook=14_09.xlsx&amp;sheet=A0&amp;row=3065&amp;col=7&amp;number=0&amp;sourceID=14","0")</f>
        <v>0</v>
      </c>
    </row>
    <row r="3066" spans="1:7">
      <c r="A3066" s="3">
        <v>14</v>
      </c>
      <c r="B3066" s="3">
        <v>9</v>
      </c>
      <c r="C3066" s="3">
        <v>98</v>
      </c>
      <c r="D3066" s="3">
        <v>67</v>
      </c>
      <c r="E3066" s="3">
        <v>-1959.904</v>
      </c>
      <c r="F3066" s="4" t="str">
        <f>HYPERLINK("http://141.218.60.56/~jnz1568/getInfo.php?workbook=14_09.xlsx&amp;sheet=A0&amp;row=3066&amp;col=6&amp;number=501000&amp;sourceID=14","501000")</f>
        <v>501000</v>
      </c>
      <c r="G3066" s="4" t="str">
        <f>HYPERLINK("http://141.218.60.56/~jnz1568/getInfo.php?workbook=14_09.xlsx&amp;sheet=A0&amp;row=3066&amp;col=7&amp;number=0&amp;sourceID=14","0")</f>
        <v>0</v>
      </c>
    </row>
    <row r="3067" spans="1:7">
      <c r="A3067" s="3">
        <v>14</v>
      </c>
      <c r="B3067" s="3">
        <v>9</v>
      </c>
      <c r="C3067" s="3">
        <v>103</v>
      </c>
      <c r="D3067" s="3">
        <v>67</v>
      </c>
      <c r="E3067" s="3">
        <v>-1813.766</v>
      </c>
      <c r="F3067" s="4" t="str">
        <f>HYPERLINK("http://141.218.60.56/~jnz1568/getInfo.php?workbook=14_09.xlsx&amp;sheet=A0&amp;row=3067&amp;col=6&amp;number=3700000&amp;sourceID=14","3700000")</f>
        <v>3700000</v>
      </c>
      <c r="G3067" s="4" t="str">
        <f>HYPERLINK("http://141.218.60.56/~jnz1568/getInfo.php?workbook=14_09.xlsx&amp;sheet=A0&amp;row=3067&amp;col=7&amp;number=0&amp;sourceID=14","0")</f>
        <v>0</v>
      </c>
    </row>
    <row r="3068" spans="1:7">
      <c r="A3068" s="3">
        <v>14</v>
      </c>
      <c r="B3068" s="3">
        <v>9</v>
      </c>
      <c r="C3068" s="3">
        <v>128</v>
      </c>
      <c r="D3068" s="3">
        <v>67</v>
      </c>
      <c r="E3068" s="3">
        <v>-1106.968</v>
      </c>
      <c r="F3068" s="4" t="str">
        <f>HYPERLINK("http://141.218.60.56/~jnz1568/getInfo.php?workbook=14_09.xlsx&amp;sheet=A0&amp;row=3068&amp;col=6&amp;number=54100000&amp;sourceID=14","54100000")</f>
        <v>54100000</v>
      </c>
      <c r="G3068" s="4" t="str">
        <f>HYPERLINK("http://141.218.60.56/~jnz1568/getInfo.php?workbook=14_09.xlsx&amp;sheet=A0&amp;row=3068&amp;col=7&amp;number=0&amp;sourceID=14","0")</f>
        <v>0</v>
      </c>
    </row>
    <row r="3069" spans="1:7">
      <c r="A3069" s="3">
        <v>14</v>
      </c>
      <c r="B3069" s="3">
        <v>9</v>
      </c>
      <c r="C3069" s="3">
        <v>131</v>
      </c>
      <c r="D3069" s="3">
        <v>67</v>
      </c>
      <c r="E3069" s="3">
        <v>-1044.443</v>
      </c>
      <c r="F3069" s="4" t="str">
        <f>HYPERLINK("http://141.218.60.56/~jnz1568/getInfo.php?workbook=14_09.xlsx&amp;sheet=A0&amp;row=3069&amp;col=6&amp;number=68300&amp;sourceID=14","68300")</f>
        <v>68300</v>
      </c>
      <c r="G3069" s="4" t="str">
        <f>HYPERLINK("http://141.218.60.56/~jnz1568/getInfo.php?workbook=14_09.xlsx&amp;sheet=A0&amp;row=3069&amp;col=7&amp;number=0&amp;sourceID=14","0")</f>
        <v>0</v>
      </c>
    </row>
    <row r="3070" spans="1:7">
      <c r="A3070" s="3">
        <v>14</v>
      </c>
      <c r="B3070" s="3">
        <v>9</v>
      </c>
      <c r="C3070" s="3">
        <v>145</v>
      </c>
      <c r="D3070" s="3">
        <v>67</v>
      </c>
      <c r="E3070" s="3">
        <v>-962.271</v>
      </c>
      <c r="F3070" s="4" t="str">
        <f>HYPERLINK("http://141.218.60.56/~jnz1568/getInfo.php?workbook=14_09.xlsx&amp;sheet=A0&amp;row=3070&amp;col=6&amp;number=126000000&amp;sourceID=14","126000000")</f>
        <v>126000000</v>
      </c>
      <c r="G3070" s="4" t="str">
        <f>HYPERLINK("http://141.218.60.56/~jnz1568/getInfo.php?workbook=14_09.xlsx&amp;sheet=A0&amp;row=3070&amp;col=7&amp;number=0&amp;sourceID=14","0")</f>
        <v>0</v>
      </c>
    </row>
    <row r="3071" spans="1:7">
      <c r="A3071" s="3">
        <v>14</v>
      </c>
      <c r="B3071" s="3">
        <v>9</v>
      </c>
      <c r="C3071" s="3">
        <v>148</v>
      </c>
      <c r="D3071" s="3">
        <v>67</v>
      </c>
      <c r="E3071" s="3">
        <v>-949.146</v>
      </c>
      <c r="F3071" s="4" t="str">
        <f>HYPERLINK("http://141.218.60.56/~jnz1568/getInfo.php?workbook=14_09.xlsx&amp;sheet=A0&amp;row=3071&amp;col=6&amp;number=139000000&amp;sourceID=14","139000000")</f>
        <v>139000000</v>
      </c>
      <c r="G3071" s="4" t="str">
        <f>HYPERLINK("http://141.218.60.56/~jnz1568/getInfo.php?workbook=14_09.xlsx&amp;sheet=A0&amp;row=3071&amp;col=7&amp;number=0&amp;sourceID=14","0")</f>
        <v>0</v>
      </c>
    </row>
    <row r="3072" spans="1:7">
      <c r="A3072" s="3">
        <v>14</v>
      </c>
      <c r="B3072" s="3">
        <v>9</v>
      </c>
      <c r="C3072" s="3">
        <v>151</v>
      </c>
      <c r="D3072" s="3">
        <v>67</v>
      </c>
      <c r="E3072" s="3">
        <v>-939.613</v>
      </c>
      <c r="F3072" s="4" t="str">
        <f>HYPERLINK("http://141.218.60.56/~jnz1568/getInfo.php?workbook=14_09.xlsx&amp;sheet=A0&amp;row=3072&amp;col=6&amp;number=54900000&amp;sourceID=14","54900000")</f>
        <v>54900000</v>
      </c>
      <c r="G3072" s="4" t="str">
        <f>HYPERLINK("http://141.218.60.56/~jnz1568/getInfo.php?workbook=14_09.xlsx&amp;sheet=A0&amp;row=3072&amp;col=7&amp;number=0&amp;sourceID=14","0")</f>
        <v>0</v>
      </c>
    </row>
    <row r="3073" spans="1:7">
      <c r="A3073" s="3">
        <v>14</v>
      </c>
      <c r="B3073" s="3">
        <v>9</v>
      </c>
      <c r="C3073" s="3">
        <v>152</v>
      </c>
      <c r="D3073" s="3">
        <v>67</v>
      </c>
      <c r="E3073" s="3">
        <v>-886.495</v>
      </c>
      <c r="F3073" s="4" t="str">
        <f>HYPERLINK("http://141.218.60.56/~jnz1568/getInfo.php?workbook=14_09.xlsx&amp;sheet=A0&amp;row=3073&amp;col=6&amp;number=60800000&amp;sourceID=14","60800000")</f>
        <v>60800000</v>
      </c>
      <c r="G3073" s="4" t="str">
        <f>HYPERLINK("http://141.218.60.56/~jnz1568/getInfo.php?workbook=14_09.xlsx&amp;sheet=A0&amp;row=3073&amp;col=7&amp;number=0&amp;sourceID=14","0")</f>
        <v>0</v>
      </c>
    </row>
    <row r="3074" spans="1:7">
      <c r="A3074" s="3">
        <v>14</v>
      </c>
      <c r="B3074" s="3">
        <v>9</v>
      </c>
      <c r="C3074" s="3">
        <v>153</v>
      </c>
      <c r="D3074" s="3">
        <v>67</v>
      </c>
      <c r="E3074" s="3">
        <v>-872.952</v>
      </c>
      <c r="F3074" s="4" t="str">
        <f>HYPERLINK("http://141.218.60.56/~jnz1568/getInfo.php?workbook=14_09.xlsx&amp;sheet=A0&amp;row=3074&amp;col=6&amp;number=45300000&amp;sourceID=14","45300000")</f>
        <v>45300000</v>
      </c>
      <c r="G3074" s="4" t="str">
        <f>HYPERLINK("http://141.218.60.56/~jnz1568/getInfo.php?workbook=14_09.xlsx&amp;sheet=A0&amp;row=3074&amp;col=7&amp;number=0&amp;sourceID=14","0")</f>
        <v>0</v>
      </c>
    </row>
    <row r="3075" spans="1:7">
      <c r="A3075" s="3">
        <v>14</v>
      </c>
      <c r="B3075" s="3">
        <v>9</v>
      </c>
      <c r="C3075" s="3">
        <v>154</v>
      </c>
      <c r="D3075" s="3">
        <v>67</v>
      </c>
      <c r="E3075" s="3">
        <v>-872.777</v>
      </c>
      <c r="F3075" s="4" t="str">
        <f>HYPERLINK("http://141.218.60.56/~jnz1568/getInfo.php?workbook=14_09.xlsx&amp;sheet=A0&amp;row=3075&amp;col=6&amp;number=14800000&amp;sourceID=14","14800000")</f>
        <v>14800000</v>
      </c>
      <c r="G3075" s="4" t="str">
        <f>HYPERLINK("http://141.218.60.56/~jnz1568/getInfo.php?workbook=14_09.xlsx&amp;sheet=A0&amp;row=3075&amp;col=7&amp;number=0&amp;sourceID=14","0")</f>
        <v>0</v>
      </c>
    </row>
    <row r="3076" spans="1:7">
      <c r="A3076" s="3">
        <v>14</v>
      </c>
      <c r="B3076" s="3">
        <v>9</v>
      </c>
      <c r="C3076" s="3">
        <v>155</v>
      </c>
      <c r="D3076" s="3">
        <v>67</v>
      </c>
      <c r="E3076" s="3">
        <v>-867.801</v>
      </c>
      <c r="F3076" s="4" t="str">
        <f>HYPERLINK("http://141.218.60.56/~jnz1568/getInfo.php?workbook=14_09.xlsx&amp;sheet=A0&amp;row=3076&amp;col=6&amp;number=182000000&amp;sourceID=14","182000000")</f>
        <v>182000000</v>
      </c>
      <c r="G3076" s="4" t="str">
        <f>HYPERLINK("http://141.218.60.56/~jnz1568/getInfo.php?workbook=14_09.xlsx&amp;sheet=A0&amp;row=3076&amp;col=7&amp;number=0&amp;sourceID=14","0")</f>
        <v>0</v>
      </c>
    </row>
    <row r="3077" spans="1:7">
      <c r="A3077" s="3">
        <v>14</v>
      </c>
      <c r="B3077" s="3">
        <v>9</v>
      </c>
      <c r="C3077" s="3">
        <v>156</v>
      </c>
      <c r="D3077" s="3">
        <v>67</v>
      </c>
      <c r="E3077" s="3">
        <v>-860.905</v>
      </c>
      <c r="F3077" s="4" t="str">
        <f>HYPERLINK("http://141.218.60.56/~jnz1568/getInfo.php?workbook=14_09.xlsx&amp;sheet=A0&amp;row=3077&amp;col=6&amp;number=3180000&amp;sourceID=14","3180000")</f>
        <v>3180000</v>
      </c>
      <c r="G3077" s="4" t="str">
        <f>HYPERLINK("http://141.218.60.56/~jnz1568/getInfo.php?workbook=14_09.xlsx&amp;sheet=A0&amp;row=3077&amp;col=7&amp;number=0&amp;sourceID=14","0")</f>
        <v>0</v>
      </c>
    </row>
    <row r="3078" spans="1:7">
      <c r="A3078" s="3">
        <v>14</v>
      </c>
      <c r="B3078" s="3">
        <v>9</v>
      </c>
      <c r="C3078" s="3">
        <v>158</v>
      </c>
      <c r="D3078" s="3">
        <v>67</v>
      </c>
      <c r="E3078" s="3">
        <v>-838.59</v>
      </c>
      <c r="F3078" s="4" t="str">
        <f>HYPERLINK("http://141.218.60.56/~jnz1568/getInfo.php?workbook=14_09.xlsx&amp;sheet=A0&amp;row=3078&amp;col=6&amp;number=3230000&amp;sourceID=14","3230000")</f>
        <v>3230000</v>
      </c>
      <c r="G3078" s="4" t="str">
        <f>HYPERLINK("http://141.218.60.56/~jnz1568/getInfo.php?workbook=14_09.xlsx&amp;sheet=A0&amp;row=3078&amp;col=7&amp;number=0&amp;sourceID=14","0")</f>
        <v>0</v>
      </c>
    </row>
    <row r="3079" spans="1:7">
      <c r="A3079" s="3">
        <v>14</v>
      </c>
      <c r="B3079" s="3">
        <v>9</v>
      </c>
      <c r="C3079" s="3">
        <v>161</v>
      </c>
      <c r="D3079" s="3">
        <v>67</v>
      </c>
      <c r="E3079" s="3">
        <v>-642.225</v>
      </c>
      <c r="F3079" s="4" t="str">
        <f>HYPERLINK("http://141.218.60.56/~jnz1568/getInfo.php?workbook=14_09.xlsx&amp;sheet=A0&amp;row=3079&amp;col=6&amp;number=1440000&amp;sourceID=14","1440000")</f>
        <v>1440000</v>
      </c>
      <c r="G3079" s="4" t="str">
        <f>HYPERLINK("http://141.218.60.56/~jnz1568/getInfo.php?workbook=14_09.xlsx&amp;sheet=A0&amp;row=3079&amp;col=7&amp;number=0&amp;sourceID=14","0")</f>
        <v>0</v>
      </c>
    </row>
    <row r="3080" spans="1:7">
      <c r="A3080" s="3">
        <v>14</v>
      </c>
      <c r="B3080" s="3">
        <v>9</v>
      </c>
      <c r="C3080" s="3">
        <v>189</v>
      </c>
      <c r="D3080" s="3">
        <v>67</v>
      </c>
      <c r="E3080" s="3">
        <v>-356.094</v>
      </c>
      <c r="F3080" s="4" t="str">
        <f>HYPERLINK("http://141.218.60.56/~jnz1568/getInfo.php?workbook=14_09.xlsx&amp;sheet=A0&amp;row=3080&amp;col=6&amp;number=3850000&amp;sourceID=14","3850000")</f>
        <v>3850000</v>
      </c>
      <c r="G3080" s="4" t="str">
        <f>HYPERLINK("http://141.218.60.56/~jnz1568/getInfo.php?workbook=14_09.xlsx&amp;sheet=A0&amp;row=3080&amp;col=7&amp;number=0&amp;sourceID=14","0")</f>
        <v>0</v>
      </c>
    </row>
    <row r="3081" spans="1:7">
      <c r="A3081" s="3">
        <v>14</v>
      </c>
      <c r="B3081" s="3">
        <v>9</v>
      </c>
      <c r="C3081" s="3">
        <v>88</v>
      </c>
      <c r="D3081" s="3">
        <v>68</v>
      </c>
      <c r="E3081" s="3">
        <v>-2378.691</v>
      </c>
      <c r="F3081" s="4" t="str">
        <f>HYPERLINK("http://141.218.60.56/~jnz1568/getInfo.php?workbook=14_09.xlsx&amp;sheet=A0&amp;row=3081&amp;col=6&amp;number=79100000&amp;sourceID=14","79100000")</f>
        <v>79100000</v>
      </c>
      <c r="G3081" s="4" t="str">
        <f>HYPERLINK("http://141.218.60.56/~jnz1568/getInfo.php?workbook=14_09.xlsx&amp;sheet=A0&amp;row=3081&amp;col=7&amp;number=0&amp;sourceID=14","0")</f>
        <v>0</v>
      </c>
    </row>
    <row r="3082" spans="1:7">
      <c r="A3082" s="3">
        <v>14</v>
      </c>
      <c r="B3082" s="3">
        <v>9</v>
      </c>
      <c r="C3082" s="3">
        <v>89</v>
      </c>
      <c r="D3082" s="3">
        <v>68</v>
      </c>
      <c r="E3082" s="3">
        <v>-2337.982</v>
      </c>
      <c r="F3082" s="4" t="str">
        <f>HYPERLINK("http://141.218.60.56/~jnz1568/getInfo.php?workbook=14_09.xlsx&amp;sheet=A0&amp;row=3082&amp;col=6&amp;number=284000000&amp;sourceID=14","284000000")</f>
        <v>284000000</v>
      </c>
      <c r="G3082" s="4" t="str">
        <f>HYPERLINK("http://141.218.60.56/~jnz1568/getInfo.php?workbook=14_09.xlsx&amp;sheet=A0&amp;row=3082&amp;col=7&amp;number=0&amp;sourceID=14","0")</f>
        <v>0</v>
      </c>
    </row>
    <row r="3083" spans="1:7">
      <c r="A3083" s="3">
        <v>14</v>
      </c>
      <c r="B3083" s="3">
        <v>9</v>
      </c>
      <c r="C3083" s="3">
        <v>92</v>
      </c>
      <c r="D3083" s="3">
        <v>68</v>
      </c>
      <c r="E3083" s="3">
        <v>-2179.365</v>
      </c>
      <c r="F3083" s="4" t="str">
        <f>HYPERLINK("http://141.218.60.56/~jnz1568/getInfo.php?workbook=14_09.xlsx&amp;sheet=A0&amp;row=3083&amp;col=6&amp;number=176000000&amp;sourceID=14","176000000")</f>
        <v>176000000</v>
      </c>
      <c r="G3083" s="4" t="str">
        <f>HYPERLINK("http://141.218.60.56/~jnz1568/getInfo.php?workbook=14_09.xlsx&amp;sheet=A0&amp;row=3083&amp;col=7&amp;number=0&amp;sourceID=14","0")</f>
        <v>0</v>
      </c>
    </row>
    <row r="3084" spans="1:7">
      <c r="A3084" s="3">
        <v>14</v>
      </c>
      <c r="B3084" s="3">
        <v>9</v>
      </c>
      <c r="C3084" s="3">
        <v>94</v>
      </c>
      <c r="D3084" s="3">
        <v>68</v>
      </c>
      <c r="E3084" s="3">
        <v>-2130.428</v>
      </c>
      <c r="F3084" s="4" t="str">
        <f>HYPERLINK("http://141.218.60.56/~jnz1568/getInfo.php?workbook=14_09.xlsx&amp;sheet=A0&amp;row=3084&amp;col=6&amp;number=204000000&amp;sourceID=14","204000000")</f>
        <v>204000000</v>
      </c>
      <c r="G3084" s="4" t="str">
        <f>HYPERLINK("http://141.218.60.56/~jnz1568/getInfo.php?workbook=14_09.xlsx&amp;sheet=A0&amp;row=3084&amp;col=7&amp;number=0&amp;sourceID=14","0")</f>
        <v>0</v>
      </c>
    </row>
    <row r="3085" spans="1:7">
      <c r="A3085" s="3">
        <v>14</v>
      </c>
      <c r="B3085" s="3">
        <v>9</v>
      </c>
      <c r="C3085" s="3">
        <v>96</v>
      </c>
      <c r="D3085" s="3">
        <v>68</v>
      </c>
      <c r="E3085" s="3">
        <v>-2071.512</v>
      </c>
      <c r="F3085" s="4" t="str">
        <f>HYPERLINK("http://141.218.60.56/~jnz1568/getInfo.php?workbook=14_09.xlsx&amp;sheet=A0&amp;row=3085&amp;col=6&amp;number=30900000&amp;sourceID=14","30900000")</f>
        <v>30900000</v>
      </c>
      <c r="G3085" s="4" t="str">
        <f>HYPERLINK("http://141.218.60.56/~jnz1568/getInfo.php?workbook=14_09.xlsx&amp;sheet=A0&amp;row=3085&amp;col=7&amp;number=0&amp;sourceID=14","0")</f>
        <v>0</v>
      </c>
    </row>
    <row r="3086" spans="1:7">
      <c r="A3086" s="3">
        <v>14</v>
      </c>
      <c r="B3086" s="3">
        <v>9</v>
      </c>
      <c r="C3086" s="3">
        <v>99</v>
      </c>
      <c r="D3086" s="3">
        <v>68</v>
      </c>
      <c r="E3086" s="3">
        <v>-1958.599</v>
      </c>
      <c r="F3086" s="4" t="str">
        <f>HYPERLINK("http://141.218.60.56/~jnz1568/getInfo.php?workbook=14_09.xlsx&amp;sheet=A0&amp;row=3086&amp;col=6&amp;number=4480000&amp;sourceID=14","4480000")</f>
        <v>4480000</v>
      </c>
      <c r="G3086" s="4" t="str">
        <f>HYPERLINK("http://141.218.60.56/~jnz1568/getInfo.php?workbook=14_09.xlsx&amp;sheet=A0&amp;row=3086&amp;col=7&amp;number=0&amp;sourceID=14","0")</f>
        <v>0</v>
      </c>
    </row>
    <row r="3087" spans="1:7">
      <c r="A3087" s="3">
        <v>14</v>
      </c>
      <c r="B3087" s="3">
        <v>9</v>
      </c>
      <c r="C3087" s="3">
        <v>100</v>
      </c>
      <c r="D3087" s="3">
        <v>68</v>
      </c>
      <c r="E3087" s="3">
        <v>-1931.251</v>
      </c>
      <c r="F3087" s="4" t="str">
        <f>HYPERLINK("http://141.218.60.56/~jnz1568/getInfo.php?workbook=14_09.xlsx&amp;sheet=A0&amp;row=3087&amp;col=6&amp;number=4070000&amp;sourceID=14","4070000")</f>
        <v>4070000</v>
      </c>
      <c r="G3087" s="4" t="str">
        <f>HYPERLINK("http://141.218.60.56/~jnz1568/getInfo.php?workbook=14_09.xlsx&amp;sheet=A0&amp;row=3087&amp;col=7&amp;number=0&amp;sourceID=14","0")</f>
        <v>0</v>
      </c>
    </row>
    <row r="3088" spans="1:7">
      <c r="A3088" s="3">
        <v>14</v>
      </c>
      <c r="B3088" s="3">
        <v>9</v>
      </c>
      <c r="C3088" s="3">
        <v>128</v>
      </c>
      <c r="D3088" s="3">
        <v>68</v>
      </c>
      <c r="E3088" s="3">
        <v>-1125.254</v>
      </c>
      <c r="F3088" s="4" t="str">
        <f>HYPERLINK("http://141.218.60.56/~jnz1568/getInfo.php?workbook=14_09.xlsx&amp;sheet=A0&amp;row=3088&amp;col=6&amp;number=23300000&amp;sourceID=14","23300000")</f>
        <v>23300000</v>
      </c>
      <c r="G3088" s="4" t="str">
        <f>HYPERLINK("http://141.218.60.56/~jnz1568/getInfo.php?workbook=14_09.xlsx&amp;sheet=A0&amp;row=3088&amp;col=7&amp;number=0&amp;sourceID=14","0")</f>
        <v>0</v>
      </c>
    </row>
    <row r="3089" spans="1:7">
      <c r="A3089" s="3">
        <v>14</v>
      </c>
      <c r="B3089" s="3">
        <v>9</v>
      </c>
      <c r="C3089" s="3">
        <v>148</v>
      </c>
      <c r="D3089" s="3">
        <v>68</v>
      </c>
      <c r="E3089" s="3">
        <v>-962.558</v>
      </c>
      <c r="F3089" s="4" t="str">
        <f>HYPERLINK("http://141.218.60.56/~jnz1568/getInfo.php?workbook=14_09.xlsx&amp;sheet=A0&amp;row=3089&amp;col=6&amp;number=64700000&amp;sourceID=14","64700000")</f>
        <v>64700000</v>
      </c>
      <c r="G3089" s="4" t="str">
        <f>HYPERLINK("http://141.218.60.56/~jnz1568/getInfo.php?workbook=14_09.xlsx&amp;sheet=A0&amp;row=3089&amp;col=7&amp;number=0&amp;sourceID=14","0")</f>
        <v>0</v>
      </c>
    </row>
    <row r="3090" spans="1:7">
      <c r="A3090" s="3">
        <v>14</v>
      </c>
      <c r="B3090" s="3">
        <v>9</v>
      </c>
      <c r="C3090" s="3">
        <v>151</v>
      </c>
      <c r="D3090" s="3">
        <v>68</v>
      </c>
      <c r="E3090" s="3">
        <v>-952.755</v>
      </c>
      <c r="F3090" s="4" t="str">
        <f>HYPERLINK("http://141.218.60.56/~jnz1568/getInfo.php?workbook=14_09.xlsx&amp;sheet=A0&amp;row=3090&amp;col=6&amp;number=170000000&amp;sourceID=14","170000000")</f>
        <v>170000000</v>
      </c>
      <c r="G3090" s="4" t="str">
        <f>HYPERLINK("http://141.218.60.56/~jnz1568/getInfo.php?workbook=14_09.xlsx&amp;sheet=A0&amp;row=3090&amp;col=7&amp;number=0&amp;sourceID=14","0")</f>
        <v>0</v>
      </c>
    </row>
    <row r="3091" spans="1:7">
      <c r="A3091" s="3">
        <v>14</v>
      </c>
      <c r="B3091" s="3">
        <v>9</v>
      </c>
      <c r="C3091" s="3">
        <v>154</v>
      </c>
      <c r="D3091" s="3">
        <v>68</v>
      </c>
      <c r="E3091" s="3">
        <v>-884.105</v>
      </c>
      <c r="F3091" s="4" t="str">
        <f>HYPERLINK("http://141.218.60.56/~jnz1568/getInfo.php?workbook=14_09.xlsx&amp;sheet=A0&amp;row=3091&amp;col=6&amp;number=126000000&amp;sourceID=14","126000000")</f>
        <v>126000000</v>
      </c>
      <c r="G3091" s="4" t="str">
        <f>HYPERLINK("http://141.218.60.56/~jnz1568/getInfo.php?workbook=14_09.xlsx&amp;sheet=A0&amp;row=3091&amp;col=7&amp;number=0&amp;sourceID=14","0")</f>
        <v>0</v>
      </c>
    </row>
    <row r="3092" spans="1:7">
      <c r="A3092" s="3">
        <v>14</v>
      </c>
      <c r="B3092" s="3">
        <v>9</v>
      </c>
      <c r="C3092" s="3">
        <v>155</v>
      </c>
      <c r="D3092" s="3">
        <v>68</v>
      </c>
      <c r="E3092" s="3">
        <v>-878.999</v>
      </c>
      <c r="F3092" s="4" t="str">
        <f>HYPERLINK("http://141.218.60.56/~jnz1568/getInfo.php?workbook=14_09.xlsx&amp;sheet=A0&amp;row=3092&amp;col=6&amp;number=60000000&amp;sourceID=14","60000000")</f>
        <v>60000000</v>
      </c>
      <c r="G3092" s="4" t="str">
        <f>HYPERLINK("http://141.218.60.56/~jnz1568/getInfo.php?workbook=14_09.xlsx&amp;sheet=A0&amp;row=3092&amp;col=7&amp;number=0&amp;sourceID=14","0")</f>
        <v>0</v>
      </c>
    </row>
    <row r="3093" spans="1:7">
      <c r="A3093" s="3">
        <v>14</v>
      </c>
      <c r="B3093" s="3">
        <v>9</v>
      </c>
      <c r="C3093" s="3">
        <v>156</v>
      </c>
      <c r="D3093" s="3">
        <v>68</v>
      </c>
      <c r="E3093" s="3">
        <v>-871.925</v>
      </c>
      <c r="F3093" s="4" t="str">
        <f>HYPERLINK("http://141.218.60.56/~jnz1568/getInfo.php?workbook=14_09.xlsx&amp;sheet=A0&amp;row=3093&amp;col=6&amp;number=591000&amp;sourceID=14","591000")</f>
        <v>591000</v>
      </c>
      <c r="G3093" s="4" t="str">
        <f>HYPERLINK("http://141.218.60.56/~jnz1568/getInfo.php?workbook=14_09.xlsx&amp;sheet=A0&amp;row=3093&amp;col=7&amp;number=0&amp;sourceID=14","0")</f>
        <v>0</v>
      </c>
    </row>
    <row r="3094" spans="1:7">
      <c r="A3094" s="3">
        <v>14</v>
      </c>
      <c r="B3094" s="3">
        <v>9</v>
      </c>
      <c r="C3094" s="3">
        <v>157</v>
      </c>
      <c r="D3094" s="3">
        <v>68</v>
      </c>
      <c r="E3094" s="3">
        <v>-852.902</v>
      </c>
      <c r="F3094" s="4" t="str">
        <f>HYPERLINK("http://141.218.60.56/~jnz1568/getInfo.php?workbook=14_09.xlsx&amp;sheet=A0&amp;row=3094&amp;col=6&amp;number=7180000&amp;sourceID=14","7180000")</f>
        <v>7180000</v>
      </c>
      <c r="G3094" s="4" t="str">
        <f>HYPERLINK("http://141.218.60.56/~jnz1568/getInfo.php?workbook=14_09.xlsx&amp;sheet=A0&amp;row=3094&amp;col=7&amp;number=0&amp;sourceID=14","0")</f>
        <v>0</v>
      </c>
    </row>
    <row r="3095" spans="1:7">
      <c r="A3095" s="3">
        <v>14</v>
      </c>
      <c r="B3095" s="3">
        <v>9</v>
      </c>
      <c r="C3095" s="3">
        <v>189</v>
      </c>
      <c r="D3095" s="3">
        <v>68</v>
      </c>
      <c r="E3095" s="3">
        <v>-357.966</v>
      </c>
      <c r="F3095" s="4" t="str">
        <f>HYPERLINK("http://141.218.60.56/~jnz1568/getInfo.php?workbook=14_09.xlsx&amp;sheet=A0&amp;row=3095&amp;col=6&amp;number=1210000&amp;sourceID=14","1210000")</f>
        <v>1210000</v>
      </c>
      <c r="G3095" s="4" t="str">
        <f>HYPERLINK("http://141.218.60.56/~jnz1568/getInfo.php?workbook=14_09.xlsx&amp;sheet=A0&amp;row=3095&amp;col=7&amp;number=0&amp;sourceID=14","0")</f>
        <v>0</v>
      </c>
    </row>
    <row r="3096" spans="1:7">
      <c r="A3096" s="3">
        <v>14</v>
      </c>
      <c r="B3096" s="3">
        <v>9</v>
      </c>
      <c r="C3096" s="3">
        <v>86</v>
      </c>
      <c r="D3096" s="3">
        <v>69</v>
      </c>
      <c r="E3096" s="3">
        <v>-2706.365</v>
      </c>
      <c r="F3096" s="4" t="str">
        <f>HYPERLINK("http://141.218.60.56/~jnz1568/getInfo.php?workbook=14_09.xlsx&amp;sheet=A0&amp;row=3096&amp;col=6&amp;number=133000000&amp;sourceID=14","133000000")</f>
        <v>133000000</v>
      </c>
      <c r="G3096" s="4" t="str">
        <f>HYPERLINK("http://141.218.60.56/~jnz1568/getInfo.php?workbook=14_09.xlsx&amp;sheet=A0&amp;row=3096&amp;col=7&amp;number=0&amp;sourceID=14","0")</f>
        <v>0</v>
      </c>
    </row>
    <row r="3097" spans="1:7">
      <c r="A3097" s="3">
        <v>14</v>
      </c>
      <c r="B3097" s="3">
        <v>9</v>
      </c>
      <c r="C3097" s="3">
        <v>87</v>
      </c>
      <c r="D3097" s="3">
        <v>69</v>
      </c>
      <c r="E3097" s="3">
        <v>-2684.209</v>
      </c>
      <c r="F3097" s="4" t="str">
        <f>HYPERLINK("http://141.218.60.56/~jnz1568/getInfo.php?workbook=14_09.xlsx&amp;sheet=A0&amp;row=3097&amp;col=6&amp;number=33500000&amp;sourceID=14","33500000")</f>
        <v>33500000</v>
      </c>
      <c r="G3097" s="4" t="str">
        <f>HYPERLINK("http://141.218.60.56/~jnz1568/getInfo.php?workbook=14_09.xlsx&amp;sheet=A0&amp;row=3097&amp;col=7&amp;number=0&amp;sourceID=14","0")</f>
        <v>0</v>
      </c>
    </row>
    <row r="3098" spans="1:7">
      <c r="A3098" s="3">
        <v>14</v>
      </c>
      <c r="B3098" s="3">
        <v>9</v>
      </c>
      <c r="C3098" s="3">
        <v>90</v>
      </c>
      <c r="D3098" s="3">
        <v>69</v>
      </c>
      <c r="E3098" s="3">
        <v>-2529.281</v>
      </c>
      <c r="F3098" s="4" t="str">
        <f>HYPERLINK("http://141.218.60.56/~jnz1568/getInfo.php?workbook=14_09.xlsx&amp;sheet=A0&amp;row=3098&amp;col=6&amp;number=530000000&amp;sourceID=14","530000000")</f>
        <v>530000000</v>
      </c>
      <c r="G3098" s="4" t="str">
        <f>HYPERLINK("http://141.218.60.56/~jnz1568/getInfo.php?workbook=14_09.xlsx&amp;sheet=A0&amp;row=3098&amp;col=7&amp;number=0&amp;sourceID=14","0")</f>
        <v>0</v>
      </c>
    </row>
    <row r="3099" spans="1:7">
      <c r="A3099" s="3">
        <v>14</v>
      </c>
      <c r="B3099" s="3">
        <v>9</v>
      </c>
      <c r="C3099" s="3">
        <v>91</v>
      </c>
      <c r="D3099" s="3">
        <v>69</v>
      </c>
      <c r="E3099" s="3">
        <v>-2450.324</v>
      </c>
      <c r="F3099" s="4" t="str">
        <f>HYPERLINK("http://141.218.60.56/~jnz1568/getInfo.php?workbook=14_09.xlsx&amp;sheet=A0&amp;row=3099&amp;col=6&amp;number=23000000&amp;sourceID=14","23000000")</f>
        <v>23000000</v>
      </c>
      <c r="G3099" s="4" t="str">
        <f>HYPERLINK("http://141.218.60.56/~jnz1568/getInfo.php?workbook=14_09.xlsx&amp;sheet=A0&amp;row=3099&amp;col=7&amp;number=0&amp;sourceID=14","0")</f>
        <v>0</v>
      </c>
    </row>
    <row r="3100" spans="1:7">
      <c r="A3100" s="3">
        <v>14</v>
      </c>
      <c r="B3100" s="3">
        <v>9</v>
      </c>
      <c r="C3100" s="3">
        <v>95</v>
      </c>
      <c r="D3100" s="3">
        <v>69</v>
      </c>
      <c r="E3100" s="3">
        <v>-2294.161</v>
      </c>
      <c r="F3100" s="4" t="str">
        <f>HYPERLINK("http://141.218.60.56/~jnz1568/getInfo.php?workbook=14_09.xlsx&amp;sheet=A0&amp;row=3100&amp;col=6&amp;number=7380000&amp;sourceID=14","7380000")</f>
        <v>7380000</v>
      </c>
      <c r="G3100" s="4" t="str">
        <f>HYPERLINK("http://141.218.60.56/~jnz1568/getInfo.php?workbook=14_09.xlsx&amp;sheet=A0&amp;row=3100&amp;col=7&amp;number=0&amp;sourceID=14","0")</f>
        <v>0</v>
      </c>
    </row>
    <row r="3101" spans="1:7">
      <c r="A3101" s="3">
        <v>14</v>
      </c>
      <c r="B3101" s="3">
        <v>9</v>
      </c>
      <c r="C3101" s="3">
        <v>97</v>
      </c>
      <c r="D3101" s="3">
        <v>69</v>
      </c>
      <c r="E3101" s="3">
        <v>-2245.177</v>
      </c>
      <c r="F3101" s="4" t="str">
        <f>HYPERLINK("http://141.218.60.56/~jnz1568/getInfo.php?workbook=14_09.xlsx&amp;sheet=A0&amp;row=3101&amp;col=6&amp;number=10200000&amp;sourceID=14","10200000")</f>
        <v>10200000</v>
      </c>
      <c r="G3101" s="4" t="str">
        <f>HYPERLINK("http://141.218.60.56/~jnz1568/getInfo.php?workbook=14_09.xlsx&amp;sheet=A0&amp;row=3101&amp;col=7&amp;number=0&amp;sourceID=14","0")</f>
        <v>0</v>
      </c>
    </row>
    <row r="3102" spans="1:7">
      <c r="A3102" s="3">
        <v>14</v>
      </c>
      <c r="B3102" s="3">
        <v>9</v>
      </c>
      <c r="C3102" s="3">
        <v>133</v>
      </c>
      <c r="D3102" s="3">
        <v>69</v>
      </c>
      <c r="E3102" s="3">
        <v>-1108.416</v>
      </c>
      <c r="F3102" s="4" t="str">
        <f>HYPERLINK("http://141.218.60.56/~jnz1568/getInfo.php?workbook=14_09.xlsx&amp;sheet=A0&amp;row=3102&amp;col=6&amp;number=66800&amp;sourceID=14","66800")</f>
        <v>66800</v>
      </c>
      <c r="G3102" s="4" t="str">
        <f>HYPERLINK("http://141.218.60.56/~jnz1568/getInfo.php?workbook=14_09.xlsx&amp;sheet=A0&amp;row=3102&amp;col=7&amp;number=0&amp;sourceID=14","0")</f>
        <v>0</v>
      </c>
    </row>
    <row r="3103" spans="1:7">
      <c r="A3103" s="3">
        <v>14</v>
      </c>
      <c r="B3103" s="3">
        <v>9</v>
      </c>
      <c r="C3103" s="3">
        <v>140</v>
      </c>
      <c r="D3103" s="3">
        <v>69</v>
      </c>
      <c r="E3103" s="3">
        <v>-1032.42</v>
      </c>
      <c r="F3103" s="4" t="str">
        <f>HYPERLINK("http://141.218.60.56/~jnz1568/getInfo.php?workbook=14_09.xlsx&amp;sheet=A0&amp;row=3103&amp;col=6&amp;number=1790000&amp;sourceID=14","1790000")</f>
        <v>1790000</v>
      </c>
      <c r="G3103" s="4" t="str">
        <f>HYPERLINK("http://141.218.60.56/~jnz1568/getInfo.php?workbook=14_09.xlsx&amp;sheet=A0&amp;row=3103&amp;col=7&amp;number=0&amp;sourceID=14","0")</f>
        <v>0</v>
      </c>
    </row>
    <row r="3104" spans="1:7">
      <c r="A3104" s="3">
        <v>14</v>
      </c>
      <c r="B3104" s="3">
        <v>9</v>
      </c>
      <c r="C3104" s="3">
        <v>152</v>
      </c>
      <c r="D3104" s="3">
        <v>69</v>
      </c>
      <c r="E3104" s="3">
        <v>-933.273</v>
      </c>
      <c r="F3104" s="4" t="str">
        <f>HYPERLINK("http://141.218.60.56/~jnz1568/getInfo.php?workbook=14_09.xlsx&amp;sheet=A0&amp;row=3104&amp;col=6&amp;number=11500000&amp;sourceID=14","11500000")</f>
        <v>11500000</v>
      </c>
      <c r="G3104" s="4" t="str">
        <f>HYPERLINK("http://141.218.60.56/~jnz1568/getInfo.php?workbook=14_09.xlsx&amp;sheet=A0&amp;row=3104&amp;col=7&amp;number=0&amp;sourceID=14","0")</f>
        <v>0</v>
      </c>
    </row>
    <row r="3105" spans="1:7">
      <c r="A3105" s="3">
        <v>14</v>
      </c>
      <c r="B3105" s="3">
        <v>9</v>
      </c>
      <c r="C3105" s="3">
        <v>153</v>
      </c>
      <c r="D3105" s="3">
        <v>69</v>
      </c>
      <c r="E3105" s="3">
        <v>-918.275</v>
      </c>
      <c r="F3105" s="4" t="str">
        <f>HYPERLINK("http://141.218.60.56/~jnz1568/getInfo.php?workbook=14_09.xlsx&amp;sheet=A0&amp;row=3105&amp;col=6&amp;number=4710000&amp;sourceID=14","4710000")</f>
        <v>4710000</v>
      </c>
      <c r="G3105" s="4" t="str">
        <f>HYPERLINK("http://141.218.60.56/~jnz1568/getInfo.php?workbook=14_09.xlsx&amp;sheet=A0&amp;row=3105&amp;col=7&amp;number=0&amp;sourceID=14","0")</f>
        <v>0</v>
      </c>
    </row>
    <row r="3106" spans="1:7">
      <c r="A3106" s="3">
        <v>14</v>
      </c>
      <c r="B3106" s="3">
        <v>9</v>
      </c>
      <c r="C3106" s="3">
        <v>86</v>
      </c>
      <c r="D3106" s="3">
        <v>70</v>
      </c>
      <c r="E3106" s="3">
        <v>-2802.224</v>
      </c>
      <c r="F3106" s="4" t="str">
        <f>HYPERLINK("http://141.218.60.56/~jnz1568/getInfo.php?workbook=14_09.xlsx&amp;sheet=A0&amp;row=3106&amp;col=6&amp;number=368000&amp;sourceID=14","368000")</f>
        <v>368000</v>
      </c>
      <c r="G3106" s="4" t="str">
        <f>HYPERLINK("http://141.218.60.56/~jnz1568/getInfo.php?workbook=14_09.xlsx&amp;sheet=A0&amp;row=3106&amp;col=7&amp;number=0&amp;sourceID=14","0")</f>
        <v>0</v>
      </c>
    </row>
    <row r="3107" spans="1:7">
      <c r="A3107" s="3">
        <v>14</v>
      </c>
      <c r="B3107" s="3">
        <v>9</v>
      </c>
      <c r="C3107" s="3">
        <v>87</v>
      </c>
      <c r="D3107" s="3">
        <v>70</v>
      </c>
      <c r="E3107" s="3">
        <v>-2778.477</v>
      </c>
      <c r="F3107" s="4" t="str">
        <f>HYPERLINK("http://141.218.60.56/~jnz1568/getInfo.php?workbook=14_09.xlsx&amp;sheet=A0&amp;row=3107&amp;col=6&amp;number=43600000&amp;sourceID=14","43600000")</f>
        <v>43600000</v>
      </c>
      <c r="G3107" s="4" t="str">
        <f>HYPERLINK("http://141.218.60.56/~jnz1568/getInfo.php?workbook=14_09.xlsx&amp;sheet=A0&amp;row=3107&amp;col=7&amp;number=0&amp;sourceID=14","0")</f>
        <v>0</v>
      </c>
    </row>
    <row r="3108" spans="1:7">
      <c r="A3108" s="3">
        <v>14</v>
      </c>
      <c r="B3108" s="3">
        <v>9</v>
      </c>
      <c r="C3108" s="3">
        <v>88</v>
      </c>
      <c r="D3108" s="3">
        <v>70</v>
      </c>
      <c r="E3108" s="3">
        <v>-2732.992</v>
      </c>
      <c r="F3108" s="4" t="str">
        <f>HYPERLINK("http://141.218.60.56/~jnz1568/getInfo.php?workbook=14_09.xlsx&amp;sheet=A0&amp;row=3108&amp;col=6&amp;number=30500000&amp;sourceID=14","30500000")</f>
        <v>30500000</v>
      </c>
      <c r="G3108" s="4" t="str">
        <f>HYPERLINK("http://141.218.60.56/~jnz1568/getInfo.php?workbook=14_09.xlsx&amp;sheet=A0&amp;row=3108&amp;col=7&amp;number=0&amp;sourceID=14","0")</f>
        <v>0</v>
      </c>
    </row>
    <row r="3109" spans="1:7">
      <c r="A3109" s="3">
        <v>14</v>
      </c>
      <c r="B3109" s="3">
        <v>9</v>
      </c>
      <c r="C3109" s="3">
        <v>91</v>
      </c>
      <c r="D3109" s="3">
        <v>70</v>
      </c>
      <c r="E3109" s="3">
        <v>-2528.641</v>
      </c>
      <c r="F3109" s="4" t="str">
        <f>HYPERLINK("http://141.218.60.56/~jnz1568/getInfo.php?workbook=14_09.xlsx&amp;sheet=A0&amp;row=3109&amp;col=6&amp;number=499000000&amp;sourceID=14","499000000")</f>
        <v>499000000</v>
      </c>
      <c r="G3109" s="4" t="str">
        <f>HYPERLINK("http://141.218.60.56/~jnz1568/getInfo.php?workbook=14_09.xlsx&amp;sheet=A0&amp;row=3109&amp;col=7&amp;number=0&amp;sourceID=14","0")</f>
        <v>0</v>
      </c>
    </row>
    <row r="3110" spans="1:7">
      <c r="A3110" s="3">
        <v>14</v>
      </c>
      <c r="B3110" s="3">
        <v>9</v>
      </c>
      <c r="C3110" s="3">
        <v>93</v>
      </c>
      <c r="D3110" s="3">
        <v>70</v>
      </c>
      <c r="E3110" s="3">
        <v>-2423.189</v>
      </c>
      <c r="F3110" s="4" t="str">
        <f>HYPERLINK("http://141.218.60.56/~jnz1568/getInfo.php?workbook=14_09.xlsx&amp;sheet=A0&amp;row=3110&amp;col=6&amp;number=117000000&amp;sourceID=14","117000000")</f>
        <v>117000000</v>
      </c>
      <c r="G3110" s="4" t="str">
        <f>HYPERLINK("http://141.218.60.56/~jnz1568/getInfo.php?workbook=14_09.xlsx&amp;sheet=A0&amp;row=3110&amp;col=7&amp;number=0&amp;sourceID=14","0")</f>
        <v>0</v>
      </c>
    </row>
    <row r="3111" spans="1:7">
      <c r="A3111" s="3">
        <v>14</v>
      </c>
      <c r="B3111" s="3">
        <v>9</v>
      </c>
      <c r="C3111" s="3">
        <v>94</v>
      </c>
      <c r="D3111" s="3">
        <v>70</v>
      </c>
      <c r="E3111" s="3">
        <v>-2410.282</v>
      </c>
      <c r="F3111" s="4" t="str">
        <f>HYPERLINK("http://141.218.60.56/~jnz1568/getInfo.php?workbook=14_09.xlsx&amp;sheet=A0&amp;row=3111&amp;col=6&amp;number=868000&amp;sourceID=14","868000")</f>
        <v>868000</v>
      </c>
      <c r="G3111" s="4" t="str">
        <f>HYPERLINK("http://141.218.60.56/~jnz1568/getInfo.php?workbook=14_09.xlsx&amp;sheet=A0&amp;row=3111&amp;col=7&amp;number=0&amp;sourceID=14","0")</f>
        <v>0</v>
      </c>
    </row>
    <row r="3112" spans="1:7">
      <c r="A3112" s="3">
        <v>14</v>
      </c>
      <c r="B3112" s="3">
        <v>9</v>
      </c>
      <c r="C3112" s="3">
        <v>95</v>
      </c>
      <c r="D3112" s="3">
        <v>70</v>
      </c>
      <c r="E3112" s="3">
        <v>-2362.674</v>
      </c>
      <c r="F3112" s="4" t="str">
        <f>HYPERLINK("http://141.218.60.56/~jnz1568/getInfo.php?workbook=14_09.xlsx&amp;sheet=A0&amp;row=3112&amp;col=6&amp;number=1300000&amp;sourceID=14","1300000")</f>
        <v>1300000</v>
      </c>
      <c r="G3112" s="4" t="str">
        <f>HYPERLINK("http://141.218.60.56/~jnz1568/getInfo.php?workbook=14_09.xlsx&amp;sheet=A0&amp;row=3112&amp;col=7&amp;number=0&amp;sourceID=14","0")</f>
        <v>0</v>
      </c>
    </row>
    <row r="3113" spans="1:7">
      <c r="A3113" s="3">
        <v>14</v>
      </c>
      <c r="B3113" s="3">
        <v>9</v>
      </c>
      <c r="C3113" s="3">
        <v>96</v>
      </c>
      <c r="D3113" s="3">
        <v>70</v>
      </c>
      <c r="E3113" s="3">
        <v>-2335.144</v>
      </c>
      <c r="F3113" s="4" t="str">
        <f>HYPERLINK("http://141.218.60.56/~jnz1568/getInfo.php?workbook=14_09.xlsx&amp;sheet=A0&amp;row=3113&amp;col=6&amp;number=3930000&amp;sourceID=14","3930000")</f>
        <v>3930000</v>
      </c>
      <c r="G3113" s="4" t="str">
        <f>HYPERLINK("http://141.218.60.56/~jnz1568/getInfo.php?workbook=14_09.xlsx&amp;sheet=A0&amp;row=3113&amp;col=7&amp;number=0&amp;sourceID=14","0")</f>
        <v>0</v>
      </c>
    </row>
    <row r="3114" spans="1:7">
      <c r="A3114" s="3">
        <v>14</v>
      </c>
      <c r="B3114" s="3">
        <v>9</v>
      </c>
      <c r="C3114" s="3">
        <v>97</v>
      </c>
      <c r="D3114" s="3">
        <v>70</v>
      </c>
      <c r="E3114" s="3">
        <v>-2310.754</v>
      </c>
      <c r="F3114" s="4" t="str">
        <f>HYPERLINK("http://141.218.60.56/~jnz1568/getInfo.php?workbook=14_09.xlsx&amp;sheet=A0&amp;row=3114&amp;col=6&amp;number=6520000&amp;sourceID=14","6520000")</f>
        <v>6520000</v>
      </c>
      <c r="G3114" s="4" t="str">
        <f>HYPERLINK("http://141.218.60.56/~jnz1568/getInfo.php?workbook=14_09.xlsx&amp;sheet=A0&amp;row=3114&amp;col=7&amp;number=0&amp;sourceID=14","0")</f>
        <v>0</v>
      </c>
    </row>
    <row r="3115" spans="1:7">
      <c r="A3115" s="3">
        <v>14</v>
      </c>
      <c r="B3115" s="3">
        <v>9</v>
      </c>
      <c r="C3115" s="3">
        <v>98</v>
      </c>
      <c r="D3115" s="3">
        <v>70</v>
      </c>
      <c r="E3115" s="3">
        <v>-2267.321</v>
      </c>
      <c r="F3115" s="4" t="str">
        <f>HYPERLINK("http://141.218.60.56/~jnz1568/getInfo.php?workbook=14_09.xlsx&amp;sheet=A0&amp;row=3115&amp;col=6&amp;number=1560000&amp;sourceID=14","1560000")</f>
        <v>1560000</v>
      </c>
      <c r="G3115" s="4" t="str">
        <f>HYPERLINK("http://141.218.60.56/~jnz1568/getInfo.php?workbook=14_09.xlsx&amp;sheet=A0&amp;row=3115&amp;col=7&amp;number=0&amp;sourceID=14","0")</f>
        <v>0</v>
      </c>
    </row>
    <row r="3116" spans="1:7">
      <c r="A3116" s="3">
        <v>14</v>
      </c>
      <c r="B3116" s="3">
        <v>9</v>
      </c>
      <c r="C3116" s="3">
        <v>100</v>
      </c>
      <c r="D3116" s="3">
        <v>70</v>
      </c>
      <c r="E3116" s="3">
        <v>-2158.433</v>
      </c>
      <c r="F3116" s="4" t="str">
        <f>HYPERLINK("http://141.218.60.56/~jnz1568/getInfo.php?workbook=14_09.xlsx&amp;sheet=A0&amp;row=3116&amp;col=6&amp;number=11300000&amp;sourceID=14","11300000")</f>
        <v>11300000</v>
      </c>
      <c r="G3116" s="4" t="str">
        <f>HYPERLINK("http://141.218.60.56/~jnz1568/getInfo.php?workbook=14_09.xlsx&amp;sheet=A0&amp;row=3116&amp;col=7&amp;number=0&amp;sourceID=14","0")</f>
        <v>0</v>
      </c>
    </row>
    <row r="3117" spans="1:7">
      <c r="A3117" s="3">
        <v>14</v>
      </c>
      <c r="B3117" s="3">
        <v>9</v>
      </c>
      <c r="C3117" s="3">
        <v>103</v>
      </c>
      <c r="D3117" s="3">
        <v>70</v>
      </c>
      <c r="E3117" s="3">
        <v>-2074.004</v>
      </c>
      <c r="F3117" s="4" t="str">
        <f>HYPERLINK("http://141.218.60.56/~jnz1568/getInfo.php?workbook=14_09.xlsx&amp;sheet=A0&amp;row=3117&amp;col=6&amp;number=23200000&amp;sourceID=14","23200000")</f>
        <v>23200000</v>
      </c>
      <c r="G3117" s="4" t="str">
        <f>HYPERLINK("http://141.218.60.56/~jnz1568/getInfo.php?workbook=14_09.xlsx&amp;sheet=A0&amp;row=3117&amp;col=7&amp;number=0&amp;sourceID=14","0")</f>
        <v>0</v>
      </c>
    </row>
    <row r="3118" spans="1:7">
      <c r="A3118" s="3">
        <v>14</v>
      </c>
      <c r="B3118" s="3">
        <v>9</v>
      </c>
      <c r="C3118" s="3">
        <v>128</v>
      </c>
      <c r="D3118" s="3">
        <v>70</v>
      </c>
      <c r="E3118" s="3">
        <v>-1198.77</v>
      </c>
      <c r="F3118" s="4" t="str">
        <f>HYPERLINK("http://141.218.60.56/~jnz1568/getInfo.php?workbook=14_09.xlsx&amp;sheet=A0&amp;row=3118&amp;col=6&amp;number=1110000&amp;sourceID=14","1110000")</f>
        <v>1110000</v>
      </c>
      <c r="G3118" s="4" t="str">
        <f>HYPERLINK("http://141.218.60.56/~jnz1568/getInfo.php?workbook=14_09.xlsx&amp;sheet=A0&amp;row=3118&amp;col=7&amp;number=0&amp;sourceID=14","0")</f>
        <v>0</v>
      </c>
    </row>
    <row r="3119" spans="1:7">
      <c r="A3119" s="3">
        <v>14</v>
      </c>
      <c r="B3119" s="3">
        <v>9</v>
      </c>
      <c r="C3119" s="3">
        <v>131</v>
      </c>
      <c r="D3119" s="3">
        <v>70</v>
      </c>
      <c r="E3119" s="3">
        <v>-1125.786</v>
      </c>
      <c r="F3119" s="4" t="str">
        <f>HYPERLINK("http://141.218.60.56/~jnz1568/getInfo.php?workbook=14_09.xlsx&amp;sheet=A0&amp;row=3119&amp;col=6&amp;number=494000&amp;sourceID=14","494000")</f>
        <v>494000</v>
      </c>
      <c r="G3119" s="4" t="str">
        <f>HYPERLINK("http://141.218.60.56/~jnz1568/getInfo.php?workbook=14_09.xlsx&amp;sheet=A0&amp;row=3119&amp;col=7&amp;number=0&amp;sourceID=14","0")</f>
        <v>0</v>
      </c>
    </row>
    <row r="3120" spans="1:7">
      <c r="A3120" s="3">
        <v>14</v>
      </c>
      <c r="B3120" s="3">
        <v>9</v>
      </c>
      <c r="C3120" s="3">
        <v>132</v>
      </c>
      <c r="D3120" s="3">
        <v>70</v>
      </c>
      <c r="E3120" s="3">
        <v>-1125.279</v>
      </c>
      <c r="F3120" s="4" t="str">
        <f>HYPERLINK("http://141.218.60.56/~jnz1568/getInfo.php?workbook=14_09.xlsx&amp;sheet=A0&amp;row=3120&amp;col=6&amp;number=3270000&amp;sourceID=14","3270000")</f>
        <v>3270000</v>
      </c>
      <c r="G3120" s="4" t="str">
        <f>HYPERLINK("http://141.218.60.56/~jnz1568/getInfo.php?workbook=14_09.xlsx&amp;sheet=A0&amp;row=3120&amp;col=7&amp;number=0&amp;sourceID=14","0")</f>
        <v>0</v>
      </c>
    </row>
    <row r="3121" spans="1:7">
      <c r="A3121" s="3">
        <v>14</v>
      </c>
      <c r="B3121" s="3">
        <v>9</v>
      </c>
      <c r="C3121" s="3">
        <v>135</v>
      </c>
      <c r="D3121" s="3">
        <v>70</v>
      </c>
      <c r="E3121" s="3">
        <v>-1115.837</v>
      </c>
      <c r="F3121" s="4" t="str">
        <f>HYPERLINK("http://141.218.60.56/~jnz1568/getInfo.php?workbook=14_09.xlsx&amp;sheet=A0&amp;row=3121&amp;col=6&amp;number=6140000&amp;sourceID=14","6140000")</f>
        <v>6140000</v>
      </c>
      <c r="G3121" s="4" t="str">
        <f>HYPERLINK("http://141.218.60.56/~jnz1568/getInfo.php?workbook=14_09.xlsx&amp;sheet=A0&amp;row=3121&amp;col=7&amp;number=0&amp;sourceID=14","0")</f>
        <v>0</v>
      </c>
    </row>
    <row r="3122" spans="1:7">
      <c r="A3122" s="3">
        <v>14</v>
      </c>
      <c r="B3122" s="3">
        <v>9</v>
      </c>
      <c r="C3122" s="3">
        <v>140</v>
      </c>
      <c r="D3122" s="3">
        <v>70</v>
      </c>
      <c r="E3122" s="3">
        <v>-1046.071</v>
      </c>
      <c r="F3122" s="4" t="str">
        <f>HYPERLINK("http://141.218.60.56/~jnz1568/getInfo.php?workbook=14_09.xlsx&amp;sheet=A0&amp;row=3122&amp;col=6&amp;number=2110000&amp;sourceID=14","2110000")</f>
        <v>2110000</v>
      </c>
      <c r="G3122" s="4" t="str">
        <f>HYPERLINK("http://141.218.60.56/~jnz1568/getInfo.php?workbook=14_09.xlsx&amp;sheet=A0&amp;row=3122&amp;col=7&amp;number=0&amp;sourceID=14","0")</f>
        <v>0</v>
      </c>
    </row>
    <row r="3123" spans="1:7">
      <c r="A3123" s="3">
        <v>14</v>
      </c>
      <c r="B3123" s="3">
        <v>9</v>
      </c>
      <c r="C3123" s="3">
        <v>145</v>
      </c>
      <c r="D3123" s="3">
        <v>70</v>
      </c>
      <c r="E3123" s="3">
        <v>-1030.898</v>
      </c>
      <c r="F3123" s="4" t="str">
        <f>HYPERLINK("http://141.218.60.56/~jnz1568/getInfo.php?workbook=14_09.xlsx&amp;sheet=A0&amp;row=3123&amp;col=6&amp;number=7570000&amp;sourceID=14","7570000")</f>
        <v>7570000</v>
      </c>
      <c r="G3123" s="4" t="str">
        <f>HYPERLINK("http://141.218.60.56/~jnz1568/getInfo.php?workbook=14_09.xlsx&amp;sheet=A0&amp;row=3123&amp;col=7&amp;number=0&amp;sourceID=14","0")</f>
        <v>0</v>
      </c>
    </row>
    <row r="3124" spans="1:7">
      <c r="A3124" s="3">
        <v>14</v>
      </c>
      <c r="B3124" s="3">
        <v>9</v>
      </c>
      <c r="C3124" s="3">
        <v>148</v>
      </c>
      <c r="D3124" s="3">
        <v>70</v>
      </c>
      <c r="E3124" s="3">
        <v>-1015.849</v>
      </c>
      <c r="F3124" s="4" t="str">
        <f>HYPERLINK("http://141.218.60.56/~jnz1568/getInfo.php?workbook=14_09.xlsx&amp;sheet=A0&amp;row=3124&amp;col=6&amp;number=846000&amp;sourceID=14","846000")</f>
        <v>846000</v>
      </c>
      <c r="G3124" s="4" t="str">
        <f>HYPERLINK("http://141.218.60.56/~jnz1568/getInfo.php?workbook=14_09.xlsx&amp;sheet=A0&amp;row=3124&amp;col=7&amp;number=0&amp;sourceID=14","0")</f>
        <v>0</v>
      </c>
    </row>
    <row r="3125" spans="1:7">
      <c r="A3125" s="3">
        <v>14</v>
      </c>
      <c r="B3125" s="3">
        <v>9</v>
      </c>
      <c r="C3125" s="3">
        <v>152</v>
      </c>
      <c r="D3125" s="3">
        <v>70</v>
      </c>
      <c r="E3125" s="3">
        <v>-944.414</v>
      </c>
      <c r="F3125" s="4" t="str">
        <f>HYPERLINK("http://141.218.60.56/~jnz1568/getInfo.php?workbook=14_09.xlsx&amp;sheet=A0&amp;row=3125&amp;col=6&amp;number=1610000&amp;sourceID=14","1610000")</f>
        <v>1610000</v>
      </c>
      <c r="G3125" s="4" t="str">
        <f>HYPERLINK("http://141.218.60.56/~jnz1568/getInfo.php?workbook=14_09.xlsx&amp;sheet=A0&amp;row=3125&amp;col=7&amp;number=0&amp;sourceID=14","0")</f>
        <v>0</v>
      </c>
    </row>
    <row r="3126" spans="1:7">
      <c r="A3126" s="3">
        <v>14</v>
      </c>
      <c r="B3126" s="3">
        <v>9</v>
      </c>
      <c r="C3126" s="3">
        <v>153</v>
      </c>
      <c r="D3126" s="3">
        <v>70</v>
      </c>
      <c r="E3126" s="3">
        <v>-929.059</v>
      </c>
      <c r="F3126" s="4" t="str">
        <f>HYPERLINK("http://141.218.60.56/~jnz1568/getInfo.php?workbook=14_09.xlsx&amp;sheet=A0&amp;row=3126&amp;col=6&amp;number=10500000&amp;sourceID=14","10500000")</f>
        <v>10500000</v>
      </c>
      <c r="G3126" s="4" t="str">
        <f>HYPERLINK("http://141.218.60.56/~jnz1568/getInfo.php?workbook=14_09.xlsx&amp;sheet=A0&amp;row=3126&amp;col=7&amp;number=0&amp;sourceID=14","0")</f>
        <v>0</v>
      </c>
    </row>
    <row r="3127" spans="1:7">
      <c r="A3127" s="3">
        <v>14</v>
      </c>
      <c r="B3127" s="3">
        <v>9</v>
      </c>
      <c r="C3127" s="3">
        <v>154</v>
      </c>
      <c r="D3127" s="3">
        <v>70</v>
      </c>
      <c r="E3127" s="3">
        <v>-928.86</v>
      </c>
      <c r="F3127" s="4" t="str">
        <f>HYPERLINK("http://141.218.60.56/~jnz1568/getInfo.php?workbook=14_09.xlsx&amp;sheet=A0&amp;row=3127&amp;col=6&amp;number=2960000&amp;sourceID=14","2960000")</f>
        <v>2960000</v>
      </c>
      <c r="G3127" s="4" t="str">
        <f>HYPERLINK("http://141.218.60.56/~jnz1568/getInfo.php?workbook=14_09.xlsx&amp;sheet=A0&amp;row=3127&amp;col=7&amp;number=0&amp;sourceID=14","0")</f>
        <v>0</v>
      </c>
    </row>
    <row r="3128" spans="1:7">
      <c r="A3128" s="3">
        <v>14</v>
      </c>
      <c r="B3128" s="3">
        <v>9</v>
      </c>
      <c r="C3128" s="3">
        <v>162</v>
      </c>
      <c r="D3128" s="3">
        <v>70</v>
      </c>
      <c r="E3128" s="3">
        <v>-637.992</v>
      </c>
      <c r="F3128" s="4" t="str">
        <f>HYPERLINK("http://141.218.60.56/~jnz1568/getInfo.php?workbook=14_09.xlsx&amp;sheet=A0&amp;row=3128&amp;col=6&amp;number=1140000&amp;sourceID=14","1140000")</f>
        <v>1140000</v>
      </c>
      <c r="G3128" s="4" t="str">
        <f>HYPERLINK("http://141.218.60.56/~jnz1568/getInfo.php?workbook=14_09.xlsx&amp;sheet=A0&amp;row=3128&amp;col=7&amp;number=0&amp;sourceID=14","0")</f>
        <v>0</v>
      </c>
    </row>
    <row r="3129" spans="1:7">
      <c r="A3129" s="3">
        <v>14</v>
      </c>
      <c r="B3129" s="3">
        <v>9</v>
      </c>
      <c r="C3129" s="3">
        <v>188</v>
      </c>
      <c r="D3129" s="3">
        <v>70</v>
      </c>
      <c r="E3129" s="3">
        <v>-383.924</v>
      </c>
      <c r="F3129" s="4" t="str">
        <f>HYPERLINK("http://141.218.60.56/~jnz1568/getInfo.php?workbook=14_09.xlsx&amp;sheet=A0&amp;row=3129&amp;col=6&amp;number=4510000&amp;sourceID=14","4510000")</f>
        <v>4510000</v>
      </c>
      <c r="G3129" s="4" t="str">
        <f>HYPERLINK("http://141.218.60.56/~jnz1568/getInfo.php?workbook=14_09.xlsx&amp;sheet=A0&amp;row=3129&amp;col=7&amp;number=0&amp;sourceID=14","0")</f>
        <v>0</v>
      </c>
    </row>
    <row r="3130" spans="1:7">
      <c r="A3130" s="3">
        <v>14</v>
      </c>
      <c r="B3130" s="3">
        <v>9</v>
      </c>
      <c r="C3130" s="3">
        <v>87</v>
      </c>
      <c r="D3130" s="3">
        <v>71</v>
      </c>
      <c r="E3130" s="3">
        <v>-2948.727</v>
      </c>
      <c r="F3130" s="4" t="str">
        <f>HYPERLINK("http://141.218.60.56/~jnz1568/getInfo.php?workbook=14_09.xlsx&amp;sheet=A0&amp;row=3130&amp;col=6&amp;number=1520000&amp;sourceID=14","1520000")</f>
        <v>1520000</v>
      </c>
      <c r="G3130" s="4" t="str">
        <f>HYPERLINK("http://141.218.60.56/~jnz1568/getInfo.php?workbook=14_09.xlsx&amp;sheet=A0&amp;row=3130&amp;col=7&amp;number=0&amp;sourceID=14","0")</f>
        <v>0</v>
      </c>
    </row>
    <row r="3131" spans="1:7">
      <c r="A3131" s="3">
        <v>14</v>
      </c>
      <c r="B3131" s="3">
        <v>9</v>
      </c>
      <c r="C3131" s="3">
        <v>88</v>
      </c>
      <c r="D3131" s="3">
        <v>71</v>
      </c>
      <c r="E3131" s="3">
        <v>-2897.548</v>
      </c>
      <c r="F3131" s="4" t="str">
        <f>HYPERLINK("http://141.218.60.56/~jnz1568/getInfo.php?workbook=14_09.xlsx&amp;sheet=A0&amp;row=3131&amp;col=6&amp;number=22100000&amp;sourceID=14","22100000")</f>
        <v>22100000</v>
      </c>
      <c r="G3131" s="4" t="str">
        <f>HYPERLINK("http://141.218.60.56/~jnz1568/getInfo.php?workbook=14_09.xlsx&amp;sheet=A0&amp;row=3131&amp;col=7&amp;number=0&amp;sourceID=14","0")</f>
        <v>0</v>
      </c>
    </row>
    <row r="3132" spans="1:7">
      <c r="A3132" s="3">
        <v>14</v>
      </c>
      <c r="B3132" s="3">
        <v>9</v>
      </c>
      <c r="C3132" s="3">
        <v>89</v>
      </c>
      <c r="D3132" s="3">
        <v>71</v>
      </c>
      <c r="E3132" s="3">
        <v>-2837.368</v>
      </c>
      <c r="F3132" s="4" t="str">
        <f>HYPERLINK("http://141.218.60.56/~jnz1568/getInfo.php?workbook=14_09.xlsx&amp;sheet=A0&amp;row=3132&amp;col=6&amp;number=34300000&amp;sourceID=14","34300000")</f>
        <v>34300000</v>
      </c>
      <c r="G3132" s="4" t="str">
        <f>HYPERLINK("http://141.218.60.56/~jnz1568/getInfo.php?workbook=14_09.xlsx&amp;sheet=A0&amp;row=3132&amp;col=7&amp;number=0&amp;sourceID=14","0")</f>
        <v>0</v>
      </c>
    </row>
    <row r="3133" spans="1:7">
      <c r="A3133" s="3">
        <v>14</v>
      </c>
      <c r="B3133" s="3">
        <v>9</v>
      </c>
      <c r="C3133" s="3">
        <v>92</v>
      </c>
      <c r="D3133" s="3">
        <v>71</v>
      </c>
      <c r="E3133" s="3">
        <v>-2607.091</v>
      </c>
      <c r="F3133" s="4" t="str">
        <f>HYPERLINK("http://141.218.60.56/~jnz1568/getInfo.php?workbook=14_09.xlsx&amp;sheet=A0&amp;row=3133&amp;col=6&amp;number=2430000&amp;sourceID=14","2430000")</f>
        <v>2430000</v>
      </c>
      <c r="G3133" s="4" t="str">
        <f>HYPERLINK("http://141.218.60.56/~jnz1568/getInfo.php?workbook=14_09.xlsx&amp;sheet=A0&amp;row=3133&amp;col=7&amp;number=0&amp;sourceID=14","0")</f>
        <v>0</v>
      </c>
    </row>
    <row r="3134" spans="1:7">
      <c r="A3134" s="3">
        <v>14</v>
      </c>
      <c r="B3134" s="3">
        <v>9</v>
      </c>
      <c r="C3134" s="3">
        <v>93</v>
      </c>
      <c r="D3134" s="3">
        <v>71</v>
      </c>
      <c r="E3134" s="3">
        <v>-2551.676</v>
      </c>
      <c r="F3134" s="4" t="str">
        <f>HYPERLINK("http://141.218.60.56/~jnz1568/getInfo.php?workbook=14_09.xlsx&amp;sheet=A0&amp;row=3134&amp;col=6&amp;number=358000000&amp;sourceID=14","358000000")</f>
        <v>358000000</v>
      </c>
      <c r="G3134" s="4" t="str">
        <f>HYPERLINK("http://141.218.60.56/~jnz1568/getInfo.php?workbook=14_09.xlsx&amp;sheet=A0&amp;row=3134&amp;col=7&amp;number=0&amp;sourceID=14","0")</f>
        <v>0</v>
      </c>
    </row>
    <row r="3135" spans="1:7">
      <c r="A3135" s="3">
        <v>14</v>
      </c>
      <c r="B3135" s="3">
        <v>9</v>
      </c>
      <c r="C3135" s="3">
        <v>94</v>
      </c>
      <c r="D3135" s="3">
        <v>71</v>
      </c>
      <c r="E3135" s="3">
        <v>-2537.367</v>
      </c>
      <c r="F3135" s="4" t="str">
        <f>HYPERLINK("http://141.218.60.56/~jnz1568/getInfo.php?workbook=14_09.xlsx&amp;sheet=A0&amp;row=3135&amp;col=6&amp;number=89100000&amp;sourceID=14","89100000")</f>
        <v>89100000</v>
      </c>
      <c r="G3135" s="4" t="str">
        <f>HYPERLINK("http://141.218.60.56/~jnz1568/getInfo.php?workbook=14_09.xlsx&amp;sheet=A0&amp;row=3135&amp;col=7&amp;number=0&amp;sourceID=14","0")</f>
        <v>0</v>
      </c>
    </row>
    <row r="3136" spans="1:7">
      <c r="A3136" s="3">
        <v>14</v>
      </c>
      <c r="B3136" s="3">
        <v>9</v>
      </c>
      <c r="C3136" s="3">
        <v>96</v>
      </c>
      <c r="D3136" s="3">
        <v>71</v>
      </c>
      <c r="E3136" s="3">
        <v>-2454.233</v>
      </c>
      <c r="F3136" s="4" t="str">
        <f>HYPERLINK("http://141.218.60.56/~jnz1568/getInfo.php?workbook=14_09.xlsx&amp;sheet=A0&amp;row=3136&amp;col=6&amp;number=71600000&amp;sourceID=14","71600000")</f>
        <v>71600000</v>
      </c>
      <c r="G3136" s="4" t="str">
        <f>HYPERLINK("http://141.218.60.56/~jnz1568/getInfo.php?workbook=14_09.xlsx&amp;sheet=A0&amp;row=3136&amp;col=7&amp;number=0&amp;sourceID=14","0")</f>
        <v>0</v>
      </c>
    </row>
    <row r="3137" spans="1:7">
      <c r="A3137" s="3">
        <v>14</v>
      </c>
      <c r="B3137" s="3">
        <v>9</v>
      </c>
      <c r="C3137" s="3">
        <v>97</v>
      </c>
      <c r="D3137" s="3">
        <v>71</v>
      </c>
      <c r="E3137" s="3">
        <v>-2427.307</v>
      </c>
      <c r="F3137" s="4" t="str">
        <f>HYPERLINK("http://141.218.60.56/~jnz1568/getInfo.php?workbook=14_09.xlsx&amp;sheet=A0&amp;row=3137&amp;col=6&amp;number=72700000&amp;sourceID=14","72700000")</f>
        <v>72700000</v>
      </c>
      <c r="G3137" s="4" t="str">
        <f>HYPERLINK("http://141.218.60.56/~jnz1568/getInfo.php?workbook=14_09.xlsx&amp;sheet=A0&amp;row=3137&amp;col=7&amp;number=0&amp;sourceID=14","0")</f>
        <v>0</v>
      </c>
    </row>
    <row r="3138" spans="1:7">
      <c r="A3138" s="3">
        <v>14</v>
      </c>
      <c r="B3138" s="3">
        <v>9</v>
      </c>
      <c r="C3138" s="3">
        <v>98</v>
      </c>
      <c r="D3138" s="3">
        <v>71</v>
      </c>
      <c r="E3138" s="3">
        <v>-2379.427</v>
      </c>
      <c r="F3138" s="4" t="str">
        <f>HYPERLINK("http://141.218.60.56/~jnz1568/getInfo.php?workbook=14_09.xlsx&amp;sheet=A0&amp;row=3138&amp;col=6&amp;number=3640000&amp;sourceID=14","3640000")</f>
        <v>3640000</v>
      </c>
      <c r="G3138" s="4" t="str">
        <f>HYPERLINK("http://141.218.60.56/~jnz1568/getInfo.php?workbook=14_09.xlsx&amp;sheet=A0&amp;row=3138&amp;col=7&amp;number=0&amp;sourceID=14","0")</f>
        <v>0</v>
      </c>
    </row>
    <row r="3139" spans="1:7">
      <c r="A3139" s="3">
        <v>14</v>
      </c>
      <c r="B3139" s="3">
        <v>9</v>
      </c>
      <c r="C3139" s="3">
        <v>99</v>
      </c>
      <c r="D3139" s="3">
        <v>71</v>
      </c>
      <c r="E3139" s="3">
        <v>-2297.323</v>
      </c>
      <c r="F3139" s="4" t="str">
        <f>HYPERLINK("http://141.218.60.56/~jnz1568/getInfo.php?workbook=14_09.xlsx&amp;sheet=A0&amp;row=3139&amp;col=6&amp;number=1460000&amp;sourceID=14","1460000")</f>
        <v>1460000</v>
      </c>
      <c r="G3139" s="4" t="str">
        <f>HYPERLINK("http://141.218.60.56/~jnz1568/getInfo.php?workbook=14_09.xlsx&amp;sheet=A0&amp;row=3139&amp;col=7&amp;number=0&amp;sourceID=14","0")</f>
        <v>0</v>
      </c>
    </row>
    <row r="3140" spans="1:7">
      <c r="A3140" s="3">
        <v>14</v>
      </c>
      <c r="B3140" s="3">
        <v>9</v>
      </c>
      <c r="C3140" s="3">
        <v>103</v>
      </c>
      <c r="D3140" s="3">
        <v>71</v>
      </c>
      <c r="E3140" s="3">
        <v>-2167.415</v>
      </c>
      <c r="F3140" s="4" t="str">
        <f>HYPERLINK("http://141.218.60.56/~jnz1568/getInfo.php?workbook=14_09.xlsx&amp;sheet=A0&amp;row=3140&amp;col=6&amp;number=6250000&amp;sourceID=14","6250000")</f>
        <v>6250000</v>
      </c>
      <c r="G3140" s="4" t="str">
        <f>HYPERLINK("http://141.218.60.56/~jnz1568/getInfo.php?workbook=14_09.xlsx&amp;sheet=A0&amp;row=3140&amp;col=7&amp;number=0&amp;sourceID=14","0")</f>
        <v>0</v>
      </c>
    </row>
    <row r="3141" spans="1:7">
      <c r="A3141" s="3">
        <v>14</v>
      </c>
      <c r="B3141" s="3">
        <v>9</v>
      </c>
      <c r="C3141" s="3">
        <v>110</v>
      </c>
      <c r="D3141" s="3">
        <v>71</v>
      </c>
      <c r="E3141" s="3">
        <v>-2100.138</v>
      </c>
      <c r="F3141" s="4" t="str">
        <f>HYPERLINK("http://141.218.60.56/~jnz1568/getInfo.php?workbook=14_09.xlsx&amp;sheet=A0&amp;row=3141&amp;col=6&amp;number=5820000&amp;sourceID=14","5820000")</f>
        <v>5820000</v>
      </c>
      <c r="G3141" s="4" t="str">
        <f>HYPERLINK("http://141.218.60.56/~jnz1568/getInfo.php?workbook=14_09.xlsx&amp;sheet=A0&amp;row=3141&amp;col=7&amp;number=0&amp;sourceID=14","0")</f>
        <v>0</v>
      </c>
    </row>
    <row r="3142" spans="1:7">
      <c r="A3142" s="3">
        <v>14</v>
      </c>
      <c r="B3142" s="3">
        <v>9</v>
      </c>
      <c r="C3142" s="3">
        <v>128</v>
      </c>
      <c r="D3142" s="3">
        <v>71</v>
      </c>
      <c r="E3142" s="3">
        <v>-1229.395</v>
      </c>
      <c r="F3142" s="4" t="str">
        <f>HYPERLINK("http://141.218.60.56/~jnz1568/getInfo.php?workbook=14_09.xlsx&amp;sheet=A0&amp;row=3142&amp;col=6&amp;number=958000&amp;sourceID=14","958000")</f>
        <v>958000</v>
      </c>
      <c r="G3142" s="4" t="str">
        <f>HYPERLINK("http://141.218.60.56/~jnz1568/getInfo.php?workbook=14_09.xlsx&amp;sheet=A0&amp;row=3142&amp;col=7&amp;number=0&amp;sourceID=14","0")</f>
        <v>0</v>
      </c>
    </row>
    <row r="3143" spans="1:7">
      <c r="A3143" s="3">
        <v>14</v>
      </c>
      <c r="B3143" s="3">
        <v>9</v>
      </c>
      <c r="C3143" s="3">
        <v>132</v>
      </c>
      <c r="D3143" s="3">
        <v>71</v>
      </c>
      <c r="E3143" s="3">
        <v>-1152.222</v>
      </c>
      <c r="F3143" s="4" t="str">
        <f>HYPERLINK("http://141.218.60.56/~jnz1568/getInfo.php?workbook=14_09.xlsx&amp;sheet=A0&amp;row=3143&amp;col=6&amp;number=2020000&amp;sourceID=14","2020000")</f>
        <v>2020000</v>
      </c>
      <c r="G3143" s="4" t="str">
        <f>HYPERLINK("http://141.218.60.56/~jnz1568/getInfo.php?workbook=14_09.xlsx&amp;sheet=A0&amp;row=3143&amp;col=7&amp;number=0&amp;sourceID=14","0")</f>
        <v>0</v>
      </c>
    </row>
    <row r="3144" spans="1:7">
      <c r="A3144" s="3">
        <v>14</v>
      </c>
      <c r="B3144" s="3">
        <v>9</v>
      </c>
      <c r="C3144" s="3">
        <v>145</v>
      </c>
      <c r="D3144" s="3">
        <v>71</v>
      </c>
      <c r="E3144" s="3">
        <v>-1053.465</v>
      </c>
      <c r="F3144" s="4" t="str">
        <f>HYPERLINK("http://141.218.60.56/~jnz1568/getInfo.php?workbook=14_09.xlsx&amp;sheet=A0&amp;row=3144&amp;col=6&amp;number=1310000&amp;sourceID=14","1310000")</f>
        <v>1310000</v>
      </c>
      <c r="G3144" s="4" t="str">
        <f>HYPERLINK("http://141.218.60.56/~jnz1568/getInfo.php?workbook=14_09.xlsx&amp;sheet=A0&amp;row=3144&amp;col=7&amp;number=0&amp;sourceID=14","0")</f>
        <v>0</v>
      </c>
    </row>
    <row r="3145" spans="1:7">
      <c r="A3145" s="3">
        <v>14</v>
      </c>
      <c r="B3145" s="3">
        <v>9</v>
      </c>
      <c r="C3145" s="3">
        <v>148</v>
      </c>
      <c r="D3145" s="3">
        <v>71</v>
      </c>
      <c r="E3145" s="3">
        <v>-1037.755</v>
      </c>
      <c r="F3145" s="4" t="str">
        <f>HYPERLINK("http://141.218.60.56/~jnz1568/getInfo.php?workbook=14_09.xlsx&amp;sheet=A0&amp;row=3145&amp;col=6&amp;number=11500000&amp;sourceID=14","11500000")</f>
        <v>11500000</v>
      </c>
      <c r="G3145" s="4" t="str">
        <f>HYPERLINK("http://141.218.60.56/~jnz1568/getInfo.php?workbook=14_09.xlsx&amp;sheet=A0&amp;row=3145&amp;col=7&amp;number=0&amp;sourceID=14","0")</f>
        <v>0</v>
      </c>
    </row>
    <row r="3146" spans="1:7">
      <c r="A3146" s="3">
        <v>14</v>
      </c>
      <c r="B3146" s="3">
        <v>9</v>
      </c>
      <c r="C3146" s="3">
        <v>151</v>
      </c>
      <c r="D3146" s="3">
        <v>71</v>
      </c>
      <c r="E3146" s="3">
        <v>-1026.369</v>
      </c>
      <c r="F3146" s="4" t="str">
        <f>HYPERLINK("http://141.218.60.56/~jnz1568/getInfo.php?workbook=14_09.xlsx&amp;sheet=A0&amp;row=3146&amp;col=6&amp;number=3700000&amp;sourceID=14","3700000")</f>
        <v>3700000</v>
      </c>
      <c r="G3146" s="4" t="str">
        <f>HYPERLINK("http://141.218.60.56/~jnz1568/getInfo.php?workbook=14_09.xlsx&amp;sheet=A0&amp;row=3146&amp;col=7&amp;number=0&amp;sourceID=14","0")</f>
        <v>0</v>
      </c>
    </row>
    <row r="3147" spans="1:7">
      <c r="A3147" s="3">
        <v>14</v>
      </c>
      <c r="B3147" s="3">
        <v>9</v>
      </c>
      <c r="C3147" s="3">
        <v>152</v>
      </c>
      <c r="D3147" s="3">
        <v>71</v>
      </c>
      <c r="E3147" s="3">
        <v>-963.319</v>
      </c>
      <c r="F3147" s="4" t="str">
        <f>HYPERLINK("http://141.218.60.56/~jnz1568/getInfo.php?workbook=14_09.xlsx&amp;sheet=A0&amp;row=3147&amp;col=6&amp;number=5530000&amp;sourceID=14","5530000")</f>
        <v>5530000</v>
      </c>
      <c r="G3147" s="4" t="str">
        <f>HYPERLINK("http://141.218.60.56/~jnz1568/getInfo.php?workbook=14_09.xlsx&amp;sheet=A0&amp;row=3147&amp;col=7&amp;number=0&amp;sourceID=14","0")</f>
        <v>0</v>
      </c>
    </row>
    <row r="3148" spans="1:7">
      <c r="A3148" s="3">
        <v>14</v>
      </c>
      <c r="B3148" s="3">
        <v>9</v>
      </c>
      <c r="C3148" s="3">
        <v>154</v>
      </c>
      <c r="D3148" s="3">
        <v>71</v>
      </c>
      <c r="E3148" s="3">
        <v>-947.142</v>
      </c>
      <c r="F3148" s="4" t="str">
        <f>HYPERLINK("http://141.218.60.56/~jnz1568/getInfo.php?workbook=14_09.xlsx&amp;sheet=A0&amp;row=3148&amp;col=6&amp;number=9370000&amp;sourceID=14","9370000")</f>
        <v>9370000</v>
      </c>
      <c r="G3148" s="4" t="str">
        <f>HYPERLINK("http://141.218.60.56/~jnz1568/getInfo.php?workbook=14_09.xlsx&amp;sheet=A0&amp;row=3148&amp;col=7&amp;number=0&amp;sourceID=14","0")</f>
        <v>0</v>
      </c>
    </row>
    <row r="3149" spans="1:7">
      <c r="A3149" s="3">
        <v>14</v>
      </c>
      <c r="B3149" s="3">
        <v>9</v>
      </c>
      <c r="C3149" s="3">
        <v>155</v>
      </c>
      <c r="D3149" s="3">
        <v>71</v>
      </c>
      <c r="E3149" s="3">
        <v>-941.284</v>
      </c>
      <c r="F3149" s="4" t="str">
        <f>HYPERLINK("http://141.218.60.56/~jnz1568/getInfo.php?workbook=14_09.xlsx&amp;sheet=A0&amp;row=3149&amp;col=6&amp;number=316000&amp;sourceID=14","316000")</f>
        <v>316000</v>
      </c>
      <c r="G3149" s="4" t="str">
        <f>HYPERLINK("http://141.218.60.56/~jnz1568/getInfo.php?workbook=14_09.xlsx&amp;sheet=A0&amp;row=3149&amp;col=7&amp;number=0&amp;sourceID=14","0")</f>
        <v>0</v>
      </c>
    </row>
    <row r="3150" spans="1:7">
      <c r="A3150" s="3">
        <v>14</v>
      </c>
      <c r="B3150" s="3">
        <v>9</v>
      </c>
      <c r="C3150" s="3">
        <v>156</v>
      </c>
      <c r="D3150" s="3">
        <v>71</v>
      </c>
      <c r="E3150" s="3">
        <v>-933.177</v>
      </c>
      <c r="F3150" s="4" t="str">
        <f>HYPERLINK("http://141.218.60.56/~jnz1568/getInfo.php?workbook=14_09.xlsx&amp;sheet=A0&amp;row=3150&amp;col=6&amp;number=1450000&amp;sourceID=14","1450000")</f>
        <v>1450000</v>
      </c>
      <c r="G3150" s="4" t="str">
        <f>HYPERLINK("http://141.218.60.56/~jnz1568/getInfo.php?workbook=14_09.xlsx&amp;sheet=A0&amp;row=3150&amp;col=7&amp;number=0&amp;sourceID=14","0")</f>
        <v>0</v>
      </c>
    </row>
    <row r="3151" spans="1:7">
      <c r="A3151" s="3">
        <v>14</v>
      </c>
      <c r="B3151" s="3">
        <v>9</v>
      </c>
      <c r="C3151" s="3">
        <v>157</v>
      </c>
      <c r="D3151" s="3">
        <v>71</v>
      </c>
      <c r="E3151" s="3">
        <v>-911.421</v>
      </c>
      <c r="F3151" s="4" t="str">
        <f>HYPERLINK("http://141.218.60.56/~jnz1568/getInfo.php?workbook=14_09.xlsx&amp;sheet=A0&amp;row=3151&amp;col=6&amp;number=826000&amp;sourceID=14","826000")</f>
        <v>826000</v>
      </c>
      <c r="G3151" s="4" t="str">
        <f>HYPERLINK("http://141.218.60.56/~jnz1568/getInfo.php?workbook=14_09.xlsx&amp;sheet=A0&amp;row=3151&amp;col=7&amp;number=0&amp;sourceID=14","0")</f>
        <v>0</v>
      </c>
    </row>
    <row r="3152" spans="1:7">
      <c r="A3152" s="3">
        <v>14</v>
      </c>
      <c r="B3152" s="3">
        <v>9</v>
      </c>
      <c r="C3152" s="3">
        <v>187</v>
      </c>
      <c r="D3152" s="3">
        <v>71</v>
      </c>
      <c r="E3152" s="3">
        <v>-387.482</v>
      </c>
      <c r="F3152" s="4" t="str">
        <f>HYPERLINK("http://141.218.60.56/~jnz1568/getInfo.php?workbook=14_09.xlsx&amp;sheet=A0&amp;row=3152&amp;col=6&amp;number=2650000&amp;sourceID=14","2650000")</f>
        <v>2650000</v>
      </c>
      <c r="G3152" s="4" t="str">
        <f>HYPERLINK("http://141.218.60.56/~jnz1568/getInfo.php?workbook=14_09.xlsx&amp;sheet=A0&amp;row=3152&amp;col=7&amp;number=0&amp;sourceID=14","0")</f>
        <v>0</v>
      </c>
    </row>
    <row r="3153" spans="1:7">
      <c r="A3153" s="3">
        <v>14</v>
      </c>
      <c r="B3153" s="3">
        <v>9</v>
      </c>
      <c r="C3153" s="3">
        <v>86</v>
      </c>
      <c r="D3153" s="3">
        <v>72</v>
      </c>
      <c r="E3153" s="3">
        <v>-3045.351</v>
      </c>
      <c r="F3153" s="4" t="str">
        <f>HYPERLINK("http://141.218.60.56/~jnz1568/getInfo.php?workbook=14_09.xlsx&amp;sheet=A0&amp;row=3153&amp;col=6&amp;number=1500000&amp;sourceID=14","1500000")</f>
        <v>1500000</v>
      </c>
      <c r="G3153" s="4" t="str">
        <f>HYPERLINK("http://141.218.60.56/~jnz1568/getInfo.php?workbook=14_09.xlsx&amp;sheet=A0&amp;row=3153&amp;col=7&amp;number=0&amp;sourceID=14","0")</f>
        <v>0</v>
      </c>
    </row>
    <row r="3154" spans="1:7">
      <c r="A3154" s="3">
        <v>14</v>
      </c>
      <c r="B3154" s="3">
        <v>9</v>
      </c>
      <c r="C3154" s="3">
        <v>87</v>
      </c>
      <c r="D3154" s="3">
        <v>72</v>
      </c>
      <c r="E3154" s="3">
        <v>-3017.325</v>
      </c>
      <c r="F3154" s="4" t="str">
        <f>HYPERLINK("http://141.218.60.56/~jnz1568/getInfo.php?workbook=14_09.xlsx&amp;sheet=A0&amp;row=3154&amp;col=6&amp;number=13400000&amp;sourceID=14","13400000")</f>
        <v>13400000</v>
      </c>
      <c r="G3154" s="4" t="str">
        <f>HYPERLINK("http://141.218.60.56/~jnz1568/getInfo.php?workbook=14_09.xlsx&amp;sheet=A0&amp;row=3154&amp;col=7&amp;number=0&amp;sourceID=14","0")</f>
        <v>0</v>
      </c>
    </row>
    <row r="3155" spans="1:7">
      <c r="A3155" s="3">
        <v>14</v>
      </c>
      <c r="B3155" s="3">
        <v>9</v>
      </c>
      <c r="C3155" s="3">
        <v>88</v>
      </c>
      <c r="D3155" s="3">
        <v>72</v>
      </c>
      <c r="E3155" s="3">
        <v>-2963.759</v>
      </c>
      <c r="F3155" s="4" t="str">
        <f>HYPERLINK("http://141.218.60.56/~jnz1568/getInfo.php?workbook=14_09.xlsx&amp;sheet=A0&amp;row=3155&amp;col=6&amp;number=8720000&amp;sourceID=14","8720000")</f>
        <v>8720000</v>
      </c>
      <c r="G3155" s="4" t="str">
        <f>HYPERLINK("http://141.218.60.56/~jnz1568/getInfo.php?workbook=14_09.xlsx&amp;sheet=A0&amp;row=3155&amp;col=7&amp;number=0&amp;sourceID=14","0")</f>
        <v>0</v>
      </c>
    </row>
    <row r="3156" spans="1:7">
      <c r="A3156" s="3">
        <v>14</v>
      </c>
      <c r="B3156" s="3">
        <v>9</v>
      </c>
      <c r="C3156" s="3">
        <v>91</v>
      </c>
      <c r="D3156" s="3">
        <v>72</v>
      </c>
      <c r="E3156" s="3">
        <v>-2724.949</v>
      </c>
      <c r="F3156" s="4" t="str">
        <f>HYPERLINK("http://141.218.60.56/~jnz1568/getInfo.php?workbook=14_09.xlsx&amp;sheet=A0&amp;row=3156&amp;col=6&amp;number=2590000&amp;sourceID=14","2590000")</f>
        <v>2590000</v>
      </c>
      <c r="G3156" s="4" t="str">
        <f>HYPERLINK("http://141.218.60.56/~jnz1568/getInfo.php?workbook=14_09.xlsx&amp;sheet=A0&amp;row=3156&amp;col=7&amp;number=0&amp;sourceID=14","0")</f>
        <v>0</v>
      </c>
    </row>
    <row r="3157" spans="1:7">
      <c r="A3157" s="3">
        <v>14</v>
      </c>
      <c r="B3157" s="3">
        <v>9</v>
      </c>
      <c r="C3157" s="3">
        <v>93</v>
      </c>
      <c r="D3157" s="3">
        <v>72</v>
      </c>
      <c r="E3157" s="3">
        <v>-2602.883</v>
      </c>
      <c r="F3157" s="4" t="str">
        <f>HYPERLINK("http://141.218.60.56/~jnz1568/getInfo.php?workbook=14_09.xlsx&amp;sheet=A0&amp;row=3157&amp;col=6&amp;number=2970000&amp;sourceID=14","2970000")</f>
        <v>2970000</v>
      </c>
      <c r="G3157" s="4" t="str">
        <f>HYPERLINK("http://141.218.60.56/~jnz1568/getInfo.php?workbook=14_09.xlsx&amp;sheet=A0&amp;row=3157&amp;col=7&amp;number=0&amp;sourceID=14","0")</f>
        <v>0</v>
      </c>
    </row>
    <row r="3158" spans="1:7">
      <c r="A3158" s="3">
        <v>14</v>
      </c>
      <c r="B3158" s="3">
        <v>9</v>
      </c>
      <c r="C3158" s="3">
        <v>94</v>
      </c>
      <c r="D3158" s="3">
        <v>72</v>
      </c>
      <c r="E3158" s="3">
        <v>-2587.996</v>
      </c>
      <c r="F3158" s="4" t="str">
        <f>HYPERLINK("http://141.218.60.56/~jnz1568/getInfo.php?workbook=14_09.xlsx&amp;sheet=A0&amp;row=3158&amp;col=6&amp;number=488000&amp;sourceID=14","488000")</f>
        <v>488000</v>
      </c>
      <c r="G3158" s="4" t="str">
        <f>HYPERLINK("http://141.218.60.56/~jnz1568/getInfo.php?workbook=14_09.xlsx&amp;sheet=A0&amp;row=3158&amp;col=7&amp;number=0&amp;sourceID=14","0")</f>
        <v>0</v>
      </c>
    </row>
    <row r="3159" spans="1:7">
      <c r="A3159" s="3">
        <v>14</v>
      </c>
      <c r="B3159" s="3">
        <v>9</v>
      </c>
      <c r="C3159" s="3">
        <v>95</v>
      </c>
      <c r="D3159" s="3">
        <v>72</v>
      </c>
      <c r="E3159" s="3">
        <v>-2533.189</v>
      </c>
      <c r="F3159" s="4" t="str">
        <f>HYPERLINK("http://141.218.60.56/~jnz1568/getInfo.php?workbook=14_09.xlsx&amp;sheet=A0&amp;row=3159&amp;col=6&amp;number=501000000&amp;sourceID=14","501000000")</f>
        <v>501000000</v>
      </c>
      <c r="G3159" s="4" t="str">
        <f>HYPERLINK("http://141.218.60.56/~jnz1568/getInfo.php?workbook=14_09.xlsx&amp;sheet=A0&amp;row=3159&amp;col=7&amp;number=0&amp;sourceID=14","0")</f>
        <v>0</v>
      </c>
    </row>
    <row r="3160" spans="1:7">
      <c r="A3160" s="3">
        <v>14</v>
      </c>
      <c r="B3160" s="3">
        <v>9</v>
      </c>
      <c r="C3160" s="3">
        <v>96</v>
      </c>
      <c r="D3160" s="3">
        <v>72</v>
      </c>
      <c r="E3160" s="3">
        <v>-2501.568</v>
      </c>
      <c r="F3160" s="4" t="str">
        <f>HYPERLINK("http://141.218.60.56/~jnz1568/getInfo.php?workbook=14_09.xlsx&amp;sheet=A0&amp;row=3160&amp;col=6&amp;number=940000&amp;sourceID=14","940000")</f>
        <v>940000</v>
      </c>
      <c r="G3160" s="4" t="str">
        <f>HYPERLINK("http://141.218.60.56/~jnz1568/getInfo.php?workbook=14_09.xlsx&amp;sheet=A0&amp;row=3160&amp;col=7&amp;number=0&amp;sourceID=14","0")</f>
        <v>0</v>
      </c>
    </row>
    <row r="3161" spans="1:7">
      <c r="A3161" s="3">
        <v>14</v>
      </c>
      <c r="B3161" s="3">
        <v>9</v>
      </c>
      <c r="C3161" s="3">
        <v>98</v>
      </c>
      <c r="D3161" s="3">
        <v>72</v>
      </c>
      <c r="E3161" s="3">
        <v>-2423.894</v>
      </c>
      <c r="F3161" s="4" t="str">
        <f>HYPERLINK("http://141.218.60.56/~jnz1568/getInfo.php?workbook=14_09.xlsx&amp;sheet=A0&amp;row=3161&amp;col=6&amp;number=96900000&amp;sourceID=14","96900000")</f>
        <v>96900000</v>
      </c>
      <c r="G3161" s="4" t="str">
        <f>HYPERLINK("http://141.218.60.56/~jnz1568/getInfo.php?workbook=14_09.xlsx&amp;sheet=A0&amp;row=3161&amp;col=7&amp;number=0&amp;sourceID=14","0")</f>
        <v>0</v>
      </c>
    </row>
    <row r="3162" spans="1:7">
      <c r="A3162" s="3">
        <v>14</v>
      </c>
      <c r="B3162" s="3">
        <v>9</v>
      </c>
      <c r="C3162" s="3">
        <v>100</v>
      </c>
      <c r="D3162" s="3">
        <v>72</v>
      </c>
      <c r="E3162" s="3">
        <v>-2299.859</v>
      </c>
      <c r="F3162" s="4" t="str">
        <f>HYPERLINK("http://141.218.60.56/~jnz1568/getInfo.php?workbook=14_09.xlsx&amp;sheet=A0&amp;row=3162&amp;col=6&amp;number=32100000&amp;sourceID=14","32100000")</f>
        <v>32100000</v>
      </c>
      <c r="G3162" s="4" t="str">
        <f>HYPERLINK("http://141.218.60.56/~jnz1568/getInfo.php?workbook=14_09.xlsx&amp;sheet=A0&amp;row=3162&amp;col=7&amp;number=0&amp;sourceID=14","0")</f>
        <v>0</v>
      </c>
    </row>
    <row r="3163" spans="1:7">
      <c r="A3163" s="3">
        <v>14</v>
      </c>
      <c r="B3163" s="3">
        <v>9</v>
      </c>
      <c r="C3163" s="3">
        <v>103</v>
      </c>
      <c r="D3163" s="3">
        <v>72</v>
      </c>
      <c r="E3163" s="3">
        <v>-2204.249</v>
      </c>
      <c r="F3163" s="4" t="str">
        <f>HYPERLINK("http://141.218.60.56/~jnz1568/getInfo.php?workbook=14_09.xlsx&amp;sheet=A0&amp;row=3163&amp;col=6&amp;number=79200000&amp;sourceID=14","79200000")</f>
        <v>79200000</v>
      </c>
      <c r="G3163" s="4" t="str">
        <f>HYPERLINK("http://141.218.60.56/~jnz1568/getInfo.php?workbook=14_09.xlsx&amp;sheet=A0&amp;row=3163&amp;col=7&amp;number=0&amp;sourceID=14","0")</f>
        <v>0</v>
      </c>
    </row>
    <row r="3164" spans="1:7">
      <c r="A3164" s="3">
        <v>14</v>
      </c>
      <c r="B3164" s="3">
        <v>9</v>
      </c>
      <c r="C3164" s="3">
        <v>128</v>
      </c>
      <c r="D3164" s="3">
        <v>72</v>
      </c>
      <c r="E3164" s="3">
        <v>-1241.159</v>
      </c>
      <c r="F3164" s="4" t="str">
        <f>HYPERLINK("http://141.218.60.56/~jnz1568/getInfo.php?workbook=14_09.xlsx&amp;sheet=A0&amp;row=3164&amp;col=6&amp;number=4150000&amp;sourceID=14","4150000")</f>
        <v>4150000</v>
      </c>
      <c r="G3164" s="4" t="str">
        <f>HYPERLINK("http://141.218.60.56/~jnz1568/getInfo.php?workbook=14_09.xlsx&amp;sheet=A0&amp;row=3164&amp;col=7&amp;number=0&amp;sourceID=14","0")</f>
        <v>0</v>
      </c>
    </row>
    <row r="3165" spans="1:7">
      <c r="A3165" s="3">
        <v>14</v>
      </c>
      <c r="B3165" s="3">
        <v>9</v>
      </c>
      <c r="C3165" s="3">
        <v>131</v>
      </c>
      <c r="D3165" s="3">
        <v>72</v>
      </c>
      <c r="E3165" s="3">
        <v>-1163.09</v>
      </c>
      <c r="F3165" s="4" t="str">
        <f>HYPERLINK("http://141.218.60.56/~jnz1568/getInfo.php?workbook=14_09.xlsx&amp;sheet=A0&amp;row=3165&amp;col=6&amp;number=594000&amp;sourceID=14","594000")</f>
        <v>594000</v>
      </c>
      <c r="G3165" s="4" t="str">
        <f>HYPERLINK("http://141.218.60.56/~jnz1568/getInfo.php?workbook=14_09.xlsx&amp;sheet=A0&amp;row=3165&amp;col=7&amp;number=0&amp;sourceID=14","0")</f>
        <v>0</v>
      </c>
    </row>
    <row r="3166" spans="1:7">
      <c r="A3166" s="3">
        <v>14</v>
      </c>
      <c r="B3166" s="3">
        <v>9</v>
      </c>
      <c r="C3166" s="3">
        <v>132</v>
      </c>
      <c r="D3166" s="3">
        <v>72</v>
      </c>
      <c r="E3166" s="3">
        <v>-1162.55</v>
      </c>
      <c r="F3166" s="4" t="str">
        <f>HYPERLINK("http://141.218.60.56/~jnz1568/getInfo.php?workbook=14_09.xlsx&amp;sheet=A0&amp;row=3166&amp;col=6&amp;number=5170000&amp;sourceID=14","5170000")</f>
        <v>5170000</v>
      </c>
      <c r="G3166" s="4" t="str">
        <f>HYPERLINK("http://141.218.60.56/~jnz1568/getInfo.php?workbook=14_09.xlsx&amp;sheet=A0&amp;row=3166&amp;col=7&amp;number=0&amp;sourceID=14","0")</f>
        <v>0</v>
      </c>
    </row>
    <row r="3167" spans="1:7">
      <c r="A3167" s="3">
        <v>14</v>
      </c>
      <c r="B3167" s="3">
        <v>9</v>
      </c>
      <c r="C3167" s="3">
        <v>135</v>
      </c>
      <c r="D3167" s="3">
        <v>72</v>
      </c>
      <c r="E3167" s="3">
        <v>-1152.474</v>
      </c>
      <c r="F3167" s="4" t="str">
        <f>HYPERLINK("http://141.218.60.56/~jnz1568/getInfo.php?workbook=14_09.xlsx&amp;sheet=A0&amp;row=3167&amp;col=6&amp;number=13800000&amp;sourceID=14","13800000")</f>
        <v>13800000</v>
      </c>
      <c r="G3167" s="4" t="str">
        <f>HYPERLINK("http://141.218.60.56/~jnz1568/getInfo.php?workbook=14_09.xlsx&amp;sheet=A0&amp;row=3167&amp;col=7&amp;number=0&amp;sourceID=14","0")</f>
        <v>0</v>
      </c>
    </row>
    <row r="3168" spans="1:7">
      <c r="A3168" s="3">
        <v>14</v>
      </c>
      <c r="B3168" s="3">
        <v>9</v>
      </c>
      <c r="C3168" s="3">
        <v>136</v>
      </c>
      <c r="D3168" s="3">
        <v>72</v>
      </c>
      <c r="E3168" s="3">
        <v>-1146.252</v>
      </c>
      <c r="F3168" s="4" t="str">
        <f>HYPERLINK("http://141.218.60.56/~jnz1568/getInfo.php?workbook=14_09.xlsx&amp;sheet=A0&amp;row=3168&amp;col=6&amp;number=1820000&amp;sourceID=14","1820000")</f>
        <v>1820000</v>
      </c>
      <c r="G3168" s="4" t="str">
        <f>HYPERLINK("http://141.218.60.56/~jnz1568/getInfo.php?workbook=14_09.xlsx&amp;sheet=A0&amp;row=3168&amp;col=7&amp;number=0&amp;sourceID=14","0")</f>
        <v>0</v>
      </c>
    </row>
    <row r="3169" spans="1:7">
      <c r="A3169" s="3">
        <v>14</v>
      </c>
      <c r="B3169" s="3">
        <v>9</v>
      </c>
      <c r="C3169" s="3">
        <v>140</v>
      </c>
      <c r="D3169" s="3">
        <v>72</v>
      </c>
      <c r="E3169" s="3">
        <v>-1078.204</v>
      </c>
      <c r="F3169" s="4" t="str">
        <f>HYPERLINK("http://141.218.60.56/~jnz1568/getInfo.php?workbook=14_09.xlsx&amp;sheet=A0&amp;row=3169&amp;col=6&amp;number=9110000&amp;sourceID=14","9110000")</f>
        <v>9110000</v>
      </c>
      <c r="G3169" s="4" t="str">
        <f>HYPERLINK("http://141.218.60.56/~jnz1568/getInfo.php?workbook=14_09.xlsx&amp;sheet=A0&amp;row=3169&amp;col=7&amp;number=0&amp;sourceID=14","0")</f>
        <v>0</v>
      </c>
    </row>
    <row r="3170" spans="1:7">
      <c r="A3170" s="3">
        <v>14</v>
      </c>
      <c r="B3170" s="3">
        <v>9</v>
      </c>
      <c r="C3170" s="3">
        <v>145</v>
      </c>
      <c r="D3170" s="3">
        <v>72</v>
      </c>
      <c r="E3170" s="3">
        <v>-1062.092</v>
      </c>
      <c r="F3170" s="4" t="str">
        <f>HYPERLINK("http://141.218.60.56/~jnz1568/getInfo.php?workbook=14_09.xlsx&amp;sheet=A0&amp;row=3170&amp;col=6&amp;number=6730000&amp;sourceID=14","6730000")</f>
        <v>6730000</v>
      </c>
      <c r="G3170" s="4" t="str">
        <f>HYPERLINK("http://141.218.60.56/~jnz1568/getInfo.php?workbook=14_09.xlsx&amp;sheet=A0&amp;row=3170&amp;col=7&amp;number=0&amp;sourceID=14","0")</f>
        <v>0</v>
      </c>
    </row>
    <row r="3171" spans="1:7">
      <c r="A3171" s="3">
        <v>14</v>
      </c>
      <c r="B3171" s="3">
        <v>9</v>
      </c>
      <c r="C3171" s="3">
        <v>148</v>
      </c>
      <c r="D3171" s="3">
        <v>72</v>
      </c>
      <c r="E3171" s="3">
        <v>-1046.126</v>
      </c>
      <c r="F3171" s="4" t="str">
        <f>HYPERLINK("http://141.218.60.56/~jnz1568/getInfo.php?workbook=14_09.xlsx&amp;sheet=A0&amp;row=3171&amp;col=6&amp;number=1400000&amp;sourceID=14","1400000")</f>
        <v>1400000</v>
      </c>
      <c r="G3171" s="4" t="str">
        <f>HYPERLINK("http://141.218.60.56/~jnz1568/getInfo.php?workbook=14_09.xlsx&amp;sheet=A0&amp;row=3171&amp;col=7&amp;number=0&amp;sourceID=14","0")</f>
        <v>0</v>
      </c>
    </row>
    <row r="3172" spans="1:7">
      <c r="A3172" s="3">
        <v>14</v>
      </c>
      <c r="B3172" s="3">
        <v>9</v>
      </c>
      <c r="C3172" s="3">
        <v>152</v>
      </c>
      <c r="D3172" s="3">
        <v>72</v>
      </c>
      <c r="E3172" s="3">
        <v>-970.527</v>
      </c>
      <c r="F3172" s="4" t="str">
        <f>HYPERLINK("http://141.218.60.56/~jnz1568/getInfo.php?workbook=14_09.xlsx&amp;sheet=A0&amp;row=3172&amp;col=6&amp;number=26100000&amp;sourceID=14","26100000")</f>
        <v>26100000</v>
      </c>
      <c r="G3172" s="4" t="str">
        <f>HYPERLINK("http://141.218.60.56/~jnz1568/getInfo.php?workbook=14_09.xlsx&amp;sheet=A0&amp;row=3172&amp;col=7&amp;number=0&amp;sourceID=14","0")</f>
        <v>0</v>
      </c>
    </row>
    <row r="3173" spans="1:7">
      <c r="A3173" s="3">
        <v>14</v>
      </c>
      <c r="B3173" s="3">
        <v>9</v>
      </c>
      <c r="C3173" s="3">
        <v>153</v>
      </c>
      <c r="D3173" s="3">
        <v>72</v>
      </c>
      <c r="E3173" s="3">
        <v>-954.319</v>
      </c>
      <c r="F3173" s="4" t="str">
        <f>HYPERLINK("http://141.218.60.56/~jnz1568/getInfo.php?workbook=14_09.xlsx&amp;sheet=A0&amp;row=3173&amp;col=6&amp;number=707000&amp;sourceID=14","707000")</f>
        <v>707000</v>
      </c>
      <c r="G3173" s="4" t="str">
        <f>HYPERLINK("http://141.218.60.56/~jnz1568/getInfo.php?workbook=14_09.xlsx&amp;sheet=A0&amp;row=3173&amp;col=7&amp;number=0&amp;sourceID=14","0")</f>
        <v>0</v>
      </c>
    </row>
    <row r="3174" spans="1:7">
      <c r="A3174" s="3">
        <v>14</v>
      </c>
      <c r="B3174" s="3">
        <v>9</v>
      </c>
      <c r="C3174" s="3">
        <v>157</v>
      </c>
      <c r="D3174" s="3">
        <v>72</v>
      </c>
      <c r="E3174" s="3">
        <v>-917.871</v>
      </c>
      <c r="F3174" s="4" t="str">
        <f>HYPERLINK("http://141.218.60.56/~jnz1568/getInfo.php?workbook=14_09.xlsx&amp;sheet=A0&amp;row=3174&amp;col=6&amp;number=1300000&amp;sourceID=14","1300000")</f>
        <v>1300000</v>
      </c>
      <c r="G3174" s="4" t="str">
        <f>HYPERLINK("http://141.218.60.56/~jnz1568/getInfo.php?workbook=14_09.xlsx&amp;sheet=A0&amp;row=3174&amp;col=7&amp;number=0&amp;sourceID=14","0")</f>
        <v>0</v>
      </c>
    </row>
    <row r="3175" spans="1:7">
      <c r="A3175" s="3">
        <v>14</v>
      </c>
      <c r="B3175" s="3">
        <v>9</v>
      </c>
      <c r="C3175" s="3">
        <v>162</v>
      </c>
      <c r="D3175" s="3">
        <v>72</v>
      </c>
      <c r="E3175" s="3">
        <v>-649.803</v>
      </c>
      <c r="F3175" s="4" t="str">
        <f>HYPERLINK("http://141.218.60.56/~jnz1568/getInfo.php?workbook=14_09.xlsx&amp;sheet=A0&amp;row=3175&amp;col=6&amp;number=1930000&amp;sourceID=14","1930000")</f>
        <v>1930000</v>
      </c>
      <c r="G3175" s="4" t="str">
        <f>HYPERLINK("http://141.218.60.56/~jnz1568/getInfo.php?workbook=14_09.xlsx&amp;sheet=A0&amp;row=3175&amp;col=7&amp;number=0&amp;sourceID=14","0")</f>
        <v>0</v>
      </c>
    </row>
    <row r="3176" spans="1:7">
      <c r="A3176" s="3">
        <v>14</v>
      </c>
      <c r="B3176" s="3">
        <v>9</v>
      </c>
      <c r="C3176" s="3">
        <v>188</v>
      </c>
      <c r="D3176" s="3">
        <v>72</v>
      </c>
      <c r="E3176" s="3">
        <v>-388.169</v>
      </c>
      <c r="F3176" s="4" t="str">
        <f>HYPERLINK("http://141.218.60.56/~jnz1568/getInfo.php?workbook=14_09.xlsx&amp;sheet=A0&amp;row=3176&amp;col=6&amp;number=7610000&amp;sourceID=14","7610000")</f>
        <v>7610000</v>
      </c>
      <c r="G3176" s="4" t="str">
        <f>HYPERLINK("http://141.218.60.56/~jnz1568/getInfo.php?workbook=14_09.xlsx&amp;sheet=A0&amp;row=3176&amp;col=7&amp;number=0&amp;sourceID=14","0")</f>
        <v>0</v>
      </c>
    </row>
    <row r="3177" spans="1:7">
      <c r="A3177" s="3">
        <v>14</v>
      </c>
      <c r="B3177" s="3">
        <v>9</v>
      </c>
      <c r="C3177" s="3">
        <v>88</v>
      </c>
      <c r="D3177" s="3">
        <v>73</v>
      </c>
      <c r="E3177" s="3">
        <v>-2995.093</v>
      </c>
      <c r="F3177" s="4" t="str">
        <f>HYPERLINK("http://141.218.60.56/~jnz1568/getInfo.php?workbook=14_09.xlsx&amp;sheet=A0&amp;row=3177&amp;col=6&amp;number=2870000&amp;sourceID=14","2870000")</f>
        <v>2870000</v>
      </c>
      <c r="G3177" s="4" t="str">
        <f>HYPERLINK("http://141.218.60.56/~jnz1568/getInfo.php?workbook=14_09.xlsx&amp;sheet=A0&amp;row=3177&amp;col=7&amp;number=0&amp;sourceID=14","0")</f>
        <v>0</v>
      </c>
    </row>
    <row r="3178" spans="1:7">
      <c r="A3178" s="3">
        <v>14</v>
      </c>
      <c r="B3178" s="3">
        <v>9</v>
      </c>
      <c r="C3178" s="3">
        <v>89</v>
      </c>
      <c r="D3178" s="3">
        <v>73</v>
      </c>
      <c r="E3178" s="3">
        <v>-2930.838</v>
      </c>
      <c r="F3178" s="4" t="str">
        <f>HYPERLINK("http://141.218.60.56/~jnz1568/getInfo.php?workbook=14_09.xlsx&amp;sheet=A0&amp;row=3178&amp;col=6&amp;number=21600000&amp;sourceID=14","21600000")</f>
        <v>21600000</v>
      </c>
      <c r="G3178" s="4" t="str">
        <f>HYPERLINK("http://141.218.60.56/~jnz1568/getInfo.php?workbook=14_09.xlsx&amp;sheet=A0&amp;row=3178&amp;col=7&amp;number=0&amp;sourceID=14","0")</f>
        <v>0</v>
      </c>
    </row>
    <row r="3179" spans="1:7">
      <c r="A3179" s="3">
        <v>14</v>
      </c>
      <c r="B3179" s="3">
        <v>9</v>
      </c>
      <c r="C3179" s="3">
        <v>92</v>
      </c>
      <c r="D3179" s="3">
        <v>73</v>
      </c>
      <c r="E3179" s="3">
        <v>-2685.794</v>
      </c>
      <c r="F3179" s="4" t="str">
        <f>HYPERLINK("http://141.218.60.56/~jnz1568/getInfo.php?workbook=14_09.xlsx&amp;sheet=A0&amp;row=3179&amp;col=6&amp;number=20500000&amp;sourceID=14","20500000")</f>
        <v>20500000</v>
      </c>
      <c r="G3179" s="4" t="str">
        <f>HYPERLINK("http://141.218.60.56/~jnz1568/getInfo.php?workbook=14_09.xlsx&amp;sheet=A0&amp;row=3179&amp;col=7&amp;number=0&amp;sourceID=14","0")</f>
        <v>0</v>
      </c>
    </row>
    <row r="3180" spans="1:7">
      <c r="A3180" s="3">
        <v>14</v>
      </c>
      <c r="B3180" s="3">
        <v>9</v>
      </c>
      <c r="C3180" s="3">
        <v>94</v>
      </c>
      <c r="D3180" s="3">
        <v>73</v>
      </c>
      <c r="E3180" s="3">
        <v>-2611.857</v>
      </c>
      <c r="F3180" s="4" t="str">
        <f>HYPERLINK("http://141.218.60.56/~jnz1568/getInfo.php?workbook=14_09.xlsx&amp;sheet=A0&amp;row=3180&amp;col=6&amp;number=12000000&amp;sourceID=14","12000000")</f>
        <v>12000000</v>
      </c>
      <c r="G3180" s="4" t="str">
        <f>HYPERLINK("http://141.218.60.56/~jnz1568/getInfo.php?workbook=14_09.xlsx&amp;sheet=A0&amp;row=3180&amp;col=7&amp;number=0&amp;sourceID=14","0")</f>
        <v>0</v>
      </c>
    </row>
    <row r="3181" spans="1:7">
      <c r="A3181" s="3">
        <v>14</v>
      </c>
      <c r="B3181" s="3">
        <v>9</v>
      </c>
      <c r="C3181" s="3">
        <v>96</v>
      </c>
      <c r="D3181" s="3">
        <v>73</v>
      </c>
      <c r="E3181" s="3">
        <v>-2523.855</v>
      </c>
      <c r="F3181" s="4" t="str">
        <f>HYPERLINK("http://141.218.60.56/~jnz1568/getInfo.php?workbook=14_09.xlsx&amp;sheet=A0&amp;row=3181&amp;col=6&amp;number=393000000&amp;sourceID=14","393000000")</f>
        <v>393000000</v>
      </c>
      <c r="G3181" s="4" t="str">
        <f>HYPERLINK("http://141.218.60.56/~jnz1568/getInfo.php?workbook=14_09.xlsx&amp;sheet=A0&amp;row=3181&amp;col=7&amp;number=0&amp;sourceID=14","0")</f>
        <v>0</v>
      </c>
    </row>
    <row r="3182" spans="1:7">
      <c r="A3182" s="3">
        <v>14</v>
      </c>
      <c r="B3182" s="3">
        <v>9</v>
      </c>
      <c r="C3182" s="3">
        <v>99</v>
      </c>
      <c r="D3182" s="3">
        <v>73</v>
      </c>
      <c r="E3182" s="3">
        <v>-2358.217</v>
      </c>
      <c r="F3182" s="4" t="str">
        <f>HYPERLINK("http://141.218.60.56/~jnz1568/getInfo.php?workbook=14_09.xlsx&amp;sheet=A0&amp;row=3182&amp;col=6&amp;number=2410000&amp;sourceID=14","2410000")</f>
        <v>2410000</v>
      </c>
      <c r="G3182" s="4" t="str">
        <f>HYPERLINK("http://141.218.60.56/~jnz1568/getInfo.php?workbook=14_09.xlsx&amp;sheet=A0&amp;row=3182&amp;col=7&amp;number=0&amp;sourceID=14","0")</f>
        <v>0</v>
      </c>
    </row>
    <row r="3183" spans="1:7">
      <c r="A3183" s="3">
        <v>14</v>
      </c>
      <c r="B3183" s="3">
        <v>9</v>
      </c>
      <c r="C3183" s="3">
        <v>110</v>
      </c>
      <c r="D3183" s="3">
        <v>73</v>
      </c>
      <c r="E3183" s="3">
        <v>-2150.912</v>
      </c>
      <c r="F3183" s="4" t="str">
        <f>HYPERLINK("http://141.218.60.56/~jnz1568/getInfo.php?workbook=14_09.xlsx&amp;sheet=A0&amp;row=3183&amp;col=6&amp;number=5460000&amp;sourceID=14","5460000")</f>
        <v>5460000</v>
      </c>
      <c r="G3183" s="4" t="str">
        <f>HYPERLINK("http://141.218.60.56/~jnz1568/getInfo.php?workbook=14_09.xlsx&amp;sheet=A0&amp;row=3183&amp;col=7&amp;number=0&amp;sourceID=14","0")</f>
        <v>0</v>
      </c>
    </row>
    <row r="3184" spans="1:7">
      <c r="A3184" s="3">
        <v>14</v>
      </c>
      <c r="B3184" s="3">
        <v>9</v>
      </c>
      <c r="C3184" s="3">
        <v>128</v>
      </c>
      <c r="D3184" s="3">
        <v>73</v>
      </c>
      <c r="E3184" s="3">
        <v>-1246.621</v>
      </c>
      <c r="F3184" s="4" t="str">
        <f>HYPERLINK("http://141.218.60.56/~jnz1568/getInfo.php?workbook=14_09.xlsx&amp;sheet=A0&amp;row=3184&amp;col=6&amp;number=258000&amp;sourceID=14","258000")</f>
        <v>258000</v>
      </c>
      <c r="G3184" s="4" t="str">
        <f>HYPERLINK("http://141.218.60.56/~jnz1568/getInfo.php?workbook=14_09.xlsx&amp;sheet=A0&amp;row=3184&amp;col=7&amp;number=0&amp;sourceID=14","0")</f>
        <v>0</v>
      </c>
    </row>
    <row r="3185" spans="1:7">
      <c r="A3185" s="3">
        <v>14</v>
      </c>
      <c r="B3185" s="3">
        <v>9</v>
      </c>
      <c r="C3185" s="3">
        <v>151</v>
      </c>
      <c r="D3185" s="3">
        <v>73</v>
      </c>
      <c r="E3185" s="3">
        <v>-1038.348</v>
      </c>
      <c r="F3185" s="4" t="str">
        <f>HYPERLINK("http://141.218.60.56/~jnz1568/getInfo.php?workbook=14_09.xlsx&amp;sheet=A0&amp;row=3185&amp;col=6&amp;number=9400000&amp;sourceID=14","9400000")</f>
        <v>9400000</v>
      </c>
      <c r="G3185" s="4" t="str">
        <f>HYPERLINK("http://141.218.60.56/~jnz1568/getInfo.php?workbook=14_09.xlsx&amp;sheet=A0&amp;row=3185&amp;col=7&amp;number=0&amp;sourceID=14","0")</f>
        <v>0</v>
      </c>
    </row>
    <row r="3186" spans="1:7">
      <c r="A3186" s="3">
        <v>14</v>
      </c>
      <c r="B3186" s="3">
        <v>9</v>
      </c>
      <c r="C3186" s="3">
        <v>154</v>
      </c>
      <c r="D3186" s="3">
        <v>73</v>
      </c>
      <c r="E3186" s="3">
        <v>-957.333</v>
      </c>
      <c r="F3186" s="4" t="str">
        <f>HYPERLINK("http://141.218.60.56/~jnz1568/getInfo.php?workbook=14_09.xlsx&amp;sheet=A0&amp;row=3186&amp;col=6&amp;number=5750000&amp;sourceID=14","5750000")</f>
        <v>5750000</v>
      </c>
      <c r="G3186" s="4" t="str">
        <f>HYPERLINK("http://141.218.60.56/~jnz1568/getInfo.php?workbook=14_09.xlsx&amp;sheet=A0&amp;row=3186&amp;col=7&amp;number=0&amp;sourceID=14","0")</f>
        <v>0</v>
      </c>
    </row>
    <row r="3187" spans="1:7">
      <c r="A3187" s="3">
        <v>14</v>
      </c>
      <c r="B3187" s="3">
        <v>9</v>
      </c>
      <c r="C3187" s="3">
        <v>155</v>
      </c>
      <c r="D3187" s="3">
        <v>73</v>
      </c>
      <c r="E3187" s="3">
        <v>-951.35</v>
      </c>
      <c r="F3187" s="4" t="str">
        <f>HYPERLINK("http://141.218.60.56/~jnz1568/getInfo.php?workbook=14_09.xlsx&amp;sheet=A0&amp;row=3187&amp;col=6&amp;number=4060000&amp;sourceID=14","4060000")</f>
        <v>4060000</v>
      </c>
      <c r="G3187" s="4" t="str">
        <f>HYPERLINK("http://141.218.60.56/~jnz1568/getInfo.php?workbook=14_09.xlsx&amp;sheet=A0&amp;row=3187&amp;col=7&amp;number=0&amp;sourceID=14","0")</f>
        <v>0</v>
      </c>
    </row>
    <row r="3188" spans="1:7">
      <c r="A3188" s="3">
        <v>14</v>
      </c>
      <c r="B3188" s="3">
        <v>9</v>
      </c>
      <c r="C3188" s="3">
        <v>156</v>
      </c>
      <c r="D3188" s="3">
        <v>73</v>
      </c>
      <c r="E3188" s="3">
        <v>-943.069</v>
      </c>
      <c r="F3188" s="4" t="str">
        <f>HYPERLINK("http://141.218.60.56/~jnz1568/getInfo.php?workbook=14_09.xlsx&amp;sheet=A0&amp;row=3188&amp;col=6&amp;number=1270000&amp;sourceID=14","1270000")</f>
        <v>1270000</v>
      </c>
      <c r="G3188" s="4" t="str">
        <f>HYPERLINK("http://141.218.60.56/~jnz1568/getInfo.php?workbook=14_09.xlsx&amp;sheet=A0&amp;row=3188&amp;col=7&amp;number=0&amp;sourceID=14","0")</f>
        <v>0</v>
      </c>
    </row>
    <row r="3189" spans="1:7">
      <c r="A3189" s="3">
        <v>14</v>
      </c>
      <c r="B3189" s="3">
        <v>9</v>
      </c>
      <c r="C3189" s="3">
        <v>187</v>
      </c>
      <c r="D3189" s="3">
        <v>73</v>
      </c>
      <c r="E3189" s="3">
        <v>-389.177</v>
      </c>
      <c r="F3189" s="4" t="str">
        <f>HYPERLINK("http://141.218.60.56/~jnz1568/getInfo.php?workbook=14_09.xlsx&amp;sheet=A0&amp;row=3189&amp;col=6&amp;number=879000&amp;sourceID=14","879000")</f>
        <v>879000</v>
      </c>
      <c r="G3189" s="4" t="str">
        <f>HYPERLINK("http://141.218.60.56/~jnz1568/getInfo.php?workbook=14_09.xlsx&amp;sheet=A0&amp;row=3189&amp;col=7&amp;number=0&amp;sourceID=14","0")</f>
        <v>0</v>
      </c>
    </row>
    <row r="3190" spans="1:7">
      <c r="A3190" s="3">
        <v>14</v>
      </c>
      <c r="B3190" s="3">
        <v>9</v>
      </c>
      <c r="C3190" s="3">
        <v>88</v>
      </c>
      <c r="D3190" s="3">
        <v>74</v>
      </c>
      <c r="E3190" s="3">
        <v>-3107.719</v>
      </c>
      <c r="F3190" s="4" t="str">
        <f>HYPERLINK("http://141.218.60.56/~jnz1568/getInfo.php?workbook=14_09.xlsx&amp;sheet=A0&amp;row=3190&amp;col=6&amp;number=445000&amp;sourceID=14","445000")</f>
        <v>445000</v>
      </c>
      <c r="G3190" s="4" t="str">
        <f>HYPERLINK("http://141.218.60.56/~jnz1568/getInfo.php?workbook=14_09.xlsx&amp;sheet=A0&amp;row=3190&amp;col=7&amp;number=0&amp;sourceID=14","0")</f>
        <v>0</v>
      </c>
    </row>
    <row r="3191" spans="1:7">
      <c r="A3191" s="3">
        <v>14</v>
      </c>
      <c r="B3191" s="3">
        <v>9</v>
      </c>
      <c r="C3191" s="3">
        <v>89</v>
      </c>
      <c r="D3191" s="3">
        <v>74</v>
      </c>
      <c r="E3191" s="3">
        <v>-3038.596</v>
      </c>
      <c r="F3191" s="4" t="str">
        <f>HYPERLINK("http://141.218.60.56/~jnz1568/getInfo.php?workbook=14_09.xlsx&amp;sheet=A0&amp;row=3191&amp;col=6&amp;number=334000&amp;sourceID=14","334000")</f>
        <v>334000</v>
      </c>
      <c r="G3191" s="4" t="str">
        <f>HYPERLINK("http://141.218.60.56/~jnz1568/getInfo.php?workbook=14_09.xlsx&amp;sheet=A0&amp;row=3191&amp;col=7&amp;number=0&amp;sourceID=14","0")</f>
        <v>0</v>
      </c>
    </row>
    <row r="3192" spans="1:7">
      <c r="A3192" s="3">
        <v>14</v>
      </c>
      <c r="B3192" s="3">
        <v>9</v>
      </c>
      <c r="C3192" s="3">
        <v>92</v>
      </c>
      <c r="D3192" s="3">
        <v>74</v>
      </c>
      <c r="E3192" s="3">
        <v>-2776.009</v>
      </c>
      <c r="F3192" s="4" t="str">
        <f>HYPERLINK("http://141.218.60.56/~jnz1568/getInfo.php?workbook=14_09.xlsx&amp;sheet=A0&amp;row=3192&amp;col=6&amp;number=684000&amp;sourceID=14","684000")</f>
        <v>684000</v>
      </c>
      <c r="G3192" s="4" t="str">
        <f>HYPERLINK("http://141.218.60.56/~jnz1568/getInfo.php?workbook=14_09.xlsx&amp;sheet=A0&amp;row=3192&amp;col=7&amp;number=0&amp;sourceID=14","0")</f>
        <v>0</v>
      </c>
    </row>
    <row r="3193" spans="1:7">
      <c r="A3193" s="3">
        <v>14</v>
      </c>
      <c r="B3193" s="3">
        <v>9</v>
      </c>
      <c r="C3193" s="3">
        <v>94</v>
      </c>
      <c r="D3193" s="3">
        <v>74</v>
      </c>
      <c r="E3193" s="3">
        <v>-2697.095</v>
      </c>
      <c r="F3193" s="4" t="str">
        <f>HYPERLINK("http://141.218.60.56/~jnz1568/getInfo.php?workbook=14_09.xlsx&amp;sheet=A0&amp;row=3193&amp;col=6&amp;number=1590000&amp;sourceID=14","1590000")</f>
        <v>1590000</v>
      </c>
      <c r="G3193" s="4" t="str">
        <f>HYPERLINK("http://141.218.60.56/~jnz1568/getInfo.php?workbook=14_09.xlsx&amp;sheet=A0&amp;row=3193&amp;col=7&amp;number=0&amp;sourceID=14","0")</f>
        <v>0</v>
      </c>
    </row>
    <row r="3194" spans="1:7">
      <c r="A3194" s="3">
        <v>14</v>
      </c>
      <c r="B3194" s="3">
        <v>9</v>
      </c>
      <c r="C3194" s="3">
        <v>96</v>
      </c>
      <c r="D3194" s="3">
        <v>74</v>
      </c>
      <c r="E3194" s="3">
        <v>-2603.358</v>
      </c>
      <c r="F3194" s="4" t="str">
        <f>HYPERLINK("http://141.218.60.56/~jnz1568/getInfo.php?workbook=14_09.xlsx&amp;sheet=A0&amp;row=3194&amp;col=6&amp;number=4340000&amp;sourceID=14","4340000")</f>
        <v>4340000</v>
      </c>
      <c r="G3194" s="4" t="str">
        <f>HYPERLINK("http://141.218.60.56/~jnz1568/getInfo.php?workbook=14_09.xlsx&amp;sheet=A0&amp;row=3194&amp;col=7&amp;number=0&amp;sourceID=14","0")</f>
        <v>0</v>
      </c>
    </row>
    <row r="3195" spans="1:7">
      <c r="A3195" s="3">
        <v>14</v>
      </c>
      <c r="B3195" s="3">
        <v>9</v>
      </c>
      <c r="C3195" s="3">
        <v>99</v>
      </c>
      <c r="D3195" s="3">
        <v>74</v>
      </c>
      <c r="E3195" s="3">
        <v>-2427.483</v>
      </c>
      <c r="F3195" s="4" t="str">
        <f>HYPERLINK("http://141.218.60.56/~jnz1568/getInfo.php?workbook=14_09.xlsx&amp;sheet=A0&amp;row=3195&amp;col=6&amp;number=413000000&amp;sourceID=14","413000000")</f>
        <v>413000000</v>
      </c>
      <c r="G3195" s="4" t="str">
        <f>HYPERLINK("http://141.218.60.56/~jnz1568/getInfo.php?workbook=14_09.xlsx&amp;sheet=A0&amp;row=3195&amp;col=7&amp;number=0&amp;sourceID=14","0")</f>
        <v>0</v>
      </c>
    </row>
    <row r="3196" spans="1:7">
      <c r="A3196" s="3">
        <v>14</v>
      </c>
      <c r="B3196" s="3">
        <v>9</v>
      </c>
      <c r="C3196" s="3">
        <v>100</v>
      </c>
      <c r="D3196" s="3">
        <v>74</v>
      </c>
      <c r="E3196" s="3">
        <v>-2385.614</v>
      </c>
      <c r="F3196" s="4" t="str">
        <f>HYPERLINK("http://141.218.60.56/~jnz1568/getInfo.php?workbook=14_09.xlsx&amp;sheet=A0&amp;row=3196&amp;col=6&amp;number=222000000&amp;sourceID=14","222000000")</f>
        <v>222000000</v>
      </c>
      <c r="G3196" s="4" t="str">
        <f>HYPERLINK("http://141.218.60.56/~jnz1568/getInfo.php?workbook=14_09.xlsx&amp;sheet=A0&amp;row=3196&amp;col=7&amp;number=0&amp;sourceID=14","0")</f>
        <v>0</v>
      </c>
    </row>
    <row r="3197" spans="1:7">
      <c r="A3197" s="3">
        <v>14</v>
      </c>
      <c r="B3197" s="3">
        <v>9</v>
      </c>
      <c r="C3197" s="3">
        <v>110</v>
      </c>
      <c r="D3197" s="3">
        <v>74</v>
      </c>
      <c r="E3197" s="3">
        <v>-2208.387</v>
      </c>
      <c r="F3197" s="4" t="str">
        <f>HYPERLINK("http://141.218.60.56/~jnz1568/getInfo.php?workbook=14_09.xlsx&amp;sheet=A0&amp;row=3197&amp;col=6&amp;number=90800000&amp;sourceID=14","90800000")</f>
        <v>90800000</v>
      </c>
      <c r="G3197" s="4" t="str">
        <f>HYPERLINK("http://141.218.60.56/~jnz1568/getInfo.php?workbook=14_09.xlsx&amp;sheet=A0&amp;row=3197&amp;col=7&amp;number=0&amp;sourceID=14","0")</f>
        <v>0</v>
      </c>
    </row>
    <row r="3198" spans="1:7">
      <c r="A3198" s="3">
        <v>14</v>
      </c>
      <c r="B3198" s="3">
        <v>9</v>
      </c>
      <c r="C3198" s="3">
        <v>127</v>
      </c>
      <c r="D3198" s="3">
        <v>74</v>
      </c>
      <c r="E3198" s="3">
        <v>-1280.461</v>
      </c>
      <c r="F3198" s="4" t="str">
        <f>HYPERLINK("http://141.218.60.56/~jnz1568/getInfo.php?workbook=14_09.xlsx&amp;sheet=A0&amp;row=3198&amp;col=6&amp;number=2480000&amp;sourceID=14","2480000")</f>
        <v>2480000</v>
      </c>
      <c r="G3198" s="4" t="str">
        <f>HYPERLINK("http://141.218.60.56/~jnz1568/getInfo.php?workbook=14_09.xlsx&amp;sheet=A0&amp;row=3198&amp;col=7&amp;number=0&amp;sourceID=14","0")</f>
        <v>0</v>
      </c>
    </row>
    <row r="3199" spans="1:7">
      <c r="A3199" s="3">
        <v>14</v>
      </c>
      <c r="B3199" s="3">
        <v>9</v>
      </c>
      <c r="C3199" s="3">
        <v>128</v>
      </c>
      <c r="D3199" s="3">
        <v>74</v>
      </c>
      <c r="E3199" s="3">
        <v>-1265.713</v>
      </c>
      <c r="F3199" s="4" t="str">
        <f>HYPERLINK("http://141.218.60.56/~jnz1568/getInfo.php?workbook=14_09.xlsx&amp;sheet=A0&amp;row=3199&amp;col=6&amp;number=395000&amp;sourceID=14","395000")</f>
        <v>395000</v>
      </c>
      <c r="G3199" s="4" t="str">
        <f>HYPERLINK("http://141.218.60.56/~jnz1568/getInfo.php?workbook=14_09.xlsx&amp;sheet=A0&amp;row=3199&amp;col=7&amp;number=0&amp;sourceID=14","0")</f>
        <v>0</v>
      </c>
    </row>
    <row r="3200" spans="1:7">
      <c r="A3200" s="3">
        <v>14</v>
      </c>
      <c r="B3200" s="3">
        <v>9</v>
      </c>
      <c r="C3200" s="3">
        <v>132</v>
      </c>
      <c r="D3200" s="3">
        <v>74</v>
      </c>
      <c r="E3200" s="3">
        <v>-1184.065</v>
      </c>
      <c r="F3200" s="4" t="str">
        <f>HYPERLINK("http://141.218.60.56/~jnz1568/getInfo.php?workbook=14_09.xlsx&amp;sheet=A0&amp;row=3200&amp;col=6&amp;number=56100000&amp;sourceID=14","56100000")</f>
        <v>56100000</v>
      </c>
      <c r="G3200" s="4" t="str">
        <f>HYPERLINK("http://141.218.60.56/~jnz1568/getInfo.php?workbook=14_09.xlsx&amp;sheet=A0&amp;row=3200&amp;col=7&amp;number=0&amp;sourceID=14","0")</f>
        <v>0</v>
      </c>
    </row>
    <row r="3201" spans="1:7">
      <c r="A3201" s="3">
        <v>14</v>
      </c>
      <c r="B3201" s="3">
        <v>9</v>
      </c>
      <c r="C3201" s="3">
        <v>134</v>
      </c>
      <c r="D3201" s="3">
        <v>74</v>
      </c>
      <c r="E3201" s="3">
        <v>-1175.615</v>
      </c>
      <c r="F3201" s="4" t="str">
        <f>HYPERLINK("http://141.218.60.56/~jnz1568/getInfo.php?workbook=14_09.xlsx&amp;sheet=A0&amp;row=3201&amp;col=6&amp;number=22400000&amp;sourceID=14","22400000")</f>
        <v>22400000</v>
      </c>
      <c r="G3201" s="4" t="str">
        <f>HYPERLINK("http://141.218.60.56/~jnz1568/getInfo.php?workbook=14_09.xlsx&amp;sheet=A0&amp;row=3201&amp;col=7&amp;number=0&amp;sourceID=14","0")</f>
        <v>0</v>
      </c>
    </row>
    <row r="3202" spans="1:7">
      <c r="A3202" s="3">
        <v>14</v>
      </c>
      <c r="B3202" s="3">
        <v>9</v>
      </c>
      <c r="C3202" s="3">
        <v>148</v>
      </c>
      <c r="D3202" s="3">
        <v>74</v>
      </c>
      <c r="E3202" s="3">
        <v>-1063.515</v>
      </c>
      <c r="F3202" s="4" t="str">
        <f>HYPERLINK("http://141.218.60.56/~jnz1568/getInfo.php?workbook=14_09.xlsx&amp;sheet=A0&amp;row=3202&amp;col=6&amp;number=2950000&amp;sourceID=14","2950000")</f>
        <v>2950000</v>
      </c>
      <c r="G3202" s="4" t="str">
        <f>HYPERLINK("http://141.218.60.56/~jnz1568/getInfo.php?workbook=14_09.xlsx&amp;sheet=A0&amp;row=3202&amp;col=7&amp;number=0&amp;sourceID=14","0")</f>
        <v>0</v>
      </c>
    </row>
    <row r="3203" spans="1:7">
      <c r="A3203" s="3">
        <v>14</v>
      </c>
      <c r="B3203" s="3">
        <v>9</v>
      </c>
      <c r="C3203" s="3">
        <v>151</v>
      </c>
      <c r="D3203" s="3">
        <v>74</v>
      </c>
      <c r="E3203" s="3">
        <v>-1051.56</v>
      </c>
      <c r="F3203" s="4" t="str">
        <f>HYPERLINK("http://141.218.60.56/~jnz1568/getInfo.php?workbook=14_09.xlsx&amp;sheet=A0&amp;row=3203&amp;col=6&amp;number=4690000&amp;sourceID=14","4690000")</f>
        <v>4690000</v>
      </c>
      <c r="G3203" s="4" t="str">
        <f>HYPERLINK("http://141.218.60.56/~jnz1568/getInfo.php?workbook=14_09.xlsx&amp;sheet=A0&amp;row=3203&amp;col=7&amp;number=0&amp;sourceID=14","0")</f>
        <v>0</v>
      </c>
    </row>
    <row r="3204" spans="1:7">
      <c r="A3204" s="3">
        <v>14</v>
      </c>
      <c r="B3204" s="3">
        <v>9</v>
      </c>
      <c r="C3204" s="3">
        <v>154</v>
      </c>
      <c r="D3204" s="3">
        <v>74</v>
      </c>
      <c r="E3204" s="3">
        <v>-968.553</v>
      </c>
      <c r="F3204" s="4" t="str">
        <f>HYPERLINK("http://141.218.60.56/~jnz1568/getInfo.php?workbook=14_09.xlsx&amp;sheet=A0&amp;row=3204&amp;col=6&amp;number=1310000&amp;sourceID=14","1310000")</f>
        <v>1310000</v>
      </c>
      <c r="G3204" s="4" t="str">
        <f>HYPERLINK("http://141.218.60.56/~jnz1568/getInfo.php?workbook=14_09.xlsx&amp;sheet=A0&amp;row=3204&amp;col=7&amp;number=0&amp;sourceID=14","0")</f>
        <v>0</v>
      </c>
    </row>
    <row r="3205" spans="1:7">
      <c r="A3205" s="3">
        <v>14</v>
      </c>
      <c r="B3205" s="3">
        <v>9</v>
      </c>
      <c r="C3205" s="3">
        <v>155</v>
      </c>
      <c r="D3205" s="3">
        <v>74</v>
      </c>
      <c r="E3205" s="3">
        <v>-962.429</v>
      </c>
      <c r="F3205" s="4" t="str">
        <f>HYPERLINK("http://141.218.60.56/~jnz1568/getInfo.php?workbook=14_09.xlsx&amp;sheet=A0&amp;row=3205&amp;col=6&amp;number=1490000&amp;sourceID=14","1490000")</f>
        <v>1490000</v>
      </c>
      <c r="G3205" s="4" t="str">
        <f>HYPERLINK("http://141.218.60.56/~jnz1568/getInfo.php?workbook=14_09.xlsx&amp;sheet=A0&amp;row=3205&amp;col=7&amp;number=0&amp;sourceID=14","0")</f>
        <v>0</v>
      </c>
    </row>
    <row r="3206" spans="1:7">
      <c r="A3206" s="3">
        <v>14</v>
      </c>
      <c r="B3206" s="3">
        <v>9</v>
      </c>
      <c r="C3206" s="3">
        <v>156</v>
      </c>
      <c r="D3206" s="3">
        <v>74</v>
      </c>
      <c r="E3206" s="3">
        <v>-953.955</v>
      </c>
      <c r="F3206" s="4" t="str">
        <f>HYPERLINK("http://141.218.60.56/~jnz1568/getInfo.php?workbook=14_09.xlsx&amp;sheet=A0&amp;row=3206&amp;col=6&amp;number=7790000&amp;sourceID=14","7790000")</f>
        <v>7790000</v>
      </c>
      <c r="G3206" s="4" t="str">
        <f>HYPERLINK("http://141.218.60.56/~jnz1568/getInfo.php?workbook=14_09.xlsx&amp;sheet=A0&amp;row=3206&amp;col=7&amp;number=0&amp;sourceID=14","0")</f>
        <v>0</v>
      </c>
    </row>
    <row r="3207" spans="1:7">
      <c r="A3207" s="3">
        <v>14</v>
      </c>
      <c r="B3207" s="3">
        <v>9</v>
      </c>
      <c r="C3207" s="3">
        <v>157</v>
      </c>
      <c r="D3207" s="3">
        <v>74</v>
      </c>
      <c r="E3207" s="3">
        <v>-931.231</v>
      </c>
      <c r="F3207" s="4" t="str">
        <f>HYPERLINK("http://141.218.60.56/~jnz1568/getInfo.php?workbook=14_09.xlsx&amp;sheet=A0&amp;row=3207&amp;col=6&amp;number=1260000&amp;sourceID=14","1260000")</f>
        <v>1260000</v>
      </c>
      <c r="G3207" s="4" t="str">
        <f>HYPERLINK("http://141.218.60.56/~jnz1568/getInfo.php?workbook=14_09.xlsx&amp;sheet=A0&amp;row=3207&amp;col=7&amp;number=0&amp;sourceID=14","0")</f>
        <v>0</v>
      </c>
    </row>
    <row r="3208" spans="1:7">
      <c r="A3208" s="3">
        <v>14</v>
      </c>
      <c r="B3208" s="3">
        <v>9</v>
      </c>
      <c r="C3208" s="3">
        <v>158</v>
      </c>
      <c r="D3208" s="3">
        <v>74</v>
      </c>
      <c r="E3208" s="3">
        <v>-926.631</v>
      </c>
      <c r="F3208" s="4" t="str">
        <f>HYPERLINK("http://141.218.60.56/~jnz1568/getInfo.php?workbook=14_09.xlsx&amp;sheet=A0&amp;row=3208&amp;col=6&amp;number=14100000&amp;sourceID=14","14100000")</f>
        <v>14100000</v>
      </c>
      <c r="G3208" s="4" t="str">
        <f>HYPERLINK("http://141.218.60.56/~jnz1568/getInfo.php?workbook=14_09.xlsx&amp;sheet=A0&amp;row=3208&amp;col=7&amp;number=0&amp;sourceID=14","0")</f>
        <v>0</v>
      </c>
    </row>
    <row r="3209" spans="1:7">
      <c r="A3209" s="3">
        <v>14</v>
      </c>
      <c r="B3209" s="3">
        <v>9</v>
      </c>
      <c r="C3209" s="3">
        <v>163</v>
      </c>
      <c r="D3209" s="3">
        <v>74</v>
      </c>
      <c r="E3209" s="3">
        <v>-655.907</v>
      </c>
      <c r="F3209" s="4" t="str">
        <f>HYPERLINK("http://141.218.60.56/~jnz1568/getInfo.php?workbook=14_09.xlsx&amp;sheet=A0&amp;row=3209&amp;col=6&amp;number=591000&amp;sourceID=14","591000")</f>
        <v>591000</v>
      </c>
      <c r="G3209" s="4" t="str">
        <f>HYPERLINK("http://141.218.60.56/~jnz1568/getInfo.php?workbook=14_09.xlsx&amp;sheet=A0&amp;row=3209&amp;col=7&amp;number=0&amp;sourceID=14","0")</f>
        <v>0</v>
      </c>
    </row>
    <row r="3210" spans="1:7">
      <c r="A3210" s="3">
        <v>14</v>
      </c>
      <c r="B3210" s="3">
        <v>9</v>
      </c>
      <c r="C3210" s="3">
        <v>185</v>
      </c>
      <c r="D3210" s="3">
        <v>74</v>
      </c>
      <c r="E3210" s="3">
        <v>-399.671</v>
      </c>
      <c r="F3210" s="4" t="str">
        <f>HYPERLINK("http://141.218.60.56/~jnz1568/getInfo.php?workbook=14_09.xlsx&amp;sheet=A0&amp;row=3210&amp;col=6&amp;number=4560000&amp;sourceID=14","4560000")</f>
        <v>4560000</v>
      </c>
      <c r="G3210" s="4" t="str">
        <f>HYPERLINK("http://141.218.60.56/~jnz1568/getInfo.php?workbook=14_09.xlsx&amp;sheet=A0&amp;row=3210&amp;col=7&amp;number=0&amp;sourceID=14","0")</f>
        <v>0</v>
      </c>
    </row>
    <row r="3211" spans="1:7">
      <c r="A3211" s="3">
        <v>14</v>
      </c>
      <c r="B3211" s="3">
        <v>9</v>
      </c>
      <c r="C3211" s="3">
        <v>187</v>
      </c>
      <c r="D3211" s="3">
        <v>74</v>
      </c>
      <c r="E3211" s="3">
        <v>-391.018</v>
      </c>
      <c r="F3211" s="4" t="str">
        <f>HYPERLINK("http://141.218.60.56/~jnz1568/getInfo.php?workbook=14_09.xlsx&amp;sheet=A0&amp;row=3211&amp;col=6&amp;number=19300000&amp;sourceID=14","19300000")</f>
        <v>19300000</v>
      </c>
      <c r="G3211" s="4" t="str">
        <f>HYPERLINK("http://141.218.60.56/~jnz1568/getInfo.php?workbook=14_09.xlsx&amp;sheet=A0&amp;row=3211&amp;col=7&amp;number=0&amp;sourceID=14","0")</f>
        <v>0</v>
      </c>
    </row>
    <row r="3212" spans="1:7">
      <c r="A3212" s="3">
        <v>14</v>
      </c>
      <c r="B3212" s="3">
        <v>9</v>
      </c>
      <c r="C3212" s="3">
        <v>188</v>
      </c>
      <c r="D3212" s="3">
        <v>74</v>
      </c>
      <c r="E3212" s="3">
        <v>-390.539</v>
      </c>
      <c r="F3212" s="4" t="str">
        <f>HYPERLINK("http://141.218.60.56/~jnz1568/getInfo.php?workbook=14_09.xlsx&amp;sheet=A0&amp;row=3212&amp;col=6&amp;number=4710000&amp;sourceID=14","4710000")</f>
        <v>4710000</v>
      </c>
      <c r="G3212" s="4" t="str">
        <f>HYPERLINK("http://141.218.60.56/~jnz1568/getInfo.php?workbook=14_09.xlsx&amp;sheet=A0&amp;row=3212&amp;col=7&amp;number=0&amp;sourceID=14","0")</f>
        <v>0</v>
      </c>
    </row>
    <row r="3213" spans="1:7">
      <c r="A3213" s="3">
        <v>14</v>
      </c>
      <c r="B3213" s="3">
        <v>9</v>
      </c>
      <c r="C3213" s="3">
        <v>189</v>
      </c>
      <c r="D3213" s="3">
        <v>74</v>
      </c>
      <c r="E3213" s="3">
        <v>-371.065</v>
      </c>
      <c r="F3213" s="4" t="str">
        <f>HYPERLINK("http://141.218.60.56/~jnz1568/getInfo.php?workbook=14_09.xlsx&amp;sheet=A0&amp;row=3213&amp;col=6&amp;number=5370000&amp;sourceID=14","5370000")</f>
        <v>5370000</v>
      </c>
      <c r="G3213" s="4" t="str">
        <f>HYPERLINK("http://141.218.60.56/~jnz1568/getInfo.php?workbook=14_09.xlsx&amp;sheet=A0&amp;row=3213&amp;col=7&amp;number=0&amp;sourceID=14","0")</f>
        <v>0</v>
      </c>
    </row>
    <row r="3214" spans="1:7">
      <c r="A3214" s="3">
        <v>14</v>
      </c>
      <c r="B3214" s="3">
        <v>9</v>
      </c>
      <c r="C3214" s="3">
        <v>87</v>
      </c>
      <c r="D3214" s="3">
        <v>75</v>
      </c>
      <c r="E3214" s="3">
        <v>-3223.525</v>
      </c>
      <c r="F3214" s="4" t="str">
        <f>HYPERLINK("http://141.218.60.56/~jnz1568/getInfo.php?workbook=14_09.xlsx&amp;sheet=A0&amp;row=3214&amp;col=6&amp;number=3280000&amp;sourceID=14","3280000")</f>
        <v>3280000</v>
      </c>
      <c r="G3214" s="4" t="str">
        <f>HYPERLINK("http://141.218.60.56/~jnz1568/getInfo.php?workbook=14_09.xlsx&amp;sheet=A0&amp;row=3214&amp;col=7&amp;number=0&amp;sourceID=14","0")</f>
        <v>0</v>
      </c>
    </row>
    <row r="3215" spans="1:7">
      <c r="A3215" s="3">
        <v>14</v>
      </c>
      <c r="B3215" s="3">
        <v>9</v>
      </c>
      <c r="C3215" s="3">
        <v>88</v>
      </c>
      <c r="D3215" s="3">
        <v>75</v>
      </c>
      <c r="E3215" s="3">
        <v>-3162.461</v>
      </c>
      <c r="F3215" s="4" t="str">
        <f>HYPERLINK("http://141.218.60.56/~jnz1568/getInfo.php?workbook=14_09.xlsx&amp;sheet=A0&amp;row=3215&amp;col=6&amp;number=9960000&amp;sourceID=14","9960000")</f>
        <v>9960000</v>
      </c>
      <c r="G3215" s="4" t="str">
        <f>HYPERLINK("http://141.218.60.56/~jnz1568/getInfo.php?workbook=14_09.xlsx&amp;sheet=A0&amp;row=3215&amp;col=7&amp;number=0&amp;sourceID=14","0")</f>
        <v>0</v>
      </c>
    </row>
    <row r="3216" spans="1:7">
      <c r="A3216" s="3">
        <v>14</v>
      </c>
      <c r="B3216" s="3">
        <v>9</v>
      </c>
      <c r="C3216" s="3">
        <v>89</v>
      </c>
      <c r="D3216" s="3">
        <v>75</v>
      </c>
      <c r="E3216" s="3">
        <v>-3090.909</v>
      </c>
      <c r="F3216" s="4" t="str">
        <f>HYPERLINK("http://141.218.60.56/~jnz1568/getInfo.php?workbook=14_09.xlsx&amp;sheet=A0&amp;row=3216&amp;col=6&amp;number=10700000&amp;sourceID=14","10700000")</f>
        <v>10700000</v>
      </c>
      <c r="G3216" s="4" t="str">
        <f>HYPERLINK("http://141.218.60.56/~jnz1568/getInfo.php?workbook=14_09.xlsx&amp;sheet=A0&amp;row=3216&amp;col=7&amp;number=0&amp;sourceID=14","0")</f>
        <v>0</v>
      </c>
    </row>
    <row r="3217" spans="1:7">
      <c r="A3217" s="3">
        <v>14</v>
      </c>
      <c r="B3217" s="3">
        <v>9</v>
      </c>
      <c r="C3217" s="3">
        <v>92</v>
      </c>
      <c r="D3217" s="3">
        <v>75</v>
      </c>
      <c r="E3217" s="3">
        <v>-2819.607</v>
      </c>
      <c r="F3217" s="4" t="str">
        <f>HYPERLINK("http://141.218.60.56/~jnz1568/getInfo.php?workbook=14_09.xlsx&amp;sheet=A0&amp;row=3217&amp;col=6&amp;number=157000000&amp;sourceID=14","157000000")</f>
        <v>157000000</v>
      </c>
      <c r="G3217" s="4" t="str">
        <f>HYPERLINK("http://141.218.60.56/~jnz1568/getInfo.php?workbook=14_09.xlsx&amp;sheet=A0&amp;row=3217&amp;col=7&amp;number=0&amp;sourceID=14","0")</f>
        <v>0</v>
      </c>
    </row>
    <row r="3218" spans="1:7">
      <c r="A3218" s="3">
        <v>14</v>
      </c>
      <c r="B3218" s="3">
        <v>9</v>
      </c>
      <c r="C3218" s="3">
        <v>93</v>
      </c>
      <c r="D3218" s="3">
        <v>75</v>
      </c>
      <c r="E3218" s="3">
        <v>-2754.902</v>
      </c>
      <c r="F3218" s="4" t="str">
        <f>HYPERLINK("http://141.218.60.56/~jnz1568/getInfo.php?workbook=14_09.xlsx&amp;sheet=A0&amp;row=3218&amp;col=6&amp;number=18700000&amp;sourceID=14","18700000")</f>
        <v>18700000</v>
      </c>
      <c r="G3218" s="4" t="str">
        <f>HYPERLINK("http://141.218.60.56/~jnz1568/getInfo.php?workbook=14_09.xlsx&amp;sheet=A0&amp;row=3218&amp;col=7&amp;number=0&amp;sourceID=14","0")</f>
        <v>0</v>
      </c>
    </row>
    <row r="3219" spans="1:7">
      <c r="A3219" s="3">
        <v>14</v>
      </c>
      <c r="B3219" s="3">
        <v>9</v>
      </c>
      <c r="C3219" s="3">
        <v>94</v>
      </c>
      <c r="D3219" s="3">
        <v>75</v>
      </c>
      <c r="E3219" s="3">
        <v>-2738.231</v>
      </c>
      <c r="F3219" s="4" t="str">
        <f>HYPERLINK("http://141.218.60.56/~jnz1568/getInfo.php?workbook=14_09.xlsx&amp;sheet=A0&amp;row=3219&amp;col=6&amp;number=154000000&amp;sourceID=14","154000000")</f>
        <v>154000000</v>
      </c>
      <c r="G3219" s="4" t="str">
        <f>HYPERLINK("http://141.218.60.56/~jnz1568/getInfo.php?workbook=14_09.xlsx&amp;sheet=A0&amp;row=3219&amp;col=7&amp;number=0&amp;sourceID=14","0")</f>
        <v>0</v>
      </c>
    </row>
    <row r="3220" spans="1:7">
      <c r="A3220" s="3">
        <v>14</v>
      </c>
      <c r="B3220" s="3">
        <v>9</v>
      </c>
      <c r="C3220" s="3">
        <v>96</v>
      </c>
      <c r="D3220" s="3">
        <v>75</v>
      </c>
      <c r="E3220" s="3">
        <v>-2641.664</v>
      </c>
      <c r="F3220" s="4" t="str">
        <f>HYPERLINK("http://141.218.60.56/~jnz1568/getInfo.php?workbook=14_09.xlsx&amp;sheet=A0&amp;row=3220&amp;col=6&amp;number=30000000&amp;sourceID=14","30000000")</f>
        <v>30000000</v>
      </c>
      <c r="G3220" s="4" t="str">
        <f>HYPERLINK("http://141.218.60.56/~jnz1568/getInfo.php?workbook=14_09.xlsx&amp;sheet=A0&amp;row=3220&amp;col=7&amp;number=0&amp;sourceID=14","0")</f>
        <v>0</v>
      </c>
    </row>
    <row r="3221" spans="1:7">
      <c r="A3221" s="3">
        <v>14</v>
      </c>
      <c r="B3221" s="3">
        <v>9</v>
      </c>
      <c r="C3221" s="3">
        <v>97</v>
      </c>
      <c r="D3221" s="3">
        <v>75</v>
      </c>
      <c r="E3221" s="3">
        <v>-2610.494</v>
      </c>
      <c r="F3221" s="4" t="str">
        <f>HYPERLINK("http://141.218.60.56/~jnz1568/getInfo.php?workbook=14_09.xlsx&amp;sheet=A0&amp;row=3221&amp;col=6&amp;number=266000000&amp;sourceID=14","266000000")</f>
        <v>266000000</v>
      </c>
      <c r="G3221" s="4" t="str">
        <f>HYPERLINK("http://141.218.60.56/~jnz1568/getInfo.php?workbook=14_09.xlsx&amp;sheet=A0&amp;row=3221&amp;col=7&amp;number=0&amp;sourceID=14","0")</f>
        <v>0</v>
      </c>
    </row>
    <row r="3222" spans="1:7">
      <c r="A3222" s="3">
        <v>14</v>
      </c>
      <c r="B3222" s="3">
        <v>9</v>
      </c>
      <c r="C3222" s="3">
        <v>98</v>
      </c>
      <c r="D3222" s="3">
        <v>75</v>
      </c>
      <c r="E3222" s="3">
        <v>-2555.197</v>
      </c>
      <c r="F3222" s="4" t="str">
        <f>HYPERLINK("http://141.218.60.56/~jnz1568/getInfo.php?workbook=14_09.xlsx&amp;sheet=A0&amp;row=3222&amp;col=6&amp;number=5780000&amp;sourceID=14","5780000")</f>
        <v>5780000</v>
      </c>
      <c r="G3222" s="4" t="str">
        <f>HYPERLINK("http://141.218.60.56/~jnz1568/getInfo.php?workbook=14_09.xlsx&amp;sheet=A0&amp;row=3222&amp;col=7&amp;number=0&amp;sourceID=14","0")</f>
        <v>0</v>
      </c>
    </row>
    <row r="3223" spans="1:7">
      <c r="A3223" s="3">
        <v>14</v>
      </c>
      <c r="B3223" s="3">
        <v>9</v>
      </c>
      <c r="C3223" s="3">
        <v>103</v>
      </c>
      <c r="D3223" s="3">
        <v>75</v>
      </c>
      <c r="E3223" s="3">
        <v>-2312.303</v>
      </c>
      <c r="F3223" s="4" t="str">
        <f>HYPERLINK("http://141.218.60.56/~jnz1568/getInfo.php?workbook=14_09.xlsx&amp;sheet=A0&amp;row=3223&amp;col=6&amp;number=18200000&amp;sourceID=14","18200000")</f>
        <v>18200000</v>
      </c>
      <c r="G3223" s="4" t="str">
        <f>HYPERLINK("http://141.218.60.56/~jnz1568/getInfo.php?workbook=14_09.xlsx&amp;sheet=A0&amp;row=3223&amp;col=7&amp;number=0&amp;sourceID=14","0")</f>
        <v>0</v>
      </c>
    </row>
    <row r="3224" spans="1:7">
      <c r="A3224" s="3">
        <v>14</v>
      </c>
      <c r="B3224" s="3">
        <v>9</v>
      </c>
      <c r="C3224" s="3">
        <v>110</v>
      </c>
      <c r="D3224" s="3">
        <v>75</v>
      </c>
      <c r="E3224" s="3">
        <v>-2235.89</v>
      </c>
      <c r="F3224" s="4" t="str">
        <f>HYPERLINK("http://141.218.60.56/~jnz1568/getInfo.php?workbook=14_09.xlsx&amp;sheet=A0&amp;row=3224&amp;col=6&amp;number=3570000&amp;sourceID=14","3570000")</f>
        <v>3570000</v>
      </c>
      <c r="G3224" s="4" t="str">
        <f>HYPERLINK("http://141.218.60.56/~jnz1568/getInfo.php?workbook=14_09.xlsx&amp;sheet=A0&amp;row=3224&amp;col=7&amp;number=0&amp;sourceID=14","0")</f>
        <v>0</v>
      </c>
    </row>
    <row r="3225" spans="1:7">
      <c r="A3225" s="3">
        <v>14</v>
      </c>
      <c r="B3225" s="3">
        <v>9</v>
      </c>
      <c r="C3225" s="3">
        <v>128</v>
      </c>
      <c r="D3225" s="3">
        <v>75</v>
      </c>
      <c r="E3225" s="3">
        <v>-1274.7</v>
      </c>
      <c r="F3225" s="4" t="str">
        <f>HYPERLINK("http://141.218.60.56/~jnz1568/getInfo.php?workbook=14_09.xlsx&amp;sheet=A0&amp;row=3225&amp;col=6&amp;number=3270000&amp;sourceID=14","3270000")</f>
        <v>3270000</v>
      </c>
      <c r="G3225" s="4" t="str">
        <f>HYPERLINK("http://141.218.60.56/~jnz1568/getInfo.php?workbook=14_09.xlsx&amp;sheet=A0&amp;row=3225&amp;col=7&amp;number=0&amp;sourceID=14","0")</f>
        <v>0</v>
      </c>
    </row>
    <row r="3226" spans="1:7">
      <c r="A3226" s="3">
        <v>14</v>
      </c>
      <c r="B3226" s="3">
        <v>9</v>
      </c>
      <c r="C3226" s="3">
        <v>145</v>
      </c>
      <c r="D3226" s="3">
        <v>75</v>
      </c>
      <c r="E3226" s="3">
        <v>-1086.557</v>
      </c>
      <c r="F3226" s="4" t="str">
        <f>HYPERLINK("http://141.218.60.56/~jnz1568/getInfo.php?workbook=14_09.xlsx&amp;sheet=A0&amp;row=3226&amp;col=6&amp;number=8420000&amp;sourceID=14","8420000")</f>
        <v>8420000</v>
      </c>
      <c r="G3226" s="4" t="str">
        <f>HYPERLINK("http://141.218.60.56/~jnz1568/getInfo.php?workbook=14_09.xlsx&amp;sheet=A0&amp;row=3226&amp;col=7&amp;number=0&amp;sourceID=14","0")</f>
        <v>0</v>
      </c>
    </row>
    <row r="3227" spans="1:7">
      <c r="A3227" s="3">
        <v>14</v>
      </c>
      <c r="B3227" s="3">
        <v>9</v>
      </c>
      <c r="C3227" s="3">
        <v>148</v>
      </c>
      <c r="D3227" s="3">
        <v>75</v>
      </c>
      <c r="E3227" s="3">
        <v>-1069.852</v>
      </c>
      <c r="F3227" s="4" t="str">
        <f>HYPERLINK("http://141.218.60.56/~jnz1568/getInfo.php?workbook=14_09.xlsx&amp;sheet=A0&amp;row=3227&amp;col=6&amp;number=11200000&amp;sourceID=14","11200000")</f>
        <v>11200000</v>
      </c>
      <c r="G3227" s="4" t="str">
        <f>HYPERLINK("http://141.218.60.56/~jnz1568/getInfo.php?workbook=14_09.xlsx&amp;sheet=A0&amp;row=3227&amp;col=7&amp;number=0&amp;sourceID=14","0")</f>
        <v>0</v>
      </c>
    </row>
    <row r="3228" spans="1:7">
      <c r="A3228" s="3">
        <v>14</v>
      </c>
      <c r="B3228" s="3">
        <v>9</v>
      </c>
      <c r="C3228" s="3">
        <v>151</v>
      </c>
      <c r="D3228" s="3">
        <v>75</v>
      </c>
      <c r="E3228" s="3">
        <v>-1057.755</v>
      </c>
      <c r="F3228" s="4" t="str">
        <f>HYPERLINK("http://141.218.60.56/~jnz1568/getInfo.php?workbook=14_09.xlsx&amp;sheet=A0&amp;row=3228&amp;col=6&amp;number=4920000&amp;sourceID=14","4920000")</f>
        <v>4920000</v>
      </c>
      <c r="G3228" s="4" t="str">
        <f>HYPERLINK("http://141.218.60.56/~jnz1568/getInfo.php?workbook=14_09.xlsx&amp;sheet=A0&amp;row=3228&amp;col=7&amp;number=0&amp;sourceID=14","0")</f>
        <v>0</v>
      </c>
    </row>
    <row r="3229" spans="1:7">
      <c r="A3229" s="3">
        <v>14</v>
      </c>
      <c r="B3229" s="3">
        <v>9</v>
      </c>
      <c r="C3229" s="3">
        <v>152</v>
      </c>
      <c r="D3229" s="3">
        <v>75</v>
      </c>
      <c r="E3229" s="3">
        <v>-990.915</v>
      </c>
      <c r="F3229" s="4" t="str">
        <f>HYPERLINK("http://141.218.60.56/~jnz1568/getInfo.php?workbook=14_09.xlsx&amp;sheet=A0&amp;row=3229&amp;col=6&amp;number=3650000&amp;sourceID=14","3650000")</f>
        <v>3650000</v>
      </c>
      <c r="G3229" s="4" t="str">
        <f>HYPERLINK("http://141.218.60.56/~jnz1568/getInfo.php?workbook=14_09.xlsx&amp;sheet=A0&amp;row=3229&amp;col=7&amp;number=0&amp;sourceID=14","0")</f>
        <v>0</v>
      </c>
    </row>
    <row r="3230" spans="1:7">
      <c r="A3230" s="3">
        <v>14</v>
      </c>
      <c r="B3230" s="3">
        <v>9</v>
      </c>
      <c r="C3230" s="3">
        <v>153</v>
      </c>
      <c r="D3230" s="3">
        <v>75</v>
      </c>
      <c r="E3230" s="3">
        <v>-974.025</v>
      </c>
      <c r="F3230" s="4" t="str">
        <f>HYPERLINK("http://141.218.60.56/~jnz1568/getInfo.php?workbook=14_09.xlsx&amp;sheet=A0&amp;row=3230&amp;col=6&amp;number=9720000&amp;sourceID=14","9720000")</f>
        <v>9720000</v>
      </c>
      <c r="G3230" s="4" t="str">
        <f>HYPERLINK("http://141.218.60.56/~jnz1568/getInfo.php?workbook=14_09.xlsx&amp;sheet=A0&amp;row=3230&amp;col=7&amp;number=0&amp;sourceID=14","0")</f>
        <v>0</v>
      </c>
    </row>
    <row r="3231" spans="1:7">
      <c r="A3231" s="3">
        <v>14</v>
      </c>
      <c r="B3231" s="3">
        <v>9</v>
      </c>
      <c r="C3231" s="3">
        <v>154</v>
      </c>
      <c r="D3231" s="3">
        <v>75</v>
      </c>
      <c r="E3231" s="3">
        <v>-973.807</v>
      </c>
      <c r="F3231" s="4" t="str">
        <f>HYPERLINK("http://141.218.60.56/~jnz1568/getInfo.php?workbook=14_09.xlsx&amp;sheet=A0&amp;row=3231&amp;col=6&amp;number=1330000&amp;sourceID=14","1330000")</f>
        <v>1330000</v>
      </c>
      <c r="G3231" s="4" t="str">
        <f>HYPERLINK("http://141.218.60.56/~jnz1568/getInfo.php?workbook=14_09.xlsx&amp;sheet=A0&amp;row=3231&amp;col=7&amp;number=0&amp;sourceID=14","0")</f>
        <v>0</v>
      </c>
    </row>
    <row r="3232" spans="1:7">
      <c r="A3232" s="3">
        <v>14</v>
      </c>
      <c r="B3232" s="3">
        <v>9</v>
      </c>
      <c r="C3232" s="3">
        <v>155</v>
      </c>
      <c r="D3232" s="3">
        <v>75</v>
      </c>
      <c r="E3232" s="3">
        <v>-967.616</v>
      </c>
      <c r="F3232" s="4" t="str">
        <f>HYPERLINK("http://141.218.60.56/~jnz1568/getInfo.php?workbook=14_09.xlsx&amp;sheet=A0&amp;row=3232&amp;col=6&amp;number=12100000&amp;sourceID=14","12100000")</f>
        <v>12100000</v>
      </c>
      <c r="G3232" s="4" t="str">
        <f>HYPERLINK("http://141.218.60.56/~jnz1568/getInfo.php?workbook=14_09.xlsx&amp;sheet=A0&amp;row=3232&amp;col=7&amp;number=0&amp;sourceID=14","0")</f>
        <v>0</v>
      </c>
    </row>
    <row r="3233" spans="1:7">
      <c r="A3233" s="3">
        <v>14</v>
      </c>
      <c r="B3233" s="3">
        <v>9</v>
      </c>
      <c r="C3233" s="3">
        <v>156</v>
      </c>
      <c r="D3233" s="3">
        <v>75</v>
      </c>
      <c r="E3233" s="3">
        <v>-959.05</v>
      </c>
      <c r="F3233" s="4" t="str">
        <f>HYPERLINK("http://141.218.60.56/~jnz1568/getInfo.php?workbook=14_09.xlsx&amp;sheet=A0&amp;row=3233&amp;col=6&amp;number=5640000&amp;sourceID=14","5640000")</f>
        <v>5640000</v>
      </c>
      <c r="G3233" s="4" t="str">
        <f>HYPERLINK("http://141.218.60.56/~jnz1568/getInfo.php?workbook=14_09.xlsx&amp;sheet=A0&amp;row=3233&amp;col=7&amp;number=0&amp;sourceID=14","0")</f>
        <v>0</v>
      </c>
    </row>
    <row r="3234" spans="1:7">
      <c r="A3234" s="3">
        <v>14</v>
      </c>
      <c r="B3234" s="3">
        <v>9</v>
      </c>
      <c r="C3234" s="3">
        <v>158</v>
      </c>
      <c r="D3234" s="3">
        <v>75</v>
      </c>
      <c r="E3234" s="3">
        <v>-931.439</v>
      </c>
      <c r="F3234" s="4" t="str">
        <f>HYPERLINK("http://141.218.60.56/~jnz1568/getInfo.php?workbook=14_09.xlsx&amp;sheet=A0&amp;row=3234&amp;col=6&amp;number=1370000&amp;sourceID=14","1370000")</f>
        <v>1370000</v>
      </c>
      <c r="G3234" s="4" t="str">
        <f>HYPERLINK("http://141.218.60.56/~jnz1568/getInfo.php?workbook=14_09.xlsx&amp;sheet=A0&amp;row=3234&amp;col=7&amp;number=0&amp;sourceID=14","0")</f>
        <v>0</v>
      </c>
    </row>
    <row r="3235" spans="1:7">
      <c r="A3235" s="3">
        <v>14</v>
      </c>
      <c r="B3235" s="3">
        <v>9</v>
      </c>
      <c r="C3235" s="3">
        <v>161</v>
      </c>
      <c r="D3235" s="3">
        <v>75</v>
      </c>
      <c r="E3235" s="3">
        <v>-695.305</v>
      </c>
      <c r="F3235" s="4" t="str">
        <f>HYPERLINK("http://141.218.60.56/~jnz1568/getInfo.php?workbook=14_09.xlsx&amp;sheet=A0&amp;row=3235&amp;col=6&amp;number=1050000&amp;sourceID=14","1050000")</f>
        <v>1050000</v>
      </c>
      <c r="G3235" s="4" t="str">
        <f>HYPERLINK("http://141.218.60.56/~jnz1568/getInfo.php?workbook=14_09.xlsx&amp;sheet=A0&amp;row=3235&amp;col=7&amp;number=0&amp;sourceID=14","0")</f>
        <v>0</v>
      </c>
    </row>
    <row r="3236" spans="1:7">
      <c r="A3236" s="3">
        <v>14</v>
      </c>
      <c r="B3236" s="3">
        <v>9</v>
      </c>
      <c r="C3236" s="3">
        <v>187</v>
      </c>
      <c r="D3236" s="3">
        <v>75</v>
      </c>
      <c r="E3236" s="3">
        <v>-391.872</v>
      </c>
      <c r="F3236" s="4" t="str">
        <f>HYPERLINK("http://141.218.60.56/~jnz1568/getInfo.php?workbook=14_09.xlsx&amp;sheet=A0&amp;row=3236&amp;col=6&amp;number=1140000&amp;sourceID=14","1140000")</f>
        <v>1140000</v>
      </c>
      <c r="G3236" s="4" t="str">
        <f>HYPERLINK("http://141.218.60.56/~jnz1568/getInfo.php?workbook=14_09.xlsx&amp;sheet=A0&amp;row=3236&amp;col=7&amp;number=0&amp;sourceID=14","0")</f>
        <v>0</v>
      </c>
    </row>
    <row r="3237" spans="1:7">
      <c r="A3237" s="3">
        <v>14</v>
      </c>
      <c r="B3237" s="3">
        <v>9</v>
      </c>
      <c r="C3237" s="3">
        <v>87</v>
      </c>
      <c r="D3237" s="3">
        <v>76</v>
      </c>
      <c r="E3237" s="3">
        <v>-3253.52</v>
      </c>
      <c r="F3237" s="4" t="str">
        <f>HYPERLINK("http://141.218.60.56/~jnz1568/getInfo.php?workbook=14_09.xlsx&amp;sheet=A0&amp;row=3237&amp;col=6&amp;number=382000&amp;sourceID=14","382000")</f>
        <v>382000</v>
      </c>
      <c r="G3237" s="4" t="str">
        <f>HYPERLINK("http://141.218.60.56/~jnz1568/getInfo.php?workbook=14_09.xlsx&amp;sheet=A0&amp;row=3237&amp;col=7&amp;number=0&amp;sourceID=14","0")</f>
        <v>0</v>
      </c>
    </row>
    <row r="3238" spans="1:7">
      <c r="A3238" s="3">
        <v>14</v>
      </c>
      <c r="B3238" s="3">
        <v>9</v>
      </c>
      <c r="C3238" s="3">
        <v>88</v>
      </c>
      <c r="D3238" s="3">
        <v>76</v>
      </c>
      <c r="E3238" s="3">
        <v>-3191.325</v>
      </c>
      <c r="F3238" s="4" t="str">
        <f>HYPERLINK("http://141.218.60.56/~jnz1568/getInfo.php?workbook=14_09.xlsx&amp;sheet=A0&amp;row=3238&amp;col=6&amp;number=159000&amp;sourceID=14","159000")</f>
        <v>159000</v>
      </c>
      <c r="G3238" s="4" t="str">
        <f>HYPERLINK("http://141.218.60.56/~jnz1568/getInfo.php?workbook=14_09.xlsx&amp;sheet=A0&amp;row=3238&amp;col=7&amp;number=0&amp;sourceID=14","0")</f>
        <v>0</v>
      </c>
    </row>
    <row r="3239" spans="1:7">
      <c r="A3239" s="3">
        <v>14</v>
      </c>
      <c r="B3239" s="3">
        <v>9</v>
      </c>
      <c r="C3239" s="3">
        <v>89</v>
      </c>
      <c r="D3239" s="3">
        <v>76</v>
      </c>
      <c r="E3239" s="3">
        <v>-3118.476</v>
      </c>
      <c r="F3239" s="4" t="str">
        <f>HYPERLINK("http://141.218.60.56/~jnz1568/getInfo.php?workbook=14_09.xlsx&amp;sheet=A0&amp;row=3239&amp;col=6&amp;number=311000&amp;sourceID=14","311000")</f>
        <v>311000</v>
      </c>
      <c r="G3239" s="4" t="str">
        <f>HYPERLINK("http://141.218.60.56/~jnz1568/getInfo.php?workbook=14_09.xlsx&amp;sheet=A0&amp;row=3239&amp;col=7&amp;number=0&amp;sourceID=14","0")</f>
        <v>0</v>
      </c>
    </row>
    <row r="3240" spans="1:7">
      <c r="A3240" s="3">
        <v>14</v>
      </c>
      <c r="B3240" s="3">
        <v>9</v>
      </c>
      <c r="C3240" s="3">
        <v>92</v>
      </c>
      <c r="D3240" s="3">
        <v>76</v>
      </c>
      <c r="E3240" s="3">
        <v>-2842.529</v>
      </c>
      <c r="F3240" s="4" t="str">
        <f>HYPERLINK("http://141.218.60.56/~jnz1568/getInfo.php?workbook=14_09.xlsx&amp;sheet=A0&amp;row=3240&amp;col=6&amp;number=5530000&amp;sourceID=14","5530000")</f>
        <v>5530000</v>
      </c>
      <c r="G3240" s="4" t="str">
        <f>HYPERLINK("http://141.218.60.56/~jnz1568/getInfo.php?workbook=14_09.xlsx&amp;sheet=A0&amp;row=3240&amp;col=7&amp;number=0&amp;sourceID=14","0")</f>
        <v>0</v>
      </c>
    </row>
    <row r="3241" spans="1:7">
      <c r="A3241" s="3">
        <v>14</v>
      </c>
      <c r="B3241" s="3">
        <v>9</v>
      </c>
      <c r="C3241" s="3">
        <v>93</v>
      </c>
      <c r="D3241" s="3">
        <v>76</v>
      </c>
      <c r="E3241" s="3">
        <v>-2776.78</v>
      </c>
      <c r="F3241" s="4" t="str">
        <f>HYPERLINK("http://141.218.60.56/~jnz1568/getInfo.php?workbook=14_09.xlsx&amp;sheet=A0&amp;row=3241&amp;col=6&amp;number=1300000&amp;sourceID=14","1300000")</f>
        <v>1300000</v>
      </c>
      <c r="G3241" s="4" t="str">
        <f>HYPERLINK("http://141.218.60.56/~jnz1568/getInfo.php?workbook=14_09.xlsx&amp;sheet=A0&amp;row=3241&amp;col=7&amp;number=0&amp;sourceID=14","0")</f>
        <v>0</v>
      </c>
    </row>
    <row r="3242" spans="1:7">
      <c r="A3242" s="3">
        <v>14</v>
      </c>
      <c r="B3242" s="3">
        <v>9</v>
      </c>
      <c r="C3242" s="3">
        <v>94</v>
      </c>
      <c r="D3242" s="3">
        <v>76</v>
      </c>
      <c r="E3242" s="3">
        <v>-2759.844</v>
      </c>
      <c r="F3242" s="4" t="str">
        <f>HYPERLINK("http://141.218.60.56/~jnz1568/getInfo.php?workbook=14_09.xlsx&amp;sheet=A0&amp;row=3242&amp;col=6&amp;number=15300000&amp;sourceID=14","15300000")</f>
        <v>15300000</v>
      </c>
      <c r="G3242" s="4" t="str">
        <f>HYPERLINK("http://141.218.60.56/~jnz1568/getInfo.php?workbook=14_09.xlsx&amp;sheet=A0&amp;row=3242&amp;col=7&amp;number=0&amp;sourceID=14","0")</f>
        <v>0</v>
      </c>
    </row>
    <row r="3243" spans="1:7">
      <c r="A3243" s="3">
        <v>14</v>
      </c>
      <c r="B3243" s="3">
        <v>9</v>
      </c>
      <c r="C3243" s="3">
        <v>96</v>
      </c>
      <c r="D3243" s="3">
        <v>76</v>
      </c>
      <c r="E3243" s="3">
        <v>-2661.774</v>
      </c>
      <c r="F3243" s="4" t="str">
        <f>HYPERLINK("http://141.218.60.56/~jnz1568/getInfo.php?workbook=14_09.xlsx&amp;sheet=A0&amp;row=3243&amp;col=6&amp;number=231000&amp;sourceID=14","231000")</f>
        <v>231000</v>
      </c>
      <c r="G3243" s="4" t="str">
        <f>HYPERLINK("http://141.218.60.56/~jnz1568/getInfo.php?workbook=14_09.xlsx&amp;sheet=A0&amp;row=3243&amp;col=7&amp;number=0&amp;sourceID=14","0")</f>
        <v>0</v>
      </c>
    </row>
    <row r="3244" spans="1:7">
      <c r="A3244" s="3">
        <v>14</v>
      </c>
      <c r="B3244" s="3">
        <v>9</v>
      </c>
      <c r="C3244" s="3">
        <v>97</v>
      </c>
      <c r="D3244" s="3">
        <v>76</v>
      </c>
      <c r="E3244" s="3">
        <v>-2630.13</v>
      </c>
      <c r="F3244" s="4" t="str">
        <f>HYPERLINK("http://141.218.60.56/~jnz1568/getInfo.php?workbook=14_09.xlsx&amp;sheet=A0&amp;row=3244&amp;col=6&amp;number=4720000&amp;sourceID=14","4720000")</f>
        <v>4720000</v>
      </c>
      <c r="G3244" s="4" t="str">
        <f>HYPERLINK("http://141.218.60.56/~jnz1568/getInfo.php?workbook=14_09.xlsx&amp;sheet=A0&amp;row=3244&amp;col=7&amp;number=0&amp;sourceID=14","0")</f>
        <v>0</v>
      </c>
    </row>
    <row r="3245" spans="1:7">
      <c r="A3245" s="3">
        <v>14</v>
      </c>
      <c r="B3245" s="3">
        <v>9</v>
      </c>
      <c r="C3245" s="3">
        <v>98</v>
      </c>
      <c r="D3245" s="3">
        <v>76</v>
      </c>
      <c r="E3245" s="3">
        <v>-2574.007</v>
      </c>
      <c r="F3245" s="4" t="str">
        <f>HYPERLINK("http://141.218.60.56/~jnz1568/getInfo.php?workbook=14_09.xlsx&amp;sheet=A0&amp;row=3245&amp;col=6&amp;number=395000000&amp;sourceID=14","395000000")</f>
        <v>395000000</v>
      </c>
      <c r="G3245" s="4" t="str">
        <f>HYPERLINK("http://141.218.60.56/~jnz1568/getInfo.php?workbook=14_09.xlsx&amp;sheet=A0&amp;row=3245&amp;col=7&amp;number=0&amp;sourceID=14","0")</f>
        <v>0</v>
      </c>
    </row>
    <row r="3246" spans="1:7">
      <c r="A3246" s="3">
        <v>14</v>
      </c>
      <c r="B3246" s="3">
        <v>9</v>
      </c>
      <c r="C3246" s="3">
        <v>99</v>
      </c>
      <c r="D3246" s="3">
        <v>76</v>
      </c>
      <c r="E3246" s="3">
        <v>-2478.197</v>
      </c>
      <c r="F3246" s="4" t="str">
        <f>HYPERLINK("http://141.218.60.56/~jnz1568/getInfo.php?workbook=14_09.xlsx&amp;sheet=A0&amp;row=3246&amp;col=6&amp;number=38300000&amp;sourceID=14","38300000")</f>
        <v>38300000</v>
      </c>
      <c r="G3246" s="4" t="str">
        <f>HYPERLINK("http://141.218.60.56/~jnz1568/getInfo.php?workbook=14_09.xlsx&amp;sheet=A0&amp;row=3246&amp;col=7&amp;number=0&amp;sourceID=14","0")</f>
        <v>0</v>
      </c>
    </row>
    <row r="3247" spans="1:7">
      <c r="A3247" s="3">
        <v>14</v>
      </c>
      <c r="B3247" s="3">
        <v>9</v>
      </c>
      <c r="C3247" s="3">
        <v>100</v>
      </c>
      <c r="D3247" s="3">
        <v>76</v>
      </c>
      <c r="E3247" s="3">
        <v>-2434.575</v>
      </c>
      <c r="F3247" s="4" t="str">
        <f>HYPERLINK("http://141.218.60.56/~jnz1568/getInfo.php?workbook=14_09.xlsx&amp;sheet=A0&amp;row=3247&amp;col=6&amp;number=90800000&amp;sourceID=14","90800000")</f>
        <v>90800000</v>
      </c>
      <c r="G3247" s="4" t="str">
        <f>HYPERLINK("http://141.218.60.56/~jnz1568/getInfo.php?workbook=14_09.xlsx&amp;sheet=A0&amp;row=3247&amp;col=7&amp;number=0&amp;sourceID=14","0")</f>
        <v>0</v>
      </c>
    </row>
    <row r="3248" spans="1:7">
      <c r="A3248" s="3">
        <v>14</v>
      </c>
      <c r="B3248" s="3">
        <v>9</v>
      </c>
      <c r="C3248" s="3">
        <v>103</v>
      </c>
      <c r="D3248" s="3">
        <v>76</v>
      </c>
      <c r="E3248" s="3">
        <v>-2327.697</v>
      </c>
      <c r="F3248" s="4" t="str">
        <f>HYPERLINK("http://141.218.60.56/~jnz1568/getInfo.php?workbook=14_09.xlsx&amp;sheet=A0&amp;row=3248&amp;col=6&amp;number=48700000&amp;sourceID=14","48700000")</f>
        <v>48700000</v>
      </c>
      <c r="G3248" s="4" t="str">
        <f>HYPERLINK("http://141.218.60.56/~jnz1568/getInfo.php?workbook=14_09.xlsx&amp;sheet=A0&amp;row=3248&amp;col=7&amp;number=0&amp;sourceID=14","0")</f>
        <v>0</v>
      </c>
    </row>
    <row r="3249" spans="1:7">
      <c r="A3249" s="3">
        <v>14</v>
      </c>
      <c r="B3249" s="3">
        <v>9</v>
      </c>
      <c r="C3249" s="3">
        <v>110</v>
      </c>
      <c r="D3249" s="3">
        <v>76</v>
      </c>
      <c r="E3249" s="3">
        <v>-2250.28</v>
      </c>
      <c r="F3249" s="4" t="str">
        <f>HYPERLINK("http://141.218.60.56/~jnz1568/getInfo.php?workbook=14_09.xlsx&amp;sheet=A0&amp;row=3249&amp;col=6&amp;number=80200000&amp;sourceID=14","80200000")</f>
        <v>80200000</v>
      </c>
      <c r="G3249" s="4" t="str">
        <f>HYPERLINK("http://141.218.60.56/~jnz1568/getInfo.php?workbook=14_09.xlsx&amp;sheet=A0&amp;row=3249&amp;col=7&amp;number=0&amp;sourceID=14","0")</f>
        <v>0</v>
      </c>
    </row>
    <row r="3250" spans="1:7">
      <c r="A3250" s="3">
        <v>14</v>
      </c>
      <c r="B3250" s="3">
        <v>9</v>
      </c>
      <c r="C3250" s="3">
        <v>127</v>
      </c>
      <c r="D3250" s="3">
        <v>76</v>
      </c>
      <c r="E3250" s="3">
        <v>-1294.434</v>
      </c>
      <c r="F3250" s="4" t="str">
        <f>HYPERLINK("http://141.218.60.56/~jnz1568/getInfo.php?workbook=14_09.xlsx&amp;sheet=A0&amp;row=3250&amp;col=6&amp;number=1600000&amp;sourceID=14","1600000")</f>
        <v>1600000</v>
      </c>
      <c r="G3250" s="4" t="str">
        <f>HYPERLINK("http://141.218.60.56/~jnz1568/getInfo.php?workbook=14_09.xlsx&amp;sheet=A0&amp;row=3250&amp;col=7&amp;number=0&amp;sourceID=14","0")</f>
        <v>0</v>
      </c>
    </row>
    <row r="3251" spans="1:7">
      <c r="A3251" s="3">
        <v>14</v>
      </c>
      <c r="B3251" s="3">
        <v>9</v>
      </c>
      <c r="C3251" s="3">
        <v>132</v>
      </c>
      <c r="D3251" s="3">
        <v>76</v>
      </c>
      <c r="E3251" s="3">
        <v>-1196.003</v>
      </c>
      <c r="F3251" s="4" t="str">
        <f>HYPERLINK("http://141.218.60.56/~jnz1568/getInfo.php?workbook=14_09.xlsx&amp;sheet=A0&amp;row=3251&amp;col=6&amp;number=5370000&amp;sourceID=14","5370000")</f>
        <v>5370000</v>
      </c>
      <c r="G3251" s="4" t="str">
        <f>HYPERLINK("http://141.218.60.56/~jnz1568/getInfo.php?workbook=14_09.xlsx&amp;sheet=A0&amp;row=3251&amp;col=7&amp;number=0&amp;sourceID=14","0")</f>
        <v>0</v>
      </c>
    </row>
    <row r="3252" spans="1:7">
      <c r="A3252" s="3">
        <v>14</v>
      </c>
      <c r="B3252" s="3">
        <v>9</v>
      </c>
      <c r="C3252" s="3">
        <v>134</v>
      </c>
      <c r="D3252" s="3">
        <v>76</v>
      </c>
      <c r="E3252" s="3">
        <v>-1187.383</v>
      </c>
      <c r="F3252" s="4" t="str">
        <f>HYPERLINK("http://141.218.60.56/~jnz1568/getInfo.php?workbook=14_09.xlsx&amp;sheet=A0&amp;row=3252&amp;col=6&amp;number=3240000&amp;sourceID=14","3240000")</f>
        <v>3240000</v>
      </c>
      <c r="G3252" s="4" t="str">
        <f>HYPERLINK("http://141.218.60.56/~jnz1568/getInfo.php?workbook=14_09.xlsx&amp;sheet=A0&amp;row=3252&amp;col=7&amp;number=0&amp;sourceID=14","0")</f>
        <v>0</v>
      </c>
    </row>
    <row r="3253" spans="1:7">
      <c r="A3253" s="3">
        <v>14</v>
      </c>
      <c r="B3253" s="3">
        <v>9</v>
      </c>
      <c r="C3253" s="3">
        <v>135</v>
      </c>
      <c r="D3253" s="3">
        <v>76</v>
      </c>
      <c r="E3253" s="3">
        <v>-1185.342</v>
      </c>
      <c r="F3253" s="4" t="str">
        <f>HYPERLINK("http://141.218.60.56/~jnz1568/getInfo.php?workbook=14_09.xlsx&amp;sheet=A0&amp;row=3253&amp;col=6&amp;number=3390000&amp;sourceID=14","3390000")</f>
        <v>3390000</v>
      </c>
      <c r="G3253" s="4" t="str">
        <f>HYPERLINK("http://141.218.60.56/~jnz1568/getInfo.php?workbook=14_09.xlsx&amp;sheet=A0&amp;row=3253&amp;col=7&amp;number=0&amp;sourceID=14","0")</f>
        <v>0</v>
      </c>
    </row>
    <row r="3254" spans="1:7">
      <c r="A3254" s="3">
        <v>14</v>
      </c>
      <c r="B3254" s="3">
        <v>9</v>
      </c>
      <c r="C3254" s="3">
        <v>136</v>
      </c>
      <c r="D3254" s="3">
        <v>76</v>
      </c>
      <c r="E3254" s="3">
        <v>-1178.761</v>
      </c>
      <c r="F3254" s="4" t="str">
        <f>HYPERLINK("http://141.218.60.56/~jnz1568/getInfo.php?workbook=14_09.xlsx&amp;sheet=A0&amp;row=3254&amp;col=6&amp;number=15000000&amp;sourceID=14","15000000")</f>
        <v>15000000</v>
      </c>
      <c r="G3254" s="4" t="str">
        <f>HYPERLINK("http://141.218.60.56/~jnz1568/getInfo.php?workbook=14_09.xlsx&amp;sheet=A0&amp;row=3254&amp;col=7&amp;number=0&amp;sourceID=14","0")</f>
        <v>0</v>
      </c>
    </row>
    <row r="3255" spans="1:7">
      <c r="A3255" s="3">
        <v>14</v>
      </c>
      <c r="B3255" s="3">
        <v>9</v>
      </c>
      <c r="C3255" s="3">
        <v>137</v>
      </c>
      <c r="D3255" s="3">
        <v>76</v>
      </c>
      <c r="E3255" s="3">
        <v>-1166.659</v>
      </c>
      <c r="F3255" s="4" t="str">
        <f>HYPERLINK("http://141.218.60.56/~jnz1568/getInfo.php?workbook=14_09.xlsx&amp;sheet=A0&amp;row=3255&amp;col=6&amp;number=3060000&amp;sourceID=14","3060000")</f>
        <v>3060000</v>
      </c>
      <c r="G3255" s="4" t="str">
        <f>HYPERLINK("http://141.218.60.56/~jnz1568/getInfo.php?workbook=14_09.xlsx&amp;sheet=A0&amp;row=3255&amp;col=7&amp;number=0&amp;sourceID=14","0")</f>
        <v>0</v>
      </c>
    </row>
    <row r="3256" spans="1:7">
      <c r="A3256" s="3">
        <v>14</v>
      </c>
      <c r="B3256" s="3">
        <v>9</v>
      </c>
      <c r="C3256" s="3">
        <v>154</v>
      </c>
      <c r="D3256" s="3">
        <v>76</v>
      </c>
      <c r="E3256" s="3">
        <v>-976.526</v>
      </c>
      <c r="F3256" s="4" t="str">
        <f>HYPERLINK("http://141.218.60.56/~jnz1568/getInfo.php?workbook=14_09.xlsx&amp;sheet=A0&amp;row=3256&amp;col=6&amp;number=277000&amp;sourceID=14","277000")</f>
        <v>277000</v>
      </c>
      <c r="G3256" s="4" t="str">
        <f>HYPERLINK("http://141.218.60.56/~jnz1568/getInfo.php?workbook=14_09.xlsx&amp;sheet=A0&amp;row=3256&amp;col=7&amp;number=0&amp;sourceID=14","0")</f>
        <v>0</v>
      </c>
    </row>
    <row r="3257" spans="1:7">
      <c r="A3257" s="3">
        <v>14</v>
      </c>
      <c r="B3257" s="3">
        <v>9</v>
      </c>
      <c r="C3257" s="3">
        <v>155</v>
      </c>
      <c r="D3257" s="3">
        <v>76</v>
      </c>
      <c r="E3257" s="3">
        <v>-970.301</v>
      </c>
      <c r="F3257" s="4" t="str">
        <f>HYPERLINK("http://141.218.60.56/~jnz1568/getInfo.php?workbook=14_09.xlsx&amp;sheet=A0&amp;row=3257&amp;col=6&amp;number=1060000&amp;sourceID=14","1060000")</f>
        <v>1060000</v>
      </c>
      <c r="G3257" s="4" t="str">
        <f>HYPERLINK("http://141.218.60.56/~jnz1568/getInfo.php?workbook=14_09.xlsx&amp;sheet=A0&amp;row=3257&amp;col=7&amp;number=0&amp;sourceID=14","0")</f>
        <v>0</v>
      </c>
    </row>
    <row r="3258" spans="1:7">
      <c r="A3258" s="3">
        <v>14</v>
      </c>
      <c r="B3258" s="3">
        <v>9</v>
      </c>
      <c r="C3258" s="3">
        <v>156</v>
      </c>
      <c r="D3258" s="3">
        <v>76</v>
      </c>
      <c r="E3258" s="3">
        <v>-961.688</v>
      </c>
      <c r="F3258" s="4" t="str">
        <f>HYPERLINK("http://141.218.60.56/~jnz1568/getInfo.php?workbook=14_09.xlsx&amp;sheet=A0&amp;row=3258&amp;col=6&amp;number=14400000&amp;sourceID=14","14400000")</f>
        <v>14400000</v>
      </c>
      <c r="G3258" s="4" t="str">
        <f>HYPERLINK("http://141.218.60.56/~jnz1568/getInfo.php?workbook=14_09.xlsx&amp;sheet=A0&amp;row=3258&amp;col=7&amp;number=0&amp;sourceID=14","0")</f>
        <v>0</v>
      </c>
    </row>
    <row r="3259" spans="1:7">
      <c r="A3259" s="3">
        <v>14</v>
      </c>
      <c r="B3259" s="3">
        <v>9</v>
      </c>
      <c r="C3259" s="3">
        <v>157</v>
      </c>
      <c r="D3259" s="3">
        <v>76</v>
      </c>
      <c r="E3259" s="3">
        <v>-938.599</v>
      </c>
      <c r="F3259" s="4" t="str">
        <f>HYPERLINK("http://141.218.60.56/~jnz1568/getInfo.php?workbook=14_09.xlsx&amp;sheet=A0&amp;row=3259&amp;col=6&amp;number=2090000&amp;sourceID=14","2090000")</f>
        <v>2090000</v>
      </c>
      <c r="G3259" s="4" t="str">
        <f>HYPERLINK("http://141.218.60.56/~jnz1568/getInfo.php?workbook=14_09.xlsx&amp;sheet=A0&amp;row=3259&amp;col=7&amp;number=0&amp;sourceID=14","0")</f>
        <v>0</v>
      </c>
    </row>
    <row r="3260" spans="1:7">
      <c r="A3260" s="3">
        <v>14</v>
      </c>
      <c r="B3260" s="3">
        <v>9</v>
      </c>
      <c r="C3260" s="3">
        <v>162</v>
      </c>
      <c r="D3260" s="3">
        <v>76</v>
      </c>
      <c r="E3260" s="3">
        <v>-660.124</v>
      </c>
      <c r="F3260" s="4" t="str">
        <f>HYPERLINK("http://141.218.60.56/~jnz1568/getInfo.php?workbook=14_09.xlsx&amp;sheet=A0&amp;row=3260&amp;col=6&amp;number=657000&amp;sourceID=14","657000")</f>
        <v>657000</v>
      </c>
      <c r="G3260" s="4" t="str">
        <f>HYPERLINK("http://141.218.60.56/~jnz1568/getInfo.php?workbook=14_09.xlsx&amp;sheet=A0&amp;row=3260&amp;col=7&amp;number=0&amp;sourceID=14","0")</f>
        <v>0</v>
      </c>
    </row>
    <row r="3261" spans="1:7">
      <c r="A3261" s="3">
        <v>14</v>
      </c>
      <c r="B3261" s="3">
        <v>9</v>
      </c>
      <c r="C3261" s="3">
        <v>163</v>
      </c>
      <c r="D3261" s="3">
        <v>76</v>
      </c>
      <c r="E3261" s="3">
        <v>-659.553</v>
      </c>
      <c r="F3261" s="4" t="str">
        <f>HYPERLINK("http://141.218.60.56/~jnz1568/getInfo.php?workbook=14_09.xlsx&amp;sheet=A0&amp;row=3261&amp;col=6&amp;number=2630000&amp;sourceID=14","2630000")</f>
        <v>2630000</v>
      </c>
      <c r="G3261" s="4" t="str">
        <f>HYPERLINK("http://141.218.60.56/~jnz1568/getInfo.php?workbook=14_09.xlsx&amp;sheet=A0&amp;row=3261&amp;col=7&amp;number=0&amp;sourceID=14","0")</f>
        <v>0</v>
      </c>
    </row>
    <row r="3262" spans="1:7">
      <c r="A3262" s="3">
        <v>14</v>
      </c>
      <c r="B3262" s="3">
        <v>9</v>
      </c>
      <c r="C3262" s="3">
        <v>185</v>
      </c>
      <c r="D3262" s="3">
        <v>76</v>
      </c>
      <c r="E3262" s="3">
        <v>-401.023</v>
      </c>
      <c r="F3262" s="4" t="str">
        <f>HYPERLINK("http://141.218.60.56/~jnz1568/getInfo.php?workbook=14_09.xlsx&amp;sheet=A0&amp;row=3262&amp;col=6&amp;number=1170000&amp;sourceID=14","1170000")</f>
        <v>1170000</v>
      </c>
      <c r="G3262" s="4" t="str">
        <f>HYPERLINK("http://141.218.60.56/~jnz1568/getInfo.php?workbook=14_09.xlsx&amp;sheet=A0&amp;row=3262&amp;col=7&amp;number=0&amp;sourceID=14","0")</f>
        <v>0</v>
      </c>
    </row>
    <row r="3263" spans="1:7">
      <c r="A3263" s="3">
        <v>14</v>
      </c>
      <c r="B3263" s="3">
        <v>9</v>
      </c>
      <c r="C3263" s="3">
        <v>186</v>
      </c>
      <c r="D3263" s="3">
        <v>76</v>
      </c>
      <c r="E3263" s="3">
        <v>-400.004</v>
      </c>
      <c r="F3263" s="4" t="str">
        <f>HYPERLINK("http://141.218.60.56/~jnz1568/getInfo.php?workbook=14_09.xlsx&amp;sheet=A0&amp;row=3263&amp;col=6&amp;number=1400000&amp;sourceID=14","1400000")</f>
        <v>1400000</v>
      </c>
      <c r="G3263" s="4" t="str">
        <f>HYPERLINK("http://141.218.60.56/~jnz1568/getInfo.php?workbook=14_09.xlsx&amp;sheet=A0&amp;row=3263&amp;col=7&amp;number=0&amp;sourceID=14","0")</f>
        <v>0</v>
      </c>
    </row>
    <row r="3264" spans="1:7">
      <c r="A3264" s="3">
        <v>14</v>
      </c>
      <c r="B3264" s="3">
        <v>9</v>
      </c>
      <c r="C3264" s="3">
        <v>187</v>
      </c>
      <c r="D3264" s="3">
        <v>76</v>
      </c>
      <c r="E3264" s="3">
        <v>-392.311</v>
      </c>
      <c r="F3264" s="4" t="str">
        <f>HYPERLINK("http://141.218.60.56/~jnz1568/getInfo.php?workbook=14_09.xlsx&amp;sheet=A0&amp;row=3264&amp;col=6&amp;number=15100000&amp;sourceID=14","15100000")</f>
        <v>15100000</v>
      </c>
      <c r="G3264" s="4" t="str">
        <f>HYPERLINK("http://141.218.60.56/~jnz1568/getInfo.php?workbook=14_09.xlsx&amp;sheet=A0&amp;row=3264&amp;col=7&amp;number=0&amp;sourceID=14","0")</f>
        <v>0</v>
      </c>
    </row>
    <row r="3265" spans="1:7">
      <c r="A3265" s="3">
        <v>14</v>
      </c>
      <c r="B3265" s="3">
        <v>9</v>
      </c>
      <c r="C3265" s="3">
        <v>189</v>
      </c>
      <c r="D3265" s="3">
        <v>76</v>
      </c>
      <c r="E3265" s="3">
        <v>-372.229</v>
      </c>
      <c r="F3265" s="4" t="str">
        <f>HYPERLINK("http://141.218.60.56/~jnz1568/getInfo.php?workbook=14_09.xlsx&amp;sheet=A0&amp;row=3265&amp;col=6&amp;number=2010000&amp;sourceID=14","2010000")</f>
        <v>2010000</v>
      </c>
      <c r="G3265" s="4" t="str">
        <f>HYPERLINK("http://141.218.60.56/~jnz1568/getInfo.php?workbook=14_09.xlsx&amp;sheet=A0&amp;row=3265&amp;col=7&amp;number=0&amp;sourceID=14","0")</f>
        <v>0</v>
      </c>
    </row>
    <row r="3266" spans="1:7">
      <c r="A3266" s="3">
        <v>14</v>
      </c>
      <c r="B3266" s="3">
        <v>9</v>
      </c>
      <c r="C3266" s="3">
        <v>87</v>
      </c>
      <c r="D3266" s="3">
        <v>77</v>
      </c>
      <c r="E3266" s="3">
        <v>-4232.812</v>
      </c>
      <c r="F3266" s="4" t="str">
        <f>HYPERLINK("http://141.218.60.56/~jnz1568/getInfo.php?workbook=14_09.xlsx&amp;sheet=A0&amp;row=3266&amp;col=6&amp;number=167000&amp;sourceID=14","167000")</f>
        <v>167000</v>
      </c>
      <c r="G3266" s="4" t="str">
        <f>HYPERLINK("http://141.218.60.56/~jnz1568/getInfo.php?workbook=14_09.xlsx&amp;sheet=A0&amp;row=3266&amp;col=7&amp;number=0&amp;sourceID=14","0")</f>
        <v>0</v>
      </c>
    </row>
    <row r="3267" spans="1:7">
      <c r="A3267" s="3">
        <v>14</v>
      </c>
      <c r="B3267" s="3">
        <v>9</v>
      </c>
      <c r="C3267" s="3">
        <v>88</v>
      </c>
      <c r="D3267" s="3">
        <v>77</v>
      </c>
      <c r="E3267" s="3">
        <v>-4128.145</v>
      </c>
      <c r="F3267" s="4" t="str">
        <f>HYPERLINK("http://141.218.60.56/~jnz1568/getInfo.php?workbook=14_09.xlsx&amp;sheet=A0&amp;row=3267&amp;col=6&amp;number=279000&amp;sourceID=14","279000")</f>
        <v>279000</v>
      </c>
      <c r="G3267" s="4" t="str">
        <f>HYPERLINK("http://141.218.60.56/~jnz1568/getInfo.php?workbook=14_09.xlsx&amp;sheet=A0&amp;row=3267&amp;col=7&amp;number=0&amp;sourceID=14","0")</f>
        <v>0</v>
      </c>
    </row>
    <row r="3268" spans="1:7">
      <c r="A3268" s="3">
        <v>14</v>
      </c>
      <c r="B3268" s="3">
        <v>9</v>
      </c>
      <c r="C3268" s="3">
        <v>89</v>
      </c>
      <c r="D3268" s="3">
        <v>77</v>
      </c>
      <c r="E3268" s="3">
        <v>-4007.06</v>
      </c>
      <c r="F3268" s="4" t="str">
        <f>HYPERLINK("http://141.218.60.56/~jnz1568/getInfo.php?workbook=14_09.xlsx&amp;sheet=A0&amp;row=3268&amp;col=6&amp;number=185000&amp;sourceID=14","185000")</f>
        <v>185000</v>
      </c>
      <c r="G3268" s="4" t="str">
        <f>HYPERLINK("http://141.218.60.56/~jnz1568/getInfo.php?workbook=14_09.xlsx&amp;sheet=A0&amp;row=3268&amp;col=7&amp;number=0&amp;sourceID=14","0")</f>
        <v>0</v>
      </c>
    </row>
    <row r="3269" spans="1:7">
      <c r="A3269" s="3">
        <v>14</v>
      </c>
      <c r="B3269" s="3">
        <v>9</v>
      </c>
      <c r="C3269" s="3">
        <v>93</v>
      </c>
      <c r="D3269" s="3">
        <v>77</v>
      </c>
      <c r="E3269" s="3">
        <v>-3459.975</v>
      </c>
      <c r="F3269" s="4" t="str">
        <f>HYPERLINK("http://141.218.60.56/~jnz1568/getInfo.php?workbook=14_09.xlsx&amp;sheet=A0&amp;row=3269&amp;col=6&amp;number=1320000&amp;sourceID=14","1320000")</f>
        <v>1320000</v>
      </c>
      <c r="G3269" s="4" t="str">
        <f>HYPERLINK("http://141.218.60.56/~jnz1568/getInfo.php?workbook=14_09.xlsx&amp;sheet=A0&amp;row=3269&amp;col=7&amp;number=0&amp;sourceID=14","0")</f>
        <v>0</v>
      </c>
    </row>
    <row r="3270" spans="1:7">
      <c r="A3270" s="3">
        <v>14</v>
      </c>
      <c r="B3270" s="3">
        <v>9</v>
      </c>
      <c r="C3270" s="3">
        <v>94</v>
      </c>
      <c r="D3270" s="3">
        <v>77</v>
      </c>
      <c r="E3270" s="3">
        <v>-3433.718</v>
      </c>
      <c r="F3270" s="4" t="str">
        <f>HYPERLINK("http://141.218.60.56/~jnz1568/getInfo.php?workbook=14_09.xlsx&amp;sheet=A0&amp;row=3270&amp;col=6&amp;number=1210000&amp;sourceID=14","1210000")</f>
        <v>1210000</v>
      </c>
      <c r="G3270" s="4" t="str">
        <f>HYPERLINK("http://141.218.60.56/~jnz1568/getInfo.php?workbook=14_09.xlsx&amp;sheet=A0&amp;row=3270&amp;col=7&amp;number=0&amp;sourceID=14","0")</f>
        <v>0</v>
      </c>
    </row>
    <row r="3271" spans="1:7">
      <c r="A3271" s="3">
        <v>14</v>
      </c>
      <c r="B3271" s="3">
        <v>9</v>
      </c>
      <c r="C3271" s="3">
        <v>97</v>
      </c>
      <c r="D3271" s="3">
        <v>77</v>
      </c>
      <c r="E3271" s="3">
        <v>-3235.205</v>
      </c>
      <c r="F3271" s="4" t="str">
        <f>HYPERLINK("http://141.218.60.56/~jnz1568/getInfo.php?workbook=14_09.xlsx&amp;sheet=A0&amp;row=3271&amp;col=6&amp;number=3800000&amp;sourceID=14","3800000")</f>
        <v>3800000</v>
      </c>
      <c r="G3271" s="4" t="str">
        <f>HYPERLINK("http://141.218.60.56/~jnz1568/getInfo.php?workbook=14_09.xlsx&amp;sheet=A0&amp;row=3271&amp;col=7&amp;number=0&amp;sourceID=14","0")</f>
        <v>0</v>
      </c>
    </row>
    <row r="3272" spans="1:7">
      <c r="A3272" s="3">
        <v>14</v>
      </c>
      <c r="B3272" s="3">
        <v>9</v>
      </c>
      <c r="C3272" s="3">
        <v>98</v>
      </c>
      <c r="D3272" s="3">
        <v>77</v>
      </c>
      <c r="E3272" s="3">
        <v>-3150.704</v>
      </c>
      <c r="F3272" s="4" t="str">
        <f>HYPERLINK("http://141.218.60.56/~jnz1568/getInfo.php?workbook=14_09.xlsx&amp;sheet=A0&amp;row=3272&amp;col=6&amp;number=3100000&amp;sourceID=14","3100000")</f>
        <v>3100000</v>
      </c>
      <c r="G3272" s="4" t="str">
        <f>HYPERLINK("http://141.218.60.56/~jnz1568/getInfo.php?workbook=14_09.xlsx&amp;sheet=A0&amp;row=3272&amp;col=7&amp;number=0&amp;sourceID=14","0")</f>
        <v>0</v>
      </c>
    </row>
    <row r="3273" spans="1:7">
      <c r="A3273" s="3">
        <v>14</v>
      </c>
      <c r="B3273" s="3">
        <v>9</v>
      </c>
      <c r="C3273" s="3">
        <v>99</v>
      </c>
      <c r="D3273" s="3">
        <v>77</v>
      </c>
      <c r="E3273" s="3">
        <v>-3008.339</v>
      </c>
      <c r="F3273" s="4" t="str">
        <f>HYPERLINK("http://141.218.60.56/~jnz1568/getInfo.php?workbook=14_09.xlsx&amp;sheet=A0&amp;row=3273&amp;col=6&amp;number=28000000&amp;sourceID=14","28000000")</f>
        <v>28000000</v>
      </c>
      <c r="G3273" s="4" t="str">
        <f>HYPERLINK("http://141.218.60.56/~jnz1568/getInfo.php?workbook=14_09.xlsx&amp;sheet=A0&amp;row=3273&amp;col=7&amp;number=0&amp;sourceID=14","0")</f>
        <v>0</v>
      </c>
    </row>
    <row r="3274" spans="1:7">
      <c r="A3274" s="3">
        <v>14</v>
      </c>
      <c r="B3274" s="3">
        <v>9</v>
      </c>
      <c r="C3274" s="3">
        <v>100</v>
      </c>
      <c r="D3274" s="3">
        <v>77</v>
      </c>
      <c r="E3274" s="3">
        <v>-2944.299</v>
      </c>
      <c r="F3274" s="4" t="str">
        <f>HYPERLINK("http://141.218.60.56/~jnz1568/getInfo.php?workbook=14_09.xlsx&amp;sheet=A0&amp;row=3274&amp;col=6&amp;number=103000000&amp;sourceID=14","103000000")</f>
        <v>103000000</v>
      </c>
      <c r="G3274" s="4" t="str">
        <f>HYPERLINK("http://141.218.60.56/~jnz1568/getInfo.php?workbook=14_09.xlsx&amp;sheet=A0&amp;row=3274&amp;col=7&amp;number=0&amp;sourceID=14","0")</f>
        <v>0</v>
      </c>
    </row>
    <row r="3275" spans="1:7">
      <c r="A3275" s="3">
        <v>14</v>
      </c>
      <c r="B3275" s="3">
        <v>9</v>
      </c>
      <c r="C3275" s="3">
        <v>103</v>
      </c>
      <c r="D3275" s="3">
        <v>77</v>
      </c>
      <c r="E3275" s="3">
        <v>-2789.405</v>
      </c>
      <c r="F3275" s="4" t="str">
        <f>HYPERLINK("http://141.218.60.56/~jnz1568/getInfo.php?workbook=14_09.xlsx&amp;sheet=A0&amp;row=3275&amp;col=6&amp;number=259000000&amp;sourceID=14","259000000")</f>
        <v>259000000</v>
      </c>
      <c r="G3275" s="4" t="str">
        <f>HYPERLINK("http://141.218.60.56/~jnz1568/getInfo.php?workbook=14_09.xlsx&amp;sheet=A0&amp;row=3275&amp;col=7&amp;number=0&amp;sourceID=14","0")</f>
        <v>0</v>
      </c>
    </row>
    <row r="3276" spans="1:7">
      <c r="A3276" s="3">
        <v>14</v>
      </c>
      <c r="B3276" s="3">
        <v>9</v>
      </c>
      <c r="C3276" s="3">
        <v>110</v>
      </c>
      <c r="D3276" s="3">
        <v>77</v>
      </c>
      <c r="E3276" s="3">
        <v>-2678.959</v>
      </c>
      <c r="F3276" s="4" t="str">
        <f>HYPERLINK("http://141.218.60.56/~jnz1568/getInfo.php?workbook=14_09.xlsx&amp;sheet=A0&amp;row=3276&amp;col=6&amp;number=18400000&amp;sourceID=14","18400000")</f>
        <v>18400000</v>
      </c>
      <c r="G3276" s="4" t="str">
        <f>HYPERLINK("http://141.218.60.56/~jnz1568/getInfo.php?workbook=14_09.xlsx&amp;sheet=A0&amp;row=3276&amp;col=7&amp;number=0&amp;sourceID=14","0")</f>
        <v>0</v>
      </c>
    </row>
    <row r="3277" spans="1:7">
      <c r="A3277" s="3">
        <v>14</v>
      </c>
      <c r="B3277" s="3">
        <v>9</v>
      </c>
      <c r="C3277" s="3">
        <v>127</v>
      </c>
      <c r="D3277" s="3">
        <v>77</v>
      </c>
      <c r="E3277" s="3">
        <v>-1425.662</v>
      </c>
      <c r="F3277" s="4" t="str">
        <f>HYPERLINK("http://141.218.60.56/~jnz1568/getInfo.php?workbook=14_09.xlsx&amp;sheet=A0&amp;row=3277&amp;col=6&amp;number=83200000&amp;sourceID=14","83200000")</f>
        <v>83200000</v>
      </c>
      <c r="G3277" s="4" t="str">
        <f>HYPERLINK("http://141.218.60.56/~jnz1568/getInfo.php?workbook=14_09.xlsx&amp;sheet=A0&amp;row=3277&amp;col=7&amp;number=0&amp;sourceID=14","0")</f>
        <v>0</v>
      </c>
    </row>
    <row r="3278" spans="1:7">
      <c r="A3278" s="3">
        <v>14</v>
      </c>
      <c r="B3278" s="3">
        <v>9</v>
      </c>
      <c r="C3278" s="3">
        <v>128</v>
      </c>
      <c r="D3278" s="3">
        <v>77</v>
      </c>
      <c r="E3278" s="3">
        <v>-1407.403</v>
      </c>
      <c r="F3278" s="4" t="str">
        <f>HYPERLINK("http://141.218.60.56/~jnz1568/getInfo.php?workbook=14_09.xlsx&amp;sheet=A0&amp;row=3278&amp;col=6&amp;number=2030000&amp;sourceID=14","2030000")</f>
        <v>2030000</v>
      </c>
      <c r="G3278" s="4" t="str">
        <f>HYPERLINK("http://141.218.60.56/~jnz1568/getInfo.php?workbook=14_09.xlsx&amp;sheet=A0&amp;row=3278&amp;col=7&amp;number=0&amp;sourceID=14","0")</f>
        <v>0</v>
      </c>
    </row>
    <row r="3279" spans="1:7">
      <c r="A3279" s="3">
        <v>14</v>
      </c>
      <c r="B3279" s="3">
        <v>9</v>
      </c>
      <c r="C3279" s="3">
        <v>131</v>
      </c>
      <c r="D3279" s="3">
        <v>77</v>
      </c>
      <c r="E3279" s="3">
        <v>-1307.859</v>
      </c>
      <c r="F3279" s="4" t="str">
        <f>HYPERLINK("http://141.218.60.56/~jnz1568/getInfo.php?workbook=14_09.xlsx&amp;sheet=A0&amp;row=3279&amp;col=6&amp;number=388000&amp;sourceID=14","388000")</f>
        <v>388000</v>
      </c>
      <c r="G3279" s="4" t="str">
        <f>HYPERLINK("http://141.218.60.56/~jnz1568/getInfo.php?workbook=14_09.xlsx&amp;sheet=A0&amp;row=3279&amp;col=7&amp;number=0&amp;sourceID=14","0")</f>
        <v>0</v>
      </c>
    </row>
    <row r="3280" spans="1:7">
      <c r="A3280" s="3">
        <v>14</v>
      </c>
      <c r="B3280" s="3">
        <v>9</v>
      </c>
      <c r="C3280" s="3">
        <v>132</v>
      </c>
      <c r="D3280" s="3">
        <v>77</v>
      </c>
      <c r="E3280" s="3">
        <v>-1307.175</v>
      </c>
      <c r="F3280" s="4" t="str">
        <f>HYPERLINK("http://141.218.60.56/~jnz1568/getInfo.php?workbook=14_09.xlsx&amp;sheet=A0&amp;row=3280&amp;col=6&amp;number=87300000&amp;sourceID=14","87300000")</f>
        <v>87300000</v>
      </c>
      <c r="G3280" s="4" t="str">
        <f>HYPERLINK("http://141.218.60.56/~jnz1568/getInfo.php?workbook=14_09.xlsx&amp;sheet=A0&amp;row=3280&amp;col=7&amp;number=0&amp;sourceID=14","0")</f>
        <v>0</v>
      </c>
    </row>
    <row r="3281" spans="1:7">
      <c r="A3281" s="3">
        <v>14</v>
      </c>
      <c r="B3281" s="3">
        <v>9</v>
      </c>
      <c r="C3281" s="3">
        <v>134</v>
      </c>
      <c r="D3281" s="3">
        <v>77</v>
      </c>
      <c r="E3281" s="3">
        <v>-1296.885</v>
      </c>
      <c r="F3281" s="4" t="str">
        <f>HYPERLINK("http://141.218.60.56/~jnz1568/getInfo.php?workbook=14_09.xlsx&amp;sheet=A0&amp;row=3281&amp;col=6&amp;number=68300000&amp;sourceID=14","68300000")</f>
        <v>68300000</v>
      </c>
      <c r="G3281" s="4" t="str">
        <f>HYPERLINK("http://141.218.60.56/~jnz1568/getInfo.php?workbook=14_09.xlsx&amp;sheet=A0&amp;row=3281&amp;col=7&amp;number=0&amp;sourceID=14","0")</f>
        <v>0</v>
      </c>
    </row>
    <row r="3282" spans="1:7">
      <c r="A3282" s="3">
        <v>14</v>
      </c>
      <c r="B3282" s="3">
        <v>9</v>
      </c>
      <c r="C3282" s="3">
        <v>135</v>
      </c>
      <c r="D3282" s="3">
        <v>77</v>
      </c>
      <c r="E3282" s="3">
        <v>-1294.45</v>
      </c>
      <c r="F3282" s="4" t="str">
        <f>HYPERLINK("http://141.218.60.56/~jnz1568/getInfo.php?workbook=14_09.xlsx&amp;sheet=A0&amp;row=3282&amp;col=6&amp;number=24800000&amp;sourceID=14","24800000")</f>
        <v>24800000</v>
      </c>
      <c r="G3282" s="4" t="str">
        <f>HYPERLINK("http://141.218.60.56/~jnz1568/getInfo.php?workbook=14_09.xlsx&amp;sheet=A0&amp;row=3282&amp;col=7&amp;number=0&amp;sourceID=14","0")</f>
        <v>0</v>
      </c>
    </row>
    <row r="3283" spans="1:7">
      <c r="A3283" s="3">
        <v>14</v>
      </c>
      <c r="B3283" s="3">
        <v>9</v>
      </c>
      <c r="C3283" s="3">
        <v>136</v>
      </c>
      <c r="D3283" s="3">
        <v>77</v>
      </c>
      <c r="E3283" s="3">
        <v>-1286.606</v>
      </c>
      <c r="F3283" s="4" t="str">
        <f>HYPERLINK("http://141.218.60.56/~jnz1568/getInfo.php?workbook=14_09.xlsx&amp;sheet=A0&amp;row=3283&amp;col=6&amp;number=12000000&amp;sourceID=14","12000000")</f>
        <v>12000000</v>
      </c>
      <c r="G3283" s="4" t="str">
        <f>HYPERLINK("http://141.218.60.56/~jnz1568/getInfo.php?workbook=14_09.xlsx&amp;sheet=A0&amp;row=3283&amp;col=7&amp;number=0&amp;sourceID=14","0")</f>
        <v>0</v>
      </c>
    </row>
    <row r="3284" spans="1:7">
      <c r="A3284" s="3">
        <v>14</v>
      </c>
      <c r="B3284" s="3">
        <v>9</v>
      </c>
      <c r="C3284" s="3">
        <v>137</v>
      </c>
      <c r="D3284" s="3">
        <v>77</v>
      </c>
      <c r="E3284" s="3">
        <v>-1272.202</v>
      </c>
      <c r="F3284" s="4" t="str">
        <f>HYPERLINK("http://141.218.60.56/~jnz1568/getInfo.php?workbook=14_09.xlsx&amp;sheet=A0&amp;row=3284&amp;col=6&amp;number=83900000&amp;sourceID=14","83900000")</f>
        <v>83900000</v>
      </c>
      <c r="G3284" s="4" t="str">
        <f>HYPERLINK("http://141.218.60.56/~jnz1568/getInfo.php?workbook=14_09.xlsx&amp;sheet=A0&amp;row=3284&amp;col=7&amp;number=0&amp;sourceID=14","0")</f>
        <v>0</v>
      </c>
    </row>
    <row r="3285" spans="1:7">
      <c r="A3285" s="3">
        <v>14</v>
      </c>
      <c r="B3285" s="3">
        <v>9</v>
      </c>
      <c r="C3285" s="3">
        <v>145</v>
      </c>
      <c r="D3285" s="3">
        <v>77</v>
      </c>
      <c r="E3285" s="3">
        <v>-1181.519</v>
      </c>
      <c r="F3285" s="4" t="str">
        <f>HYPERLINK("http://141.218.60.56/~jnz1568/getInfo.php?workbook=14_09.xlsx&amp;sheet=A0&amp;row=3285&amp;col=6&amp;number=13400000&amp;sourceID=14","13400000")</f>
        <v>13400000</v>
      </c>
      <c r="G3285" s="4" t="str">
        <f>HYPERLINK("http://141.218.60.56/~jnz1568/getInfo.php?workbook=14_09.xlsx&amp;sheet=A0&amp;row=3285&amp;col=7&amp;number=0&amp;sourceID=14","0")</f>
        <v>0</v>
      </c>
    </row>
    <row r="3286" spans="1:7">
      <c r="A3286" s="3">
        <v>14</v>
      </c>
      <c r="B3286" s="3">
        <v>9</v>
      </c>
      <c r="C3286" s="3">
        <v>148</v>
      </c>
      <c r="D3286" s="3">
        <v>77</v>
      </c>
      <c r="E3286" s="3">
        <v>-1161.793</v>
      </c>
      <c r="F3286" s="4" t="str">
        <f>HYPERLINK("http://141.218.60.56/~jnz1568/getInfo.php?workbook=14_09.xlsx&amp;sheet=A0&amp;row=3286&amp;col=6&amp;number=10500000&amp;sourceID=14","10500000")</f>
        <v>10500000</v>
      </c>
      <c r="G3286" s="4" t="str">
        <f>HYPERLINK("http://141.218.60.56/~jnz1568/getInfo.php?workbook=14_09.xlsx&amp;sheet=A0&amp;row=3286&amp;col=7&amp;number=0&amp;sourceID=14","0")</f>
        <v>0</v>
      </c>
    </row>
    <row r="3287" spans="1:7">
      <c r="A3287" s="3">
        <v>14</v>
      </c>
      <c r="B3287" s="3">
        <v>9</v>
      </c>
      <c r="C3287" s="3">
        <v>151</v>
      </c>
      <c r="D3287" s="3">
        <v>77</v>
      </c>
      <c r="E3287" s="3">
        <v>-1147.541</v>
      </c>
      <c r="F3287" s="4" t="str">
        <f>HYPERLINK("http://141.218.60.56/~jnz1568/getInfo.php?workbook=14_09.xlsx&amp;sheet=A0&amp;row=3287&amp;col=6&amp;number=3460000&amp;sourceID=14","3460000")</f>
        <v>3460000</v>
      </c>
      <c r="G3287" s="4" t="str">
        <f>HYPERLINK("http://141.218.60.56/~jnz1568/getInfo.php?workbook=14_09.xlsx&amp;sheet=A0&amp;row=3287&amp;col=7&amp;number=0&amp;sourceID=14","0")</f>
        <v>0</v>
      </c>
    </row>
    <row r="3288" spans="1:7">
      <c r="A3288" s="3">
        <v>14</v>
      </c>
      <c r="B3288" s="3">
        <v>9</v>
      </c>
      <c r="C3288" s="3">
        <v>152</v>
      </c>
      <c r="D3288" s="3">
        <v>77</v>
      </c>
      <c r="E3288" s="3">
        <v>-1069.292</v>
      </c>
      <c r="F3288" s="4" t="str">
        <f>HYPERLINK("http://141.218.60.56/~jnz1568/getInfo.php?workbook=14_09.xlsx&amp;sheet=A0&amp;row=3288&amp;col=6&amp;number=67000000&amp;sourceID=14","67000000")</f>
        <v>67000000</v>
      </c>
      <c r="G3288" s="4" t="str">
        <f>HYPERLINK("http://141.218.60.56/~jnz1568/getInfo.php?workbook=14_09.xlsx&amp;sheet=A0&amp;row=3288&amp;col=7&amp;number=0&amp;sourceID=14","0")</f>
        <v>0</v>
      </c>
    </row>
    <row r="3289" spans="1:7">
      <c r="A3289" s="3">
        <v>14</v>
      </c>
      <c r="B3289" s="3">
        <v>9</v>
      </c>
      <c r="C3289" s="3">
        <v>153</v>
      </c>
      <c r="D3289" s="3">
        <v>77</v>
      </c>
      <c r="E3289" s="3">
        <v>-1049.65</v>
      </c>
      <c r="F3289" s="4" t="str">
        <f>HYPERLINK("http://141.218.60.56/~jnz1568/getInfo.php?workbook=14_09.xlsx&amp;sheet=A0&amp;row=3289&amp;col=6&amp;number=61700000&amp;sourceID=14","61700000")</f>
        <v>61700000</v>
      </c>
      <c r="G3289" s="4" t="str">
        <f>HYPERLINK("http://141.218.60.56/~jnz1568/getInfo.php?workbook=14_09.xlsx&amp;sheet=A0&amp;row=3289&amp;col=7&amp;number=0&amp;sourceID=14","0")</f>
        <v>0</v>
      </c>
    </row>
    <row r="3290" spans="1:7">
      <c r="A3290" s="3">
        <v>14</v>
      </c>
      <c r="B3290" s="3">
        <v>9</v>
      </c>
      <c r="C3290" s="3">
        <v>154</v>
      </c>
      <c r="D3290" s="3">
        <v>77</v>
      </c>
      <c r="E3290" s="3">
        <v>-1049.397</v>
      </c>
      <c r="F3290" s="4" t="str">
        <f>HYPERLINK("http://141.218.60.56/~jnz1568/getInfo.php?workbook=14_09.xlsx&amp;sheet=A0&amp;row=3290&amp;col=6&amp;number=9880000&amp;sourceID=14","9880000")</f>
        <v>9880000</v>
      </c>
      <c r="G3290" s="4" t="str">
        <f>HYPERLINK("http://141.218.60.56/~jnz1568/getInfo.php?workbook=14_09.xlsx&amp;sheet=A0&amp;row=3290&amp;col=7&amp;number=0&amp;sourceID=14","0")</f>
        <v>0</v>
      </c>
    </row>
    <row r="3291" spans="1:7">
      <c r="A3291" s="3">
        <v>14</v>
      </c>
      <c r="B3291" s="3">
        <v>9</v>
      </c>
      <c r="C3291" s="3">
        <v>155</v>
      </c>
      <c r="D3291" s="3">
        <v>77</v>
      </c>
      <c r="E3291" s="3">
        <v>-1042.211</v>
      </c>
      <c r="F3291" s="4" t="str">
        <f>HYPERLINK("http://141.218.60.56/~jnz1568/getInfo.php?workbook=14_09.xlsx&amp;sheet=A0&amp;row=3291&amp;col=6&amp;number=15800000&amp;sourceID=14","15800000")</f>
        <v>15800000</v>
      </c>
      <c r="G3291" s="4" t="str">
        <f>HYPERLINK("http://141.218.60.56/~jnz1568/getInfo.php?workbook=14_09.xlsx&amp;sheet=A0&amp;row=3291&amp;col=7&amp;number=0&amp;sourceID=14","0")</f>
        <v>0</v>
      </c>
    </row>
    <row r="3292" spans="1:7">
      <c r="A3292" s="3">
        <v>14</v>
      </c>
      <c r="B3292" s="3">
        <v>9</v>
      </c>
      <c r="C3292" s="3">
        <v>156</v>
      </c>
      <c r="D3292" s="3">
        <v>77</v>
      </c>
      <c r="E3292" s="3">
        <v>-1032.281</v>
      </c>
      <c r="F3292" s="4" t="str">
        <f>HYPERLINK("http://141.218.60.56/~jnz1568/getInfo.php?workbook=14_09.xlsx&amp;sheet=A0&amp;row=3292&amp;col=6&amp;number=58800000&amp;sourceID=14","58800000")</f>
        <v>58800000</v>
      </c>
      <c r="G3292" s="4" t="str">
        <f>HYPERLINK("http://141.218.60.56/~jnz1568/getInfo.php?workbook=14_09.xlsx&amp;sheet=A0&amp;row=3292&amp;col=7&amp;number=0&amp;sourceID=14","0")</f>
        <v>0</v>
      </c>
    </row>
    <row r="3293" spans="1:7">
      <c r="A3293" s="3">
        <v>14</v>
      </c>
      <c r="B3293" s="3">
        <v>9</v>
      </c>
      <c r="C3293" s="3">
        <v>157</v>
      </c>
      <c r="D3293" s="3">
        <v>77</v>
      </c>
      <c r="E3293" s="3">
        <v>-1005.724</v>
      </c>
      <c r="F3293" s="4" t="str">
        <f>HYPERLINK("http://141.218.60.56/~jnz1568/getInfo.php?workbook=14_09.xlsx&amp;sheet=A0&amp;row=3293&amp;col=6&amp;number=12200000&amp;sourceID=14","12200000")</f>
        <v>12200000</v>
      </c>
      <c r="G3293" s="4" t="str">
        <f>HYPERLINK("http://141.218.60.56/~jnz1568/getInfo.php?workbook=14_09.xlsx&amp;sheet=A0&amp;row=3293&amp;col=7&amp;number=0&amp;sourceID=14","0")</f>
        <v>0</v>
      </c>
    </row>
    <row r="3294" spans="1:7">
      <c r="A3294" s="3">
        <v>14</v>
      </c>
      <c r="B3294" s="3">
        <v>9</v>
      </c>
      <c r="C3294" s="3">
        <v>158</v>
      </c>
      <c r="D3294" s="3">
        <v>77</v>
      </c>
      <c r="E3294" s="3">
        <v>-1000.362</v>
      </c>
      <c r="F3294" s="4" t="str">
        <f>HYPERLINK("http://141.218.60.56/~jnz1568/getInfo.php?workbook=14_09.xlsx&amp;sheet=A0&amp;row=3294&amp;col=6&amp;number=25700000&amp;sourceID=14","25700000")</f>
        <v>25700000</v>
      </c>
      <c r="G3294" s="4" t="str">
        <f>HYPERLINK("http://141.218.60.56/~jnz1568/getInfo.php?workbook=14_09.xlsx&amp;sheet=A0&amp;row=3294&amp;col=7&amp;number=0&amp;sourceID=14","0")</f>
        <v>0</v>
      </c>
    </row>
    <row r="3295" spans="1:7">
      <c r="A3295" s="3">
        <v>14</v>
      </c>
      <c r="B3295" s="3">
        <v>9</v>
      </c>
      <c r="C3295" s="3">
        <v>161</v>
      </c>
      <c r="D3295" s="3">
        <v>77</v>
      </c>
      <c r="E3295" s="3">
        <v>-733.005</v>
      </c>
      <c r="F3295" s="4" t="str">
        <f>HYPERLINK("http://141.218.60.56/~jnz1568/getInfo.php?workbook=14_09.xlsx&amp;sheet=A0&amp;row=3295&amp;col=6&amp;number=29300000&amp;sourceID=14","29300000")</f>
        <v>29300000</v>
      </c>
      <c r="G3295" s="4" t="str">
        <f>HYPERLINK("http://141.218.60.56/~jnz1568/getInfo.php?workbook=14_09.xlsx&amp;sheet=A0&amp;row=3295&amp;col=7&amp;number=0&amp;sourceID=14","0")</f>
        <v>0</v>
      </c>
    </row>
    <row r="3296" spans="1:7">
      <c r="A3296" s="3">
        <v>14</v>
      </c>
      <c r="B3296" s="3">
        <v>9</v>
      </c>
      <c r="C3296" s="3">
        <v>162</v>
      </c>
      <c r="D3296" s="3">
        <v>77</v>
      </c>
      <c r="E3296" s="3">
        <v>-692.637</v>
      </c>
      <c r="F3296" s="4" t="str">
        <f>HYPERLINK("http://141.218.60.56/~jnz1568/getInfo.php?workbook=14_09.xlsx&amp;sheet=A0&amp;row=3296&amp;col=6&amp;number=4780000&amp;sourceID=14","4780000")</f>
        <v>4780000</v>
      </c>
      <c r="G3296" s="4" t="str">
        <f>HYPERLINK("http://141.218.60.56/~jnz1568/getInfo.php?workbook=14_09.xlsx&amp;sheet=A0&amp;row=3296&amp;col=7&amp;number=0&amp;sourceID=14","0")</f>
        <v>0</v>
      </c>
    </row>
    <row r="3297" spans="1:7">
      <c r="A3297" s="3">
        <v>14</v>
      </c>
      <c r="B3297" s="3">
        <v>9</v>
      </c>
      <c r="C3297" s="3">
        <v>163</v>
      </c>
      <c r="D3297" s="3">
        <v>77</v>
      </c>
      <c r="E3297" s="3">
        <v>-692.009</v>
      </c>
      <c r="F3297" s="4" t="str">
        <f>HYPERLINK("http://141.218.60.56/~jnz1568/getInfo.php?workbook=14_09.xlsx&amp;sheet=A0&amp;row=3297&amp;col=6&amp;number=1330000&amp;sourceID=14","1330000")</f>
        <v>1330000</v>
      </c>
      <c r="G3297" s="4" t="str">
        <f>HYPERLINK("http://141.218.60.56/~jnz1568/getInfo.php?workbook=14_09.xlsx&amp;sheet=A0&amp;row=3297&amp;col=7&amp;number=0&amp;sourceID=14","0")</f>
        <v>0</v>
      </c>
    </row>
    <row r="3298" spans="1:7">
      <c r="A3298" s="3">
        <v>14</v>
      </c>
      <c r="B3298" s="3">
        <v>9</v>
      </c>
      <c r="C3298" s="3">
        <v>185</v>
      </c>
      <c r="D3298" s="3">
        <v>77</v>
      </c>
      <c r="E3298" s="3">
        <v>-412.794</v>
      </c>
      <c r="F3298" s="4" t="str">
        <f>HYPERLINK("http://141.218.60.56/~jnz1568/getInfo.php?workbook=14_09.xlsx&amp;sheet=A0&amp;row=3298&amp;col=6&amp;number=17300000&amp;sourceID=14","17300000")</f>
        <v>17300000</v>
      </c>
      <c r="G3298" s="4" t="str">
        <f>HYPERLINK("http://141.218.60.56/~jnz1568/getInfo.php?workbook=14_09.xlsx&amp;sheet=A0&amp;row=3298&amp;col=7&amp;number=0&amp;sourceID=14","0")</f>
        <v>0</v>
      </c>
    </row>
    <row r="3299" spans="1:7">
      <c r="A3299" s="3">
        <v>14</v>
      </c>
      <c r="B3299" s="3">
        <v>9</v>
      </c>
      <c r="C3299" s="3">
        <v>186</v>
      </c>
      <c r="D3299" s="3">
        <v>77</v>
      </c>
      <c r="E3299" s="3">
        <v>-411.715</v>
      </c>
      <c r="F3299" s="4" t="str">
        <f>HYPERLINK("http://141.218.60.56/~jnz1568/getInfo.php?workbook=14_09.xlsx&amp;sheet=A0&amp;row=3299&amp;col=6&amp;number=84500000&amp;sourceID=14","84500000")</f>
        <v>84500000</v>
      </c>
      <c r="G3299" s="4" t="str">
        <f>HYPERLINK("http://141.218.60.56/~jnz1568/getInfo.php?workbook=14_09.xlsx&amp;sheet=A0&amp;row=3299&amp;col=7&amp;number=0&amp;sourceID=14","0")</f>
        <v>0</v>
      </c>
    </row>
    <row r="3300" spans="1:7">
      <c r="A3300" s="3">
        <v>14</v>
      </c>
      <c r="B3300" s="3">
        <v>9</v>
      </c>
      <c r="C3300" s="3">
        <v>187</v>
      </c>
      <c r="D3300" s="3">
        <v>77</v>
      </c>
      <c r="E3300" s="3">
        <v>-403.57</v>
      </c>
      <c r="F3300" s="4" t="str">
        <f>HYPERLINK("http://141.218.60.56/~jnz1568/getInfo.php?workbook=14_09.xlsx&amp;sheet=A0&amp;row=3300&amp;col=6&amp;number=11900000&amp;sourceID=14","11900000")</f>
        <v>11900000</v>
      </c>
      <c r="G3300" s="4" t="str">
        <f>HYPERLINK("http://141.218.60.56/~jnz1568/getInfo.php?workbook=14_09.xlsx&amp;sheet=A0&amp;row=3300&amp;col=7&amp;number=0&amp;sourceID=14","0")</f>
        <v>0</v>
      </c>
    </row>
    <row r="3301" spans="1:7">
      <c r="A3301" s="3">
        <v>14</v>
      </c>
      <c r="B3301" s="3">
        <v>9</v>
      </c>
      <c r="C3301" s="3">
        <v>188</v>
      </c>
      <c r="D3301" s="3">
        <v>77</v>
      </c>
      <c r="E3301" s="3">
        <v>-403.059</v>
      </c>
      <c r="F3301" s="4" t="str">
        <f>HYPERLINK("http://141.218.60.56/~jnz1568/getInfo.php?workbook=14_09.xlsx&amp;sheet=A0&amp;row=3301&amp;col=6&amp;number=41300000&amp;sourceID=14","41300000")</f>
        <v>41300000</v>
      </c>
      <c r="G3301" s="4" t="str">
        <f>HYPERLINK("http://141.218.60.56/~jnz1568/getInfo.php?workbook=14_09.xlsx&amp;sheet=A0&amp;row=3301&amp;col=7&amp;number=0&amp;sourceID=14","0")</f>
        <v>0</v>
      </c>
    </row>
    <row r="3302" spans="1:7">
      <c r="A3302" s="3">
        <v>14</v>
      </c>
      <c r="B3302" s="3">
        <v>9</v>
      </c>
      <c r="C3302" s="3">
        <v>189</v>
      </c>
      <c r="D3302" s="3">
        <v>77</v>
      </c>
      <c r="E3302" s="3">
        <v>-382.35</v>
      </c>
      <c r="F3302" s="4" t="str">
        <f>HYPERLINK("http://141.218.60.56/~jnz1568/getInfo.php?workbook=14_09.xlsx&amp;sheet=A0&amp;row=3302&amp;col=6&amp;number=69300000&amp;sourceID=14","69300000")</f>
        <v>69300000</v>
      </c>
      <c r="G3302" s="4" t="str">
        <f>HYPERLINK("http://141.218.60.56/~jnz1568/getInfo.php?workbook=14_09.xlsx&amp;sheet=A0&amp;row=3302&amp;col=7&amp;number=0&amp;sourceID=14","0")</f>
        <v>0</v>
      </c>
    </row>
    <row r="3303" spans="1:7">
      <c r="A3303" s="3">
        <v>14</v>
      </c>
      <c r="B3303" s="3">
        <v>9</v>
      </c>
      <c r="C3303" s="3">
        <v>92</v>
      </c>
      <c r="D3303" s="3">
        <v>78</v>
      </c>
      <c r="E3303" s="3">
        <v>-3677.153</v>
      </c>
      <c r="F3303" s="4" t="str">
        <f>HYPERLINK("http://141.218.60.56/~jnz1568/getInfo.php?workbook=14_09.xlsx&amp;sheet=A0&amp;row=3303&amp;col=6&amp;number=90900&amp;sourceID=14","90900")</f>
        <v>90900</v>
      </c>
      <c r="G3303" s="4" t="str">
        <f>HYPERLINK("http://141.218.60.56/~jnz1568/getInfo.php?workbook=14_09.xlsx&amp;sheet=A0&amp;row=3303&amp;col=7&amp;number=0&amp;sourceID=14","0")</f>
        <v>0</v>
      </c>
    </row>
    <row r="3304" spans="1:7">
      <c r="A3304" s="3">
        <v>14</v>
      </c>
      <c r="B3304" s="3">
        <v>9</v>
      </c>
      <c r="C3304" s="3">
        <v>94</v>
      </c>
      <c r="D3304" s="3">
        <v>78</v>
      </c>
      <c r="E3304" s="3">
        <v>-3539.955</v>
      </c>
      <c r="F3304" s="4" t="str">
        <f>HYPERLINK("http://141.218.60.56/~jnz1568/getInfo.php?workbook=14_09.xlsx&amp;sheet=A0&amp;row=3304&amp;col=6&amp;number=461000&amp;sourceID=14","461000")</f>
        <v>461000</v>
      </c>
      <c r="G3304" s="4" t="str">
        <f>HYPERLINK("http://141.218.60.56/~jnz1568/getInfo.php?workbook=14_09.xlsx&amp;sheet=A0&amp;row=3304&amp;col=7&amp;number=0&amp;sourceID=14","0")</f>
        <v>0</v>
      </c>
    </row>
    <row r="3305" spans="1:7">
      <c r="A3305" s="3">
        <v>14</v>
      </c>
      <c r="B3305" s="3">
        <v>9</v>
      </c>
      <c r="C3305" s="3">
        <v>96</v>
      </c>
      <c r="D3305" s="3">
        <v>78</v>
      </c>
      <c r="E3305" s="3">
        <v>-3380.212</v>
      </c>
      <c r="F3305" s="4" t="str">
        <f>HYPERLINK("http://141.218.60.56/~jnz1568/getInfo.php?workbook=14_09.xlsx&amp;sheet=A0&amp;row=3305&amp;col=6&amp;number=250000&amp;sourceID=14","250000")</f>
        <v>250000</v>
      </c>
      <c r="G3305" s="4" t="str">
        <f>HYPERLINK("http://141.218.60.56/~jnz1568/getInfo.php?workbook=14_09.xlsx&amp;sheet=A0&amp;row=3305&amp;col=7&amp;number=0&amp;sourceID=14","0")</f>
        <v>0</v>
      </c>
    </row>
    <row r="3306" spans="1:7">
      <c r="A3306" s="3">
        <v>14</v>
      </c>
      <c r="B3306" s="3">
        <v>9</v>
      </c>
      <c r="C3306" s="3">
        <v>99</v>
      </c>
      <c r="D3306" s="3">
        <v>78</v>
      </c>
      <c r="E3306" s="3">
        <v>-3089.572</v>
      </c>
      <c r="F3306" s="4" t="str">
        <f>HYPERLINK("http://141.218.60.56/~jnz1568/getInfo.php?workbook=14_09.xlsx&amp;sheet=A0&amp;row=3306&amp;col=6&amp;number=26500000&amp;sourceID=14","26500000")</f>
        <v>26500000</v>
      </c>
      <c r="G3306" s="4" t="str">
        <f>HYPERLINK("http://141.218.60.56/~jnz1568/getInfo.php?workbook=14_09.xlsx&amp;sheet=A0&amp;row=3306&amp;col=7&amp;number=0&amp;sourceID=14","0")</f>
        <v>0</v>
      </c>
    </row>
    <row r="3307" spans="1:7">
      <c r="A3307" s="3">
        <v>14</v>
      </c>
      <c r="B3307" s="3">
        <v>9</v>
      </c>
      <c r="C3307" s="3">
        <v>100</v>
      </c>
      <c r="D3307" s="3">
        <v>78</v>
      </c>
      <c r="E3307" s="3">
        <v>-3022.067</v>
      </c>
      <c r="F3307" s="4" t="str">
        <f>HYPERLINK("http://141.218.60.56/~jnz1568/getInfo.php?workbook=14_09.xlsx&amp;sheet=A0&amp;row=3307&amp;col=6&amp;number=13900000&amp;sourceID=14","13900000")</f>
        <v>13900000</v>
      </c>
      <c r="G3307" s="4" t="str">
        <f>HYPERLINK("http://141.218.60.56/~jnz1568/getInfo.php?workbook=14_09.xlsx&amp;sheet=A0&amp;row=3307&amp;col=7&amp;number=0&amp;sourceID=14","0")</f>
        <v>0</v>
      </c>
    </row>
    <row r="3308" spans="1:7">
      <c r="A3308" s="3">
        <v>14</v>
      </c>
      <c r="B3308" s="3">
        <v>9</v>
      </c>
      <c r="C3308" s="3">
        <v>110</v>
      </c>
      <c r="D3308" s="3">
        <v>78</v>
      </c>
      <c r="E3308" s="3">
        <v>-2743.188</v>
      </c>
      <c r="F3308" s="4" t="str">
        <f>HYPERLINK("http://141.218.60.56/~jnz1568/getInfo.php?workbook=14_09.xlsx&amp;sheet=A0&amp;row=3308&amp;col=6&amp;number=268000000&amp;sourceID=14","268000000")</f>
        <v>268000000</v>
      </c>
      <c r="G3308" s="4" t="str">
        <f>HYPERLINK("http://141.218.60.56/~jnz1568/getInfo.php?workbook=14_09.xlsx&amp;sheet=A0&amp;row=3308&amp;col=7&amp;number=0&amp;sourceID=14","0")</f>
        <v>0</v>
      </c>
    </row>
    <row r="3309" spans="1:7">
      <c r="A3309" s="3">
        <v>14</v>
      </c>
      <c r="B3309" s="3">
        <v>9</v>
      </c>
      <c r="C3309" s="3">
        <v>127</v>
      </c>
      <c r="D3309" s="3">
        <v>78</v>
      </c>
      <c r="E3309" s="3">
        <v>-1443.65</v>
      </c>
      <c r="F3309" s="4" t="str">
        <f>HYPERLINK("http://141.218.60.56/~jnz1568/getInfo.php?workbook=14_09.xlsx&amp;sheet=A0&amp;row=3309&amp;col=6&amp;number=44200000&amp;sourceID=14","44200000")</f>
        <v>44200000</v>
      </c>
      <c r="G3309" s="4" t="str">
        <f>HYPERLINK("http://141.218.60.56/~jnz1568/getInfo.php?workbook=14_09.xlsx&amp;sheet=A0&amp;row=3309&amp;col=7&amp;number=0&amp;sourceID=14","0")</f>
        <v>0</v>
      </c>
    </row>
    <row r="3310" spans="1:7">
      <c r="A3310" s="3">
        <v>14</v>
      </c>
      <c r="B3310" s="3">
        <v>9</v>
      </c>
      <c r="C3310" s="3">
        <v>132</v>
      </c>
      <c r="D3310" s="3">
        <v>78</v>
      </c>
      <c r="E3310" s="3">
        <v>-1322.282</v>
      </c>
      <c r="F3310" s="4" t="str">
        <f>HYPERLINK("http://141.218.60.56/~jnz1568/getInfo.php?workbook=14_09.xlsx&amp;sheet=A0&amp;row=3310&amp;col=6&amp;number=8450000&amp;sourceID=14","8450000")</f>
        <v>8450000</v>
      </c>
      <c r="G3310" s="4" t="str">
        <f>HYPERLINK("http://141.218.60.56/~jnz1568/getInfo.php?workbook=14_09.xlsx&amp;sheet=A0&amp;row=3310&amp;col=7&amp;number=0&amp;sourceID=14","0")</f>
        <v>0</v>
      </c>
    </row>
    <row r="3311" spans="1:7">
      <c r="A3311" s="3">
        <v>14</v>
      </c>
      <c r="B3311" s="3">
        <v>9</v>
      </c>
      <c r="C3311" s="3">
        <v>134</v>
      </c>
      <c r="D3311" s="3">
        <v>78</v>
      </c>
      <c r="E3311" s="3">
        <v>-1311.753</v>
      </c>
      <c r="F3311" s="4" t="str">
        <f>HYPERLINK("http://141.218.60.56/~jnz1568/getInfo.php?workbook=14_09.xlsx&amp;sheet=A0&amp;row=3311&amp;col=6&amp;number=95200000&amp;sourceID=14","95200000")</f>
        <v>95200000</v>
      </c>
      <c r="G3311" s="4" t="str">
        <f>HYPERLINK("http://141.218.60.56/~jnz1568/getInfo.php?workbook=14_09.xlsx&amp;sheet=A0&amp;row=3311&amp;col=7&amp;number=0&amp;sourceID=14","0")</f>
        <v>0</v>
      </c>
    </row>
    <row r="3312" spans="1:7">
      <c r="A3312" s="3">
        <v>14</v>
      </c>
      <c r="B3312" s="3">
        <v>9</v>
      </c>
      <c r="C3312" s="3">
        <v>136</v>
      </c>
      <c r="D3312" s="3">
        <v>78</v>
      </c>
      <c r="E3312" s="3">
        <v>-1301.238</v>
      </c>
      <c r="F3312" s="4" t="str">
        <f>HYPERLINK("http://141.218.60.56/~jnz1568/getInfo.php?workbook=14_09.xlsx&amp;sheet=A0&amp;row=3312&amp;col=6&amp;number=25300000&amp;sourceID=14","25300000")</f>
        <v>25300000</v>
      </c>
      <c r="G3312" s="4" t="str">
        <f>HYPERLINK("http://141.218.60.56/~jnz1568/getInfo.php?workbook=14_09.xlsx&amp;sheet=A0&amp;row=3312&amp;col=7&amp;number=0&amp;sourceID=14","0")</f>
        <v>0</v>
      </c>
    </row>
    <row r="3313" spans="1:7">
      <c r="A3313" s="3">
        <v>14</v>
      </c>
      <c r="B3313" s="3">
        <v>9</v>
      </c>
      <c r="C3313" s="3">
        <v>137</v>
      </c>
      <c r="D3313" s="3">
        <v>78</v>
      </c>
      <c r="E3313" s="3">
        <v>-1286.507</v>
      </c>
      <c r="F3313" s="4" t="str">
        <f>HYPERLINK("http://141.218.60.56/~jnz1568/getInfo.php?workbook=14_09.xlsx&amp;sheet=A0&amp;row=3313&amp;col=6&amp;number=84300000&amp;sourceID=14","84300000")</f>
        <v>84300000</v>
      </c>
      <c r="G3313" s="4" t="str">
        <f>HYPERLINK("http://141.218.60.56/~jnz1568/getInfo.php?workbook=14_09.xlsx&amp;sheet=A0&amp;row=3313&amp;col=7&amp;number=0&amp;sourceID=14","0")</f>
        <v>0</v>
      </c>
    </row>
    <row r="3314" spans="1:7">
      <c r="A3314" s="3">
        <v>14</v>
      </c>
      <c r="B3314" s="3">
        <v>9</v>
      </c>
      <c r="C3314" s="3">
        <v>148</v>
      </c>
      <c r="D3314" s="3">
        <v>78</v>
      </c>
      <c r="E3314" s="3">
        <v>-1173.711</v>
      </c>
      <c r="F3314" s="4" t="str">
        <f>HYPERLINK("http://141.218.60.56/~jnz1568/getInfo.php?workbook=14_09.xlsx&amp;sheet=A0&amp;row=3314&amp;col=6&amp;number=1290000&amp;sourceID=14","1290000")</f>
        <v>1290000</v>
      </c>
      <c r="G3314" s="4" t="str">
        <f>HYPERLINK("http://141.218.60.56/~jnz1568/getInfo.php?workbook=14_09.xlsx&amp;sheet=A0&amp;row=3314&amp;col=7&amp;number=0&amp;sourceID=14","0")</f>
        <v>0</v>
      </c>
    </row>
    <row r="3315" spans="1:7">
      <c r="A3315" s="3">
        <v>14</v>
      </c>
      <c r="B3315" s="3">
        <v>9</v>
      </c>
      <c r="C3315" s="3">
        <v>151</v>
      </c>
      <c r="D3315" s="3">
        <v>78</v>
      </c>
      <c r="E3315" s="3">
        <v>-1159.167</v>
      </c>
      <c r="F3315" s="4" t="str">
        <f>HYPERLINK("http://141.218.60.56/~jnz1568/getInfo.php?workbook=14_09.xlsx&amp;sheet=A0&amp;row=3315&amp;col=6&amp;number=1220000&amp;sourceID=14","1220000")</f>
        <v>1220000</v>
      </c>
      <c r="G3315" s="4" t="str">
        <f>HYPERLINK("http://141.218.60.56/~jnz1568/getInfo.php?workbook=14_09.xlsx&amp;sheet=A0&amp;row=3315&amp;col=7&amp;number=0&amp;sourceID=14","0")</f>
        <v>0</v>
      </c>
    </row>
    <row r="3316" spans="1:7">
      <c r="A3316" s="3">
        <v>14</v>
      </c>
      <c r="B3316" s="3">
        <v>9</v>
      </c>
      <c r="C3316" s="3">
        <v>154</v>
      </c>
      <c r="D3316" s="3">
        <v>78</v>
      </c>
      <c r="E3316" s="3">
        <v>-1059.111</v>
      </c>
      <c r="F3316" s="4" t="str">
        <f>HYPERLINK("http://141.218.60.56/~jnz1568/getInfo.php?workbook=14_09.xlsx&amp;sheet=A0&amp;row=3316&amp;col=6&amp;number=4440000&amp;sourceID=14","4440000")</f>
        <v>4440000</v>
      </c>
      <c r="G3316" s="4" t="str">
        <f>HYPERLINK("http://141.218.60.56/~jnz1568/getInfo.php?workbook=14_09.xlsx&amp;sheet=A0&amp;row=3316&amp;col=7&amp;number=0&amp;sourceID=14","0")</f>
        <v>0</v>
      </c>
    </row>
    <row r="3317" spans="1:7">
      <c r="A3317" s="3">
        <v>14</v>
      </c>
      <c r="B3317" s="3">
        <v>9</v>
      </c>
      <c r="C3317" s="3">
        <v>156</v>
      </c>
      <c r="D3317" s="3">
        <v>78</v>
      </c>
      <c r="E3317" s="3">
        <v>-1041.679</v>
      </c>
      <c r="F3317" s="4" t="str">
        <f>HYPERLINK("http://141.218.60.56/~jnz1568/getInfo.php?workbook=14_09.xlsx&amp;sheet=A0&amp;row=3317&amp;col=6&amp;number=16200000&amp;sourceID=14","16200000")</f>
        <v>16200000</v>
      </c>
      <c r="G3317" s="4" t="str">
        <f>HYPERLINK("http://141.218.60.56/~jnz1568/getInfo.php?workbook=14_09.xlsx&amp;sheet=A0&amp;row=3317&amp;col=7&amp;number=0&amp;sourceID=14","0")</f>
        <v>0</v>
      </c>
    </row>
    <row r="3318" spans="1:7">
      <c r="A3318" s="3">
        <v>14</v>
      </c>
      <c r="B3318" s="3">
        <v>9</v>
      </c>
      <c r="C3318" s="3">
        <v>157</v>
      </c>
      <c r="D3318" s="3">
        <v>78</v>
      </c>
      <c r="E3318" s="3">
        <v>-1014.643</v>
      </c>
      <c r="F3318" s="4" t="str">
        <f>HYPERLINK("http://141.218.60.56/~jnz1568/getInfo.php?workbook=14_09.xlsx&amp;sheet=A0&amp;row=3318&amp;col=6&amp;number=60100000&amp;sourceID=14","60100000")</f>
        <v>60100000</v>
      </c>
      <c r="G3318" s="4" t="str">
        <f>HYPERLINK("http://141.218.60.56/~jnz1568/getInfo.php?workbook=14_09.xlsx&amp;sheet=A0&amp;row=3318&amp;col=7&amp;number=0&amp;sourceID=14","0")</f>
        <v>0</v>
      </c>
    </row>
    <row r="3319" spans="1:7">
      <c r="A3319" s="3">
        <v>14</v>
      </c>
      <c r="B3319" s="3">
        <v>9</v>
      </c>
      <c r="C3319" s="3">
        <v>158</v>
      </c>
      <c r="D3319" s="3">
        <v>78</v>
      </c>
      <c r="E3319" s="3">
        <v>-1009.185</v>
      </c>
      <c r="F3319" s="4" t="str">
        <f>HYPERLINK("http://141.218.60.56/~jnz1568/getInfo.php?workbook=14_09.xlsx&amp;sheet=A0&amp;row=3319&amp;col=6&amp;number=24400000&amp;sourceID=14","24400000")</f>
        <v>24400000</v>
      </c>
      <c r="G3319" s="4" t="str">
        <f>HYPERLINK("http://141.218.60.56/~jnz1568/getInfo.php?workbook=14_09.xlsx&amp;sheet=A0&amp;row=3319&amp;col=7&amp;number=0&amp;sourceID=14","0")</f>
        <v>0</v>
      </c>
    </row>
    <row r="3320" spans="1:7">
      <c r="A3320" s="3">
        <v>14</v>
      </c>
      <c r="B3320" s="3">
        <v>9</v>
      </c>
      <c r="C3320" s="3">
        <v>161</v>
      </c>
      <c r="D3320" s="3">
        <v>78</v>
      </c>
      <c r="E3320" s="3">
        <v>-737.731</v>
      </c>
      <c r="F3320" s="4" t="str">
        <f>HYPERLINK("http://141.218.60.56/~jnz1568/getInfo.php?workbook=14_09.xlsx&amp;sheet=A0&amp;row=3320&amp;col=6&amp;number=5000000&amp;sourceID=14","5000000")</f>
        <v>5000000</v>
      </c>
      <c r="G3320" s="4" t="str">
        <f>HYPERLINK("http://141.218.60.56/~jnz1568/getInfo.php?workbook=14_09.xlsx&amp;sheet=A0&amp;row=3320&amp;col=7&amp;number=0&amp;sourceID=14","0")</f>
        <v>0</v>
      </c>
    </row>
    <row r="3321" spans="1:7">
      <c r="A3321" s="3">
        <v>14</v>
      </c>
      <c r="B3321" s="3">
        <v>9</v>
      </c>
      <c r="C3321" s="3">
        <v>163</v>
      </c>
      <c r="D3321" s="3">
        <v>78</v>
      </c>
      <c r="E3321" s="3">
        <v>-696.22</v>
      </c>
      <c r="F3321" s="4" t="str">
        <f>HYPERLINK("http://141.218.60.56/~jnz1568/getInfo.php?workbook=14_09.xlsx&amp;sheet=A0&amp;row=3321&amp;col=6&amp;number=6700000&amp;sourceID=14","6700000")</f>
        <v>6700000</v>
      </c>
      <c r="G3321" s="4" t="str">
        <f>HYPERLINK("http://141.218.60.56/~jnz1568/getInfo.php?workbook=14_09.xlsx&amp;sheet=A0&amp;row=3321&amp;col=7&amp;number=0&amp;sourceID=14","0")</f>
        <v>0</v>
      </c>
    </row>
    <row r="3322" spans="1:7">
      <c r="A3322" s="3">
        <v>14</v>
      </c>
      <c r="B3322" s="3">
        <v>9</v>
      </c>
      <c r="C3322" s="3">
        <v>185</v>
      </c>
      <c r="D3322" s="3">
        <v>78</v>
      </c>
      <c r="E3322" s="3">
        <v>-414.289</v>
      </c>
      <c r="F3322" s="4" t="str">
        <f>HYPERLINK("http://141.218.60.56/~jnz1568/getInfo.php?workbook=14_09.xlsx&amp;sheet=A0&amp;row=3322&amp;col=6&amp;number=72900000&amp;sourceID=14","72900000")</f>
        <v>72900000</v>
      </c>
      <c r="G3322" s="4" t="str">
        <f>HYPERLINK("http://141.218.60.56/~jnz1568/getInfo.php?workbook=14_09.xlsx&amp;sheet=A0&amp;row=3322&amp;col=7&amp;number=0&amp;sourceID=14","0")</f>
        <v>0</v>
      </c>
    </row>
    <row r="3323" spans="1:7">
      <c r="A3323" s="3">
        <v>14</v>
      </c>
      <c r="B3323" s="3">
        <v>9</v>
      </c>
      <c r="C3323" s="3">
        <v>187</v>
      </c>
      <c r="D3323" s="3">
        <v>78</v>
      </c>
      <c r="E3323" s="3">
        <v>-404.998</v>
      </c>
      <c r="F3323" s="4" t="str">
        <f>HYPERLINK("http://141.218.60.56/~jnz1568/getInfo.php?workbook=14_09.xlsx&amp;sheet=A0&amp;row=3323&amp;col=6&amp;number=27400000&amp;sourceID=14","27400000")</f>
        <v>27400000</v>
      </c>
      <c r="G3323" s="4" t="str">
        <f>HYPERLINK("http://141.218.60.56/~jnz1568/getInfo.php?workbook=14_09.xlsx&amp;sheet=A0&amp;row=3323&amp;col=7&amp;number=0&amp;sourceID=14","0")</f>
        <v>0</v>
      </c>
    </row>
    <row r="3324" spans="1:7">
      <c r="A3324" s="3">
        <v>14</v>
      </c>
      <c r="B3324" s="3">
        <v>9</v>
      </c>
      <c r="C3324" s="3">
        <v>188</v>
      </c>
      <c r="D3324" s="3">
        <v>78</v>
      </c>
      <c r="E3324" s="3">
        <v>-404.484</v>
      </c>
      <c r="F3324" s="4" t="str">
        <f>HYPERLINK("http://141.218.60.56/~jnz1568/getInfo.php?workbook=14_09.xlsx&amp;sheet=A0&amp;row=3324&amp;col=6&amp;number=17600000&amp;sourceID=14","17600000")</f>
        <v>17600000</v>
      </c>
      <c r="G3324" s="4" t="str">
        <f>HYPERLINK("http://141.218.60.56/~jnz1568/getInfo.php?workbook=14_09.xlsx&amp;sheet=A0&amp;row=3324&amp;col=7&amp;number=0&amp;sourceID=14","0")</f>
        <v>0</v>
      </c>
    </row>
    <row r="3325" spans="1:7">
      <c r="A3325" s="3">
        <v>14</v>
      </c>
      <c r="B3325" s="3">
        <v>9</v>
      </c>
      <c r="C3325" s="3">
        <v>189</v>
      </c>
      <c r="D3325" s="3">
        <v>78</v>
      </c>
      <c r="E3325" s="3">
        <v>-383.632</v>
      </c>
      <c r="F3325" s="4" t="str">
        <f>HYPERLINK("http://141.218.60.56/~jnz1568/getInfo.php?workbook=14_09.xlsx&amp;sheet=A0&amp;row=3325&amp;col=6&amp;number=60200000&amp;sourceID=14","60200000")</f>
        <v>60200000</v>
      </c>
      <c r="G3325" s="4" t="str">
        <f>HYPERLINK("http://141.218.60.56/~jnz1568/getInfo.php?workbook=14_09.xlsx&amp;sheet=A0&amp;row=3325&amp;col=7&amp;number=0&amp;sourceID=14","0")</f>
        <v>0</v>
      </c>
    </row>
    <row r="3326" spans="1:7">
      <c r="A3326" s="3">
        <v>14</v>
      </c>
      <c r="B3326" s="3">
        <v>9</v>
      </c>
      <c r="C3326" s="3">
        <v>84</v>
      </c>
      <c r="D3326" s="3">
        <v>79</v>
      </c>
      <c r="E3326" s="3">
        <v>-7136.753</v>
      </c>
      <c r="F3326" s="4" t="str">
        <f>HYPERLINK("http://141.218.60.56/~jnz1568/getInfo.php?workbook=14_09.xlsx&amp;sheet=A0&amp;row=3326&amp;col=6&amp;number=4220000&amp;sourceID=14","4220000")</f>
        <v>4220000</v>
      </c>
      <c r="G3326" s="4" t="str">
        <f>HYPERLINK("http://141.218.60.56/~jnz1568/getInfo.php?workbook=14_09.xlsx&amp;sheet=A0&amp;row=3326&amp;col=7&amp;number=0&amp;sourceID=14","0")</f>
        <v>0</v>
      </c>
    </row>
    <row r="3327" spans="1:7">
      <c r="A3327" s="3">
        <v>14</v>
      </c>
      <c r="B3327" s="3">
        <v>9</v>
      </c>
      <c r="C3327" s="3">
        <v>101</v>
      </c>
      <c r="D3327" s="3">
        <v>79</v>
      </c>
      <c r="E3327" s="3">
        <v>-3269.155</v>
      </c>
      <c r="F3327" s="4" t="str">
        <f>HYPERLINK("http://141.218.60.56/~jnz1568/getInfo.php?workbook=14_09.xlsx&amp;sheet=A0&amp;row=3327&amp;col=6&amp;number=17100000&amp;sourceID=14","17100000")</f>
        <v>17100000</v>
      </c>
      <c r="G3327" s="4" t="str">
        <f>HYPERLINK("http://141.218.60.56/~jnz1568/getInfo.php?workbook=14_09.xlsx&amp;sheet=A0&amp;row=3327&amp;col=7&amp;number=0&amp;sourceID=14","0")</f>
        <v>0</v>
      </c>
    </row>
    <row r="3328" spans="1:7">
      <c r="A3328" s="3">
        <v>14</v>
      </c>
      <c r="B3328" s="3">
        <v>9</v>
      </c>
      <c r="C3328" s="3">
        <v>102</v>
      </c>
      <c r="D3328" s="3">
        <v>79</v>
      </c>
      <c r="E3328" s="3">
        <v>-3246.548</v>
      </c>
      <c r="F3328" s="4" t="str">
        <f>HYPERLINK("http://141.218.60.56/~jnz1568/getInfo.php?workbook=14_09.xlsx&amp;sheet=A0&amp;row=3328&amp;col=6&amp;number=191000000&amp;sourceID=14","191000000")</f>
        <v>191000000</v>
      </c>
      <c r="G3328" s="4" t="str">
        <f>HYPERLINK("http://141.218.60.56/~jnz1568/getInfo.php?workbook=14_09.xlsx&amp;sheet=A0&amp;row=3328&amp;col=7&amp;number=0&amp;sourceID=14","0")</f>
        <v>0</v>
      </c>
    </row>
    <row r="3329" spans="1:7">
      <c r="A3329" s="3">
        <v>14</v>
      </c>
      <c r="B3329" s="3">
        <v>9</v>
      </c>
      <c r="C3329" s="3">
        <v>105</v>
      </c>
      <c r="D3329" s="3">
        <v>79</v>
      </c>
      <c r="E3329" s="3">
        <v>-3085.759</v>
      </c>
      <c r="F3329" s="4" t="str">
        <f>HYPERLINK("http://141.218.60.56/~jnz1568/getInfo.php?workbook=14_09.xlsx&amp;sheet=A0&amp;row=3329&amp;col=6&amp;number=212000&amp;sourceID=14","212000")</f>
        <v>212000</v>
      </c>
      <c r="G3329" s="4" t="str">
        <f>HYPERLINK("http://141.218.60.56/~jnz1568/getInfo.php?workbook=14_09.xlsx&amp;sheet=A0&amp;row=3329&amp;col=7&amp;number=0&amp;sourceID=14","0")</f>
        <v>0</v>
      </c>
    </row>
    <row r="3330" spans="1:7">
      <c r="A3330" s="3">
        <v>14</v>
      </c>
      <c r="B3330" s="3">
        <v>9</v>
      </c>
      <c r="C3330" s="3">
        <v>107</v>
      </c>
      <c r="D3330" s="3">
        <v>79</v>
      </c>
      <c r="E3330" s="3">
        <v>-3045.351</v>
      </c>
      <c r="F3330" s="4" t="str">
        <f>HYPERLINK("http://141.218.60.56/~jnz1568/getInfo.php?workbook=14_09.xlsx&amp;sheet=A0&amp;row=3330&amp;col=6&amp;number=656000&amp;sourceID=14","656000")</f>
        <v>656000</v>
      </c>
      <c r="G3330" s="4" t="str">
        <f>HYPERLINK("http://141.218.60.56/~jnz1568/getInfo.php?workbook=14_09.xlsx&amp;sheet=A0&amp;row=3330&amp;col=7&amp;number=0&amp;sourceID=14","0")</f>
        <v>0</v>
      </c>
    </row>
    <row r="3331" spans="1:7">
      <c r="A3331" s="3">
        <v>14</v>
      </c>
      <c r="B3331" s="3">
        <v>9</v>
      </c>
      <c r="C3331" s="3">
        <v>113</v>
      </c>
      <c r="D3331" s="3">
        <v>79</v>
      </c>
      <c r="E3331" s="3">
        <v>-2948.119</v>
      </c>
      <c r="F3331" s="4" t="str">
        <f>HYPERLINK("http://141.218.60.56/~jnz1568/getInfo.php?workbook=14_09.xlsx&amp;sheet=A0&amp;row=3331&amp;col=6&amp;number=16500000&amp;sourceID=14","16500000")</f>
        <v>16500000</v>
      </c>
      <c r="G3331" s="4" t="str">
        <f>HYPERLINK("http://141.218.60.56/~jnz1568/getInfo.php?workbook=14_09.xlsx&amp;sheet=A0&amp;row=3331&amp;col=7&amp;number=0&amp;sourceID=14","0")</f>
        <v>0</v>
      </c>
    </row>
    <row r="3332" spans="1:7">
      <c r="A3332" s="3">
        <v>14</v>
      </c>
      <c r="B3332" s="3">
        <v>9</v>
      </c>
      <c r="C3332" s="3">
        <v>115</v>
      </c>
      <c r="D3332" s="3">
        <v>79</v>
      </c>
      <c r="E3332" s="3">
        <v>-2935.139</v>
      </c>
      <c r="F3332" s="4" t="str">
        <f>HYPERLINK("http://141.218.60.56/~jnz1568/getInfo.php?workbook=14_09.xlsx&amp;sheet=A0&amp;row=3332&amp;col=6&amp;number=218000000&amp;sourceID=14","218000000")</f>
        <v>218000000</v>
      </c>
      <c r="G3332" s="4" t="str">
        <f>HYPERLINK("http://141.218.60.56/~jnz1568/getInfo.php?workbook=14_09.xlsx&amp;sheet=A0&amp;row=3332&amp;col=7&amp;number=0&amp;sourceID=14","0")</f>
        <v>0</v>
      </c>
    </row>
    <row r="3333" spans="1:7">
      <c r="A3333" s="3">
        <v>14</v>
      </c>
      <c r="B3333" s="3">
        <v>9</v>
      </c>
      <c r="C3333" s="3">
        <v>116</v>
      </c>
      <c r="D3333" s="3">
        <v>79</v>
      </c>
      <c r="E3333" s="3">
        <v>-2932.729</v>
      </c>
      <c r="F3333" s="4" t="str">
        <f>HYPERLINK("http://141.218.60.56/~jnz1568/getInfo.php?workbook=14_09.xlsx&amp;sheet=A0&amp;row=3333&amp;col=6&amp;number=1290000&amp;sourceID=14","1290000")</f>
        <v>1290000</v>
      </c>
      <c r="G3333" s="4" t="str">
        <f>HYPERLINK("http://141.218.60.56/~jnz1568/getInfo.php?workbook=14_09.xlsx&amp;sheet=A0&amp;row=3333&amp;col=7&amp;number=0&amp;sourceID=14","0")</f>
        <v>0</v>
      </c>
    </row>
    <row r="3334" spans="1:7">
      <c r="A3334" s="3">
        <v>14</v>
      </c>
      <c r="B3334" s="3">
        <v>9</v>
      </c>
      <c r="C3334" s="3">
        <v>125</v>
      </c>
      <c r="D3334" s="3">
        <v>79</v>
      </c>
      <c r="E3334" s="3">
        <v>-2197.903</v>
      </c>
      <c r="F3334" s="4" t="str">
        <f>HYPERLINK("http://141.218.60.56/~jnz1568/getInfo.php?workbook=14_09.xlsx&amp;sheet=A0&amp;row=3334&amp;col=6&amp;number=404000000&amp;sourceID=14","404000000")</f>
        <v>404000000</v>
      </c>
      <c r="G3334" s="4" t="str">
        <f>HYPERLINK("http://141.218.60.56/~jnz1568/getInfo.php?workbook=14_09.xlsx&amp;sheet=A0&amp;row=3334&amp;col=7&amp;number=0&amp;sourceID=14","0")</f>
        <v>0</v>
      </c>
    </row>
    <row r="3335" spans="1:7">
      <c r="A3335" s="3">
        <v>14</v>
      </c>
      <c r="B3335" s="3">
        <v>9</v>
      </c>
      <c r="C3335" s="3">
        <v>139</v>
      </c>
      <c r="D3335" s="3">
        <v>79</v>
      </c>
      <c r="E3335" s="3">
        <v>-1257.168</v>
      </c>
      <c r="F3335" s="4" t="str">
        <f>HYPERLINK("http://141.218.60.56/~jnz1568/getInfo.php?workbook=14_09.xlsx&amp;sheet=A0&amp;row=3335&amp;col=6&amp;number=327000&amp;sourceID=14","327000")</f>
        <v>327000</v>
      </c>
      <c r="G3335" s="4" t="str">
        <f>HYPERLINK("http://141.218.60.56/~jnz1568/getInfo.php?workbook=14_09.xlsx&amp;sheet=A0&amp;row=3335&amp;col=7&amp;number=0&amp;sourceID=14","0")</f>
        <v>0</v>
      </c>
    </row>
    <row r="3336" spans="1:7">
      <c r="A3336" s="3">
        <v>14</v>
      </c>
      <c r="B3336" s="3">
        <v>9</v>
      </c>
      <c r="C3336" s="3">
        <v>141</v>
      </c>
      <c r="D3336" s="3">
        <v>79</v>
      </c>
      <c r="E3336" s="3">
        <v>-1235.898</v>
      </c>
      <c r="F3336" s="4" t="str">
        <f>HYPERLINK("http://141.218.60.56/~jnz1568/getInfo.php?workbook=14_09.xlsx&amp;sheet=A0&amp;row=3336&amp;col=6&amp;number=2510000&amp;sourceID=14","2510000")</f>
        <v>2510000</v>
      </c>
      <c r="G3336" s="4" t="str">
        <f>HYPERLINK("http://141.218.60.56/~jnz1568/getInfo.php?workbook=14_09.xlsx&amp;sheet=A0&amp;row=3336&amp;col=7&amp;number=0&amp;sourceID=14","0")</f>
        <v>0</v>
      </c>
    </row>
    <row r="3337" spans="1:7">
      <c r="A3337" s="3">
        <v>14</v>
      </c>
      <c r="B3337" s="3">
        <v>9</v>
      </c>
      <c r="C3337" s="3">
        <v>142</v>
      </c>
      <c r="D3337" s="3">
        <v>79</v>
      </c>
      <c r="E3337" s="3">
        <v>-1235.73</v>
      </c>
      <c r="F3337" s="4" t="str">
        <f>HYPERLINK("http://141.218.60.56/~jnz1568/getInfo.php?workbook=14_09.xlsx&amp;sheet=A0&amp;row=3337&amp;col=6&amp;number=263000&amp;sourceID=14","263000")</f>
        <v>263000</v>
      </c>
      <c r="G3337" s="4" t="str">
        <f>HYPERLINK("http://141.218.60.56/~jnz1568/getInfo.php?workbook=14_09.xlsx&amp;sheet=A0&amp;row=3337&amp;col=7&amp;number=0&amp;sourceID=14","0")</f>
        <v>0</v>
      </c>
    </row>
    <row r="3338" spans="1:7">
      <c r="A3338" s="3">
        <v>14</v>
      </c>
      <c r="B3338" s="3">
        <v>9</v>
      </c>
      <c r="C3338" s="3">
        <v>146</v>
      </c>
      <c r="D3338" s="3">
        <v>79</v>
      </c>
      <c r="E3338" s="3">
        <v>-1215.409</v>
      </c>
      <c r="F3338" s="4" t="str">
        <f>HYPERLINK("http://141.218.60.56/~jnz1568/getInfo.php?workbook=14_09.xlsx&amp;sheet=A0&amp;row=3338&amp;col=6&amp;number=4680000&amp;sourceID=14","4680000")</f>
        <v>4680000</v>
      </c>
      <c r="G3338" s="4" t="str">
        <f>HYPERLINK("http://141.218.60.56/~jnz1568/getInfo.php?workbook=14_09.xlsx&amp;sheet=A0&amp;row=3338&amp;col=7&amp;number=0&amp;sourceID=14","0")</f>
        <v>0</v>
      </c>
    </row>
    <row r="3339" spans="1:7">
      <c r="A3339" s="3">
        <v>14</v>
      </c>
      <c r="B3339" s="3">
        <v>9</v>
      </c>
      <c r="C3339" s="3">
        <v>147</v>
      </c>
      <c r="D3339" s="3">
        <v>79</v>
      </c>
      <c r="E3339" s="3">
        <v>-1215.379</v>
      </c>
      <c r="F3339" s="4" t="str">
        <f>HYPERLINK("http://141.218.60.56/~jnz1568/getInfo.php?workbook=14_09.xlsx&amp;sheet=A0&amp;row=3339&amp;col=6&amp;number=311000&amp;sourceID=14","311000")</f>
        <v>311000</v>
      </c>
      <c r="G3339" s="4" t="str">
        <f>HYPERLINK("http://141.218.60.56/~jnz1568/getInfo.php?workbook=14_09.xlsx&amp;sheet=A0&amp;row=3339&amp;col=7&amp;number=0&amp;sourceID=14","0")</f>
        <v>0</v>
      </c>
    </row>
    <row r="3340" spans="1:7">
      <c r="A3340" s="3">
        <v>14</v>
      </c>
      <c r="B3340" s="3">
        <v>9</v>
      </c>
      <c r="C3340" s="3">
        <v>159</v>
      </c>
      <c r="D3340" s="3">
        <v>79</v>
      </c>
      <c r="E3340" s="3">
        <v>-979.549</v>
      </c>
      <c r="F3340" s="4" t="str">
        <f>HYPERLINK("http://141.218.60.56/~jnz1568/getInfo.php?workbook=14_09.xlsx&amp;sheet=A0&amp;row=3340&amp;col=6&amp;number=6280000&amp;sourceID=14","6280000")</f>
        <v>6280000</v>
      </c>
      <c r="G3340" s="4" t="str">
        <f>HYPERLINK("http://141.218.60.56/~jnz1568/getInfo.php?workbook=14_09.xlsx&amp;sheet=A0&amp;row=3340&amp;col=7&amp;number=0&amp;sourceID=14","0")</f>
        <v>0</v>
      </c>
    </row>
    <row r="3341" spans="1:7">
      <c r="A3341" s="3">
        <v>14</v>
      </c>
      <c r="B3341" s="3">
        <v>9</v>
      </c>
      <c r="C3341" s="3">
        <v>164</v>
      </c>
      <c r="D3341" s="3">
        <v>79</v>
      </c>
      <c r="E3341" s="3">
        <v>-663.765</v>
      </c>
      <c r="F3341" s="4" t="str">
        <f>HYPERLINK("http://141.218.60.56/~jnz1568/getInfo.php?workbook=14_09.xlsx&amp;sheet=A0&amp;row=3341&amp;col=6&amp;number=1160000&amp;sourceID=14","1160000")</f>
        <v>1160000</v>
      </c>
      <c r="G3341" s="4" t="str">
        <f>HYPERLINK("http://141.218.60.56/~jnz1568/getInfo.php?workbook=14_09.xlsx&amp;sheet=A0&amp;row=3341&amp;col=7&amp;number=0&amp;sourceID=14","0")</f>
        <v>0</v>
      </c>
    </row>
    <row r="3342" spans="1:7">
      <c r="A3342" s="3">
        <v>14</v>
      </c>
      <c r="B3342" s="3">
        <v>9</v>
      </c>
      <c r="C3342" s="3">
        <v>165</v>
      </c>
      <c r="D3342" s="3">
        <v>79</v>
      </c>
      <c r="E3342" s="3">
        <v>-663.721</v>
      </c>
      <c r="F3342" s="4" t="str">
        <f>HYPERLINK("http://141.218.60.56/~jnz1568/getInfo.php?workbook=14_09.xlsx&amp;sheet=A0&amp;row=3342&amp;col=6&amp;number=17500000&amp;sourceID=14","17500000")</f>
        <v>17500000</v>
      </c>
      <c r="G3342" s="4" t="str">
        <f>HYPERLINK("http://141.218.60.56/~jnz1568/getInfo.php?workbook=14_09.xlsx&amp;sheet=A0&amp;row=3342&amp;col=7&amp;number=0&amp;sourceID=14","0")</f>
        <v>0</v>
      </c>
    </row>
    <row r="3343" spans="1:7">
      <c r="A3343" s="3">
        <v>14</v>
      </c>
      <c r="B3343" s="3">
        <v>9</v>
      </c>
      <c r="C3343" s="3">
        <v>166</v>
      </c>
      <c r="D3343" s="3">
        <v>79</v>
      </c>
      <c r="E3343" s="3">
        <v>-627.452</v>
      </c>
      <c r="F3343" s="4" t="str">
        <f>HYPERLINK("http://141.218.60.56/~jnz1568/getInfo.php?workbook=14_09.xlsx&amp;sheet=A0&amp;row=3343&amp;col=6&amp;number=11100000&amp;sourceID=14","11100000")</f>
        <v>11100000</v>
      </c>
      <c r="G3343" s="4" t="str">
        <f>HYPERLINK("http://141.218.60.56/~jnz1568/getInfo.php?workbook=14_09.xlsx&amp;sheet=A0&amp;row=3343&amp;col=7&amp;number=0&amp;sourceID=14","0")</f>
        <v>0</v>
      </c>
    </row>
    <row r="3344" spans="1:7">
      <c r="A3344" s="3">
        <v>14</v>
      </c>
      <c r="B3344" s="3">
        <v>9</v>
      </c>
      <c r="C3344" s="3">
        <v>172</v>
      </c>
      <c r="D3344" s="3">
        <v>79</v>
      </c>
      <c r="E3344" s="3">
        <v>-533.005</v>
      </c>
      <c r="F3344" s="4" t="str">
        <f>HYPERLINK("http://141.218.60.56/~jnz1568/getInfo.php?workbook=14_09.xlsx&amp;sheet=A0&amp;row=3344&amp;col=6&amp;number=306000&amp;sourceID=14","306000")</f>
        <v>306000</v>
      </c>
      <c r="G3344" s="4" t="str">
        <f>HYPERLINK("http://141.218.60.56/~jnz1568/getInfo.php?workbook=14_09.xlsx&amp;sheet=A0&amp;row=3344&amp;col=7&amp;number=0&amp;sourceID=14","0")</f>
        <v>0</v>
      </c>
    </row>
    <row r="3345" spans="1:7">
      <c r="A3345" s="3">
        <v>14</v>
      </c>
      <c r="B3345" s="3">
        <v>9</v>
      </c>
      <c r="C3345" s="3">
        <v>175</v>
      </c>
      <c r="D3345" s="3">
        <v>79</v>
      </c>
      <c r="E3345" s="3">
        <v>-511.003</v>
      </c>
      <c r="F3345" s="4" t="str">
        <f>HYPERLINK("http://141.218.60.56/~jnz1568/getInfo.php?workbook=14_09.xlsx&amp;sheet=A0&amp;row=3345&amp;col=6&amp;number=4280000&amp;sourceID=14","4280000")</f>
        <v>4280000</v>
      </c>
      <c r="G3345" s="4" t="str">
        <f>HYPERLINK("http://141.218.60.56/~jnz1568/getInfo.php?workbook=14_09.xlsx&amp;sheet=A0&amp;row=3345&amp;col=7&amp;number=0&amp;sourceID=14","0")</f>
        <v>0</v>
      </c>
    </row>
    <row r="3346" spans="1:7">
      <c r="A3346" s="3">
        <v>14</v>
      </c>
      <c r="B3346" s="3">
        <v>9</v>
      </c>
      <c r="C3346" s="3">
        <v>177</v>
      </c>
      <c r="D3346" s="3">
        <v>79</v>
      </c>
      <c r="E3346" s="3">
        <v>-505.59</v>
      </c>
      <c r="F3346" s="4" t="str">
        <f>HYPERLINK("http://141.218.60.56/~jnz1568/getInfo.php?workbook=14_09.xlsx&amp;sheet=A0&amp;row=3346&amp;col=6&amp;number=5330000&amp;sourceID=14","5330000")</f>
        <v>5330000</v>
      </c>
      <c r="G3346" s="4" t="str">
        <f>HYPERLINK("http://141.218.60.56/~jnz1568/getInfo.php?workbook=14_09.xlsx&amp;sheet=A0&amp;row=3346&amp;col=7&amp;number=0&amp;sourceID=14","0")</f>
        <v>0</v>
      </c>
    </row>
    <row r="3347" spans="1:7">
      <c r="A3347" s="3">
        <v>14</v>
      </c>
      <c r="B3347" s="3">
        <v>9</v>
      </c>
      <c r="C3347" s="3">
        <v>180</v>
      </c>
      <c r="D3347" s="3">
        <v>79</v>
      </c>
      <c r="E3347" s="3">
        <v>-502.251</v>
      </c>
      <c r="F3347" s="4" t="str">
        <f>HYPERLINK("http://141.218.60.56/~jnz1568/getInfo.php?workbook=14_09.xlsx&amp;sheet=A0&amp;row=3347&amp;col=6&amp;number=1990000&amp;sourceID=14","1990000")</f>
        <v>1990000</v>
      </c>
      <c r="G3347" s="4" t="str">
        <f>HYPERLINK("http://141.218.60.56/~jnz1568/getInfo.php?workbook=14_09.xlsx&amp;sheet=A0&amp;row=3347&amp;col=7&amp;number=0&amp;sourceID=14","0")</f>
        <v>0</v>
      </c>
    </row>
    <row r="3348" spans="1:7">
      <c r="A3348" s="3">
        <v>14</v>
      </c>
      <c r="B3348" s="3">
        <v>9</v>
      </c>
      <c r="C3348" s="3">
        <v>181</v>
      </c>
      <c r="D3348" s="3">
        <v>79</v>
      </c>
      <c r="E3348" s="3">
        <v>-491.602</v>
      </c>
      <c r="F3348" s="4" t="str">
        <f>HYPERLINK("http://141.218.60.56/~jnz1568/getInfo.php?workbook=14_09.xlsx&amp;sheet=A0&amp;row=3348&amp;col=6&amp;number=1820000&amp;sourceID=14","1820000")</f>
        <v>1820000</v>
      </c>
      <c r="G3348" s="4" t="str">
        <f>HYPERLINK("http://141.218.60.56/~jnz1568/getInfo.php?workbook=14_09.xlsx&amp;sheet=A0&amp;row=3348&amp;col=7&amp;number=0&amp;sourceID=14","0")</f>
        <v>0</v>
      </c>
    </row>
    <row r="3349" spans="1:7">
      <c r="A3349" s="3">
        <v>14</v>
      </c>
      <c r="B3349" s="3">
        <v>9</v>
      </c>
      <c r="C3349" s="3">
        <v>182</v>
      </c>
      <c r="D3349" s="3">
        <v>79</v>
      </c>
      <c r="E3349" s="3">
        <v>-491.368</v>
      </c>
      <c r="F3349" s="4" t="str">
        <f>HYPERLINK("http://141.218.60.56/~jnz1568/getInfo.php?workbook=14_09.xlsx&amp;sheet=A0&amp;row=3349&amp;col=6&amp;number=356000&amp;sourceID=14","356000")</f>
        <v>356000</v>
      </c>
      <c r="G3349" s="4" t="str">
        <f>HYPERLINK("http://141.218.60.56/~jnz1568/getInfo.php?workbook=14_09.xlsx&amp;sheet=A0&amp;row=3349&amp;col=7&amp;number=0&amp;sourceID=14","0")</f>
        <v>0</v>
      </c>
    </row>
    <row r="3350" spans="1:7">
      <c r="A3350" s="3">
        <v>14</v>
      </c>
      <c r="B3350" s="3">
        <v>9</v>
      </c>
      <c r="C3350" s="3">
        <v>190</v>
      </c>
      <c r="D3350" s="3">
        <v>79</v>
      </c>
      <c r="E3350" s="3">
        <v>-289.83</v>
      </c>
      <c r="F3350" s="4" t="str">
        <f>HYPERLINK("http://141.218.60.56/~jnz1568/getInfo.php?workbook=14_09.xlsx&amp;sheet=A0&amp;row=3350&amp;col=6&amp;number=2500000&amp;sourceID=14","2500000")</f>
        <v>2500000</v>
      </c>
      <c r="G3350" s="4" t="str">
        <f>HYPERLINK("http://141.218.60.56/~jnz1568/getInfo.php?workbook=14_09.xlsx&amp;sheet=A0&amp;row=3350&amp;col=7&amp;number=0&amp;sourceID=14","0")</f>
        <v>0</v>
      </c>
    </row>
    <row r="3351" spans="1:7">
      <c r="A3351" s="3">
        <v>14</v>
      </c>
      <c r="B3351" s="3">
        <v>9</v>
      </c>
      <c r="C3351" s="3">
        <v>191</v>
      </c>
      <c r="D3351" s="3">
        <v>79</v>
      </c>
      <c r="E3351" s="3">
        <v>-289.759</v>
      </c>
      <c r="F3351" s="4" t="str">
        <f>HYPERLINK("http://141.218.60.56/~jnz1568/getInfo.php?workbook=14_09.xlsx&amp;sheet=A0&amp;row=3351&amp;col=6&amp;number=36100000&amp;sourceID=14","36100000")</f>
        <v>36100000</v>
      </c>
      <c r="G3351" s="4" t="str">
        <f>HYPERLINK("http://141.218.60.56/~jnz1568/getInfo.php?workbook=14_09.xlsx&amp;sheet=A0&amp;row=3351&amp;col=7&amp;number=0&amp;sourceID=14","0")</f>
        <v>0</v>
      </c>
    </row>
    <row r="3352" spans="1:7">
      <c r="A3352" s="3">
        <v>14</v>
      </c>
      <c r="B3352" s="3">
        <v>9</v>
      </c>
      <c r="C3352" s="3">
        <v>192</v>
      </c>
      <c r="D3352" s="3">
        <v>79</v>
      </c>
      <c r="E3352" s="3">
        <v>-286.762</v>
      </c>
      <c r="F3352" s="4" t="str">
        <f>HYPERLINK("http://141.218.60.56/~jnz1568/getInfo.php?workbook=14_09.xlsx&amp;sheet=A0&amp;row=3352&amp;col=6&amp;number=23300000&amp;sourceID=14","23300000")</f>
        <v>23300000</v>
      </c>
      <c r="G3352" s="4" t="str">
        <f>HYPERLINK("http://141.218.60.56/~jnz1568/getInfo.php?workbook=14_09.xlsx&amp;sheet=A0&amp;row=3352&amp;col=7&amp;number=0&amp;sourceID=14","0")</f>
        <v>0</v>
      </c>
    </row>
    <row r="3353" spans="1:7">
      <c r="A3353" s="3">
        <v>14</v>
      </c>
      <c r="B3353" s="3">
        <v>9</v>
      </c>
      <c r="C3353" s="3">
        <v>195</v>
      </c>
      <c r="D3353" s="3">
        <v>79</v>
      </c>
      <c r="E3353" s="3">
        <v>-284.282</v>
      </c>
      <c r="F3353" s="4" t="str">
        <f>HYPERLINK("http://141.218.60.56/~jnz1568/getInfo.php?workbook=14_09.xlsx&amp;sheet=A0&amp;row=3353&amp;col=6&amp;number=1330000&amp;sourceID=14","1330000")</f>
        <v>1330000</v>
      </c>
      <c r="G3353" s="4" t="str">
        <f>HYPERLINK("http://141.218.60.56/~jnz1568/getInfo.php?workbook=14_09.xlsx&amp;sheet=A0&amp;row=3353&amp;col=7&amp;number=0&amp;sourceID=14","0")</f>
        <v>0</v>
      </c>
    </row>
    <row r="3354" spans="1:7">
      <c r="A3354" s="3">
        <v>14</v>
      </c>
      <c r="B3354" s="3">
        <v>9</v>
      </c>
      <c r="C3354" s="3">
        <v>85</v>
      </c>
      <c r="D3354" s="3">
        <v>80</v>
      </c>
      <c r="E3354" s="3">
        <v>-6000.611</v>
      </c>
      <c r="F3354" s="4" t="str">
        <f>HYPERLINK("http://141.218.60.56/~jnz1568/getInfo.php?workbook=14_09.xlsx&amp;sheet=A0&amp;row=3354&amp;col=6&amp;number=8120000&amp;sourceID=14","8120000")</f>
        <v>8120000</v>
      </c>
      <c r="G3354" s="4" t="str">
        <f>HYPERLINK("http://141.218.60.56/~jnz1568/getInfo.php?workbook=14_09.xlsx&amp;sheet=A0&amp;row=3354&amp;col=7&amp;number=0&amp;sourceID=14","0")</f>
        <v>0</v>
      </c>
    </row>
    <row r="3355" spans="1:7">
      <c r="A3355" s="3">
        <v>14</v>
      </c>
      <c r="B3355" s="3">
        <v>9</v>
      </c>
      <c r="C3355" s="3">
        <v>101</v>
      </c>
      <c r="D3355" s="3">
        <v>80</v>
      </c>
      <c r="E3355" s="3">
        <v>-3270.973</v>
      </c>
      <c r="F3355" s="4" t="str">
        <f>HYPERLINK("http://141.218.60.56/~jnz1568/getInfo.php?workbook=14_09.xlsx&amp;sheet=A0&amp;row=3355&amp;col=6&amp;number=170000000&amp;sourceID=14","170000000")</f>
        <v>170000000</v>
      </c>
      <c r="G3355" s="4" t="str">
        <f>HYPERLINK("http://141.218.60.56/~jnz1568/getInfo.php?workbook=14_09.xlsx&amp;sheet=A0&amp;row=3355&amp;col=7&amp;number=0&amp;sourceID=14","0")</f>
        <v>0</v>
      </c>
    </row>
    <row r="3356" spans="1:7">
      <c r="A3356" s="3">
        <v>14</v>
      </c>
      <c r="B3356" s="3">
        <v>9</v>
      </c>
      <c r="C3356" s="3">
        <v>106</v>
      </c>
      <c r="D3356" s="3">
        <v>80</v>
      </c>
      <c r="E3356" s="3">
        <v>-3073.43</v>
      </c>
      <c r="F3356" s="4" t="str">
        <f>HYPERLINK("http://141.218.60.56/~jnz1568/getInfo.php?workbook=14_09.xlsx&amp;sheet=A0&amp;row=3356&amp;col=6&amp;number=561000&amp;sourceID=14","561000")</f>
        <v>561000</v>
      </c>
      <c r="G3356" s="4" t="str">
        <f>HYPERLINK("http://141.218.60.56/~jnz1568/getInfo.php?workbook=14_09.xlsx&amp;sheet=A0&amp;row=3356&amp;col=7&amp;number=0&amp;sourceID=14","0")</f>
        <v>0</v>
      </c>
    </row>
    <row r="3357" spans="1:7">
      <c r="A3357" s="3">
        <v>14</v>
      </c>
      <c r="B3357" s="3">
        <v>9</v>
      </c>
      <c r="C3357" s="3">
        <v>108</v>
      </c>
      <c r="D3357" s="3">
        <v>80</v>
      </c>
      <c r="E3357" s="3">
        <v>-3034.999</v>
      </c>
      <c r="F3357" s="4" t="str">
        <f>HYPERLINK("http://141.218.60.56/~jnz1568/getInfo.php?workbook=14_09.xlsx&amp;sheet=A0&amp;row=3357&amp;col=6&amp;number=516000&amp;sourceID=14","516000")</f>
        <v>516000</v>
      </c>
      <c r="G3357" s="4" t="str">
        <f>HYPERLINK("http://141.218.60.56/~jnz1568/getInfo.php?workbook=14_09.xlsx&amp;sheet=A0&amp;row=3357&amp;col=7&amp;number=0&amp;sourceID=14","0")</f>
        <v>0</v>
      </c>
    </row>
    <row r="3358" spans="1:7">
      <c r="A3358" s="3">
        <v>14</v>
      </c>
      <c r="B3358" s="3">
        <v>9</v>
      </c>
      <c r="C3358" s="3">
        <v>109</v>
      </c>
      <c r="D3358" s="3">
        <v>80</v>
      </c>
      <c r="E3358" s="3">
        <v>-3010.331</v>
      </c>
      <c r="F3358" s="4" t="str">
        <f>HYPERLINK("http://141.218.60.56/~jnz1568/getInfo.php?workbook=14_09.xlsx&amp;sheet=A0&amp;row=3358&amp;col=6&amp;number=414000&amp;sourceID=14","414000")</f>
        <v>414000</v>
      </c>
      <c r="G3358" s="4" t="str">
        <f>HYPERLINK("http://141.218.60.56/~jnz1568/getInfo.php?workbook=14_09.xlsx&amp;sheet=A0&amp;row=3358&amp;col=7&amp;number=0&amp;sourceID=14","0")</f>
        <v>0</v>
      </c>
    </row>
    <row r="3359" spans="1:7">
      <c r="A3359" s="3">
        <v>14</v>
      </c>
      <c r="B3359" s="3">
        <v>9</v>
      </c>
      <c r="C3359" s="3">
        <v>113</v>
      </c>
      <c r="D3359" s="3">
        <v>80</v>
      </c>
      <c r="E3359" s="3">
        <v>-2949.597</v>
      </c>
      <c r="F3359" s="4" t="str">
        <f>HYPERLINK("http://141.218.60.56/~jnz1568/getInfo.php?workbook=14_09.xlsx&amp;sheet=A0&amp;row=3359&amp;col=6&amp;number=202000000&amp;sourceID=14","202000000")</f>
        <v>202000000</v>
      </c>
      <c r="G3359" s="4" t="str">
        <f>HYPERLINK("http://141.218.60.56/~jnz1568/getInfo.php?workbook=14_09.xlsx&amp;sheet=A0&amp;row=3359&amp;col=7&amp;number=0&amp;sourceID=14","0")</f>
        <v>0</v>
      </c>
    </row>
    <row r="3360" spans="1:7">
      <c r="A3360" s="3">
        <v>14</v>
      </c>
      <c r="B3360" s="3">
        <v>9</v>
      </c>
      <c r="C3360" s="3">
        <v>115</v>
      </c>
      <c r="D3360" s="3">
        <v>80</v>
      </c>
      <c r="E3360" s="3">
        <v>-2936.604</v>
      </c>
      <c r="F3360" s="4" t="str">
        <f>HYPERLINK("http://141.218.60.56/~jnz1568/getInfo.php?workbook=14_09.xlsx&amp;sheet=A0&amp;row=3360&amp;col=6&amp;number=22300000&amp;sourceID=14","22300000")</f>
        <v>22300000</v>
      </c>
      <c r="G3360" s="4" t="str">
        <f>HYPERLINK("http://141.218.60.56/~jnz1568/getInfo.php?workbook=14_09.xlsx&amp;sheet=A0&amp;row=3360&amp;col=7&amp;number=0&amp;sourceID=14","0")</f>
        <v>0</v>
      </c>
    </row>
    <row r="3361" spans="1:7">
      <c r="A3361" s="3">
        <v>14</v>
      </c>
      <c r="B3361" s="3">
        <v>9</v>
      </c>
      <c r="C3361" s="3">
        <v>116</v>
      </c>
      <c r="D3361" s="3">
        <v>80</v>
      </c>
      <c r="E3361" s="3">
        <v>-2934.192</v>
      </c>
      <c r="F3361" s="4" t="str">
        <f>HYPERLINK("http://141.218.60.56/~jnz1568/getInfo.php?workbook=14_09.xlsx&amp;sheet=A0&amp;row=3361&amp;col=6&amp;number=16500000&amp;sourceID=14","16500000")</f>
        <v>16500000</v>
      </c>
      <c r="G3361" s="4" t="str">
        <f>HYPERLINK("http://141.218.60.56/~jnz1568/getInfo.php?workbook=14_09.xlsx&amp;sheet=A0&amp;row=3361&amp;col=7&amp;number=0&amp;sourceID=14","0")</f>
        <v>0</v>
      </c>
    </row>
    <row r="3362" spans="1:7">
      <c r="A3362" s="3">
        <v>14</v>
      </c>
      <c r="B3362" s="3">
        <v>9</v>
      </c>
      <c r="C3362" s="3">
        <v>125</v>
      </c>
      <c r="D3362" s="3">
        <v>80</v>
      </c>
      <c r="E3362" s="3">
        <v>-2198.724</v>
      </c>
      <c r="F3362" s="4" t="str">
        <f>HYPERLINK("http://141.218.60.56/~jnz1568/getInfo.php?workbook=14_09.xlsx&amp;sheet=A0&amp;row=3362&amp;col=6&amp;number=29700000&amp;sourceID=14","29700000")</f>
        <v>29700000</v>
      </c>
      <c r="G3362" s="4" t="str">
        <f>HYPERLINK("http://141.218.60.56/~jnz1568/getInfo.php?workbook=14_09.xlsx&amp;sheet=A0&amp;row=3362&amp;col=7&amp;number=0&amp;sourceID=14","0")</f>
        <v>0</v>
      </c>
    </row>
    <row r="3363" spans="1:7">
      <c r="A3363" s="3">
        <v>14</v>
      </c>
      <c r="B3363" s="3">
        <v>9</v>
      </c>
      <c r="C3363" s="3">
        <v>126</v>
      </c>
      <c r="D3363" s="3">
        <v>80</v>
      </c>
      <c r="E3363" s="3">
        <v>-2103.54</v>
      </c>
      <c r="F3363" s="4" t="str">
        <f>HYPERLINK("http://141.218.60.56/~jnz1568/getInfo.php?workbook=14_09.xlsx&amp;sheet=A0&amp;row=3363&amp;col=6&amp;number=478000000&amp;sourceID=14","478000000")</f>
        <v>478000000</v>
      </c>
      <c r="G3363" s="4" t="str">
        <f>HYPERLINK("http://141.218.60.56/~jnz1568/getInfo.php?workbook=14_09.xlsx&amp;sheet=A0&amp;row=3363&amp;col=7&amp;number=0&amp;sourceID=14","0")</f>
        <v>0</v>
      </c>
    </row>
    <row r="3364" spans="1:7">
      <c r="A3364" s="3">
        <v>14</v>
      </c>
      <c r="B3364" s="3">
        <v>9</v>
      </c>
      <c r="C3364" s="3">
        <v>138</v>
      </c>
      <c r="D3364" s="3">
        <v>80</v>
      </c>
      <c r="E3364" s="3">
        <v>-1257.722</v>
      </c>
      <c r="F3364" s="4" t="str">
        <f>HYPERLINK("http://141.218.60.56/~jnz1568/getInfo.php?workbook=14_09.xlsx&amp;sheet=A0&amp;row=3364&amp;col=6&amp;number=333000&amp;sourceID=14","333000")</f>
        <v>333000</v>
      </c>
      <c r="G3364" s="4" t="str">
        <f>HYPERLINK("http://141.218.60.56/~jnz1568/getInfo.php?workbook=14_09.xlsx&amp;sheet=A0&amp;row=3364&amp;col=7&amp;number=0&amp;sourceID=14","0")</f>
        <v>0</v>
      </c>
    </row>
    <row r="3365" spans="1:7">
      <c r="A3365" s="3">
        <v>14</v>
      </c>
      <c r="B3365" s="3">
        <v>9</v>
      </c>
      <c r="C3365" s="3">
        <v>141</v>
      </c>
      <c r="D3365" s="3">
        <v>80</v>
      </c>
      <c r="E3365" s="3">
        <v>-1236.157</v>
      </c>
      <c r="F3365" s="4" t="str">
        <f>HYPERLINK("http://141.218.60.56/~jnz1568/getInfo.php?workbook=14_09.xlsx&amp;sheet=A0&amp;row=3365&amp;col=6&amp;number=207000&amp;sourceID=14","207000")</f>
        <v>207000</v>
      </c>
      <c r="G3365" s="4" t="str">
        <f>HYPERLINK("http://141.218.60.56/~jnz1568/getInfo.php?workbook=14_09.xlsx&amp;sheet=A0&amp;row=3365&amp;col=7&amp;number=0&amp;sourceID=14","0")</f>
        <v>0</v>
      </c>
    </row>
    <row r="3366" spans="1:7">
      <c r="A3366" s="3">
        <v>14</v>
      </c>
      <c r="B3366" s="3">
        <v>9</v>
      </c>
      <c r="C3366" s="3">
        <v>142</v>
      </c>
      <c r="D3366" s="3">
        <v>80</v>
      </c>
      <c r="E3366" s="3">
        <v>-1235.989</v>
      </c>
      <c r="F3366" s="4" t="str">
        <f>HYPERLINK("http://141.218.60.56/~jnz1568/getInfo.php?workbook=14_09.xlsx&amp;sheet=A0&amp;row=3366&amp;col=6&amp;number=2480000&amp;sourceID=14","2480000")</f>
        <v>2480000</v>
      </c>
      <c r="G3366" s="4" t="str">
        <f>HYPERLINK("http://141.218.60.56/~jnz1568/getInfo.php?workbook=14_09.xlsx&amp;sheet=A0&amp;row=3366&amp;col=7&amp;number=0&amp;sourceID=14","0")</f>
        <v>0</v>
      </c>
    </row>
    <row r="3367" spans="1:7">
      <c r="A3367" s="3">
        <v>14</v>
      </c>
      <c r="B3367" s="3">
        <v>9</v>
      </c>
      <c r="C3367" s="3">
        <v>147</v>
      </c>
      <c r="D3367" s="3">
        <v>80</v>
      </c>
      <c r="E3367" s="3">
        <v>-1215.63</v>
      </c>
      <c r="F3367" s="4" t="str">
        <f>HYPERLINK("http://141.218.60.56/~jnz1568/getInfo.php?workbook=14_09.xlsx&amp;sheet=A0&amp;row=3367&amp;col=6&amp;number=4540000&amp;sourceID=14","4540000")</f>
        <v>4540000</v>
      </c>
      <c r="G3367" s="4" t="str">
        <f>HYPERLINK("http://141.218.60.56/~jnz1568/getInfo.php?workbook=14_09.xlsx&amp;sheet=A0&amp;row=3367&amp;col=7&amp;number=0&amp;sourceID=14","0")</f>
        <v>0</v>
      </c>
    </row>
    <row r="3368" spans="1:7">
      <c r="A3368" s="3">
        <v>14</v>
      </c>
      <c r="B3368" s="3">
        <v>9</v>
      </c>
      <c r="C3368" s="3">
        <v>159</v>
      </c>
      <c r="D3368" s="3">
        <v>80</v>
      </c>
      <c r="E3368" s="3">
        <v>-979.712</v>
      </c>
      <c r="F3368" s="4" t="str">
        <f>HYPERLINK("http://141.218.60.56/~jnz1568/getInfo.php?workbook=14_09.xlsx&amp;sheet=A0&amp;row=3368&amp;col=6&amp;number=346000&amp;sourceID=14","346000")</f>
        <v>346000</v>
      </c>
      <c r="G3368" s="4" t="str">
        <f>HYPERLINK("http://141.218.60.56/~jnz1568/getInfo.php?workbook=14_09.xlsx&amp;sheet=A0&amp;row=3368&amp;col=7&amp;number=0&amp;sourceID=14","0")</f>
        <v>0</v>
      </c>
    </row>
    <row r="3369" spans="1:7">
      <c r="A3369" s="3">
        <v>14</v>
      </c>
      <c r="B3369" s="3">
        <v>9</v>
      </c>
      <c r="C3369" s="3">
        <v>160</v>
      </c>
      <c r="D3369" s="3">
        <v>80</v>
      </c>
      <c r="E3369" s="3">
        <v>-978.514</v>
      </c>
      <c r="F3369" s="4" t="str">
        <f>HYPERLINK("http://141.218.60.56/~jnz1568/getInfo.php?workbook=14_09.xlsx&amp;sheet=A0&amp;row=3369&amp;col=6&amp;number=13000000&amp;sourceID=14","13000000")</f>
        <v>13000000</v>
      </c>
      <c r="G3369" s="4" t="str">
        <f>HYPERLINK("http://141.218.60.56/~jnz1568/getInfo.php?workbook=14_09.xlsx&amp;sheet=A0&amp;row=3369&amp;col=7&amp;number=0&amp;sourceID=14","0")</f>
        <v>0</v>
      </c>
    </row>
    <row r="3370" spans="1:7">
      <c r="A3370" s="3">
        <v>14</v>
      </c>
      <c r="B3370" s="3">
        <v>9</v>
      </c>
      <c r="C3370" s="3">
        <v>164</v>
      </c>
      <c r="D3370" s="3">
        <v>80</v>
      </c>
      <c r="E3370" s="3">
        <v>-663.84</v>
      </c>
      <c r="F3370" s="4" t="str">
        <f>HYPERLINK("http://141.218.60.56/~jnz1568/getInfo.php?workbook=14_09.xlsx&amp;sheet=A0&amp;row=3370&amp;col=6&amp;number=16900000&amp;sourceID=14","16900000")</f>
        <v>16900000</v>
      </c>
      <c r="G3370" s="4" t="str">
        <f>HYPERLINK("http://141.218.60.56/~jnz1568/getInfo.php?workbook=14_09.xlsx&amp;sheet=A0&amp;row=3370&amp;col=7&amp;number=0&amp;sourceID=14","0")</f>
        <v>0</v>
      </c>
    </row>
    <row r="3371" spans="1:7">
      <c r="A3371" s="3">
        <v>14</v>
      </c>
      <c r="B3371" s="3">
        <v>9</v>
      </c>
      <c r="C3371" s="3">
        <v>166</v>
      </c>
      <c r="D3371" s="3">
        <v>80</v>
      </c>
      <c r="E3371" s="3">
        <v>-627.519</v>
      </c>
      <c r="F3371" s="4" t="str">
        <f>HYPERLINK("http://141.218.60.56/~jnz1568/getInfo.php?workbook=14_09.xlsx&amp;sheet=A0&amp;row=3371&amp;col=6&amp;number=2250000&amp;sourceID=14","2250000")</f>
        <v>2250000</v>
      </c>
      <c r="G3371" s="4" t="str">
        <f>HYPERLINK("http://141.218.60.56/~jnz1568/getInfo.php?workbook=14_09.xlsx&amp;sheet=A0&amp;row=3371&amp;col=7&amp;number=0&amp;sourceID=14","0")</f>
        <v>0</v>
      </c>
    </row>
    <row r="3372" spans="1:7">
      <c r="A3372" s="3">
        <v>14</v>
      </c>
      <c r="B3372" s="3">
        <v>9</v>
      </c>
      <c r="C3372" s="3">
        <v>167</v>
      </c>
      <c r="D3372" s="3">
        <v>80</v>
      </c>
      <c r="E3372" s="3">
        <v>-626.957</v>
      </c>
      <c r="F3372" s="4" t="str">
        <f>HYPERLINK("http://141.218.60.56/~jnz1568/getInfo.php?workbook=14_09.xlsx&amp;sheet=A0&amp;row=3372&amp;col=6&amp;number=9080000&amp;sourceID=14","9080000")</f>
        <v>9080000</v>
      </c>
      <c r="G3372" s="4" t="str">
        <f>HYPERLINK("http://141.218.60.56/~jnz1568/getInfo.php?workbook=14_09.xlsx&amp;sheet=A0&amp;row=3372&amp;col=7&amp;number=0&amp;sourceID=14","0")</f>
        <v>0</v>
      </c>
    </row>
    <row r="3373" spans="1:7">
      <c r="A3373" s="3">
        <v>14</v>
      </c>
      <c r="B3373" s="3">
        <v>9</v>
      </c>
      <c r="C3373" s="3">
        <v>176</v>
      </c>
      <c r="D3373" s="3">
        <v>80</v>
      </c>
      <c r="E3373" s="3">
        <v>-506.066</v>
      </c>
      <c r="F3373" s="4" t="str">
        <f>HYPERLINK("http://141.218.60.56/~jnz1568/getInfo.php?workbook=14_09.xlsx&amp;sheet=A0&amp;row=3373&amp;col=6&amp;number=685000&amp;sourceID=14","685000")</f>
        <v>685000</v>
      </c>
      <c r="G3373" s="4" t="str">
        <f>HYPERLINK("http://141.218.60.56/~jnz1568/getInfo.php?workbook=14_09.xlsx&amp;sheet=A0&amp;row=3373&amp;col=7&amp;number=0&amp;sourceID=14","0")</f>
        <v>0</v>
      </c>
    </row>
    <row r="3374" spans="1:7">
      <c r="A3374" s="3">
        <v>14</v>
      </c>
      <c r="B3374" s="3">
        <v>9</v>
      </c>
      <c r="C3374" s="3">
        <v>180</v>
      </c>
      <c r="D3374" s="3">
        <v>80</v>
      </c>
      <c r="E3374" s="3">
        <v>-502.294</v>
      </c>
      <c r="F3374" s="4" t="str">
        <f>HYPERLINK("http://141.218.60.56/~jnz1568/getInfo.php?workbook=14_09.xlsx&amp;sheet=A0&amp;row=3374&amp;col=6&amp;number=6790000&amp;sourceID=14","6790000")</f>
        <v>6790000</v>
      </c>
      <c r="G3374" s="4" t="str">
        <f>HYPERLINK("http://141.218.60.56/~jnz1568/getInfo.php?workbook=14_09.xlsx&amp;sheet=A0&amp;row=3374&amp;col=7&amp;number=0&amp;sourceID=14","0")</f>
        <v>0</v>
      </c>
    </row>
    <row r="3375" spans="1:7">
      <c r="A3375" s="3">
        <v>14</v>
      </c>
      <c r="B3375" s="3">
        <v>9</v>
      </c>
      <c r="C3375" s="3">
        <v>181</v>
      </c>
      <c r="D3375" s="3">
        <v>80</v>
      </c>
      <c r="E3375" s="3">
        <v>-491.643</v>
      </c>
      <c r="F3375" s="4" t="str">
        <f>HYPERLINK("http://141.218.60.56/~jnz1568/getInfo.php?workbook=14_09.xlsx&amp;sheet=A0&amp;row=3375&amp;col=6&amp;number=2180000&amp;sourceID=14","2180000")</f>
        <v>2180000</v>
      </c>
      <c r="G3375" s="4" t="str">
        <f>HYPERLINK("http://141.218.60.56/~jnz1568/getInfo.php?workbook=14_09.xlsx&amp;sheet=A0&amp;row=3375&amp;col=7&amp;number=0&amp;sourceID=14","0")</f>
        <v>0</v>
      </c>
    </row>
    <row r="3376" spans="1:7">
      <c r="A3376" s="3">
        <v>14</v>
      </c>
      <c r="B3376" s="3">
        <v>9</v>
      </c>
      <c r="C3376" s="3">
        <v>182</v>
      </c>
      <c r="D3376" s="3">
        <v>80</v>
      </c>
      <c r="E3376" s="3">
        <v>-491.409</v>
      </c>
      <c r="F3376" s="4" t="str">
        <f>HYPERLINK("http://141.218.60.56/~jnz1568/getInfo.php?workbook=14_09.xlsx&amp;sheet=A0&amp;row=3376&amp;col=6&amp;number=3120000&amp;sourceID=14","3120000")</f>
        <v>3120000</v>
      </c>
      <c r="G3376" s="4" t="str">
        <f>HYPERLINK("http://141.218.60.56/~jnz1568/getInfo.php?workbook=14_09.xlsx&amp;sheet=A0&amp;row=3376&amp;col=7&amp;number=0&amp;sourceID=14","0")</f>
        <v>0</v>
      </c>
    </row>
    <row r="3377" spans="1:7">
      <c r="A3377" s="3">
        <v>14</v>
      </c>
      <c r="B3377" s="3">
        <v>9</v>
      </c>
      <c r="C3377" s="3">
        <v>190</v>
      </c>
      <c r="D3377" s="3">
        <v>80</v>
      </c>
      <c r="E3377" s="3">
        <v>-289.844</v>
      </c>
      <c r="F3377" s="4" t="str">
        <f>HYPERLINK("http://141.218.60.56/~jnz1568/getInfo.php?workbook=14_09.xlsx&amp;sheet=A0&amp;row=3377&amp;col=6&amp;number=33800000&amp;sourceID=14","33800000")</f>
        <v>33800000</v>
      </c>
      <c r="G3377" s="4" t="str">
        <f>HYPERLINK("http://141.218.60.56/~jnz1568/getInfo.php?workbook=14_09.xlsx&amp;sheet=A0&amp;row=3377&amp;col=7&amp;number=0&amp;sourceID=14","0")</f>
        <v>0</v>
      </c>
    </row>
    <row r="3378" spans="1:7">
      <c r="A3378" s="3">
        <v>14</v>
      </c>
      <c r="B3378" s="3">
        <v>9</v>
      </c>
      <c r="C3378" s="3">
        <v>193</v>
      </c>
      <c r="D3378" s="3">
        <v>80</v>
      </c>
      <c r="E3378" s="3">
        <v>-286.664</v>
      </c>
      <c r="F3378" s="4" t="str">
        <f>HYPERLINK("http://141.218.60.56/~jnz1568/getInfo.php?workbook=14_09.xlsx&amp;sheet=A0&amp;row=3378&amp;col=6&amp;number=27700000&amp;sourceID=14","27700000")</f>
        <v>27700000</v>
      </c>
      <c r="G3378" s="4" t="str">
        <f>HYPERLINK("http://141.218.60.56/~jnz1568/getInfo.php?workbook=14_09.xlsx&amp;sheet=A0&amp;row=3378&amp;col=7&amp;number=0&amp;sourceID=14","0")</f>
        <v>0</v>
      </c>
    </row>
    <row r="3379" spans="1:7">
      <c r="A3379" s="3">
        <v>14</v>
      </c>
      <c r="B3379" s="3">
        <v>9</v>
      </c>
      <c r="C3379" s="3">
        <v>194</v>
      </c>
      <c r="D3379" s="3">
        <v>80</v>
      </c>
      <c r="E3379" s="3">
        <v>-284.351</v>
      </c>
      <c r="F3379" s="4" t="str">
        <f>HYPERLINK("http://141.218.60.56/~jnz1568/getInfo.php?workbook=14_09.xlsx&amp;sheet=A0&amp;row=3379&amp;col=6&amp;number=1350000&amp;sourceID=14","1350000")</f>
        <v>1350000</v>
      </c>
      <c r="G3379" s="4" t="str">
        <f>HYPERLINK("http://141.218.60.56/~jnz1568/getInfo.php?workbook=14_09.xlsx&amp;sheet=A0&amp;row=3379&amp;col=7&amp;number=0&amp;sourceID=14","0")</f>
        <v>0</v>
      </c>
    </row>
    <row r="3380" spans="1:7">
      <c r="A3380" s="3">
        <v>14</v>
      </c>
      <c r="B3380" s="3">
        <v>9</v>
      </c>
      <c r="C3380" s="3">
        <v>86</v>
      </c>
      <c r="D3380" s="3">
        <v>81</v>
      </c>
      <c r="E3380" s="3">
        <v>-5335.62</v>
      </c>
      <c r="F3380" s="4" t="str">
        <f>HYPERLINK("http://141.218.60.56/~jnz1568/getInfo.php?workbook=14_09.xlsx&amp;sheet=A0&amp;row=3380&amp;col=6&amp;number=6550000&amp;sourceID=14","6550000")</f>
        <v>6550000</v>
      </c>
      <c r="G3380" s="4" t="str">
        <f>HYPERLINK("http://141.218.60.56/~jnz1568/getInfo.php?workbook=14_09.xlsx&amp;sheet=A0&amp;row=3380&amp;col=7&amp;number=0&amp;sourceID=14","0")</f>
        <v>0</v>
      </c>
    </row>
    <row r="3381" spans="1:7">
      <c r="A3381" s="3">
        <v>14</v>
      </c>
      <c r="B3381" s="3">
        <v>9</v>
      </c>
      <c r="C3381" s="3">
        <v>87</v>
      </c>
      <c r="D3381" s="3">
        <v>81</v>
      </c>
      <c r="E3381" s="3">
        <v>-5250.18</v>
      </c>
      <c r="F3381" s="4" t="str">
        <f>HYPERLINK("http://141.218.60.56/~jnz1568/getInfo.php?workbook=14_09.xlsx&amp;sheet=A0&amp;row=3381&amp;col=6&amp;number=2990000&amp;sourceID=14","2990000")</f>
        <v>2990000</v>
      </c>
      <c r="G3381" s="4" t="str">
        <f>HYPERLINK("http://141.218.60.56/~jnz1568/getInfo.php?workbook=14_09.xlsx&amp;sheet=A0&amp;row=3381&amp;col=7&amp;number=0&amp;sourceID=14","0")</f>
        <v>0</v>
      </c>
    </row>
    <row r="3382" spans="1:7">
      <c r="A3382" s="3">
        <v>14</v>
      </c>
      <c r="B3382" s="3">
        <v>9</v>
      </c>
      <c r="C3382" s="3">
        <v>88</v>
      </c>
      <c r="D3382" s="3">
        <v>81</v>
      </c>
      <c r="E3382" s="3">
        <v>-5090.104</v>
      </c>
      <c r="F3382" s="4" t="str">
        <f>HYPERLINK("http://141.218.60.56/~jnz1568/getInfo.php?workbook=14_09.xlsx&amp;sheet=A0&amp;row=3382&amp;col=6&amp;number=926000&amp;sourceID=14","926000")</f>
        <v>926000</v>
      </c>
      <c r="G3382" s="4" t="str">
        <f>HYPERLINK("http://141.218.60.56/~jnz1568/getInfo.php?workbook=14_09.xlsx&amp;sheet=A0&amp;row=3382&amp;col=7&amp;number=0&amp;sourceID=14","0")</f>
        <v>0</v>
      </c>
    </row>
    <row r="3383" spans="1:7">
      <c r="A3383" s="3">
        <v>14</v>
      </c>
      <c r="B3383" s="3">
        <v>9</v>
      </c>
      <c r="C3383" s="3">
        <v>91</v>
      </c>
      <c r="D3383" s="3">
        <v>81</v>
      </c>
      <c r="E3383" s="3">
        <v>-4424.2</v>
      </c>
      <c r="F3383" s="4" t="str">
        <f>HYPERLINK("http://141.218.60.56/~jnz1568/getInfo.php?workbook=14_09.xlsx&amp;sheet=A0&amp;row=3383&amp;col=6&amp;number=593000&amp;sourceID=14","593000")</f>
        <v>593000</v>
      </c>
      <c r="G3383" s="4" t="str">
        <f>HYPERLINK("http://141.218.60.56/~jnz1568/getInfo.php?workbook=14_09.xlsx&amp;sheet=A0&amp;row=3383&amp;col=7&amp;number=0&amp;sourceID=14","0")</f>
        <v>0</v>
      </c>
    </row>
    <row r="3384" spans="1:7">
      <c r="A3384" s="3">
        <v>14</v>
      </c>
      <c r="B3384" s="3">
        <v>9</v>
      </c>
      <c r="C3384" s="3">
        <v>93</v>
      </c>
      <c r="D3384" s="3">
        <v>81</v>
      </c>
      <c r="E3384" s="3">
        <v>-4111.173</v>
      </c>
      <c r="F3384" s="4" t="str">
        <f>HYPERLINK("http://141.218.60.56/~jnz1568/getInfo.php?workbook=14_09.xlsx&amp;sheet=A0&amp;row=3384&amp;col=6&amp;number=1460000&amp;sourceID=14","1460000")</f>
        <v>1460000</v>
      </c>
      <c r="G3384" s="4" t="str">
        <f>HYPERLINK("http://141.218.60.56/~jnz1568/getInfo.php?workbook=14_09.xlsx&amp;sheet=A0&amp;row=3384&amp;col=7&amp;number=0&amp;sourceID=14","0")</f>
        <v>0</v>
      </c>
    </row>
    <row r="3385" spans="1:7">
      <c r="A3385" s="3">
        <v>14</v>
      </c>
      <c r="B3385" s="3">
        <v>9</v>
      </c>
      <c r="C3385" s="3">
        <v>94</v>
      </c>
      <c r="D3385" s="3">
        <v>81</v>
      </c>
      <c r="E3385" s="3">
        <v>-4074.157</v>
      </c>
      <c r="F3385" s="4" t="str">
        <f>HYPERLINK("http://141.218.60.56/~jnz1568/getInfo.php?workbook=14_09.xlsx&amp;sheet=A0&amp;row=3385&amp;col=6&amp;number=2260000&amp;sourceID=14","2260000")</f>
        <v>2260000</v>
      </c>
      <c r="G3385" s="4" t="str">
        <f>HYPERLINK("http://141.218.60.56/~jnz1568/getInfo.php?workbook=14_09.xlsx&amp;sheet=A0&amp;row=3385&amp;col=7&amp;number=0&amp;sourceID=14","0")</f>
        <v>0</v>
      </c>
    </row>
    <row r="3386" spans="1:7">
      <c r="A3386" s="3">
        <v>14</v>
      </c>
      <c r="B3386" s="3">
        <v>9</v>
      </c>
      <c r="C3386" s="3">
        <v>95</v>
      </c>
      <c r="D3386" s="3">
        <v>81</v>
      </c>
      <c r="E3386" s="3">
        <v>-3939.962</v>
      </c>
      <c r="F3386" s="4" t="str">
        <f>HYPERLINK("http://141.218.60.56/~jnz1568/getInfo.php?workbook=14_09.xlsx&amp;sheet=A0&amp;row=3386&amp;col=6&amp;number=3240000&amp;sourceID=14","3240000")</f>
        <v>3240000</v>
      </c>
      <c r="G3386" s="4" t="str">
        <f>HYPERLINK("http://141.218.60.56/~jnz1568/getInfo.php?workbook=14_09.xlsx&amp;sheet=A0&amp;row=3386&amp;col=7&amp;number=0&amp;sourceID=14","0")</f>
        <v>0</v>
      </c>
    </row>
    <row r="3387" spans="1:7">
      <c r="A3387" s="3">
        <v>14</v>
      </c>
      <c r="B3387" s="3">
        <v>9</v>
      </c>
      <c r="C3387" s="3">
        <v>97</v>
      </c>
      <c r="D3387" s="3">
        <v>81</v>
      </c>
      <c r="E3387" s="3">
        <v>-3797.668</v>
      </c>
      <c r="F3387" s="4" t="str">
        <f>HYPERLINK("http://141.218.60.56/~jnz1568/getInfo.php?workbook=14_09.xlsx&amp;sheet=A0&amp;row=3387&amp;col=6&amp;number=2720000&amp;sourceID=14","2720000")</f>
        <v>2720000</v>
      </c>
      <c r="G3387" s="4" t="str">
        <f>HYPERLINK("http://141.218.60.56/~jnz1568/getInfo.php?workbook=14_09.xlsx&amp;sheet=A0&amp;row=3387&amp;col=7&amp;number=0&amp;sourceID=14","0")</f>
        <v>0</v>
      </c>
    </row>
    <row r="3388" spans="1:7">
      <c r="A3388" s="3">
        <v>14</v>
      </c>
      <c r="B3388" s="3">
        <v>9</v>
      </c>
      <c r="C3388" s="3">
        <v>98</v>
      </c>
      <c r="D3388" s="3">
        <v>81</v>
      </c>
      <c r="E3388" s="3">
        <v>-3681.756</v>
      </c>
      <c r="F3388" s="4" t="str">
        <f>HYPERLINK("http://141.218.60.56/~jnz1568/getInfo.php?workbook=14_09.xlsx&amp;sheet=A0&amp;row=3388&amp;col=6&amp;number=761000&amp;sourceID=14","761000")</f>
        <v>761000</v>
      </c>
      <c r="G3388" s="4" t="str">
        <f>HYPERLINK("http://141.218.60.56/~jnz1568/getInfo.php?workbook=14_09.xlsx&amp;sheet=A0&amp;row=3388&amp;col=7&amp;number=0&amp;sourceID=14","0")</f>
        <v>0</v>
      </c>
    </row>
    <row r="3389" spans="1:7">
      <c r="A3389" s="3">
        <v>14</v>
      </c>
      <c r="B3389" s="3">
        <v>9</v>
      </c>
      <c r="C3389" s="3">
        <v>128</v>
      </c>
      <c r="D3389" s="3">
        <v>81</v>
      </c>
      <c r="E3389" s="3">
        <v>-1504.328</v>
      </c>
      <c r="F3389" s="4" t="str">
        <f>HYPERLINK("http://141.218.60.56/~jnz1568/getInfo.php?workbook=14_09.xlsx&amp;sheet=A0&amp;row=3389&amp;col=6&amp;number=241000000&amp;sourceID=14","241000000")</f>
        <v>241000000</v>
      </c>
      <c r="G3389" s="4" t="str">
        <f>HYPERLINK("http://141.218.60.56/~jnz1568/getInfo.php?workbook=14_09.xlsx&amp;sheet=A0&amp;row=3389&amp;col=7&amp;number=0&amp;sourceID=14","0")</f>
        <v>0</v>
      </c>
    </row>
    <row r="3390" spans="1:7">
      <c r="A3390" s="3">
        <v>14</v>
      </c>
      <c r="B3390" s="3">
        <v>9</v>
      </c>
      <c r="C3390" s="3">
        <v>133</v>
      </c>
      <c r="D3390" s="3">
        <v>81</v>
      </c>
      <c r="E3390" s="3">
        <v>-1388.679</v>
      </c>
      <c r="F3390" s="4" t="str">
        <f>HYPERLINK("http://141.218.60.56/~jnz1568/getInfo.php?workbook=14_09.xlsx&amp;sheet=A0&amp;row=3390&amp;col=6&amp;number=1370000&amp;sourceID=14","1370000")</f>
        <v>1370000</v>
      </c>
      <c r="G3390" s="4" t="str">
        <f>HYPERLINK("http://141.218.60.56/~jnz1568/getInfo.php?workbook=14_09.xlsx&amp;sheet=A0&amp;row=3390&amp;col=7&amp;number=0&amp;sourceID=14","0")</f>
        <v>0</v>
      </c>
    </row>
    <row r="3391" spans="1:7">
      <c r="A3391" s="3">
        <v>14</v>
      </c>
      <c r="B3391" s="3">
        <v>9</v>
      </c>
      <c r="C3391" s="3">
        <v>140</v>
      </c>
      <c r="D3391" s="3">
        <v>81</v>
      </c>
      <c r="E3391" s="3">
        <v>-1271.426</v>
      </c>
      <c r="F3391" s="4" t="str">
        <f>HYPERLINK("http://141.218.60.56/~jnz1568/getInfo.php?workbook=14_09.xlsx&amp;sheet=A0&amp;row=3391&amp;col=6&amp;number=738000000&amp;sourceID=14","738000000")</f>
        <v>738000000</v>
      </c>
      <c r="G3391" s="4" t="str">
        <f>HYPERLINK("http://141.218.60.56/~jnz1568/getInfo.php?workbook=14_09.xlsx&amp;sheet=A0&amp;row=3391&amp;col=7&amp;number=0&amp;sourceID=14","0")</f>
        <v>0</v>
      </c>
    </row>
    <row r="3392" spans="1:7">
      <c r="A3392" s="3">
        <v>14</v>
      </c>
      <c r="B3392" s="3">
        <v>9</v>
      </c>
      <c r="C3392" s="3">
        <v>145</v>
      </c>
      <c r="D3392" s="3">
        <v>81</v>
      </c>
      <c r="E3392" s="3">
        <v>-1249.081</v>
      </c>
      <c r="F3392" s="4" t="str">
        <f>HYPERLINK("http://141.218.60.56/~jnz1568/getInfo.php?workbook=14_09.xlsx&amp;sheet=A0&amp;row=3392&amp;col=6&amp;number=351000000&amp;sourceID=14","351000000")</f>
        <v>351000000</v>
      </c>
      <c r="G3392" s="4" t="str">
        <f>HYPERLINK("http://141.218.60.56/~jnz1568/getInfo.php?workbook=14_09.xlsx&amp;sheet=A0&amp;row=3392&amp;col=7&amp;number=0&amp;sourceID=14","0")</f>
        <v>0</v>
      </c>
    </row>
    <row r="3393" spans="1:7">
      <c r="A3393" s="3">
        <v>14</v>
      </c>
      <c r="B3393" s="3">
        <v>9</v>
      </c>
      <c r="C3393" s="3">
        <v>148</v>
      </c>
      <c r="D3393" s="3">
        <v>81</v>
      </c>
      <c r="E3393" s="3">
        <v>-1227.056</v>
      </c>
      <c r="F3393" s="4" t="str">
        <f>HYPERLINK("http://141.218.60.56/~jnz1568/getInfo.php?workbook=14_09.xlsx&amp;sheet=A0&amp;row=3393&amp;col=6&amp;number=78800000&amp;sourceID=14","78800000")</f>
        <v>78800000</v>
      </c>
      <c r="G3393" s="4" t="str">
        <f>HYPERLINK("http://141.218.60.56/~jnz1568/getInfo.php?workbook=14_09.xlsx&amp;sheet=A0&amp;row=3393&amp;col=7&amp;number=0&amp;sourceID=14","0")</f>
        <v>0</v>
      </c>
    </row>
    <row r="3394" spans="1:7">
      <c r="A3394" s="3">
        <v>14</v>
      </c>
      <c r="B3394" s="3">
        <v>9</v>
      </c>
      <c r="C3394" s="3">
        <v>152</v>
      </c>
      <c r="D3394" s="3">
        <v>81</v>
      </c>
      <c r="E3394" s="3">
        <v>-1124.33</v>
      </c>
      <c r="F3394" s="4" t="str">
        <f>HYPERLINK("http://141.218.60.56/~jnz1568/getInfo.php?workbook=14_09.xlsx&amp;sheet=A0&amp;row=3394&amp;col=6&amp;number=489000000&amp;sourceID=14","489000000")</f>
        <v>489000000</v>
      </c>
      <c r="G3394" s="4" t="str">
        <f>HYPERLINK("http://141.218.60.56/~jnz1568/getInfo.php?workbook=14_09.xlsx&amp;sheet=A0&amp;row=3394&amp;col=7&amp;number=0&amp;sourceID=14","0")</f>
        <v>0</v>
      </c>
    </row>
    <row r="3395" spans="1:7">
      <c r="A3395" s="3">
        <v>14</v>
      </c>
      <c r="B3395" s="3">
        <v>9</v>
      </c>
      <c r="C3395" s="3">
        <v>153</v>
      </c>
      <c r="D3395" s="3">
        <v>81</v>
      </c>
      <c r="E3395" s="3">
        <v>-1102.635</v>
      </c>
      <c r="F3395" s="4" t="str">
        <f>HYPERLINK("http://141.218.60.56/~jnz1568/getInfo.php?workbook=14_09.xlsx&amp;sheet=A0&amp;row=3395&amp;col=6&amp;number=134000000&amp;sourceID=14","134000000")</f>
        <v>134000000</v>
      </c>
      <c r="G3395" s="4" t="str">
        <f>HYPERLINK("http://141.218.60.56/~jnz1568/getInfo.php?workbook=14_09.xlsx&amp;sheet=A0&amp;row=3395&amp;col=7&amp;number=0&amp;sourceID=14","0")</f>
        <v>0</v>
      </c>
    </row>
    <row r="3396" spans="1:7">
      <c r="A3396" s="3">
        <v>14</v>
      </c>
      <c r="B3396" s="3">
        <v>9</v>
      </c>
      <c r="C3396" s="3">
        <v>154</v>
      </c>
      <c r="D3396" s="3">
        <v>81</v>
      </c>
      <c r="E3396" s="3">
        <v>-1102.356</v>
      </c>
      <c r="F3396" s="4" t="str">
        <f>HYPERLINK("http://141.218.60.56/~jnz1568/getInfo.php?workbook=14_09.xlsx&amp;sheet=A0&amp;row=3396&amp;col=6&amp;number=356000000&amp;sourceID=14","356000000")</f>
        <v>356000000</v>
      </c>
      <c r="G3396" s="4" t="str">
        <f>HYPERLINK("http://141.218.60.56/~jnz1568/getInfo.php?workbook=14_09.xlsx&amp;sheet=A0&amp;row=3396&amp;col=7&amp;number=0&amp;sourceID=14","0")</f>
        <v>0</v>
      </c>
    </row>
    <row r="3397" spans="1:7">
      <c r="A3397" s="3">
        <v>14</v>
      </c>
      <c r="B3397" s="3">
        <v>9</v>
      </c>
      <c r="C3397" s="3">
        <v>156</v>
      </c>
      <c r="D3397" s="3">
        <v>81</v>
      </c>
      <c r="E3397" s="3">
        <v>-1083.484</v>
      </c>
      <c r="F3397" s="4" t="str">
        <f>HYPERLINK("http://141.218.60.56/~jnz1568/getInfo.php?workbook=14_09.xlsx&amp;sheet=A0&amp;row=3397&amp;col=6&amp;number=18400000&amp;sourceID=14","18400000")</f>
        <v>18400000</v>
      </c>
      <c r="G3397" s="4" t="str">
        <f>HYPERLINK("http://141.218.60.56/~jnz1568/getInfo.php?workbook=14_09.xlsx&amp;sheet=A0&amp;row=3397&amp;col=7&amp;number=0&amp;sourceID=14","0")</f>
        <v>0</v>
      </c>
    </row>
    <row r="3398" spans="1:7">
      <c r="A3398" s="3">
        <v>14</v>
      </c>
      <c r="B3398" s="3">
        <v>9</v>
      </c>
      <c r="C3398" s="3">
        <v>157</v>
      </c>
      <c r="D3398" s="3">
        <v>81</v>
      </c>
      <c r="E3398" s="3">
        <v>-1054.265</v>
      </c>
      <c r="F3398" s="4" t="str">
        <f>HYPERLINK("http://141.218.60.56/~jnz1568/getInfo.php?workbook=14_09.xlsx&amp;sheet=A0&amp;row=3398&amp;col=6&amp;number=19100000&amp;sourceID=14","19100000")</f>
        <v>19100000</v>
      </c>
      <c r="G3398" s="4" t="str">
        <f>HYPERLINK("http://141.218.60.56/~jnz1568/getInfo.php?workbook=14_09.xlsx&amp;sheet=A0&amp;row=3398&amp;col=7&amp;number=0&amp;sourceID=14","0")</f>
        <v>0</v>
      </c>
    </row>
    <row r="3399" spans="1:7">
      <c r="A3399" s="3">
        <v>14</v>
      </c>
      <c r="B3399" s="3">
        <v>9</v>
      </c>
      <c r="C3399" s="3">
        <v>87</v>
      </c>
      <c r="D3399" s="3">
        <v>82</v>
      </c>
      <c r="E3399" s="3">
        <v>-6136.11</v>
      </c>
      <c r="F3399" s="4" t="str">
        <f>HYPERLINK("http://141.218.60.56/~jnz1568/getInfo.php?workbook=14_09.xlsx&amp;sheet=A0&amp;row=3399&amp;col=6&amp;number=1840000&amp;sourceID=14","1840000")</f>
        <v>1840000</v>
      </c>
      <c r="G3399" s="4" t="str">
        <f>HYPERLINK("http://141.218.60.56/~jnz1568/getInfo.php?workbook=14_09.xlsx&amp;sheet=A0&amp;row=3399&amp;col=7&amp;number=0&amp;sourceID=14","0")</f>
        <v>0</v>
      </c>
    </row>
    <row r="3400" spans="1:7">
      <c r="A3400" s="3">
        <v>14</v>
      </c>
      <c r="B3400" s="3">
        <v>9</v>
      </c>
      <c r="C3400" s="3">
        <v>88</v>
      </c>
      <c r="D3400" s="3">
        <v>82</v>
      </c>
      <c r="E3400" s="3">
        <v>-5918.571</v>
      </c>
      <c r="F3400" s="4" t="str">
        <f>HYPERLINK("http://141.218.60.56/~jnz1568/getInfo.php?workbook=14_09.xlsx&amp;sheet=A0&amp;row=3400&amp;col=6&amp;number=2320000&amp;sourceID=14","2320000")</f>
        <v>2320000</v>
      </c>
      <c r="G3400" s="4" t="str">
        <f>HYPERLINK("http://141.218.60.56/~jnz1568/getInfo.php?workbook=14_09.xlsx&amp;sheet=A0&amp;row=3400&amp;col=7&amp;number=0&amp;sourceID=14","0")</f>
        <v>0</v>
      </c>
    </row>
    <row r="3401" spans="1:7">
      <c r="A3401" s="3">
        <v>14</v>
      </c>
      <c r="B3401" s="3">
        <v>9</v>
      </c>
      <c r="C3401" s="3">
        <v>89</v>
      </c>
      <c r="D3401" s="3">
        <v>82</v>
      </c>
      <c r="E3401" s="3">
        <v>-5672.804</v>
      </c>
      <c r="F3401" s="4" t="str">
        <f>HYPERLINK("http://141.218.60.56/~jnz1568/getInfo.php?workbook=14_09.xlsx&amp;sheet=A0&amp;row=3401&amp;col=6&amp;number=1430000&amp;sourceID=14","1430000")</f>
        <v>1430000</v>
      </c>
      <c r="G3401" s="4" t="str">
        <f>HYPERLINK("http://141.218.60.56/~jnz1568/getInfo.php?workbook=14_09.xlsx&amp;sheet=A0&amp;row=3401&amp;col=7&amp;number=0&amp;sourceID=14","0")</f>
        <v>0</v>
      </c>
    </row>
    <row r="3402" spans="1:7">
      <c r="A3402" s="3">
        <v>14</v>
      </c>
      <c r="B3402" s="3">
        <v>9</v>
      </c>
      <c r="C3402" s="3">
        <v>92</v>
      </c>
      <c r="D3402" s="3">
        <v>82</v>
      </c>
      <c r="E3402" s="3">
        <v>-4821.377</v>
      </c>
      <c r="F3402" s="4" t="str">
        <f>HYPERLINK("http://141.218.60.56/~jnz1568/getInfo.php?workbook=14_09.xlsx&amp;sheet=A0&amp;row=3402&amp;col=6&amp;number=1410000&amp;sourceID=14","1410000")</f>
        <v>1410000</v>
      </c>
      <c r="G3402" s="4" t="str">
        <f>HYPERLINK("http://141.218.60.56/~jnz1568/getInfo.php?workbook=14_09.xlsx&amp;sheet=A0&amp;row=3402&amp;col=7&amp;number=0&amp;sourceID=14","0")</f>
        <v>0</v>
      </c>
    </row>
    <row r="3403" spans="1:7">
      <c r="A3403" s="3">
        <v>14</v>
      </c>
      <c r="B3403" s="3">
        <v>9</v>
      </c>
      <c r="C3403" s="3">
        <v>96</v>
      </c>
      <c r="D3403" s="3">
        <v>82</v>
      </c>
      <c r="E3403" s="3">
        <v>-4323.398</v>
      </c>
      <c r="F3403" s="4" t="str">
        <f>HYPERLINK("http://141.218.60.56/~jnz1568/getInfo.php?workbook=14_09.xlsx&amp;sheet=A0&amp;row=3403&amp;col=6&amp;number=520000&amp;sourceID=14","520000")</f>
        <v>520000</v>
      </c>
      <c r="G3403" s="4" t="str">
        <f>HYPERLINK("http://141.218.60.56/~jnz1568/getInfo.php?workbook=14_09.xlsx&amp;sheet=A0&amp;row=3403&amp;col=7&amp;number=0&amp;sourceID=14","0")</f>
        <v>0</v>
      </c>
    </row>
    <row r="3404" spans="1:7">
      <c r="A3404" s="3">
        <v>14</v>
      </c>
      <c r="B3404" s="3">
        <v>9</v>
      </c>
      <c r="C3404" s="3">
        <v>97</v>
      </c>
      <c r="D3404" s="3">
        <v>82</v>
      </c>
      <c r="E3404" s="3">
        <v>-4240.53</v>
      </c>
      <c r="F3404" s="4" t="str">
        <f>HYPERLINK("http://141.218.60.56/~jnz1568/getInfo.php?workbook=14_09.xlsx&amp;sheet=A0&amp;row=3404&amp;col=6&amp;number=7330000&amp;sourceID=14","7330000")</f>
        <v>7330000</v>
      </c>
      <c r="G3404" s="4" t="str">
        <f>HYPERLINK("http://141.218.60.56/~jnz1568/getInfo.php?workbook=14_09.xlsx&amp;sheet=A0&amp;row=3404&amp;col=7&amp;number=0&amp;sourceID=14","0")</f>
        <v>0</v>
      </c>
    </row>
    <row r="3405" spans="1:7">
      <c r="A3405" s="3">
        <v>14</v>
      </c>
      <c r="B3405" s="3">
        <v>9</v>
      </c>
      <c r="C3405" s="3">
        <v>103</v>
      </c>
      <c r="D3405" s="3">
        <v>82</v>
      </c>
      <c r="E3405" s="3">
        <v>-3506.072</v>
      </c>
      <c r="F3405" s="4" t="str">
        <f>HYPERLINK("http://141.218.60.56/~jnz1568/getInfo.php?workbook=14_09.xlsx&amp;sheet=A0&amp;row=3405&amp;col=6&amp;number=3670000&amp;sourceID=14","3670000")</f>
        <v>3670000</v>
      </c>
      <c r="G3405" s="4" t="str">
        <f>HYPERLINK("http://141.218.60.56/~jnz1568/getInfo.php?workbook=14_09.xlsx&amp;sheet=A0&amp;row=3405&amp;col=7&amp;number=0&amp;sourceID=14","0")</f>
        <v>0</v>
      </c>
    </row>
    <row r="3406" spans="1:7">
      <c r="A3406" s="3">
        <v>14</v>
      </c>
      <c r="B3406" s="3">
        <v>9</v>
      </c>
      <c r="C3406" s="3">
        <v>127</v>
      </c>
      <c r="D3406" s="3">
        <v>82</v>
      </c>
      <c r="E3406" s="3">
        <v>-1591.979</v>
      </c>
      <c r="F3406" s="4" t="str">
        <f>HYPERLINK("http://141.218.60.56/~jnz1568/getInfo.php?workbook=14_09.xlsx&amp;sheet=A0&amp;row=3406&amp;col=6&amp;number=1880000&amp;sourceID=14","1880000")</f>
        <v>1880000</v>
      </c>
      <c r="G3406" s="4" t="str">
        <f>HYPERLINK("http://141.218.60.56/~jnz1568/getInfo.php?workbook=14_09.xlsx&amp;sheet=A0&amp;row=3406&amp;col=7&amp;number=0&amp;sourceID=14","0")</f>
        <v>0</v>
      </c>
    </row>
    <row r="3407" spans="1:7">
      <c r="A3407" s="3">
        <v>14</v>
      </c>
      <c r="B3407" s="3">
        <v>9</v>
      </c>
      <c r="C3407" s="3">
        <v>128</v>
      </c>
      <c r="D3407" s="3">
        <v>82</v>
      </c>
      <c r="E3407" s="3">
        <v>-1569.246</v>
      </c>
      <c r="F3407" s="4" t="str">
        <f>HYPERLINK("http://141.218.60.56/~jnz1568/getInfo.php?workbook=14_09.xlsx&amp;sheet=A0&amp;row=3407&amp;col=6&amp;number=101000000&amp;sourceID=14","101000000")</f>
        <v>101000000</v>
      </c>
      <c r="G3407" s="4" t="str">
        <f>HYPERLINK("http://141.218.60.56/~jnz1568/getInfo.php?workbook=14_09.xlsx&amp;sheet=A0&amp;row=3407&amp;col=7&amp;number=0&amp;sourceID=14","0")</f>
        <v>0</v>
      </c>
    </row>
    <row r="3408" spans="1:7">
      <c r="A3408" s="3">
        <v>14</v>
      </c>
      <c r="B3408" s="3">
        <v>9</v>
      </c>
      <c r="C3408" s="3">
        <v>131</v>
      </c>
      <c r="D3408" s="3">
        <v>82</v>
      </c>
      <c r="E3408" s="3">
        <v>-1446.49</v>
      </c>
      <c r="F3408" s="4" t="str">
        <f>HYPERLINK("http://141.218.60.56/~jnz1568/getInfo.php?workbook=14_09.xlsx&amp;sheet=A0&amp;row=3408&amp;col=6&amp;number=353000&amp;sourceID=14","353000")</f>
        <v>353000</v>
      </c>
      <c r="G3408" s="4" t="str">
        <f>HYPERLINK("http://141.218.60.56/~jnz1568/getInfo.php?workbook=14_09.xlsx&amp;sheet=A0&amp;row=3408&amp;col=7&amp;number=0&amp;sourceID=14","0")</f>
        <v>0</v>
      </c>
    </row>
    <row r="3409" spans="1:7">
      <c r="A3409" s="3">
        <v>14</v>
      </c>
      <c r="B3409" s="3">
        <v>9</v>
      </c>
      <c r="C3409" s="3">
        <v>132</v>
      </c>
      <c r="D3409" s="3">
        <v>82</v>
      </c>
      <c r="E3409" s="3">
        <v>-1445.653</v>
      </c>
      <c r="F3409" s="4" t="str">
        <f>HYPERLINK("http://141.218.60.56/~jnz1568/getInfo.php?workbook=14_09.xlsx&amp;sheet=A0&amp;row=3409&amp;col=6&amp;number=3100000&amp;sourceID=14","3100000")</f>
        <v>3100000</v>
      </c>
      <c r="G3409" s="4" t="str">
        <f>HYPERLINK("http://141.218.60.56/~jnz1568/getInfo.php?workbook=14_09.xlsx&amp;sheet=A0&amp;row=3409&amp;col=7&amp;number=0&amp;sourceID=14","0")</f>
        <v>0</v>
      </c>
    </row>
    <row r="3410" spans="1:7">
      <c r="A3410" s="3">
        <v>14</v>
      </c>
      <c r="B3410" s="3">
        <v>9</v>
      </c>
      <c r="C3410" s="3">
        <v>137</v>
      </c>
      <c r="D3410" s="3">
        <v>82</v>
      </c>
      <c r="E3410" s="3">
        <v>-1402.999</v>
      </c>
      <c r="F3410" s="4" t="str">
        <f>HYPERLINK("http://141.218.60.56/~jnz1568/getInfo.php?workbook=14_09.xlsx&amp;sheet=A0&amp;row=3410&amp;col=6&amp;number=2380000&amp;sourceID=14","2380000")</f>
        <v>2380000</v>
      </c>
      <c r="G3410" s="4" t="str">
        <f>HYPERLINK("http://141.218.60.56/~jnz1568/getInfo.php?workbook=14_09.xlsx&amp;sheet=A0&amp;row=3410&amp;col=7&amp;number=0&amp;sourceID=14","0")</f>
        <v>0</v>
      </c>
    </row>
    <row r="3411" spans="1:7">
      <c r="A3411" s="3">
        <v>14</v>
      </c>
      <c r="B3411" s="3">
        <v>9</v>
      </c>
      <c r="C3411" s="3">
        <v>145</v>
      </c>
      <c r="D3411" s="3">
        <v>82</v>
      </c>
      <c r="E3411" s="3">
        <v>-1293.513</v>
      </c>
      <c r="F3411" s="4" t="str">
        <f>HYPERLINK("http://141.218.60.56/~jnz1568/getInfo.php?workbook=14_09.xlsx&amp;sheet=A0&amp;row=3411&amp;col=6&amp;number=377000000&amp;sourceID=14","377000000")</f>
        <v>377000000</v>
      </c>
      <c r="G3411" s="4" t="str">
        <f>HYPERLINK("http://141.218.60.56/~jnz1568/getInfo.php?workbook=14_09.xlsx&amp;sheet=A0&amp;row=3411&amp;col=7&amp;number=0&amp;sourceID=14","0")</f>
        <v>0</v>
      </c>
    </row>
    <row r="3412" spans="1:7">
      <c r="A3412" s="3">
        <v>14</v>
      </c>
      <c r="B3412" s="3">
        <v>9</v>
      </c>
      <c r="C3412" s="3">
        <v>148</v>
      </c>
      <c r="D3412" s="3">
        <v>82</v>
      </c>
      <c r="E3412" s="3">
        <v>-1269.908</v>
      </c>
      <c r="F3412" s="4" t="str">
        <f>HYPERLINK("http://141.218.60.56/~jnz1568/getInfo.php?workbook=14_09.xlsx&amp;sheet=A0&amp;row=3412&amp;col=6&amp;number=458000000&amp;sourceID=14","458000000")</f>
        <v>458000000</v>
      </c>
      <c r="G3412" s="4" t="str">
        <f>HYPERLINK("http://141.218.60.56/~jnz1568/getInfo.php?workbook=14_09.xlsx&amp;sheet=A0&amp;row=3412&amp;col=7&amp;number=0&amp;sourceID=14","0")</f>
        <v>0</v>
      </c>
    </row>
    <row r="3413" spans="1:7">
      <c r="A3413" s="3">
        <v>14</v>
      </c>
      <c r="B3413" s="3">
        <v>9</v>
      </c>
      <c r="C3413" s="3">
        <v>151</v>
      </c>
      <c r="D3413" s="3">
        <v>82</v>
      </c>
      <c r="E3413" s="3">
        <v>-1252.9</v>
      </c>
      <c r="F3413" s="4" t="str">
        <f>HYPERLINK("http://141.218.60.56/~jnz1568/getInfo.php?workbook=14_09.xlsx&amp;sheet=A0&amp;row=3413&amp;col=6&amp;number=189000000&amp;sourceID=14","189000000")</f>
        <v>189000000</v>
      </c>
      <c r="G3413" s="4" t="str">
        <f>HYPERLINK("http://141.218.60.56/~jnz1568/getInfo.php?workbook=14_09.xlsx&amp;sheet=A0&amp;row=3413&amp;col=7&amp;number=0&amp;sourceID=14","0")</f>
        <v>0</v>
      </c>
    </row>
    <row r="3414" spans="1:7">
      <c r="A3414" s="3">
        <v>14</v>
      </c>
      <c r="B3414" s="3">
        <v>9</v>
      </c>
      <c r="C3414" s="3">
        <v>152</v>
      </c>
      <c r="D3414" s="3">
        <v>82</v>
      </c>
      <c r="E3414" s="3">
        <v>-1160.203</v>
      </c>
      <c r="F3414" s="4" t="str">
        <f>HYPERLINK("http://141.218.60.56/~jnz1568/getInfo.php?workbook=14_09.xlsx&amp;sheet=A0&amp;row=3414&amp;col=6&amp;number=296000000&amp;sourceID=14","296000000")</f>
        <v>296000000</v>
      </c>
      <c r="G3414" s="4" t="str">
        <f>HYPERLINK("http://141.218.60.56/~jnz1568/getInfo.php?workbook=14_09.xlsx&amp;sheet=A0&amp;row=3414&amp;col=7&amp;number=0&amp;sourceID=14","0")</f>
        <v>0</v>
      </c>
    </row>
    <row r="3415" spans="1:7">
      <c r="A3415" s="3">
        <v>14</v>
      </c>
      <c r="B3415" s="3">
        <v>9</v>
      </c>
      <c r="C3415" s="3">
        <v>153</v>
      </c>
      <c r="D3415" s="3">
        <v>82</v>
      </c>
      <c r="E3415" s="3">
        <v>-1137.115</v>
      </c>
      <c r="F3415" s="4" t="str">
        <f>HYPERLINK("http://141.218.60.56/~jnz1568/getInfo.php?workbook=14_09.xlsx&amp;sheet=A0&amp;row=3415&amp;col=6&amp;number=177000000&amp;sourceID=14","177000000")</f>
        <v>177000000</v>
      </c>
      <c r="G3415" s="4" t="str">
        <f>HYPERLINK("http://141.218.60.56/~jnz1568/getInfo.php?workbook=14_09.xlsx&amp;sheet=A0&amp;row=3415&amp;col=7&amp;number=0&amp;sourceID=14","0")</f>
        <v>0</v>
      </c>
    </row>
    <row r="3416" spans="1:7">
      <c r="A3416" s="3">
        <v>14</v>
      </c>
      <c r="B3416" s="3">
        <v>9</v>
      </c>
      <c r="C3416" s="3">
        <v>154</v>
      </c>
      <c r="D3416" s="3">
        <v>82</v>
      </c>
      <c r="E3416" s="3">
        <v>-1136.818</v>
      </c>
      <c r="F3416" s="4" t="str">
        <f>HYPERLINK("http://141.218.60.56/~jnz1568/getInfo.php?workbook=14_09.xlsx&amp;sheet=A0&amp;row=3416&amp;col=6&amp;number=87000000&amp;sourceID=14","87000000")</f>
        <v>87000000</v>
      </c>
      <c r="G3416" s="4" t="str">
        <f>HYPERLINK("http://141.218.60.56/~jnz1568/getInfo.php?workbook=14_09.xlsx&amp;sheet=A0&amp;row=3416&amp;col=7&amp;number=0&amp;sourceID=14","0")</f>
        <v>0</v>
      </c>
    </row>
    <row r="3417" spans="1:7">
      <c r="A3417" s="3">
        <v>14</v>
      </c>
      <c r="B3417" s="3">
        <v>9</v>
      </c>
      <c r="C3417" s="3">
        <v>155</v>
      </c>
      <c r="D3417" s="3">
        <v>82</v>
      </c>
      <c r="E3417" s="3">
        <v>-1128.39</v>
      </c>
      <c r="F3417" s="4" t="str">
        <f>HYPERLINK("http://141.218.60.56/~jnz1568/getInfo.php?workbook=14_09.xlsx&amp;sheet=A0&amp;row=3417&amp;col=6&amp;number=832000000&amp;sourceID=14","832000000")</f>
        <v>832000000</v>
      </c>
      <c r="G3417" s="4" t="str">
        <f>HYPERLINK("http://141.218.60.56/~jnz1568/getInfo.php?workbook=14_09.xlsx&amp;sheet=A0&amp;row=3417&amp;col=7&amp;number=0&amp;sourceID=14","0")</f>
        <v>0</v>
      </c>
    </row>
    <row r="3418" spans="1:7">
      <c r="A3418" s="3">
        <v>14</v>
      </c>
      <c r="B3418" s="3">
        <v>9</v>
      </c>
      <c r="C3418" s="3">
        <v>156</v>
      </c>
      <c r="D3418" s="3">
        <v>82</v>
      </c>
      <c r="E3418" s="3">
        <v>-1116.759</v>
      </c>
      <c r="F3418" s="4" t="str">
        <f>HYPERLINK("http://141.218.60.56/~jnz1568/getInfo.php?workbook=14_09.xlsx&amp;sheet=A0&amp;row=3418&amp;col=6&amp;number=9260000&amp;sourceID=14","9260000")</f>
        <v>9260000</v>
      </c>
      <c r="G3418" s="4" t="str">
        <f>HYPERLINK("http://141.218.60.56/~jnz1568/getInfo.php?workbook=14_09.xlsx&amp;sheet=A0&amp;row=3418&amp;col=7&amp;number=0&amp;sourceID=14","0")</f>
        <v>0</v>
      </c>
    </row>
    <row r="3419" spans="1:7">
      <c r="A3419" s="3">
        <v>14</v>
      </c>
      <c r="B3419" s="3">
        <v>9</v>
      </c>
      <c r="C3419" s="3">
        <v>157</v>
      </c>
      <c r="D3419" s="3">
        <v>82</v>
      </c>
      <c r="E3419" s="3">
        <v>-1085.743</v>
      </c>
      <c r="F3419" s="4" t="str">
        <f>HYPERLINK("http://141.218.60.56/~jnz1568/getInfo.php?workbook=14_09.xlsx&amp;sheet=A0&amp;row=3419&amp;col=6&amp;number=1480000&amp;sourceID=14","1480000")</f>
        <v>1480000</v>
      </c>
      <c r="G3419" s="4" t="str">
        <f>HYPERLINK("http://141.218.60.56/~jnz1568/getInfo.php?workbook=14_09.xlsx&amp;sheet=A0&amp;row=3419&amp;col=7&amp;number=0&amp;sourceID=14","0")</f>
        <v>0</v>
      </c>
    </row>
    <row r="3420" spans="1:7">
      <c r="A3420" s="3">
        <v>14</v>
      </c>
      <c r="B3420" s="3">
        <v>9</v>
      </c>
      <c r="C3420" s="3">
        <v>158</v>
      </c>
      <c r="D3420" s="3">
        <v>82</v>
      </c>
      <c r="E3420" s="3">
        <v>-1079.496</v>
      </c>
      <c r="F3420" s="4" t="str">
        <f>HYPERLINK("http://141.218.60.56/~jnz1568/getInfo.php?workbook=14_09.xlsx&amp;sheet=A0&amp;row=3420&amp;col=6&amp;number=11800000&amp;sourceID=14","11800000")</f>
        <v>11800000</v>
      </c>
      <c r="G3420" s="4" t="str">
        <f>HYPERLINK("http://141.218.60.56/~jnz1568/getInfo.php?workbook=14_09.xlsx&amp;sheet=A0&amp;row=3420&amp;col=7&amp;number=0&amp;sourceID=14","0")</f>
        <v>0</v>
      </c>
    </row>
    <row r="3421" spans="1:7">
      <c r="A3421" s="3">
        <v>14</v>
      </c>
      <c r="B3421" s="3">
        <v>9</v>
      </c>
      <c r="C3421" s="3">
        <v>161</v>
      </c>
      <c r="D3421" s="3">
        <v>82</v>
      </c>
      <c r="E3421" s="3">
        <v>-774.613</v>
      </c>
      <c r="F3421" s="4" t="str">
        <f>HYPERLINK("http://141.218.60.56/~jnz1568/getInfo.php?workbook=14_09.xlsx&amp;sheet=A0&amp;row=3421&amp;col=6&amp;number=10700000&amp;sourceID=14","10700000")</f>
        <v>10700000</v>
      </c>
      <c r="G3421" s="4" t="str">
        <f>HYPERLINK("http://141.218.60.56/~jnz1568/getInfo.php?workbook=14_09.xlsx&amp;sheet=A0&amp;row=3421&amp;col=7&amp;number=0&amp;sourceID=14","0")</f>
        <v>0</v>
      </c>
    </row>
    <row r="3422" spans="1:7">
      <c r="A3422" s="3">
        <v>14</v>
      </c>
      <c r="B3422" s="3">
        <v>9</v>
      </c>
      <c r="C3422" s="3">
        <v>162</v>
      </c>
      <c r="D3422" s="3">
        <v>82</v>
      </c>
      <c r="E3422" s="3">
        <v>-729.673</v>
      </c>
      <c r="F3422" s="4" t="str">
        <f>HYPERLINK("http://141.218.60.56/~jnz1568/getInfo.php?workbook=14_09.xlsx&amp;sheet=A0&amp;row=3422&amp;col=6&amp;number=501000&amp;sourceID=14","501000")</f>
        <v>501000</v>
      </c>
      <c r="G3422" s="4" t="str">
        <f>HYPERLINK("http://141.218.60.56/~jnz1568/getInfo.php?workbook=14_09.xlsx&amp;sheet=A0&amp;row=3422&amp;col=7&amp;number=0&amp;sourceID=14","0")</f>
        <v>0</v>
      </c>
    </row>
    <row r="3423" spans="1:7">
      <c r="A3423" s="3">
        <v>14</v>
      </c>
      <c r="B3423" s="3">
        <v>9</v>
      </c>
      <c r="C3423" s="3">
        <v>186</v>
      </c>
      <c r="D3423" s="3">
        <v>82</v>
      </c>
      <c r="E3423" s="3">
        <v>-424.523</v>
      </c>
      <c r="F3423" s="4" t="str">
        <f>HYPERLINK("http://141.218.60.56/~jnz1568/getInfo.php?workbook=14_09.xlsx&amp;sheet=A0&amp;row=3423&amp;col=6&amp;number=1540000&amp;sourceID=14","1540000")</f>
        <v>1540000</v>
      </c>
      <c r="G3423" s="4" t="str">
        <f>HYPERLINK("http://141.218.60.56/~jnz1568/getInfo.php?workbook=14_09.xlsx&amp;sheet=A0&amp;row=3423&amp;col=7&amp;number=0&amp;sourceID=14","0")</f>
        <v>0</v>
      </c>
    </row>
    <row r="3424" spans="1:7">
      <c r="A3424" s="3">
        <v>14</v>
      </c>
      <c r="B3424" s="3">
        <v>9</v>
      </c>
      <c r="C3424" s="3">
        <v>189</v>
      </c>
      <c r="D3424" s="3">
        <v>82</v>
      </c>
      <c r="E3424" s="3">
        <v>-393.372</v>
      </c>
      <c r="F3424" s="4" t="str">
        <f>HYPERLINK("http://141.218.60.56/~jnz1568/getInfo.php?workbook=14_09.xlsx&amp;sheet=A0&amp;row=3424&amp;col=6&amp;number=25900000&amp;sourceID=14","25900000")</f>
        <v>25900000</v>
      </c>
      <c r="G3424" s="4" t="str">
        <f>HYPERLINK("http://141.218.60.56/~jnz1568/getInfo.php?workbook=14_09.xlsx&amp;sheet=A0&amp;row=3424&amp;col=7&amp;number=0&amp;sourceID=14","0")</f>
        <v>0</v>
      </c>
    </row>
    <row r="3425" spans="1:7">
      <c r="A3425" s="3">
        <v>14</v>
      </c>
      <c r="B3425" s="3">
        <v>9</v>
      </c>
      <c r="C3425" s="3">
        <v>88</v>
      </c>
      <c r="D3425" s="3">
        <v>83</v>
      </c>
      <c r="E3425" s="3">
        <v>-6565.569</v>
      </c>
      <c r="F3425" s="4" t="str">
        <f>HYPERLINK("http://141.218.60.56/~jnz1568/getInfo.php?workbook=14_09.xlsx&amp;sheet=A0&amp;row=3425&amp;col=6&amp;number=657000&amp;sourceID=14","657000")</f>
        <v>657000</v>
      </c>
      <c r="G3425" s="4" t="str">
        <f>HYPERLINK("http://141.218.60.56/~jnz1568/getInfo.php?workbook=14_09.xlsx&amp;sheet=A0&amp;row=3425&amp;col=7&amp;number=0&amp;sourceID=14","0")</f>
        <v>0</v>
      </c>
    </row>
    <row r="3426" spans="1:7">
      <c r="A3426" s="3">
        <v>14</v>
      </c>
      <c r="B3426" s="3">
        <v>9</v>
      </c>
      <c r="C3426" s="3">
        <v>89</v>
      </c>
      <c r="D3426" s="3">
        <v>83</v>
      </c>
      <c r="E3426" s="3">
        <v>-6264.498</v>
      </c>
      <c r="F3426" s="4" t="str">
        <f>HYPERLINK("http://141.218.60.56/~jnz1568/getInfo.php?workbook=14_09.xlsx&amp;sheet=A0&amp;row=3426&amp;col=6&amp;number=2170000&amp;sourceID=14","2170000")</f>
        <v>2170000</v>
      </c>
      <c r="G3426" s="4" t="str">
        <f>HYPERLINK("http://141.218.60.56/~jnz1568/getInfo.php?workbook=14_09.xlsx&amp;sheet=A0&amp;row=3426&amp;col=7&amp;number=0&amp;sourceID=14","0")</f>
        <v>0</v>
      </c>
    </row>
    <row r="3427" spans="1:7">
      <c r="A3427" s="3">
        <v>14</v>
      </c>
      <c r="B3427" s="3">
        <v>9</v>
      </c>
      <c r="C3427" s="3">
        <v>92</v>
      </c>
      <c r="D3427" s="3">
        <v>83</v>
      </c>
      <c r="E3427" s="3">
        <v>-5242.199</v>
      </c>
      <c r="F3427" s="4" t="str">
        <f>HYPERLINK("http://141.218.60.56/~jnz1568/getInfo.php?workbook=14_09.xlsx&amp;sheet=A0&amp;row=3427&amp;col=6&amp;number=1770000&amp;sourceID=14","1770000")</f>
        <v>1770000</v>
      </c>
      <c r="G3427" s="4" t="str">
        <f>HYPERLINK("http://141.218.60.56/~jnz1568/getInfo.php?workbook=14_09.xlsx&amp;sheet=A0&amp;row=3427&amp;col=7&amp;number=0&amp;sourceID=14","0")</f>
        <v>0</v>
      </c>
    </row>
    <row r="3428" spans="1:7">
      <c r="A3428" s="3">
        <v>14</v>
      </c>
      <c r="B3428" s="3">
        <v>9</v>
      </c>
      <c r="C3428" s="3">
        <v>94</v>
      </c>
      <c r="D3428" s="3">
        <v>83</v>
      </c>
      <c r="E3428" s="3">
        <v>-4967.719</v>
      </c>
      <c r="F3428" s="4" t="str">
        <f>HYPERLINK("http://141.218.60.56/~jnz1568/getInfo.php?workbook=14_09.xlsx&amp;sheet=A0&amp;row=3428&amp;col=6&amp;number=2300000&amp;sourceID=14","2300000")</f>
        <v>2300000</v>
      </c>
      <c r="G3428" s="4" t="str">
        <f>HYPERLINK("http://141.218.60.56/~jnz1568/getInfo.php?workbook=14_09.xlsx&amp;sheet=A0&amp;row=3428&amp;col=7&amp;number=0&amp;sourceID=14","0")</f>
        <v>0</v>
      </c>
    </row>
    <row r="3429" spans="1:7">
      <c r="A3429" s="3">
        <v>14</v>
      </c>
      <c r="B3429" s="3">
        <v>9</v>
      </c>
      <c r="C3429" s="3">
        <v>96</v>
      </c>
      <c r="D3429" s="3">
        <v>83</v>
      </c>
      <c r="E3429" s="3">
        <v>-4658.755</v>
      </c>
      <c r="F3429" s="4" t="str">
        <f>HYPERLINK("http://141.218.60.56/~jnz1568/getInfo.php?workbook=14_09.xlsx&amp;sheet=A0&amp;row=3429&amp;col=6&amp;number=1220000&amp;sourceID=14","1220000")</f>
        <v>1220000</v>
      </c>
      <c r="G3429" s="4" t="str">
        <f>HYPERLINK("http://141.218.60.56/~jnz1568/getInfo.php?workbook=14_09.xlsx&amp;sheet=A0&amp;row=3429&amp;col=7&amp;number=0&amp;sourceID=14","0")</f>
        <v>0</v>
      </c>
    </row>
    <row r="3430" spans="1:7">
      <c r="A3430" s="3">
        <v>14</v>
      </c>
      <c r="B3430" s="3">
        <v>9</v>
      </c>
      <c r="C3430" s="3">
        <v>99</v>
      </c>
      <c r="D3430" s="3">
        <v>83</v>
      </c>
      <c r="E3430" s="3">
        <v>-4124.059</v>
      </c>
      <c r="F3430" s="4" t="str">
        <f>HYPERLINK("http://141.218.60.56/~jnz1568/getInfo.php?workbook=14_09.xlsx&amp;sheet=A0&amp;row=3430&amp;col=6&amp;number=1320000&amp;sourceID=14","1320000")</f>
        <v>1320000</v>
      </c>
      <c r="G3430" s="4" t="str">
        <f>HYPERLINK("http://141.218.60.56/~jnz1568/getInfo.php?workbook=14_09.xlsx&amp;sheet=A0&amp;row=3430&amp;col=7&amp;number=0&amp;sourceID=14","0")</f>
        <v>0</v>
      </c>
    </row>
    <row r="3431" spans="1:7">
      <c r="A3431" s="3">
        <v>14</v>
      </c>
      <c r="B3431" s="3">
        <v>9</v>
      </c>
      <c r="C3431" s="3">
        <v>128</v>
      </c>
      <c r="D3431" s="3">
        <v>83</v>
      </c>
      <c r="E3431" s="3">
        <v>-1611.347</v>
      </c>
      <c r="F3431" s="4" t="str">
        <f>HYPERLINK("http://141.218.60.56/~jnz1568/getInfo.php?workbook=14_09.xlsx&amp;sheet=A0&amp;row=3431&amp;col=6&amp;number=40800000&amp;sourceID=14","40800000")</f>
        <v>40800000</v>
      </c>
      <c r="G3431" s="4" t="str">
        <f>HYPERLINK("http://141.218.60.56/~jnz1568/getInfo.php?workbook=14_09.xlsx&amp;sheet=A0&amp;row=3431&amp;col=7&amp;number=0&amp;sourceID=14","0")</f>
        <v>0</v>
      </c>
    </row>
    <row r="3432" spans="1:7">
      <c r="A3432" s="3">
        <v>14</v>
      </c>
      <c r="B3432" s="3">
        <v>9</v>
      </c>
      <c r="C3432" s="3">
        <v>148</v>
      </c>
      <c r="D3432" s="3">
        <v>83</v>
      </c>
      <c r="E3432" s="3">
        <v>-1297.339</v>
      </c>
      <c r="F3432" s="4" t="str">
        <f>HYPERLINK("http://141.218.60.56/~jnz1568/getInfo.php?workbook=14_09.xlsx&amp;sheet=A0&amp;row=3432&amp;col=6&amp;number=198000000&amp;sourceID=14","198000000")</f>
        <v>198000000</v>
      </c>
      <c r="G3432" s="4" t="str">
        <f>HYPERLINK("http://141.218.60.56/~jnz1568/getInfo.php?workbook=14_09.xlsx&amp;sheet=A0&amp;row=3432&amp;col=7&amp;number=0&amp;sourceID=14","0")</f>
        <v>0</v>
      </c>
    </row>
    <row r="3433" spans="1:7">
      <c r="A3433" s="3">
        <v>14</v>
      </c>
      <c r="B3433" s="3">
        <v>9</v>
      </c>
      <c r="C3433" s="3">
        <v>151</v>
      </c>
      <c r="D3433" s="3">
        <v>83</v>
      </c>
      <c r="E3433" s="3">
        <v>-1279.593</v>
      </c>
      <c r="F3433" s="4" t="str">
        <f>HYPERLINK("http://141.218.60.56/~jnz1568/getInfo.php?workbook=14_09.xlsx&amp;sheet=A0&amp;row=3433&amp;col=6&amp;number=560000000&amp;sourceID=14","560000000")</f>
        <v>560000000</v>
      </c>
      <c r="G3433" s="4" t="str">
        <f>HYPERLINK("http://141.218.60.56/~jnz1568/getInfo.php?workbook=14_09.xlsx&amp;sheet=A0&amp;row=3433&amp;col=7&amp;number=0&amp;sourceID=14","0")</f>
        <v>0</v>
      </c>
    </row>
    <row r="3434" spans="1:7">
      <c r="A3434" s="3">
        <v>14</v>
      </c>
      <c r="B3434" s="3">
        <v>9</v>
      </c>
      <c r="C3434" s="3">
        <v>154</v>
      </c>
      <c r="D3434" s="3">
        <v>83</v>
      </c>
      <c r="E3434" s="3">
        <v>-1158.751</v>
      </c>
      <c r="F3434" s="4" t="str">
        <f>HYPERLINK("http://141.218.60.56/~jnz1568/getInfo.php?workbook=14_09.xlsx&amp;sheet=A0&amp;row=3434&amp;col=6&amp;number=585000000&amp;sourceID=14","585000000")</f>
        <v>585000000</v>
      </c>
      <c r="G3434" s="4" t="str">
        <f>HYPERLINK("http://141.218.60.56/~jnz1568/getInfo.php?workbook=14_09.xlsx&amp;sheet=A0&amp;row=3434&amp;col=7&amp;number=0&amp;sourceID=14","0")</f>
        <v>0</v>
      </c>
    </row>
    <row r="3435" spans="1:7">
      <c r="A3435" s="3">
        <v>14</v>
      </c>
      <c r="B3435" s="3">
        <v>9</v>
      </c>
      <c r="C3435" s="3">
        <v>155</v>
      </c>
      <c r="D3435" s="3">
        <v>83</v>
      </c>
      <c r="E3435" s="3">
        <v>-1149.996</v>
      </c>
      <c r="F3435" s="4" t="str">
        <f>HYPERLINK("http://141.218.60.56/~jnz1568/getInfo.php?workbook=14_09.xlsx&amp;sheet=A0&amp;row=3435&amp;col=6&amp;number=258000000&amp;sourceID=14","258000000")</f>
        <v>258000000</v>
      </c>
      <c r="G3435" s="4" t="str">
        <f>HYPERLINK("http://141.218.60.56/~jnz1568/getInfo.php?workbook=14_09.xlsx&amp;sheet=A0&amp;row=3435&amp;col=7&amp;number=0&amp;sourceID=14","0")</f>
        <v>0</v>
      </c>
    </row>
    <row r="3436" spans="1:7">
      <c r="A3436" s="3">
        <v>14</v>
      </c>
      <c r="B3436" s="3">
        <v>9</v>
      </c>
      <c r="C3436" s="3">
        <v>156</v>
      </c>
      <c r="D3436" s="3">
        <v>83</v>
      </c>
      <c r="E3436" s="3">
        <v>-1137.918</v>
      </c>
      <c r="F3436" s="4" t="str">
        <f>HYPERLINK("http://141.218.60.56/~jnz1568/getInfo.php?workbook=14_09.xlsx&amp;sheet=A0&amp;row=3436&amp;col=6&amp;number=8480000&amp;sourceID=14","8480000")</f>
        <v>8480000</v>
      </c>
      <c r="G3436" s="4" t="str">
        <f>HYPERLINK("http://141.218.60.56/~jnz1568/getInfo.php?workbook=14_09.xlsx&amp;sheet=A0&amp;row=3436&amp;col=7&amp;number=0&amp;sourceID=14","0")</f>
        <v>0</v>
      </c>
    </row>
    <row r="3437" spans="1:7">
      <c r="A3437" s="3">
        <v>14</v>
      </c>
      <c r="B3437" s="3">
        <v>9</v>
      </c>
      <c r="C3437" s="3">
        <v>157</v>
      </c>
      <c r="D3437" s="3">
        <v>83</v>
      </c>
      <c r="E3437" s="3">
        <v>-1105.732</v>
      </c>
      <c r="F3437" s="4" t="str">
        <f>HYPERLINK("http://141.218.60.56/~jnz1568/getInfo.php?workbook=14_09.xlsx&amp;sheet=A0&amp;row=3437&amp;col=6&amp;number=27700000&amp;sourceID=14","27700000")</f>
        <v>27700000</v>
      </c>
      <c r="G3437" s="4" t="str">
        <f>HYPERLINK("http://141.218.60.56/~jnz1568/getInfo.php?workbook=14_09.xlsx&amp;sheet=A0&amp;row=3437&amp;col=7&amp;number=0&amp;sourceID=14","0")</f>
        <v>0</v>
      </c>
    </row>
    <row r="3438" spans="1:7">
      <c r="A3438" s="3">
        <v>14</v>
      </c>
      <c r="B3438" s="3">
        <v>9</v>
      </c>
      <c r="C3438" s="3">
        <v>158</v>
      </c>
      <c r="D3438" s="3">
        <v>83</v>
      </c>
      <c r="E3438" s="3">
        <v>-1099.253</v>
      </c>
      <c r="F3438" s="4" t="str">
        <f>HYPERLINK("http://141.218.60.56/~jnz1568/getInfo.php?workbook=14_09.xlsx&amp;sheet=A0&amp;row=3438&amp;col=6&amp;number=2080000&amp;sourceID=14","2080000")</f>
        <v>2080000</v>
      </c>
      <c r="G3438" s="4" t="str">
        <f>HYPERLINK("http://141.218.60.56/~jnz1568/getInfo.php?workbook=14_09.xlsx&amp;sheet=A0&amp;row=3438&amp;col=7&amp;number=0&amp;sourceID=14","0")</f>
        <v>0</v>
      </c>
    </row>
    <row r="3439" spans="1:7">
      <c r="A3439" s="3">
        <v>14</v>
      </c>
      <c r="B3439" s="3">
        <v>9</v>
      </c>
      <c r="C3439" s="3">
        <v>161</v>
      </c>
      <c r="D3439" s="3">
        <v>83</v>
      </c>
      <c r="E3439" s="3">
        <v>-784.734</v>
      </c>
      <c r="F3439" s="4" t="str">
        <f>HYPERLINK("http://141.218.60.56/~jnz1568/getInfo.php?workbook=14_09.xlsx&amp;sheet=A0&amp;row=3439&amp;col=6&amp;number=2650000&amp;sourceID=14","2650000")</f>
        <v>2650000</v>
      </c>
      <c r="G3439" s="4" t="str">
        <f>HYPERLINK("http://141.218.60.56/~jnz1568/getInfo.php?workbook=14_09.xlsx&amp;sheet=A0&amp;row=3439&amp;col=7&amp;number=0&amp;sourceID=14","0")</f>
        <v>0</v>
      </c>
    </row>
    <row r="3440" spans="1:7">
      <c r="A3440" s="3">
        <v>14</v>
      </c>
      <c r="B3440" s="3">
        <v>9</v>
      </c>
      <c r="C3440" s="3">
        <v>189</v>
      </c>
      <c r="D3440" s="3">
        <v>83</v>
      </c>
      <c r="E3440" s="3">
        <v>-395.965</v>
      </c>
      <c r="F3440" s="4" t="str">
        <f>HYPERLINK("http://141.218.60.56/~jnz1568/getInfo.php?workbook=14_09.xlsx&amp;sheet=A0&amp;row=3440&amp;col=6&amp;number=4790000&amp;sourceID=14","4790000")</f>
        <v>4790000</v>
      </c>
      <c r="G3440" s="4" t="str">
        <f>HYPERLINK("http://141.218.60.56/~jnz1568/getInfo.php?workbook=14_09.xlsx&amp;sheet=A0&amp;row=3440&amp;col=7&amp;number=0&amp;sourceID=14","0")</f>
        <v>0</v>
      </c>
    </row>
    <row r="3441" spans="1:7">
      <c r="A3441" s="3">
        <v>14</v>
      </c>
      <c r="B3441" s="3">
        <v>9</v>
      </c>
      <c r="C3441" s="3">
        <v>127</v>
      </c>
      <c r="D3441" s="3">
        <v>84</v>
      </c>
      <c r="E3441" s="3">
        <v>-1900.747</v>
      </c>
      <c r="F3441" s="4" t="str">
        <f>HYPERLINK("http://141.218.60.56/~jnz1568/getInfo.php?workbook=14_09.xlsx&amp;sheet=A0&amp;row=3441&amp;col=6&amp;number=96400000&amp;sourceID=14","96400000")</f>
        <v>96400000</v>
      </c>
      <c r="G3441" s="4" t="str">
        <f>HYPERLINK("http://141.218.60.56/~jnz1568/getInfo.php?workbook=14_09.xlsx&amp;sheet=A0&amp;row=3441&amp;col=7&amp;number=0&amp;sourceID=14","0")</f>
        <v>0</v>
      </c>
    </row>
    <row r="3442" spans="1:7">
      <c r="A3442" s="3">
        <v>14</v>
      </c>
      <c r="B3442" s="3">
        <v>9</v>
      </c>
      <c r="C3442" s="3">
        <v>131</v>
      </c>
      <c r="D3442" s="3">
        <v>84</v>
      </c>
      <c r="E3442" s="3">
        <v>-1696.96</v>
      </c>
      <c r="F3442" s="4" t="str">
        <f>HYPERLINK("http://141.218.60.56/~jnz1568/getInfo.php?workbook=14_09.xlsx&amp;sheet=A0&amp;row=3442&amp;col=6&amp;number=5590000&amp;sourceID=14","5590000")</f>
        <v>5590000</v>
      </c>
      <c r="G3442" s="4" t="str">
        <f>HYPERLINK("http://141.218.60.56/~jnz1568/getInfo.php?workbook=14_09.xlsx&amp;sheet=A0&amp;row=3442&amp;col=7&amp;number=0&amp;sourceID=14","0")</f>
        <v>0</v>
      </c>
    </row>
    <row r="3443" spans="1:7">
      <c r="A3443" s="3">
        <v>14</v>
      </c>
      <c r="B3443" s="3">
        <v>9</v>
      </c>
      <c r="C3443" s="3">
        <v>132</v>
      </c>
      <c r="D3443" s="3">
        <v>84</v>
      </c>
      <c r="E3443" s="3">
        <v>-1695.809</v>
      </c>
      <c r="F3443" s="4" t="str">
        <f>HYPERLINK("http://141.218.60.56/~jnz1568/getInfo.php?workbook=14_09.xlsx&amp;sheet=A0&amp;row=3443&amp;col=6&amp;number=219000000&amp;sourceID=14","219000000")</f>
        <v>219000000</v>
      </c>
      <c r="G3443" s="4" t="str">
        <f>HYPERLINK("http://141.218.60.56/~jnz1568/getInfo.php?workbook=14_09.xlsx&amp;sheet=A0&amp;row=3443&amp;col=7&amp;number=0&amp;sourceID=14","0")</f>
        <v>0</v>
      </c>
    </row>
    <row r="3444" spans="1:7">
      <c r="A3444" s="3">
        <v>14</v>
      </c>
      <c r="B3444" s="3">
        <v>9</v>
      </c>
      <c r="C3444" s="3">
        <v>134</v>
      </c>
      <c r="D3444" s="3">
        <v>84</v>
      </c>
      <c r="E3444" s="3">
        <v>-1678.531</v>
      </c>
      <c r="F3444" s="4" t="str">
        <f>HYPERLINK("http://141.218.60.56/~jnz1568/getInfo.php?workbook=14_09.xlsx&amp;sheet=A0&amp;row=3444&amp;col=6&amp;number=114000000&amp;sourceID=14","114000000")</f>
        <v>114000000</v>
      </c>
      <c r="G3444" s="4" t="str">
        <f>HYPERLINK("http://141.218.60.56/~jnz1568/getInfo.php?workbook=14_09.xlsx&amp;sheet=A0&amp;row=3444&amp;col=7&amp;number=0&amp;sourceID=14","0")</f>
        <v>0</v>
      </c>
    </row>
    <row r="3445" spans="1:7">
      <c r="A3445" s="3">
        <v>14</v>
      </c>
      <c r="B3445" s="3">
        <v>9</v>
      </c>
      <c r="C3445" s="3">
        <v>135</v>
      </c>
      <c r="D3445" s="3">
        <v>84</v>
      </c>
      <c r="E3445" s="3">
        <v>-1674.456</v>
      </c>
      <c r="F3445" s="4" t="str">
        <f>HYPERLINK("http://141.218.60.56/~jnz1568/getInfo.php?workbook=14_09.xlsx&amp;sheet=A0&amp;row=3445&amp;col=6&amp;number=95500000&amp;sourceID=14","95500000")</f>
        <v>95500000</v>
      </c>
      <c r="G3445" s="4" t="str">
        <f>HYPERLINK("http://141.218.60.56/~jnz1568/getInfo.php?workbook=14_09.xlsx&amp;sheet=A0&amp;row=3445&amp;col=7&amp;number=0&amp;sourceID=14","0")</f>
        <v>0</v>
      </c>
    </row>
    <row r="3446" spans="1:7">
      <c r="A3446" s="3">
        <v>14</v>
      </c>
      <c r="B3446" s="3">
        <v>9</v>
      </c>
      <c r="C3446" s="3">
        <v>136</v>
      </c>
      <c r="D3446" s="3">
        <v>84</v>
      </c>
      <c r="E3446" s="3">
        <v>-1661.353</v>
      </c>
      <c r="F3446" s="4" t="str">
        <f>HYPERLINK("http://141.218.60.56/~jnz1568/getInfo.php?workbook=14_09.xlsx&amp;sheet=A0&amp;row=3446&amp;col=6&amp;number=15100000&amp;sourceID=14","15100000")</f>
        <v>15100000</v>
      </c>
      <c r="G3446" s="4" t="str">
        <f>HYPERLINK("http://141.218.60.56/~jnz1568/getInfo.php?workbook=14_09.xlsx&amp;sheet=A0&amp;row=3446&amp;col=7&amp;number=0&amp;sourceID=14","0")</f>
        <v>0</v>
      </c>
    </row>
    <row r="3447" spans="1:7">
      <c r="A3447" s="3">
        <v>14</v>
      </c>
      <c r="B3447" s="3">
        <v>9</v>
      </c>
      <c r="C3447" s="3">
        <v>137</v>
      </c>
      <c r="D3447" s="3">
        <v>84</v>
      </c>
      <c r="E3447" s="3">
        <v>-1637.415</v>
      </c>
      <c r="F3447" s="4" t="str">
        <f>HYPERLINK("http://141.218.60.56/~jnz1568/getInfo.php?workbook=14_09.xlsx&amp;sheet=A0&amp;row=3447&amp;col=6&amp;number=84400000&amp;sourceID=14","84400000")</f>
        <v>84400000</v>
      </c>
      <c r="G3447" s="4" t="str">
        <f>HYPERLINK("http://141.218.60.56/~jnz1568/getInfo.php?workbook=14_09.xlsx&amp;sheet=A0&amp;row=3447&amp;col=7&amp;number=0&amp;sourceID=14","0")</f>
        <v>0</v>
      </c>
    </row>
    <row r="3448" spans="1:7">
      <c r="A3448" s="3">
        <v>14</v>
      </c>
      <c r="B3448" s="3">
        <v>9</v>
      </c>
      <c r="C3448" s="3">
        <v>145</v>
      </c>
      <c r="D3448" s="3">
        <v>84</v>
      </c>
      <c r="E3448" s="3">
        <v>-1490.205</v>
      </c>
      <c r="F3448" s="4" t="str">
        <f>HYPERLINK("http://141.218.60.56/~jnz1568/getInfo.php?workbook=14_09.xlsx&amp;sheet=A0&amp;row=3448&amp;col=6&amp;number=2270000&amp;sourceID=14","2270000")</f>
        <v>2270000</v>
      </c>
      <c r="G3448" s="4" t="str">
        <f>HYPERLINK("http://141.218.60.56/~jnz1568/getInfo.php?workbook=14_09.xlsx&amp;sheet=A0&amp;row=3448&amp;col=7&amp;number=0&amp;sourceID=14","0")</f>
        <v>0</v>
      </c>
    </row>
    <row r="3449" spans="1:7">
      <c r="A3449" s="3">
        <v>14</v>
      </c>
      <c r="B3449" s="3">
        <v>9</v>
      </c>
      <c r="C3449" s="3">
        <v>148</v>
      </c>
      <c r="D3449" s="3">
        <v>84</v>
      </c>
      <c r="E3449" s="3">
        <v>-1458.962</v>
      </c>
      <c r="F3449" s="4" t="str">
        <f>HYPERLINK("http://141.218.60.56/~jnz1568/getInfo.php?workbook=14_09.xlsx&amp;sheet=A0&amp;row=3449&amp;col=6&amp;number=456000&amp;sourceID=14","456000")</f>
        <v>456000</v>
      </c>
      <c r="G3449" s="4" t="str">
        <f>HYPERLINK("http://141.218.60.56/~jnz1568/getInfo.php?workbook=14_09.xlsx&amp;sheet=A0&amp;row=3449&amp;col=7&amp;number=0&amp;sourceID=14","0")</f>
        <v>0</v>
      </c>
    </row>
    <row r="3450" spans="1:7">
      <c r="A3450" s="3">
        <v>14</v>
      </c>
      <c r="B3450" s="3">
        <v>9</v>
      </c>
      <c r="C3450" s="3">
        <v>152</v>
      </c>
      <c r="D3450" s="3">
        <v>84</v>
      </c>
      <c r="E3450" s="3">
        <v>-1316</v>
      </c>
      <c r="F3450" s="4" t="str">
        <f>HYPERLINK("http://141.218.60.56/~jnz1568/getInfo.php?workbook=14_09.xlsx&amp;sheet=A0&amp;row=3450&amp;col=6&amp;number=149000000&amp;sourceID=14","149000000")</f>
        <v>149000000</v>
      </c>
      <c r="G3450" s="4" t="str">
        <f>HYPERLINK("http://141.218.60.56/~jnz1568/getInfo.php?workbook=14_09.xlsx&amp;sheet=A0&amp;row=3450&amp;col=7&amp;number=0&amp;sourceID=14","0")</f>
        <v>0</v>
      </c>
    </row>
    <row r="3451" spans="1:7">
      <c r="A3451" s="3">
        <v>14</v>
      </c>
      <c r="B3451" s="3">
        <v>9</v>
      </c>
      <c r="C3451" s="3">
        <v>153</v>
      </c>
      <c r="D3451" s="3">
        <v>84</v>
      </c>
      <c r="E3451" s="3">
        <v>-1286.374</v>
      </c>
      <c r="F3451" s="4" t="str">
        <f>HYPERLINK("http://141.218.60.56/~jnz1568/getInfo.php?workbook=14_09.xlsx&amp;sheet=A0&amp;row=3451&amp;col=6&amp;number=485000000&amp;sourceID=14","485000000")</f>
        <v>485000000</v>
      </c>
      <c r="G3451" s="4" t="str">
        <f>HYPERLINK("http://141.218.60.56/~jnz1568/getInfo.php?workbook=14_09.xlsx&amp;sheet=A0&amp;row=3451&amp;col=7&amp;number=0&amp;sourceID=14","0")</f>
        <v>0</v>
      </c>
    </row>
    <row r="3452" spans="1:7">
      <c r="A3452" s="3">
        <v>14</v>
      </c>
      <c r="B3452" s="3">
        <v>9</v>
      </c>
      <c r="C3452" s="3">
        <v>154</v>
      </c>
      <c r="D3452" s="3">
        <v>84</v>
      </c>
      <c r="E3452" s="3">
        <v>-1285.994</v>
      </c>
      <c r="F3452" s="4" t="str">
        <f>HYPERLINK("http://141.218.60.56/~jnz1568/getInfo.php?workbook=14_09.xlsx&amp;sheet=A0&amp;row=3452&amp;col=6&amp;number=33800000&amp;sourceID=14","33800000")</f>
        <v>33800000</v>
      </c>
      <c r="G3452" s="4" t="str">
        <f>HYPERLINK("http://141.218.60.56/~jnz1568/getInfo.php?workbook=14_09.xlsx&amp;sheet=A0&amp;row=3452&amp;col=7&amp;number=0&amp;sourceID=14","0")</f>
        <v>0</v>
      </c>
    </row>
    <row r="3453" spans="1:7">
      <c r="A3453" s="3">
        <v>14</v>
      </c>
      <c r="B3453" s="3">
        <v>9</v>
      </c>
      <c r="C3453" s="3">
        <v>156</v>
      </c>
      <c r="D3453" s="3">
        <v>84</v>
      </c>
      <c r="E3453" s="3">
        <v>-1260.385</v>
      </c>
      <c r="F3453" s="4" t="str">
        <f>HYPERLINK("http://141.218.60.56/~jnz1568/getInfo.php?workbook=14_09.xlsx&amp;sheet=A0&amp;row=3453&amp;col=6&amp;number=553000000&amp;sourceID=14","553000000")</f>
        <v>553000000</v>
      </c>
      <c r="G3453" s="4" t="str">
        <f>HYPERLINK("http://141.218.60.56/~jnz1568/getInfo.php?workbook=14_09.xlsx&amp;sheet=A0&amp;row=3453&amp;col=7&amp;number=0&amp;sourceID=14","0")</f>
        <v>0</v>
      </c>
    </row>
    <row r="3454" spans="1:7">
      <c r="A3454" s="3">
        <v>14</v>
      </c>
      <c r="B3454" s="3">
        <v>9</v>
      </c>
      <c r="C3454" s="3">
        <v>157</v>
      </c>
      <c r="D3454" s="3">
        <v>84</v>
      </c>
      <c r="E3454" s="3">
        <v>-1221.018</v>
      </c>
      <c r="F3454" s="4" t="str">
        <f>HYPERLINK("http://141.218.60.56/~jnz1568/getInfo.php?workbook=14_09.xlsx&amp;sheet=A0&amp;row=3454&amp;col=6&amp;number=128000000&amp;sourceID=14","128000000")</f>
        <v>128000000</v>
      </c>
      <c r="G3454" s="4" t="str">
        <f>HYPERLINK("http://141.218.60.56/~jnz1568/getInfo.php?workbook=14_09.xlsx&amp;sheet=A0&amp;row=3454&amp;col=7&amp;number=0&amp;sourceID=14","0")</f>
        <v>0</v>
      </c>
    </row>
    <row r="3455" spans="1:7">
      <c r="A3455" s="3">
        <v>14</v>
      </c>
      <c r="B3455" s="3">
        <v>9</v>
      </c>
      <c r="C3455" s="3">
        <v>158</v>
      </c>
      <c r="D3455" s="3">
        <v>84</v>
      </c>
      <c r="E3455" s="3">
        <v>-1213.123</v>
      </c>
      <c r="F3455" s="4" t="str">
        <f>HYPERLINK("http://141.218.60.56/~jnz1568/getInfo.php?workbook=14_09.xlsx&amp;sheet=A0&amp;row=3455&amp;col=6&amp;number=311000000&amp;sourceID=14","311000000")</f>
        <v>311000000</v>
      </c>
      <c r="G3455" s="4" t="str">
        <f>HYPERLINK("http://141.218.60.56/~jnz1568/getInfo.php?workbook=14_09.xlsx&amp;sheet=A0&amp;row=3455&amp;col=7&amp;number=0&amp;sourceID=14","0")</f>
        <v>0</v>
      </c>
    </row>
    <row r="3456" spans="1:7">
      <c r="A3456" s="3">
        <v>14</v>
      </c>
      <c r="B3456" s="3">
        <v>9</v>
      </c>
      <c r="C3456" s="3">
        <v>161</v>
      </c>
      <c r="D3456" s="3">
        <v>84</v>
      </c>
      <c r="E3456" s="3">
        <v>-841.094</v>
      </c>
      <c r="F3456" s="4" t="str">
        <f>HYPERLINK("http://141.218.60.56/~jnz1568/getInfo.php?workbook=14_09.xlsx&amp;sheet=A0&amp;row=3456&amp;col=6&amp;number=1410000000&amp;sourceID=14","1410000000")</f>
        <v>1410000000</v>
      </c>
      <c r="G3456" s="4" t="str">
        <f>HYPERLINK("http://141.218.60.56/~jnz1568/getInfo.php?workbook=14_09.xlsx&amp;sheet=A0&amp;row=3456&amp;col=7&amp;number=0&amp;sourceID=14","0")</f>
        <v>0</v>
      </c>
    </row>
    <row r="3457" spans="1:7">
      <c r="A3457" s="3">
        <v>14</v>
      </c>
      <c r="B3457" s="3">
        <v>9</v>
      </c>
      <c r="C3457" s="3">
        <v>162</v>
      </c>
      <c r="D3457" s="3">
        <v>84</v>
      </c>
      <c r="E3457" s="3">
        <v>-788.371</v>
      </c>
      <c r="F3457" s="4" t="str">
        <f>HYPERLINK("http://141.218.60.56/~jnz1568/getInfo.php?workbook=14_09.xlsx&amp;sheet=A0&amp;row=3457&amp;col=6&amp;number=50600000&amp;sourceID=14","50600000")</f>
        <v>50600000</v>
      </c>
      <c r="G3457" s="4" t="str">
        <f>HYPERLINK("http://141.218.60.56/~jnz1568/getInfo.php?workbook=14_09.xlsx&amp;sheet=A0&amp;row=3457&amp;col=7&amp;number=0&amp;sourceID=14","0")</f>
        <v>0</v>
      </c>
    </row>
    <row r="3458" spans="1:7">
      <c r="A3458" s="3">
        <v>14</v>
      </c>
      <c r="B3458" s="3">
        <v>9</v>
      </c>
      <c r="C3458" s="3">
        <v>163</v>
      </c>
      <c r="D3458" s="3">
        <v>84</v>
      </c>
      <c r="E3458" s="3">
        <v>-787.558</v>
      </c>
      <c r="F3458" s="4" t="str">
        <f>HYPERLINK("http://141.218.60.56/~jnz1568/getInfo.php?workbook=14_09.xlsx&amp;sheet=A0&amp;row=3458&amp;col=6&amp;number=8160000&amp;sourceID=14","8160000")</f>
        <v>8160000</v>
      </c>
      <c r="G3458" s="4" t="str">
        <f>HYPERLINK("http://141.218.60.56/~jnz1568/getInfo.php?workbook=14_09.xlsx&amp;sheet=A0&amp;row=3458&amp;col=7&amp;number=0&amp;sourceID=14","0")</f>
        <v>0</v>
      </c>
    </row>
    <row r="3459" spans="1:7">
      <c r="A3459" s="3">
        <v>14</v>
      </c>
      <c r="B3459" s="3">
        <v>9</v>
      </c>
      <c r="C3459" s="3">
        <v>185</v>
      </c>
      <c r="D3459" s="3">
        <v>84</v>
      </c>
      <c r="E3459" s="3">
        <v>-444.999</v>
      </c>
      <c r="F3459" s="4" t="str">
        <f>HYPERLINK("http://141.218.60.56/~jnz1568/getInfo.php?workbook=14_09.xlsx&amp;sheet=A0&amp;row=3459&amp;col=6&amp;number=4300000&amp;sourceID=14","4300000")</f>
        <v>4300000</v>
      </c>
      <c r="G3459" s="4" t="str">
        <f>HYPERLINK("http://141.218.60.56/~jnz1568/getInfo.php?workbook=14_09.xlsx&amp;sheet=A0&amp;row=3459&amp;col=7&amp;number=0&amp;sourceID=14","0")</f>
        <v>0</v>
      </c>
    </row>
    <row r="3460" spans="1:7">
      <c r="A3460" s="3">
        <v>14</v>
      </c>
      <c r="B3460" s="3">
        <v>9</v>
      </c>
      <c r="C3460" s="3">
        <v>186</v>
      </c>
      <c r="D3460" s="3">
        <v>84</v>
      </c>
      <c r="E3460" s="3">
        <v>-443.745</v>
      </c>
      <c r="F3460" s="4" t="str">
        <f>HYPERLINK("http://141.218.60.56/~jnz1568/getInfo.php?workbook=14_09.xlsx&amp;sheet=A0&amp;row=3460&amp;col=6&amp;number=22800000&amp;sourceID=14","22800000")</f>
        <v>22800000</v>
      </c>
      <c r="G3460" s="4" t="str">
        <f>HYPERLINK("http://141.218.60.56/~jnz1568/getInfo.php?workbook=14_09.xlsx&amp;sheet=A0&amp;row=3460&amp;col=7&amp;number=0&amp;sourceID=14","0")</f>
        <v>0</v>
      </c>
    </row>
    <row r="3461" spans="1:7">
      <c r="A3461" s="3">
        <v>14</v>
      </c>
      <c r="B3461" s="3">
        <v>9</v>
      </c>
      <c r="C3461" s="3">
        <v>187</v>
      </c>
      <c r="D3461" s="3">
        <v>84</v>
      </c>
      <c r="E3461" s="3">
        <v>-434.298</v>
      </c>
      <c r="F3461" s="4" t="str">
        <f>HYPERLINK("http://141.218.60.56/~jnz1568/getInfo.php?workbook=14_09.xlsx&amp;sheet=A0&amp;row=3461&amp;col=6&amp;number=2820000&amp;sourceID=14","2820000")</f>
        <v>2820000</v>
      </c>
      <c r="G3461" s="4" t="str">
        <f>HYPERLINK("http://141.218.60.56/~jnz1568/getInfo.php?workbook=14_09.xlsx&amp;sheet=A0&amp;row=3461&amp;col=7&amp;number=0&amp;sourceID=14","0")</f>
        <v>0</v>
      </c>
    </row>
    <row r="3462" spans="1:7">
      <c r="A3462" s="3">
        <v>14</v>
      </c>
      <c r="B3462" s="3">
        <v>9</v>
      </c>
      <c r="C3462" s="3">
        <v>188</v>
      </c>
      <c r="D3462" s="3">
        <v>84</v>
      </c>
      <c r="E3462" s="3">
        <v>-433.707</v>
      </c>
      <c r="F3462" s="4" t="str">
        <f>HYPERLINK("http://141.218.60.56/~jnz1568/getInfo.php?workbook=14_09.xlsx&amp;sheet=A0&amp;row=3462&amp;col=6&amp;number=5310000&amp;sourceID=14","5310000")</f>
        <v>5310000</v>
      </c>
      <c r="G3462" s="4" t="str">
        <f>HYPERLINK("http://141.218.60.56/~jnz1568/getInfo.php?workbook=14_09.xlsx&amp;sheet=A0&amp;row=3462&amp;col=7&amp;number=0&amp;sourceID=14","0")</f>
        <v>0</v>
      </c>
    </row>
    <row r="3463" spans="1:7">
      <c r="A3463" s="3">
        <v>14</v>
      </c>
      <c r="B3463" s="3">
        <v>9</v>
      </c>
      <c r="C3463" s="3">
        <v>189</v>
      </c>
      <c r="D3463" s="3">
        <v>84</v>
      </c>
      <c r="E3463" s="3">
        <v>-409.822</v>
      </c>
      <c r="F3463" s="4" t="str">
        <f>HYPERLINK("http://141.218.60.56/~jnz1568/getInfo.php?workbook=14_09.xlsx&amp;sheet=A0&amp;row=3463&amp;col=6&amp;number=1800000000&amp;sourceID=14","1800000000")</f>
        <v>1800000000</v>
      </c>
      <c r="G3463" s="4" t="str">
        <f>HYPERLINK("http://141.218.60.56/~jnz1568/getInfo.php?workbook=14_09.xlsx&amp;sheet=A0&amp;row=3463&amp;col=7&amp;number=0&amp;sourceID=14","0")</f>
        <v>0</v>
      </c>
    </row>
    <row r="3464" spans="1:7">
      <c r="A3464" s="3">
        <v>14</v>
      </c>
      <c r="B3464" s="3">
        <v>9</v>
      </c>
      <c r="C3464" s="3">
        <v>127</v>
      </c>
      <c r="D3464" s="3">
        <v>85</v>
      </c>
      <c r="E3464" s="3">
        <v>-2002.367</v>
      </c>
      <c r="F3464" s="4" t="str">
        <f>HYPERLINK("http://141.218.60.56/~jnz1568/getInfo.php?workbook=14_09.xlsx&amp;sheet=A0&amp;row=3464&amp;col=6&amp;number=37100000&amp;sourceID=14","37100000")</f>
        <v>37100000</v>
      </c>
      <c r="G3464" s="4" t="str">
        <f>HYPERLINK("http://141.218.60.56/~jnz1568/getInfo.php?workbook=14_09.xlsx&amp;sheet=A0&amp;row=3464&amp;col=7&amp;number=0&amp;sourceID=14","0")</f>
        <v>0</v>
      </c>
    </row>
    <row r="3465" spans="1:7">
      <c r="A3465" s="3">
        <v>14</v>
      </c>
      <c r="B3465" s="3">
        <v>9</v>
      </c>
      <c r="C3465" s="3">
        <v>132</v>
      </c>
      <c r="D3465" s="3">
        <v>85</v>
      </c>
      <c r="E3465" s="3">
        <v>-1776.234</v>
      </c>
      <c r="F3465" s="4" t="str">
        <f>HYPERLINK("http://141.218.60.56/~jnz1568/getInfo.php?workbook=14_09.xlsx&amp;sheet=A0&amp;row=3465&amp;col=6&amp;number=38400000&amp;sourceID=14","38400000")</f>
        <v>38400000</v>
      </c>
      <c r="G3465" s="4" t="str">
        <f>HYPERLINK("http://141.218.60.56/~jnz1568/getInfo.php?workbook=14_09.xlsx&amp;sheet=A0&amp;row=3465&amp;col=7&amp;number=0&amp;sourceID=14","0")</f>
        <v>0</v>
      </c>
    </row>
    <row r="3466" spans="1:7">
      <c r="A3466" s="3">
        <v>14</v>
      </c>
      <c r="B3466" s="3">
        <v>9</v>
      </c>
      <c r="C3466" s="3">
        <v>134</v>
      </c>
      <c r="D3466" s="3">
        <v>85</v>
      </c>
      <c r="E3466" s="3">
        <v>-1757.287</v>
      </c>
      <c r="F3466" s="4" t="str">
        <f>HYPERLINK("http://141.218.60.56/~jnz1568/getInfo.php?workbook=14_09.xlsx&amp;sheet=A0&amp;row=3466&amp;col=6&amp;number=136000000&amp;sourceID=14","136000000")</f>
        <v>136000000</v>
      </c>
      <c r="G3466" s="4" t="str">
        <f>HYPERLINK("http://141.218.60.56/~jnz1568/getInfo.php?workbook=14_09.xlsx&amp;sheet=A0&amp;row=3466&amp;col=7&amp;number=0&amp;sourceID=14","0")</f>
        <v>0</v>
      </c>
    </row>
    <row r="3467" spans="1:7">
      <c r="A3467" s="3">
        <v>14</v>
      </c>
      <c r="B3467" s="3">
        <v>9</v>
      </c>
      <c r="C3467" s="3">
        <v>136</v>
      </c>
      <c r="D3467" s="3">
        <v>85</v>
      </c>
      <c r="E3467" s="3">
        <v>-1738.468</v>
      </c>
      <c r="F3467" s="4" t="str">
        <f>HYPERLINK("http://141.218.60.56/~jnz1568/getInfo.php?workbook=14_09.xlsx&amp;sheet=A0&amp;row=3467&amp;col=6&amp;number=82700000&amp;sourceID=14","82700000")</f>
        <v>82700000</v>
      </c>
      <c r="G3467" s="4" t="str">
        <f>HYPERLINK("http://141.218.60.56/~jnz1568/getInfo.php?workbook=14_09.xlsx&amp;sheet=A0&amp;row=3467&amp;col=7&amp;number=0&amp;sourceID=14","0")</f>
        <v>0</v>
      </c>
    </row>
    <row r="3468" spans="1:7">
      <c r="A3468" s="3">
        <v>14</v>
      </c>
      <c r="B3468" s="3">
        <v>9</v>
      </c>
      <c r="C3468" s="3">
        <v>137</v>
      </c>
      <c r="D3468" s="3">
        <v>85</v>
      </c>
      <c r="E3468" s="3">
        <v>-1712.273</v>
      </c>
      <c r="F3468" s="4" t="str">
        <f>HYPERLINK("http://141.218.60.56/~jnz1568/getInfo.php?workbook=14_09.xlsx&amp;sheet=A0&amp;row=3468&amp;col=6&amp;number=88500000&amp;sourceID=14","88500000")</f>
        <v>88500000</v>
      </c>
      <c r="G3468" s="4" t="str">
        <f>HYPERLINK("http://141.218.60.56/~jnz1568/getInfo.php?workbook=14_09.xlsx&amp;sheet=A0&amp;row=3468&amp;col=7&amp;number=0&amp;sourceID=14","0")</f>
        <v>0</v>
      </c>
    </row>
    <row r="3469" spans="1:7">
      <c r="A3469" s="3">
        <v>14</v>
      </c>
      <c r="B3469" s="3">
        <v>9</v>
      </c>
      <c r="C3469" s="3">
        <v>148</v>
      </c>
      <c r="D3469" s="3">
        <v>85</v>
      </c>
      <c r="E3469" s="3">
        <v>-1518.099</v>
      </c>
      <c r="F3469" s="4" t="str">
        <f>HYPERLINK("http://141.218.60.56/~jnz1568/getInfo.php?workbook=14_09.xlsx&amp;sheet=A0&amp;row=3469&amp;col=6&amp;number=717000&amp;sourceID=14","717000")</f>
        <v>717000</v>
      </c>
      <c r="G3469" s="4" t="str">
        <f>HYPERLINK("http://141.218.60.56/~jnz1568/getInfo.php?workbook=14_09.xlsx&amp;sheet=A0&amp;row=3469&amp;col=7&amp;number=0&amp;sourceID=14","0")</f>
        <v>0</v>
      </c>
    </row>
    <row r="3470" spans="1:7">
      <c r="A3470" s="3">
        <v>14</v>
      </c>
      <c r="B3470" s="3">
        <v>9</v>
      </c>
      <c r="C3470" s="3">
        <v>154</v>
      </c>
      <c r="D3470" s="3">
        <v>85</v>
      </c>
      <c r="E3470" s="3">
        <v>-1331.72</v>
      </c>
      <c r="F3470" s="4" t="str">
        <f>HYPERLINK("http://141.218.60.56/~jnz1568/getInfo.php?workbook=14_09.xlsx&amp;sheet=A0&amp;row=3470&amp;col=6&amp;number=5610000&amp;sourceID=14","5610000")</f>
        <v>5610000</v>
      </c>
      <c r="G3470" s="4" t="str">
        <f>HYPERLINK("http://141.218.60.56/~jnz1568/getInfo.php?workbook=14_09.xlsx&amp;sheet=A0&amp;row=3470&amp;col=7&amp;number=0&amp;sourceID=14","0")</f>
        <v>0</v>
      </c>
    </row>
    <row r="3471" spans="1:7">
      <c r="A3471" s="3">
        <v>14</v>
      </c>
      <c r="B3471" s="3">
        <v>9</v>
      </c>
      <c r="C3471" s="3">
        <v>155</v>
      </c>
      <c r="D3471" s="3">
        <v>85</v>
      </c>
      <c r="E3471" s="3">
        <v>-1320.169</v>
      </c>
      <c r="F3471" s="4" t="str">
        <f>HYPERLINK("http://141.218.60.56/~jnz1568/getInfo.php?workbook=14_09.xlsx&amp;sheet=A0&amp;row=3471&amp;col=6&amp;number=9200000&amp;sourceID=14","9200000")</f>
        <v>9200000</v>
      </c>
      <c r="G3471" s="4" t="str">
        <f>HYPERLINK("http://141.218.60.56/~jnz1568/getInfo.php?workbook=14_09.xlsx&amp;sheet=A0&amp;row=3471&amp;col=7&amp;number=0&amp;sourceID=14","0")</f>
        <v>0</v>
      </c>
    </row>
    <row r="3472" spans="1:7">
      <c r="A3472" s="3">
        <v>14</v>
      </c>
      <c r="B3472" s="3">
        <v>9</v>
      </c>
      <c r="C3472" s="3">
        <v>156</v>
      </c>
      <c r="D3472" s="3">
        <v>85</v>
      </c>
      <c r="E3472" s="3">
        <v>-1304.276</v>
      </c>
      <c r="F3472" s="4" t="str">
        <f>HYPERLINK("http://141.218.60.56/~jnz1568/getInfo.php?workbook=14_09.xlsx&amp;sheet=A0&amp;row=3472&amp;col=6&amp;number=116000000&amp;sourceID=14","116000000")</f>
        <v>116000000</v>
      </c>
      <c r="G3472" s="4" t="str">
        <f>HYPERLINK("http://141.218.60.56/~jnz1568/getInfo.php?workbook=14_09.xlsx&amp;sheet=A0&amp;row=3472&amp;col=7&amp;number=0&amp;sourceID=14","0")</f>
        <v>0</v>
      </c>
    </row>
    <row r="3473" spans="1:7">
      <c r="A3473" s="3">
        <v>14</v>
      </c>
      <c r="B3473" s="3">
        <v>9</v>
      </c>
      <c r="C3473" s="3">
        <v>157</v>
      </c>
      <c r="D3473" s="3">
        <v>85</v>
      </c>
      <c r="E3473" s="3">
        <v>-1262.166</v>
      </c>
      <c r="F3473" s="4" t="str">
        <f>HYPERLINK("http://141.218.60.56/~jnz1568/getInfo.php?workbook=14_09.xlsx&amp;sheet=A0&amp;row=3473&amp;col=6&amp;number=560000000&amp;sourceID=14","560000000")</f>
        <v>560000000</v>
      </c>
      <c r="G3473" s="4" t="str">
        <f>HYPERLINK("http://141.218.60.56/~jnz1568/getInfo.php?workbook=14_09.xlsx&amp;sheet=A0&amp;row=3473&amp;col=7&amp;number=0&amp;sourceID=14","0")</f>
        <v>0</v>
      </c>
    </row>
    <row r="3474" spans="1:7">
      <c r="A3474" s="3">
        <v>14</v>
      </c>
      <c r="B3474" s="3">
        <v>9</v>
      </c>
      <c r="C3474" s="3">
        <v>158</v>
      </c>
      <c r="D3474" s="3">
        <v>85</v>
      </c>
      <c r="E3474" s="3">
        <v>-1253.732</v>
      </c>
      <c r="F3474" s="4" t="str">
        <f>HYPERLINK("http://141.218.60.56/~jnz1568/getInfo.php?workbook=14_09.xlsx&amp;sheet=A0&amp;row=3474&amp;col=6&amp;number=440000000&amp;sourceID=14","440000000")</f>
        <v>440000000</v>
      </c>
      <c r="G3474" s="4" t="str">
        <f>HYPERLINK("http://141.218.60.56/~jnz1568/getInfo.php?workbook=14_09.xlsx&amp;sheet=A0&amp;row=3474&amp;col=7&amp;number=0&amp;sourceID=14","0")</f>
        <v>0</v>
      </c>
    </row>
    <row r="3475" spans="1:7">
      <c r="A3475" s="3">
        <v>14</v>
      </c>
      <c r="B3475" s="3">
        <v>9</v>
      </c>
      <c r="C3475" s="3">
        <v>161</v>
      </c>
      <c r="D3475" s="3">
        <v>85</v>
      </c>
      <c r="E3475" s="3">
        <v>-860.416</v>
      </c>
      <c r="F3475" s="4" t="str">
        <f>HYPERLINK("http://141.218.60.56/~jnz1568/getInfo.php?workbook=14_09.xlsx&amp;sheet=A0&amp;row=3475&amp;col=6&amp;number=808000000&amp;sourceID=14","808000000")</f>
        <v>808000000</v>
      </c>
      <c r="G3475" s="4" t="str">
        <f>HYPERLINK("http://141.218.60.56/~jnz1568/getInfo.php?workbook=14_09.xlsx&amp;sheet=A0&amp;row=3475&amp;col=7&amp;number=0&amp;sourceID=14","0")</f>
        <v>0</v>
      </c>
    </row>
    <row r="3476" spans="1:7">
      <c r="A3476" s="3">
        <v>14</v>
      </c>
      <c r="B3476" s="3">
        <v>9</v>
      </c>
      <c r="C3476" s="3">
        <v>163</v>
      </c>
      <c r="D3476" s="3">
        <v>85</v>
      </c>
      <c r="E3476" s="3">
        <v>-804.474</v>
      </c>
      <c r="F3476" s="4" t="str">
        <f>HYPERLINK("http://141.218.60.56/~jnz1568/getInfo.php?workbook=14_09.xlsx&amp;sheet=A0&amp;row=3476&amp;col=6&amp;number=40800000&amp;sourceID=14","40800000")</f>
        <v>40800000</v>
      </c>
      <c r="G3476" s="4" t="str">
        <f>HYPERLINK("http://141.218.60.56/~jnz1568/getInfo.php?workbook=14_09.xlsx&amp;sheet=A0&amp;row=3476&amp;col=7&amp;number=0&amp;sourceID=14","0")</f>
        <v>0</v>
      </c>
    </row>
    <row r="3477" spans="1:7">
      <c r="A3477" s="3">
        <v>14</v>
      </c>
      <c r="B3477" s="3">
        <v>9</v>
      </c>
      <c r="C3477" s="3">
        <v>185</v>
      </c>
      <c r="D3477" s="3">
        <v>85</v>
      </c>
      <c r="E3477" s="3">
        <v>-450.35</v>
      </c>
      <c r="F3477" s="4" t="str">
        <f>HYPERLINK("http://141.218.60.56/~jnz1568/getInfo.php?workbook=14_09.xlsx&amp;sheet=A0&amp;row=3477&amp;col=6&amp;number=12000000&amp;sourceID=14","12000000")</f>
        <v>12000000</v>
      </c>
      <c r="G3477" s="4" t="str">
        <f>HYPERLINK("http://141.218.60.56/~jnz1568/getInfo.php?workbook=14_09.xlsx&amp;sheet=A0&amp;row=3477&amp;col=7&amp;number=0&amp;sourceID=14","0")</f>
        <v>0</v>
      </c>
    </row>
    <row r="3478" spans="1:7">
      <c r="A3478" s="3">
        <v>14</v>
      </c>
      <c r="B3478" s="3">
        <v>9</v>
      </c>
      <c r="C3478" s="3">
        <v>187</v>
      </c>
      <c r="D3478" s="3">
        <v>85</v>
      </c>
      <c r="E3478" s="3">
        <v>-439.393</v>
      </c>
      <c r="F3478" s="4" t="str">
        <f>HYPERLINK("http://141.218.60.56/~jnz1568/getInfo.php?workbook=14_09.xlsx&amp;sheet=A0&amp;row=3478&amp;col=6&amp;number=2180000&amp;sourceID=14","2180000")</f>
        <v>2180000</v>
      </c>
      <c r="G3478" s="4" t="str">
        <f>HYPERLINK("http://141.218.60.56/~jnz1568/getInfo.php?workbook=14_09.xlsx&amp;sheet=A0&amp;row=3478&amp;col=7&amp;number=0&amp;sourceID=14","0")</f>
        <v>0</v>
      </c>
    </row>
    <row r="3479" spans="1:7">
      <c r="A3479" s="3">
        <v>14</v>
      </c>
      <c r="B3479" s="3">
        <v>9</v>
      </c>
      <c r="C3479" s="3">
        <v>188</v>
      </c>
      <c r="D3479" s="3">
        <v>85</v>
      </c>
      <c r="E3479" s="3">
        <v>-438.788</v>
      </c>
      <c r="F3479" s="4" t="str">
        <f>HYPERLINK("http://141.218.60.56/~jnz1568/getInfo.php?workbook=14_09.xlsx&amp;sheet=A0&amp;row=3479&amp;col=6&amp;number=1270000&amp;sourceID=14","1270000")</f>
        <v>1270000</v>
      </c>
      <c r="G3479" s="4" t="str">
        <f>HYPERLINK("http://141.218.60.56/~jnz1568/getInfo.php?workbook=14_09.xlsx&amp;sheet=A0&amp;row=3479&amp;col=7&amp;number=0&amp;sourceID=14","0")</f>
        <v>0</v>
      </c>
    </row>
    <row r="3480" spans="1:7">
      <c r="A3480" s="3">
        <v>14</v>
      </c>
      <c r="B3480" s="3">
        <v>9</v>
      </c>
      <c r="C3480" s="3">
        <v>189</v>
      </c>
      <c r="D3480" s="3">
        <v>85</v>
      </c>
      <c r="E3480" s="3">
        <v>-414.356</v>
      </c>
      <c r="F3480" s="4" t="str">
        <f>HYPERLINK("http://141.218.60.56/~jnz1568/getInfo.php?workbook=14_09.xlsx&amp;sheet=A0&amp;row=3480&amp;col=6&amp;number=855000000&amp;sourceID=14","855000000")</f>
        <v>855000000</v>
      </c>
      <c r="G3480" s="4" t="str">
        <f>HYPERLINK("http://141.218.60.56/~jnz1568/getInfo.php?workbook=14_09.xlsx&amp;sheet=A0&amp;row=3480&amp;col=7&amp;number=0&amp;sourceID=14","0")</f>
        <v>0</v>
      </c>
    </row>
    <row r="3481" spans="1:7">
      <c r="A3481" s="3">
        <v>14</v>
      </c>
      <c r="B3481" s="3">
        <v>9</v>
      </c>
      <c r="C3481" s="3">
        <v>104</v>
      </c>
      <c r="D3481" s="3">
        <v>86</v>
      </c>
      <c r="E3481" s="3">
        <v>-7950.404</v>
      </c>
      <c r="F3481" s="4" t="str">
        <f>HYPERLINK("http://141.218.60.56/~jnz1568/getInfo.php?workbook=14_09.xlsx&amp;sheet=A0&amp;row=3481&amp;col=6&amp;number=10800000&amp;sourceID=14","10800000")</f>
        <v>10800000</v>
      </c>
      <c r="G3481" s="4" t="str">
        <f>HYPERLINK("http://141.218.60.56/~jnz1568/getInfo.php?workbook=14_09.xlsx&amp;sheet=A0&amp;row=3481&amp;col=7&amp;number=0&amp;sourceID=14","0")</f>
        <v>0</v>
      </c>
    </row>
    <row r="3482" spans="1:7">
      <c r="A3482" s="3">
        <v>14</v>
      </c>
      <c r="B3482" s="3">
        <v>9</v>
      </c>
      <c r="C3482" s="3">
        <v>105</v>
      </c>
      <c r="D3482" s="3">
        <v>86</v>
      </c>
      <c r="E3482" s="3">
        <v>-7932.116</v>
      </c>
      <c r="F3482" s="4" t="str">
        <f>HYPERLINK("http://141.218.60.56/~jnz1568/getInfo.php?workbook=14_09.xlsx&amp;sheet=A0&amp;row=3482&amp;col=6&amp;number=3620000&amp;sourceID=14","3620000")</f>
        <v>3620000</v>
      </c>
      <c r="G3482" s="4" t="str">
        <f>HYPERLINK("http://141.218.60.56/~jnz1568/getInfo.php?workbook=14_09.xlsx&amp;sheet=A0&amp;row=3482&amp;col=7&amp;number=0&amp;sourceID=14","0")</f>
        <v>0</v>
      </c>
    </row>
    <row r="3483" spans="1:7">
      <c r="A3483" s="3">
        <v>14</v>
      </c>
      <c r="B3483" s="3">
        <v>9</v>
      </c>
      <c r="C3483" s="3">
        <v>106</v>
      </c>
      <c r="D3483" s="3">
        <v>86</v>
      </c>
      <c r="E3483" s="3">
        <v>-7840.692</v>
      </c>
      <c r="F3483" s="4" t="str">
        <f>HYPERLINK("http://141.218.60.56/~jnz1568/getInfo.php?workbook=14_09.xlsx&amp;sheet=A0&amp;row=3483&amp;col=6&amp;number=394000&amp;sourceID=14","394000")</f>
        <v>394000</v>
      </c>
      <c r="G3483" s="4" t="str">
        <f>HYPERLINK("http://141.218.60.56/~jnz1568/getInfo.php?workbook=14_09.xlsx&amp;sheet=A0&amp;row=3483&amp;col=7&amp;number=0&amp;sourceID=14","0")</f>
        <v>0</v>
      </c>
    </row>
    <row r="3484" spans="1:7">
      <c r="A3484" s="3">
        <v>14</v>
      </c>
      <c r="B3484" s="3">
        <v>9</v>
      </c>
      <c r="C3484" s="3">
        <v>107</v>
      </c>
      <c r="D3484" s="3">
        <v>86</v>
      </c>
      <c r="E3484" s="3">
        <v>-7670.49</v>
      </c>
      <c r="F3484" s="4" t="str">
        <f>HYPERLINK("http://141.218.60.56/~jnz1568/getInfo.php?workbook=14_09.xlsx&amp;sheet=A0&amp;row=3484&amp;col=6&amp;number=232000&amp;sourceID=14","232000")</f>
        <v>232000</v>
      </c>
      <c r="G3484" s="4" t="str">
        <f>HYPERLINK("http://141.218.60.56/~jnz1568/getInfo.php?workbook=14_09.xlsx&amp;sheet=A0&amp;row=3484&amp;col=7&amp;number=0&amp;sourceID=14","0")</f>
        <v>0</v>
      </c>
    </row>
    <row r="3485" spans="1:7">
      <c r="A3485" s="3">
        <v>14</v>
      </c>
      <c r="B3485" s="3">
        <v>9</v>
      </c>
      <c r="C3485" s="3">
        <v>109</v>
      </c>
      <c r="D3485" s="3">
        <v>86</v>
      </c>
      <c r="E3485" s="3">
        <v>-7442.705</v>
      </c>
      <c r="F3485" s="4" t="str">
        <f>HYPERLINK("http://141.218.60.56/~jnz1568/getInfo.php?workbook=14_09.xlsx&amp;sheet=A0&amp;row=3485&amp;col=6&amp;number=248000&amp;sourceID=14","248000")</f>
        <v>248000</v>
      </c>
      <c r="G3485" s="4" t="str">
        <f>HYPERLINK("http://141.218.60.56/~jnz1568/getInfo.php?workbook=14_09.xlsx&amp;sheet=A0&amp;row=3485&amp;col=7&amp;number=0&amp;sourceID=14","0")</f>
        <v>0</v>
      </c>
    </row>
    <row r="3486" spans="1:7">
      <c r="A3486" s="3">
        <v>14</v>
      </c>
      <c r="B3486" s="3">
        <v>9</v>
      </c>
      <c r="C3486" s="3">
        <v>119</v>
      </c>
      <c r="D3486" s="3">
        <v>86</v>
      </c>
      <c r="E3486" s="3">
        <v>-5727.715</v>
      </c>
      <c r="F3486" s="4" t="str">
        <f>HYPERLINK("http://141.218.60.56/~jnz1568/getInfo.php?workbook=14_09.xlsx&amp;sheet=A0&amp;row=3486&amp;col=6&amp;number=329000&amp;sourceID=14","329000")</f>
        <v>329000</v>
      </c>
      <c r="G3486" s="4" t="str">
        <f>HYPERLINK("http://141.218.60.56/~jnz1568/getInfo.php?workbook=14_09.xlsx&amp;sheet=A0&amp;row=3486&amp;col=7&amp;number=0&amp;sourceID=14","0")</f>
        <v>0</v>
      </c>
    </row>
    <row r="3487" spans="1:7">
      <c r="A3487" s="3">
        <v>14</v>
      </c>
      <c r="B3487" s="3">
        <v>9</v>
      </c>
      <c r="C3487" s="3">
        <v>121</v>
      </c>
      <c r="D3487" s="3">
        <v>86</v>
      </c>
      <c r="E3487" s="3">
        <v>-5565.77</v>
      </c>
      <c r="F3487" s="4" t="str">
        <f>HYPERLINK("http://141.218.60.56/~jnz1568/getInfo.php?workbook=14_09.xlsx&amp;sheet=A0&amp;row=3487&amp;col=6&amp;number=794000&amp;sourceID=14","794000")</f>
        <v>794000</v>
      </c>
      <c r="G3487" s="4" t="str">
        <f>HYPERLINK("http://141.218.60.56/~jnz1568/getInfo.php?workbook=14_09.xlsx&amp;sheet=A0&amp;row=3487&amp;col=7&amp;number=0&amp;sourceID=14","0")</f>
        <v>0</v>
      </c>
    </row>
    <row r="3488" spans="1:7">
      <c r="A3488" s="3">
        <v>14</v>
      </c>
      <c r="B3488" s="3">
        <v>9</v>
      </c>
      <c r="C3488" s="3">
        <v>170</v>
      </c>
      <c r="D3488" s="3">
        <v>86</v>
      </c>
      <c r="E3488" s="3">
        <v>-609.538</v>
      </c>
      <c r="F3488" s="4" t="str">
        <f>HYPERLINK("http://141.218.60.56/~jnz1568/getInfo.php?workbook=14_09.xlsx&amp;sheet=A0&amp;row=3488&amp;col=6&amp;number=9430000&amp;sourceID=14","9430000")</f>
        <v>9430000</v>
      </c>
      <c r="G3488" s="4" t="str">
        <f>HYPERLINK("http://141.218.60.56/~jnz1568/getInfo.php?workbook=14_09.xlsx&amp;sheet=A0&amp;row=3488&amp;col=7&amp;number=0&amp;sourceID=14","0")</f>
        <v>0</v>
      </c>
    </row>
    <row r="3489" spans="1:7">
      <c r="A3489" s="3">
        <v>14</v>
      </c>
      <c r="B3489" s="3">
        <v>9</v>
      </c>
      <c r="C3489" s="3">
        <v>171</v>
      </c>
      <c r="D3489" s="3">
        <v>86</v>
      </c>
      <c r="E3489" s="3">
        <v>-600.984</v>
      </c>
      <c r="F3489" s="4" t="str">
        <f>HYPERLINK("http://141.218.60.56/~jnz1568/getInfo.php?workbook=14_09.xlsx&amp;sheet=A0&amp;row=3489&amp;col=6&amp;number=299000000&amp;sourceID=14","299000000")</f>
        <v>299000000</v>
      </c>
      <c r="G3489" s="4" t="str">
        <f>HYPERLINK("http://141.218.60.56/~jnz1568/getInfo.php?workbook=14_09.xlsx&amp;sheet=A0&amp;row=3489&amp;col=7&amp;number=0&amp;sourceID=14","0")</f>
        <v>0</v>
      </c>
    </row>
    <row r="3490" spans="1:7">
      <c r="A3490" s="3">
        <v>14</v>
      </c>
      <c r="B3490" s="3">
        <v>9</v>
      </c>
      <c r="C3490" s="3">
        <v>172</v>
      </c>
      <c r="D3490" s="3">
        <v>86</v>
      </c>
      <c r="E3490" s="3">
        <v>-595.892</v>
      </c>
      <c r="F3490" s="4" t="str">
        <f>HYPERLINK("http://141.218.60.56/~jnz1568/getInfo.php?workbook=14_09.xlsx&amp;sheet=A0&amp;row=3490&amp;col=6&amp;number=71500000&amp;sourceID=14","71500000")</f>
        <v>71500000</v>
      </c>
      <c r="G3490" s="4" t="str">
        <f>HYPERLINK("http://141.218.60.56/~jnz1568/getInfo.php?workbook=14_09.xlsx&amp;sheet=A0&amp;row=3490&amp;col=7&amp;number=0&amp;sourceID=14","0")</f>
        <v>0</v>
      </c>
    </row>
    <row r="3491" spans="1:7">
      <c r="A3491" s="3">
        <v>14</v>
      </c>
      <c r="B3491" s="3">
        <v>9</v>
      </c>
      <c r="C3491" s="3">
        <v>173</v>
      </c>
      <c r="D3491" s="3">
        <v>86</v>
      </c>
      <c r="E3491" s="3">
        <v>-591.011</v>
      </c>
      <c r="F3491" s="4" t="str">
        <f>HYPERLINK("http://141.218.60.56/~jnz1568/getInfo.php?workbook=14_09.xlsx&amp;sheet=A0&amp;row=3491&amp;col=6&amp;number=7560000&amp;sourceID=14","7560000")</f>
        <v>7560000</v>
      </c>
      <c r="G3491" s="4" t="str">
        <f>HYPERLINK("http://141.218.60.56/~jnz1568/getInfo.php?workbook=14_09.xlsx&amp;sheet=A0&amp;row=3491&amp;col=7&amp;number=0&amp;sourceID=14","0")</f>
        <v>0</v>
      </c>
    </row>
    <row r="3492" spans="1:7">
      <c r="A3492" s="3">
        <v>14</v>
      </c>
      <c r="B3492" s="3">
        <v>9</v>
      </c>
      <c r="C3492" s="3">
        <v>175</v>
      </c>
      <c r="D3492" s="3">
        <v>86</v>
      </c>
      <c r="E3492" s="3">
        <v>-568.525</v>
      </c>
      <c r="F3492" s="4" t="str">
        <f>HYPERLINK("http://141.218.60.56/~jnz1568/getInfo.php?workbook=14_09.xlsx&amp;sheet=A0&amp;row=3492&amp;col=6&amp;number=10300000&amp;sourceID=14","10300000")</f>
        <v>10300000</v>
      </c>
      <c r="G3492" s="4" t="str">
        <f>HYPERLINK("http://141.218.60.56/~jnz1568/getInfo.php?workbook=14_09.xlsx&amp;sheet=A0&amp;row=3492&amp;col=7&amp;number=0&amp;sourceID=14","0")</f>
        <v>0</v>
      </c>
    </row>
    <row r="3493" spans="1:7">
      <c r="A3493" s="3">
        <v>14</v>
      </c>
      <c r="B3493" s="3">
        <v>9</v>
      </c>
      <c r="C3493" s="3">
        <v>176</v>
      </c>
      <c r="D3493" s="3">
        <v>86</v>
      </c>
      <c r="E3493" s="3">
        <v>-562.367</v>
      </c>
      <c r="F3493" s="4" t="str">
        <f>HYPERLINK("http://141.218.60.56/~jnz1568/getInfo.php?workbook=14_09.xlsx&amp;sheet=A0&amp;row=3493&amp;col=6&amp;number=9410000&amp;sourceID=14","9410000")</f>
        <v>9410000</v>
      </c>
      <c r="G3493" s="4" t="str">
        <f>HYPERLINK("http://141.218.60.56/~jnz1568/getInfo.php?workbook=14_09.xlsx&amp;sheet=A0&amp;row=3493&amp;col=7&amp;number=0&amp;sourceID=14","0")</f>
        <v>0</v>
      </c>
    </row>
    <row r="3494" spans="1:7">
      <c r="A3494" s="3">
        <v>14</v>
      </c>
      <c r="B3494" s="3">
        <v>9</v>
      </c>
      <c r="C3494" s="3">
        <v>177</v>
      </c>
      <c r="D3494" s="3">
        <v>86</v>
      </c>
      <c r="E3494" s="3">
        <v>-561.833</v>
      </c>
      <c r="F3494" s="4" t="str">
        <f>HYPERLINK("http://141.218.60.56/~jnz1568/getInfo.php?workbook=14_09.xlsx&amp;sheet=A0&amp;row=3494&amp;col=6&amp;number=2490000&amp;sourceID=14","2490000")</f>
        <v>2490000</v>
      </c>
      <c r="G3494" s="4" t="str">
        <f>HYPERLINK("http://141.218.60.56/~jnz1568/getInfo.php?workbook=14_09.xlsx&amp;sheet=A0&amp;row=3494&amp;col=7&amp;number=0&amp;sourceID=14","0")</f>
        <v>0</v>
      </c>
    </row>
    <row r="3495" spans="1:7">
      <c r="A3495" s="3">
        <v>14</v>
      </c>
      <c r="B3495" s="3">
        <v>9</v>
      </c>
      <c r="C3495" s="3">
        <v>181</v>
      </c>
      <c r="D3495" s="3">
        <v>86</v>
      </c>
      <c r="E3495" s="3">
        <v>-544.613</v>
      </c>
      <c r="F3495" s="4" t="str">
        <f>HYPERLINK("http://141.218.60.56/~jnz1568/getInfo.php?workbook=14_09.xlsx&amp;sheet=A0&amp;row=3495&amp;col=6&amp;number=677000&amp;sourceID=14","677000")</f>
        <v>677000</v>
      </c>
      <c r="G3495" s="4" t="str">
        <f>HYPERLINK("http://141.218.60.56/~jnz1568/getInfo.php?workbook=14_09.xlsx&amp;sheet=A0&amp;row=3495&amp;col=7&amp;number=0&amp;sourceID=14","0")</f>
        <v>0</v>
      </c>
    </row>
    <row r="3496" spans="1:7">
      <c r="A3496" s="3">
        <v>14</v>
      </c>
      <c r="B3496" s="3">
        <v>9</v>
      </c>
      <c r="C3496" s="3">
        <v>105</v>
      </c>
      <c r="D3496" s="3">
        <v>87</v>
      </c>
      <c r="E3496" s="3">
        <v>-8128.774</v>
      </c>
      <c r="F3496" s="4" t="str">
        <f>HYPERLINK("http://141.218.60.56/~jnz1568/getInfo.php?workbook=14_09.xlsx&amp;sheet=A0&amp;row=3496&amp;col=6&amp;number=7860000&amp;sourceID=14","7860000")</f>
        <v>7860000</v>
      </c>
      <c r="G3496" s="4" t="str">
        <f>HYPERLINK("http://141.218.60.56/~jnz1568/getInfo.php?workbook=14_09.xlsx&amp;sheet=A0&amp;row=3496&amp;col=7&amp;number=0&amp;sourceID=14","0")</f>
        <v>0</v>
      </c>
    </row>
    <row r="3497" spans="1:7">
      <c r="A3497" s="3">
        <v>14</v>
      </c>
      <c r="B3497" s="3">
        <v>9</v>
      </c>
      <c r="C3497" s="3">
        <v>106</v>
      </c>
      <c r="D3497" s="3">
        <v>87</v>
      </c>
      <c r="E3497" s="3">
        <v>-8032.789</v>
      </c>
      <c r="F3497" s="4" t="str">
        <f>HYPERLINK("http://141.218.60.56/~jnz1568/getInfo.php?workbook=14_09.xlsx&amp;sheet=A0&amp;row=3497&amp;col=6&amp;number=4210000&amp;sourceID=14","4210000")</f>
        <v>4210000</v>
      </c>
      <c r="G3497" s="4" t="str">
        <f>HYPERLINK("http://141.218.60.56/~jnz1568/getInfo.php?workbook=14_09.xlsx&amp;sheet=A0&amp;row=3497&amp;col=7&amp;number=0&amp;sourceID=14","0")</f>
        <v>0</v>
      </c>
    </row>
    <row r="3498" spans="1:7">
      <c r="A3498" s="3">
        <v>14</v>
      </c>
      <c r="B3498" s="3">
        <v>9</v>
      </c>
      <c r="C3498" s="3">
        <v>108</v>
      </c>
      <c r="D3498" s="3">
        <v>87</v>
      </c>
      <c r="E3498" s="3">
        <v>-7775.459</v>
      </c>
      <c r="F3498" s="4" t="str">
        <f>HYPERLINK("http://141.218.60.56/~jnz1568/getInfo.php?workbook=14_09.xlsx&amp;sheet=A0&amp;row=3498&amp;col=6&amp;number=1000000&amp;sourceID=14","1000000")</f>
        <v>1000000</v>
      </c>
      <c r="G3498" s="4" t="str">
        <f>HYPERLINK("http://141.218.60.56/~jnz1568/getInfo.php?workbook=14_09.xlsx&amp;sheet=A0&amp;row=3498&amp;col=7&amp;number=0&amp;sourceID=14","0")</f>
        <v>0</v>
      </c>
    </row>
    <row r="3499" spans="1:7">
      <c r="A3499" s="3">
        <v>14</v>
      </c>
      <c r="B3499" s="3">
        <v>9</v>
      </c>
      <c r="C3499" s="3">
        <v>109</v>
      </c>
      <c r="D3499" s="3">
        <v>87</v>
      </c>
      <c r="E3499" s="3">
        <v>-7615.58</v>
      </c>
      <c r="F3499" s="4" t="str">
        <f>HYPERLINK("http://141.218.60.56/~jnz1568/getInfo.php?workbook=14_09.xlsx&amp;sheet=A0&amp;row=3499&amp;col=6&amp;number=1330000&amp;sourceID=14","1330000")</f>
        <v>1330000</v>
      </c>
      <c r="G3499" s="4" t="str">
        <f>HYPERLINK("http://141.218.60.56/~jnz1568/getInfo.php?workbook=14_09.xlsx&amp;sheet=A0&amp;row=3499&amp;col=7&amp;number=0&amp;sourceID=14","0")</f>
        <v>0</v>
      </c>
    </row>
    <row r="3500" spans="1:7">
      <c r="A3500" s="3">
        <v>14</v>
      </c>
      <c r="B3500" s="3">
        <v>9</v>
      </c>
      <c r="C3500" s="3">
        <v>116</v>
      </c>
      <c r="D3500" s="3">
        <v>87</v>
      </c>
      <c r="E3500" s="3">
        <v>-7146.443</v>
      </c>
      <c r="F3500" s="4" t="str">
        <f>HYPERLINK("http://141.218.60.56/~jnz1568/getInfo.php?workbook=14_09.xlsx&amp;sheet=A0&amp;row=3500&amp;col=6&amp;number=527000&amp;sourceID=14","527000")</f>
        <v>527000</v>
      </c>
      <c r="G3500" s="4" t="str">
        <f>HYPERLINK("http://141.218.60.56/~jnz1568/getInfo.php?workbook=14_09.xlsx&amp;sheet=A0&amp;row=3500&amp;col=7&amp;number=0&amp;sourceID=14","0")</f>
        <v>0</v>
      </c>
    </row>
    <row r="3501" spans="1:7">
      <c r="A3501" s="3">
        <v>14</v>
      </c>
      <c r="B3501" s="3">
        <v>9</v>
      </c>
      <c r="C3501" s="3">
        <v>121</v>
      </c>
      <c r="D3501" s="3">
        <v>87</v>
      </c>
      <c r="E3501" s="3">
        <v>-5661.883</v>
      </c>
      <c r="F3501" s="4" t="str">
        <f>HYPERLINK("http://141.218.60.56/~jnz1568/getInfo.php?workbook=14_09.xlsx&amp;sheet=A0&amp;row=3501&amp;col=6&amp;number=787000&amp;sourceID=14","787000")</f>
        <v>787000</v>
      </c>
      <c r="G3501" s="4" t="str">
        <f>HYPERLINK("http://141.218.60.56/~jnz1568/getInfo.php?workbook=14_09.xlsx&amp;sheet=A0&amp;row=3501&amp;col=7&amp;number=0&amp;sourceID=14","0")</f>
        <v>0</v>
      </c>
    </row>
    <row r="3502" spans="1:7">
      <c r="A3502" s="3">
        <v>14</v>
      </c>
      <c r="B3502" s="3">
        <v>9</v>
      </c>
      <c r="C3502" s="3">
        <v>123</v>
      </c>
      <c r="D3502" s="3">
        <v>87</v>
      </c>
      <c r="E3502" s="3">
        <v>-5295.217</v>
      </c>
      <c r="F3502" s="4" t="str">
        <f>HYPERLINK("http://141.218.60.56/~jnz1568/getInfo.php?workbook=14_09.xlsx&amp;sheet=A0&amp;row=3502&amp;col=6&amp;number=524000&amp;sourceID=14","524000")</f>
        <v>524000</v>
      </c>
      <c r="G3502" s="4" t="str">
        <f>HYPERLINK("http://141.218.60.56/~jnz1568/getInfo.php?workbook=14_09.xlsx&amp;sheet=A0&amp;row=3502&amp;col=7&amp;number=0&amp;sourceID=14","0")</f>
        <v>0</v>
      </c>
    </row>
    <row r="3503" spans="1:7">
      <c r="A3503" s="3">
        <v>14</v>
      </c>
      <c r="B3503" s="3">
        <v>9</v>
      </c>
      <c r="C3503" s="3">
        <v>169</v>
      </c>
      <c r="D3503" s="3">
        <v>87</v>
      </c>
      <c r="E3503" s="3">
        <v>-616.269</v>
      </c>
      <c r="F3503" s="4" t="str">
        <f>HYPERLINK("http://141.218.60.56/~jnz1568/getInfo.php?workbook=14_09.xlsx&amp;sheet=A0&amp;row=3503&amp;col=6&amp;number=8030000&amp;sourceID=14","8030000")</f>
        <v>8030000</v>
      </c>
      <c r="G3503" s="4" t="str">
        <f>HYPERLINK("http://141.218.60.56/~jnz1568/getInfo.php?workbook=14_09.xlsx&amp;sheet=A0&amp;row=3503&amp;col=7&amp;number=0&amp;sourceID=14","0")</f>
        <v>0</v>
      </c>
    </row>
    <row r="3504" spans="1:7">
      <c r="A3504" s="3">
        <v>14</v>
      </c>
      <c r="B3504" s="3">
        <v>9</v>
      </c>
      <c r="C3504" s="3">
        <v>172</v>
      </c>
      <c r="D3504" s="3">
        <v>87</v>
      </c>
      <c r="E3504" s="3">
        <v>-596.977</v>
      </c>
      <c r="F3504" s="4" t="str">
        <f>HYPERLINK("http://141.218.60.56/~jnz1568/getInfo.php?workbook=14_09.xlsx&amp;sheet=A0&amp;row=3504&amp;col=6&amp;number=248000000&amp;sourceID=14","248000000")</f>
        <v>248000000</v>
      </c>
      <c r="G3504" s="4" t="str">
        <f>HYPERLINK("http://141.218.60.56/~jnz1568/getInfo.php?workbook=14_09.xlsx&amp;sheet=A0&amp;row=3504&amp;col=7&amp;number=0&amp;sourceID=14","0")</f>
        <v>0</v>
      </c>
    </row>
    <row r="3505" spans="1:7">
      <c r="A3505" s="3">
        <v>14</v>
      </c>
      <c r="B3505" s="3">
        <v>9</v>
      </c>
      <c r="C3505" s="3">
        <v>173</v>
      </c>
      <c r="D3505" s="3">
        <v>87</v>
      </c>
      <c r="E3505" s="3">
        <v>-592.078</v>
      </c>
      <c r="F3505" s="4" t="str">
        <f>HYPERLINK("http://141.218.60.56/~jnz1568/getInfo.php?workbook=14_09.xlsx&amp;sheet=A0&amp;row=3505&amp;col=6&amp;number=107000000&amp;sourceID=14","107000000")</f>
        <v>107000000</v>
      </c>
      <c r="G3505" s="4" t="str">
        <f>HYPERLINK("http://141.218.60.56/~jnz1568/getInfo.php?workbook=14_09.xlsx&amp;sheet=A0&amp;row=3505&amp;col=7&amp;number=0&amp;sourceID=14","0")</f>
        <v>0</v>
      </c>
    </row>
    <row r="3506" spans="1:7">
      <c r="A3506" s="3">
        <v>14</v>
      </c>
      <c r="B3506" s="3">
        <v>9</v>
      </c>
      <c r="C3506" s="3">
        <v>174</v>
      </c>
      <c r="D3506" s="3">
        <v>87</v>
      </c>
      <c r="E3506" s="3">
        <v>-587.953</v>
      </c>
      <c r="F3506" s="4" t="str">
        <f>HYPERLINK("http://141.218.60.56/~jnz1568/getInfo.php?workbook=14_09.xlsx&amp;sheet=A0&amp;row=3506&amp;col=6&amp;number=13100000&amp;sourceID=14","13100000")</f>
        <v>13100000</v>
      </c>
      <c r="G3506" s="4" t="str">
        <f>HYPERLINK("http://141.218.60.56/~jnz1568/getInfo.php?workbook=14_09.xlsx&amp;sheet=A0&amp;row=3506&amp;col=7&amp;number=0&amp;sourceID=14","0")</f>
        <v>0</v>
      </c>
    </row>
    <row r="3507" spans="1:7">
      <c r="A3507" s="3">
        <v>14</v>
      </c>
      <c r="B3507" s="3">
        <v>9</v>
      </c>
      <c r="C3507" s="3">
        <v>176</v>
      </c>
      <c r="D3507" s="3">
        <v>87</v>
      </c>
      <c r="E3507" s="3">
        <v>-563.334</v>
      </c>
      <c r="F3507" s="4" t="str">
        <f>HYPERLINK("http://141.218.60.56/~jnz1568/getInfo.php?workbook=14_09.xlsx&amp;sheet=A0&amp;row=3507&amp;col=6&amp;number=16400000&amp;sourceID=14","16400000")</f>
        <v>16400000</v>
      </c>
      <c r="G3507" s="4" t="str">
        <f>HYPERLINK("http://141.218.60.56/~jnz1568/getInfo.php?workbook=14_09.xlsx&amp;sheet=A0&amp;row=3507&amp;col=7&amp;number=0&amp;sourceID=14","0")</f>
        <v>0</v>
      </c>
    </row>
    <row r="3508" spans="1:7">
      <c r="A3508" s="3">
        <v>14</v>
      </c>
      <c r="B3508" s="3">
        <v>9</v>
      </c>
      <c r="C3508" s="3">
        <v>177</v>
      </c>
      <c r="D3508" s="3">
        <v>87</v>
      </c>
      <c r="E3508" s="3">
        <v>-562.798</v>
      </c>
      <c r="F3508" s="4" t="str">
        <f>HYPERLINK("http://141.218.60.56/~jnz1568/getInfo.php?workbook=14_09.xlsx&amp;sheet=A0&amp;row=3508&amp;col=6&amp;number=1580000&amp;sourceID=14","1580000")</f>
        <v>1580000</v>
      </c>
      <c r="G3508" s="4" t="str">
        <f>HYPERLINK("http://141.218.60.56/~jnz1568/getInfo.php?workbook=14_09.xlsx&amp;sheet=A0&amp;row=3508&amp;col=7&amp;number=0&amp;sourceID=14","0")</f>
        <v>0</v>
      </c>
    </row>
    <row r="3509" spans="1:7">
      <c r="A3509" s="3">
        <v>14</v>
      </c>
      <c r="B3509" s="3">
        <v>9</v>
      </c>
      <c r="C3509" s="3">
        <v>179</v>
      </c>
      <c r="D3509" s="3">
        <v>87</v>
      </c>
      <c r="E3509" s="3">
        <v>-562.156</v>
      </c>
      <c r="F3509" s="4" t="str">
        <f>HYPERLINK("http://141.218.60.56/~jnz1568/getInfo.php?workbook=14_09.xlsx&amp;sheet=A0&amp;row=3509&amp;col=6&amp;number=20600000&amp;sourceID=14","20600000")</f>
        <v>20600000</v>
      </c>
      <c r="G3509" s="4" t="str">
        <f>HYPERLINK("http://141.218.60.56/~jnz1568/getInfo.php?workbook=14_09.xlsx&amp;sheet=A0&amp;row=3509&amp;col=7&amp;number=0&amp;sourceID=14","0")</f>
        <v>0</v>
      </c>
    </row>
    <row r="3510" spans="1:7">
      <c r="A3510" s="3">
        <v>14</v>
      </c>
      <c r="B3510" s="3">
        <v>9</v>
      </c>
      <c r="C3510" s="3">
        <v>181</v>
      </c>
      <c r="D3510" s="3">
        <v>87</v>
      </c>
      <c r="E3510" s="3">
        <v>-545.519</v>
      </c>
      <c r="F3510" s="4" t="str">
        <f>HYPERLINK("http://141.218.60.56/~jnz1568/getInfo.php?workbook=14_09.xlsx&amp;sheet=A0&amp;row=3510&amp;col=6&amp;number=325000&amp;sourceID=14","325000")</f>
        <v>325000</v>
      </c>
      <c r="G3510" s="4" t="str">
        <f>HYPERLINK("http://141.218.60.56/~jnz1568/getInfo.php?workbook=14_09.xlsx&amp;sheet=A0&amp;row=3510&amp;col=7&amp;number=0&amp;sourceID=14","0")</f>
        <v>0</v>
      </c>
    </row>
    <row r="3511" spans="1:7">
      <c r="A3511" s="3">
        <v>14</v>
      </c>
      <c r="B3511" s="3">
        <v>9</v>
      </c>
      <c r="C3511" s="3">
        <v>106</v>
      </c>
      <c r="D3511" s="3">
        <v>88</v>
      </c>
      <c r="E3511" s="3">
        <v>-8438.834</v>
      </c>
      <c r="F3511" s="4" t="str">
        <f>HYPERLINK("http://141.218.60.56/~jnz1568/getInfo.php?workbook=14_09.xlsx&amp;sheet=A0&amp;row=3511&amp;col=6&amp;number=5100000&amp;sourceID=14","5100000")</f>
        <v>5100000</v>
      </c>
      <c r="G3511" s="4" t="str">
        <f>HYPERLINK("http://141.218.60.56/~jnz1568/getInfo.php?workbook=14_09.xlsx&amp;sheet=A0&amp;row=3511&amp;col=7&amp;number=0&amp;sourceID=14","0")</f>
        <v>0</v>
      </c>
    </row>
    <row r="3512" spans="1:7">
      <c r="A3512" s="3">
        <v>14</v>
      </c>
      <c r="B3512" s="3">
        <v>9</v>
      </c>
      <c r="C3512" s="3">
        <v>108</v>
      </c>
      <c r="D3512" s="3">
        <v>88</v>
      </c>
      <c r="E3512" s="3">
        <v>-8155.292</v>
      </c>
      <c r="F3512" s="4" t="str">
        <f>HYPERLINK("http://141.218.60.56/~jnz1568/getInfo.php?workbook=14_09.xlsx&amp;sheet=A0&amp;row=3512&amp;col=6&amp;number=4950000&amp;sourceID=14","4950000")</f>
        <v>4950000</v>
      </c>
      <c r="G3512" s="4" t="str">
        <f>HYPERLINK("http://141.218.60.56/~jnz1568/getInfo.php?workbook=14_09.xlsx&amp;sheet=A0&amp;row=3512&amp;col=7&amp;number=0&amp;sourceID=14","0")</f>
        <v>0</v>
      </c>
    </row>
    <row r="3513" spans="1:7">
      <c r="A3513" s="3">
        <v>14</v>
      </c>
      <c r="B3513" s="3">
        <v>9</v>
      </c>
      <c r="C3513" s="3">
        <v>109</v>
      </c>
      <c r="D3513" s="3">
        <v>88</v>
      </c>
      <c r="E3513" s="3">
        <v>-7979.587</v>
      </c>
      <c r="F3513" s="4" t="str">
        <f>HYPERLINK("http://141.218.60.56/~jnz1568/getInfo.php?workbook=14_09.xlsx&amp;sheet=A0&amp;row=3513&amp;col=6&amp;number=248000&amp;sourceID=14","248000")</f>
        <v>248000</v>
      </c>
      <c r="G3513" s="4" t="str">
        <f>HYPERLINK("http://141.218.60.56/~jnz1568/getInfo.php?workbook=14_09.xlsx&amp;sheet=A0&amp;row=3513&amp;col=7&amp;number=0&amp;sourceID=14","0")</f>
        <v>0</v>
      </c>
    </row>
    <row r="3514" spans="1:7">
      <c r="A3514" s="3">
        <v>14</v>
      </c>
      <c r="B3514" s="3">
        <v>9</v>
      </c>
      <c r="C3514" s="3">
        <v>112</v>
      </c>
      <c r="D3514" s="3">
        <v>88</v>
      </c>
      <c r="E3514" s="3">
        <v>-7566.6</v>
      </c>
      <c r="F3514" s="4" t="str">
        <f>HYPERLINK("http://141.218.60.56/~jnz1568/getInfo.php?workbook=14_09.xlsx&amp;sheet=A0&amp;row=3514&amp;col=6&amp;number=2350000&amp;sourceID=14","2350000")</f>
        <v>2350000</v>
      </c>
      <c r="G3514" s="4" t="str">
        <f>HYPERLINK("http://141.218.60.56/~jnz1568/getInfo.php?workbook=14_09.xlsx&amp;sheet=A0&amp;row=3514&amp;col=7&amp;number=0&amp;sourceID=14","0")</f>
        <v>0</v>
      </c>
    </row>
    <row r="3515" spans="1:7">
      <c r="A3515" s="3">
        <v>14</v>
      </c>
      <c r="B3515" s="3">
        <v>9</v>
      </c>
      <c r="C3515" s="3">
        <v>113</v>
      </c>
      <c r="D3515" s="3">
        <v>88</v>
      </c>
      <c r="E3515" s="3">
        <v>-7566.6</v>
      </c>
      <c r="F3515" s="4" t="str">
        <f>HYPERLINK("http://141.218.60.56/~jnz1568/getInfo.php?workbook=14_09.xlsx&amp;sheet=A0&amp;row=3515&amp;col=6&amp;number=125000&amp;sourceID=14","125000")</f>
        <v>125000</v>
      </c>
      <c r="G3515" s="4" t="str">
        <f>HYPERLINK("http://141.218.60.56/~jnz1568/getInfo.php?workbook=14_09.xlsx&amp;sheet=A0&amp;row=3515&amp;col=7&amp;number=0&amp;sourceID=14","0")</f>
        <v>0</v>
      </c>
    </row>
    <row r="3516" spans="1:7">
      <c r="A3516" s="3">
        <v>14</v>
      </c>
      <c r="B3516" s="3">
        <v>9</v>
      </c>
      <c r="C3516" s="3">
        <v>116</v>
      </c>
      <c r="D3516" s="3">
        <v>88</v>
      </c>
      <c r="E3516" s="3">
        <v>-7466.043</v>
      </c>
      <c r="F3516" s="4" t="str">
        <f>HYPERLINK("http://141.218.60.56/~jnz1568/getInfo.php?workbook=14_09.xlsx&amp;sheet=A0&amp;row=3516&amp;col=6&amp;number=735000&amp;sourceID=14","735000")</f>
        <v>735000</v>
      </c>
      <c r="G3516" s="4" t="str">
        <f>HYPERLINK("http://141.218.60.56/~jnz1568/getInfo.php?workbook=14_09.xlsx&amp;sheet=A0&amp;row=3516&amp;col=7&amp;number=0&amp;sourceID=14","0")</f>
        <v>0</v>
      </c>
    </row>
    <row r="3517" spans="1:7">
      <c r="A3517" s="3">
        <v>14</v>
      </c>
      <c r="B3517" s="3">
        <v>9</v>
      </c>
      <c r="C3517" s="3">
        <v>118</v>
      </c>
      <c r="D3517" s="3">
        <v>88</v>
      </c>
      <c r="E3517" s="3">
        <v>-6184.303</v>
      </c>
      <c r="F3517" s="4" t="str">
        <f>HYPERLINK("http://141.218.60.56/~jnz1568/getInfo.php?workbook=14_09.xlsx&amp;sheet=A0&amp;row=3517&amp;col=6&amp;number=1930000&amp;sourceID=14","1930000")</f>
        <v>1930000</v>
      </c>
      <c r="G3517" s="4" t="str">
        <f>HYPERLINK("http://141.218.60.56/~jnz1568/getInfo.php?workbook=14_09.xlsx&amp;sheet=A0&amp;row=3517&amp;col=7&amp;number=0&amp;sourceID=14","0")</f>
        <v>0</v>
      </c>
    </row>
    <row r="3518" spans="1:7">
      <c r="A3518" s="3">
        <v>14</v>
      </c>
      <c r="B3518" s="3">
        <v>9</v>
      </c>
      <c r="C3518" s="3">
        <v>122</v>
      </c>
      <c r="D3518" s="3">
        <v>88</v>
      </c>
      <c r="E3518" s="3">
        <v>-5821.749</v>
      </c>
      <c r="F3518" s="4" t="str">
        <f>HYPERLINK("http://141.218.60.56/~jnz1568/getInfo.php?workbook=14_09.xlsx&amp;sheet=A0&amp;row=3518&amp;col=6&amp;number=301000&amp;sourceID=14","301000")</f>
        <v>301000</v>
      </c>
      <c r="G3518" s="4" t="str">
        <f>HYPERLINK("http://141.218.60.56/~jnz1568/getInfo.php?workbook=14_09.xlsx&amp;sheet=A0&amp;row=3518&amp;col=7&amp;number=0&amp;sourceID=14","0")</f>
        <v>0</v>
      </c>
    </row>
    <row r="3519" spans="1:7">
      <c r="A3519" s="3">
        <v>14</v>
      </c>
      <c r="B3519" s="3">
        <v>9</v>
      </c>
      <c r="C3519" s="3">
        <v>124</v>
      </c>
      <c r="D3519" s="3">
        <v>88</v>
      </c>
      <c r="E3519" s="3">
        <v>-5462.998</v>
      </c>
      <c r="F3519" s="4" t="str">
        <f>HYPERLINK("http://141.218.60.56/~jnz1568/getInfo.php?workbook=14_09.xlsx&amp;sheet=A0&amp;row=3519&amp;col=6&amp;number=276000&amp;sourceID=14","276000")</f>
        <v>276000</v>
      </c>
      <c r="G3519" s="4" t="str">
        <f>HYPERLINK("http://141.218.60.56/~jnz1568/getInfo.php?workbook=14_09.xlsx&amp;sheet=A0&amp;row=3519&amp;col=7&amp;number=0&amp;sourceID=14","0")</f>
        <v>0</v>
      </c>
    </row>
    <row r="3520" spans="1:7">
      <c r="A3520" s="3">
        <v>14</v>
      </c>
      <c r="B3520" s="3">
        <v>9</v>
      </c>
      <c r="C3520" s="3">
        <v>168</v>
      </c>
      <c r="D3520" s="3">
        <v>88</v>
      </c>
      <c r="E3520" s="3">
        <v>-621.725</v>
      </c>
      <c r="F3520" s="4" t="str">
        <f>HYPERLINK("http://141.218.60.56/~jnz1568/getInfo.php?workbook=14_09.xlsx&amp;sheet=A0&amp;row=3520&amp;col=6&amp;number=6160000&amp;sourceID=14","6160000")</f>
        <v>6160000</v>
      </c>
      <c r="G3520" s="4" t="str">
        <f>HYPERLINK("http://141.218.60.56/~jnz1568/getInfo.php?workbook=14_09.xlsx&amp;sheet=A0&amp;row=3520&amp;col=7&amp;number=0&amp;sourceID=14","0")</f>
        <v>0</v>
      </c>
    </row>
    <row r="3521" spans="1:7">
      <c r="A3521" s="3">
        <v>14</v>
      </c>
      <c r="B3521" s="3">
        <v>9</v>
      </c>
      <c r="C3521" s="3">
        <v>169</v>
      </c>
      <c r="D3521" s="3">
        <v>88</v>
      </c>
      <c r="E3521" s="3">
        <v>-618.553</v>
      </c>
      <c r="F3521" s="4" t="str">
        <f>HYPERLINK("http://141.218.60.56/~jnz1568/getInfo.php?workbook=14_09.xlsx&amp;sheet=A0&amp;row=3521&amp;col=6&amp;number=359000&amp;sourceID=14","359000")</f>
        <v>359000</v>
      </c>
      <c r="G3521" s="4" t="str">
        <f>HYPERLINK("http://141.218.60.56/~jnz1568/getInfo.php?workbook=14_09.xlsx&amp;sheet=A0&amp;row=3521&amp;col=7&amp;number=0&amp;sourceID=14","0")</f>
        <v>0</v>
      </c>
    </row>
    <row r="3522" spans="1:7">
      <c r="A3522" s="3">
        <v>14</v>
      </c>
      <c r="B3522" s="3">
        <v>9</v>
      </c>
      <c r="C3522" s="3">
        <v>170</v>
      </c>
      <c r="D3522" s="3">
        <v>88</v>
      </c>
      <c r="E3522" s="3">
        <v>-612.915</v>
      </c>
      <c r="F3522" s="4" t="str">
        <f>HYPERLINK("http://141.218.60.56/~jnz1568/getInfo.php?workbook=14_09.xlsx&amp;sheet=A0&amp;row=3522&amp;col=6&amp;number=727000&amp;sourceID=14","727000")</f>
        <v>727000</v>
      </c>
      <c r="G3522" s="4" t="str">
        <f>HYPERLINK("http://141.218.60.56/~jnz1568/getInfo.php?workbook=14_09.xlsx&amp;sheet=A0&amp;row=3522&amp;col=7&amp;number=0&amp;sourceID=14","0")</f>
        <v>0</v>
      </c>
    </row>
    <row r="3523" spans="1:7">
      <c r="A3523" s="3">
        <v>14</v>
      </c>
      <c r="B3523" s="3">
        <v>9</v>
      </c>
      <c r="C3523" s="3">
        <v>173</v>
      </c>
      <c r="D3523" s="3">
        <v>88</v>
      </c>
      <c r="E3523" s="3">
        <v>-594.185</v>
      </c>
      <c r="F3523" s="4" t="str">
        <f>HYPERLINK("http://141.218.60.56/~jnz1568/getInfo.php?workbook=14_09.xlsx&amp;sheet=A0&amp;row=3523&amp;col=6&amp;number=215000000&amp;sourceID=14","215000000")</f>
        <v>215000000</v>
      </c>
      <c r="G3523" s="4" t="str">
        <f>HYPERLINK("http://141.218.60.56/~jnz1568/getInfo.php?workbook=14_09.xlsx&amp;sheet=A0&amp;row=3523&amp;col=7&amp;number=0&amp;sourceID=14","0")</f>
        <v>0</v>
      </c>
    </row>
    <row r="3524" spans="1:7">
      <c r="A3524" s="3">
        <v>14</v>
      </c>
      <c r="B3524" s="3">
        <v>9</v>
      </c>
      <c r="C3524" s="3">
        <v>174</v>
      </c>
      <c r="D3524" s="3">
        <v>88</v>
      </c>
      <c r="E3524" s="3">
        <v>-590.031</v>
      </c>
      <c r="F3524" s="4" t="str">
        <f>HYPERLINK("http://141.218.60.56/~jnz1568/getInfo.php?workbook=14_09.xlsx&amp;sheet=A0&amp;row=3524&amp;col=6&amp;number=114000000&amp;sourceID=14","114000000")</f>
        <v>114000000</v>
      </c>
      <c r="G3524" s="4" t="str">
        <f>HYPERLINK("http://141.218.60.56/~jnz1568/getInfo.php?workbook=14_09.xlsx&amp;sheet=A0&amp;row=3524&amp;col=7&amp;number=0&amp;sourceID=14","0")</f>
        <v>0</v>
      </c>
    </row>
    <row r="3525" spans="1:7">
      <c r="A3525" s="3">
        <v>14</v>
      </c>
      <c r="B3525" s="3">
        <v>9</v>
      </c>
      <c r="C3525" s="3">
        <v>176</v>
      </c>
      <c r="D3525" s="3">
        <v>88</v>
      </c>
      <c r="E3525" s="3">
        <v>-565.241</v>
      </c>
      <c r="F3525" s="4" t="str">
        <f>HYPERLINK("http://141.218.60.56/~jnz1568/getInfo.php?workbook=14_09.xlsx&amp;sheet=A0&amp;row=3525&amp;col=6&amp;number=1170000&amp;sourceID=14","1170000")</f>
        <v>1170000</v>
      </c>
      <c r="G3525" s="4" t="str">
        <f>HYPERLINK("http://141.218.60.56/~jnz1568/getInfo.php?workbook=14_09.xlsx&amp;sheet=A0&amp;row=3525&amp;col=7&amp;number=0&amp;sourceID=14","0")</f>
        <v>0</v>
      </c>
    </row>
    <row r="3526" spans="1:7">
      <c r="A3526" s="3">
        <v>14</v>
      </c>
      <c r="B3526" s="3">
        <v>9</v>
      </c>
      <c r="C3526" s="3">
        <v>178</v>
      </c>
      <c r="D3526" s="3">
        <v>88</v>
      </c>
      <c r="E3526" s="3">
        <v>-564.157</v>
      </c>
      <c r="F3526" s="4" t="str">
        <f>HYPERLINK("http://141.218.60.56/~jnz1568/getInfo.php?workbook=14_09.xlsx&amp;sheet=A0&amp;row=3526&amp;col=6&amp;number=43300000&amp;sourceID=14","43300000")</f>
        <v>43300000</v>
      </c>
      <c r="G3526" s="4" t="str">
        <f>HYPERLINK("http://141.218.60.56/~jnz1568/getInfo.php?workbook=14_09.xlsx&amp;sheet=A0&amp;row=3526&amp;col=7&amp;number=0&amp;sourceID=14","0")</f>
        <v>0</v>
      </c>
    </row>
    <row r="3527" spans="1:7">
      <c r="A3527" s="3">
        <v>14</v>
      </c>
      <c r="B3527" s="3">
        <v>9</v>
      </c>
      <c r="C3527" s="3">
        <v>179</v>
      </c>
      <c r="D3527" s="3">
        <v>88</v>
      </c>
      <c r="E3527" s="3">
        <v>-564.055</v>
      </c>
      <c r="F3527" s="4" t="str">
        <f>HYPERLINK("http://141.218.60.56/~jnz1568/getInfo.php?workbook=14_09.xlsx&amp;sheet=A0&amp;row=3527&amp;col=6&amp;number=26300000&amp;sourceID=14","26300000")</f>
        <v>26300000</v>
      </c>
      <c r="G3527" s="4" t="str">
        <f>HYPERLINK("http://141.218.60.56/~jnz1568/getInfo.php?workbook=14_09.xlsx&amp;sheet=A0&amp;row=3527&amp;col=7&amp;number=0&amp;sourceID=14","0")</f>
        <v>0</v>
      </c>
    </row>
    <row r="3528" spans="1:7">
      <c r="A3528" s="3">
        <v>14</v>
      </c>
      <c r="B3528" s="3">
        <v>9</v>
      </c>
      <c r="C3528" s="3">
        <v>180</v>
      </c>
      <c r="D3528" s="3">
        <v>88</v>
      </c>
      <c r="E3528" s="3">
        <v>-560.539</v>
      </c>
      <c r="F3528" s="4" t="str">
        <f>HYPERLINK("http://141.218.60.56/~jnz1568/getInfo.php?workbook=14_09.xlsx&amp;sheet=A0&amp;row=3528&amp;col=6&amp;number=402000&amp;sourceID=14","402000")</f>
        <v>402000</v>
      </c>
      <c r="G3528" s="4" t="str">
        <f>HYPERLINK("http://141.218.60.56/~jnz1568/getInfo.php?workbook=14_09.xlsx&amp;sheet=A0&amp;row=3528&amp;col=7&amp;number=0&amp;sourceID=14","0")</f>
        <v>0</v>
      </c>
    </row>
    <row r="3529" spans="1:7">
      <c r="A3529" s="3">
        <v>14</v>
      </c>
      <c r="B3529" s="3">
        <v>9</v>
      </c>
      <c r="C3529" s="3">
        <v>108</v>
      </c>
      <c r="D3529" s="3">
        <v>89</v>
      </c>
      <c r="E3529" s="3">
        <v>-8673.043</v>
      </c>
      <c r="F3529" s="4" t="str">
        <f>HYPERLINK("http://141.218.60.56/~jnz1568/getInfo.php?workbook=14_09.xlsx&amp;sheet=A0&amp;row=3529&amp;col=6&amp;number=3950000&amp;sourceID=14","3950000")</f>
        <v>3950000</v>
      </c>
      <c r="G3529" s="4" t="str">
        <f>HYPERLINK("http://141.218.60.56/~jnz1568/getInfo.php?workbook=14_09.xlsx&amp;sheet=A0&amp;row=3529&amp;col=7&amp;number=0&amp;sourceID=14","0")</f>
        <v>0</v>
      </c>
    </row>
    <row r="3530" spans="1:7">
      <c r="A3530" s="3">
        <v>14</v>
      </c>
      <c r="B3530" s="3">
        <v>9</v>
      </c>
      <c r="C3530" s="3">
        <v>112</v>
      </c>
      <c r="D3530" s="3">
        <v>89</v>
      </c>
      <c r="E3530" s="3">
        <v>-8010.268</v>
      </c>
      <c r="F3530" s="4" t="str">
        <f>HYPERLINK("http://141.218.60.56/~jnz1568/getInfo.php?workbook=14_09.xlsx&amp;sheet=A0&amp;row=3530&amp;col=6&amp;number=3420000&amp;sourceID=14","3420000")</f>
        <v>3420000</v>
      </c>
      <c r="G3530" s="4" t="str">
        <f>HYPERLINK("http://141.218.60.56/~jnz1568/getInfo.php?workbook=14_09.xlsx&amp;sheet=A0&amp;row=3530&amp;col=7&amp;number=0&amp;sourceID=14","0")</f>
        <v>0</v>
      </c>
    </row>
    <row r="3531" spans="1:7">
      <c r="A3531" s="3">
        <v>14</v>
      </c>
      <c r="B3531" s="3">
        <v>9</v>
      </c>
      <c r="C3531" s="3">
        <v>116</v>
      </c>
      <c r="D3531" s="3">
        <v>89</v>
      </c>
      <c r="E3531" s="3">
        <v>-7897.661</v>
      </c>
      <c r="F3531" s="4" t="str">
        <f>HYPERLINK("http://141.218.60.56/~jnz1568/getInfo.php?workbook=14_09.xlsx&amp;sheet=A0&amp;row=3531&amp;col=6&amp;number=393000&amp;sourceID=14","393000")</f>
        <v>393000</v>
      </c>
      <c r="G3531" s="4" t="str">
        <f>HYPERLINK("http://141.218.60.56/~jnz1568/getInfo.php?workbook=14_09.xlsx&amp;sheet=A0&amp;row=3531&amp;col=7&amp;number=0&amp;sourceID=14","0")</f>
        <v>0</v>
      </c>
    </row>
    <row r="3532" spans="1:7">
      <c r="A3532" s="3">
        <v>14</v>
      </c>
      <c r="B3532" s="3">
        <v>9</v>
      </c>
      <c r="C3532" s="3">
        <v>117</v>
      </c>
      <c r="D3532" s="3">
        <v>89</v>
      </c>
      <c r="E3532" s="3">
        <v>-6508.733</v>
      </c>
      <c r="F3532" s="4" t="str">
        <f>HYPERLINK("http://141.218.60.56/~jnz1568/getInfo.php?workbook=14_09.xlsx&amp;sheet=A0&amp;row=3532&amp;col=6&amp;number=3460000&amp;sourceID=14","3460000")</f>
        <v>3460000</v>
      </c>
      <c r="G3532" s="4" t="str">
        <f>HYPERLINK("http://141.218.60.56/~jnz1568/getInfo.php?workbook=14_09.xlsx&amp;sheet=A0&amp;row=3532&amp;col=7&amp;number=0&amp;sourceID=14","0")</f>
        <v>0</v>
      </c>
    </row>
    <row r="3533" spans="1:7">
      <c r="A3533" s="3">
        <v>14</v>
      </c>
      <c r="B3533" s="3">
        <v>9</v>
      </c>
      <c r="C3533" s="3">
        <v>142</v>
      </c>
      <c r="D3533" s="3">
        <v>89</v>
      </c>
      <c r="E3533" s="3">
        <v>-1681.014</v>
      </c>
      <c r="F3533" s="4" t="str">
        <f>HYPERLINK("http://141.218.60.56/~jnz1568/getInfo.php?workbook=14_09.xlsx&amp;sheet=A0&amp;row=3533&amp;col=6&amp;number=239000&amp;sourceID=14","239000")</f>
        <v>239000</v>
      </c>
      <c r="G3533" s="4" t="str">
        <f>HYPERLINK("http://141.218.60.56/~jnz1568/getInfo.php?workbook=14_09.xlsx&amp;sheet=A0&amp;row=3533&amp;col=7&amp;number=0&amp;sourceID=14","0")</f>
        <v>0</v>
      </c>
    </row>
    <row r="3534" spans="1:7">
      <c r="A3534" s="3">
        <v>14</v>
      </c>
      <c r="B3534" s="3">
        <v>9</v>
      </c>
      <c r="C3534" s="3">
        <v>160</v>
      </c>
      <c r="D3534" s="3">
        <v>89</v>
      </c>
      <c r="E3534" s="3">
        <v>-1237.978</v>
      </c>
      <c r="F3534" s="4" t="str">
        <f>HYPERLINK("http://141.218.60.56/~jnz1568/getInfo.php?workbook=14_09.xlsx&amp;sheet=A0&amp;row=3534&amp;col=6&amp;number=64200&amp;sourceID=14","64200")</f>
        <v>64200</v>
      </c>
      <c r="G3534" s="4" t="str">
        <f>HYPERLINK("http://141.218.60.56/~jnz1568/getInfo.php?workbook=14_09.xlsx&amp;sheet=A0&amp;row=3534&amp;col=7&amp;number=0&amp;sourceID=14","0")</f>
        <v>0</v>
      </c>
    </row>
    <row r="3535" spans="1:7">
      <c r="A3535" s="3">
        <v>14</v>
      </c>
      <c r="B3535" s="3">
        <v>9</v>
      </c>
      <c r="C3535" s="3">
        <v>168</v>
      </c>
      <c r="D3535" s="3">
        <v>89</v>
      </c>
      <c r="E3535" s="3">
        <v>-624.568</v>
      </c>
      <c r="F3535" s="4" t="str">
        <f>HYPERLINK("http://141.218.60.56/~jnz1568/getInfo.php?workbook=14_09.xlsx&amp;sheet=A0&amp;row=3535&amp;col=6&amp;number=2480000&amp;sourceID=14","2480000")</f>
        <v>2480000</v>
      </c>
      <c r="G3535" s="4" t="str">
        <f>HYPERLINK("http://141.218.60.56/~jnz1568/getInfo.php?workbook=14_09.xlsx&amp;sheet=A0&amp;row=3535&amp;col=7&amp;number=0&amp;sourceID=14","0")</f>
        <v>0</v>
      </c>
    </row>
    <row r="3536" spans="1:7">
      <c r="A3536" s="3">
        <v>14</v>
      </c>
      <c r="B3536" s="3">
        <v>9</v>
      </c>
      <c r="C3536" s="3">
        <v>169</v>
      </c>
      <c r="D3536" s="3">
        <v>89</v>
      </c>
      <c r="E3536" s="3">
        <v>-621.366</v>
      </c>
      <c r="F3536" s="4" t="str">
        <f>HYPERLINK("http://141.218.60.56/~jnz1568/getInfo.php?workbook=14_09.xlsx&amp;sheet=A0&amp;row=3536&amp;col=6&amp;number=357000&amp;sourceID=14","357000")</f>
        <v>357000</v>
      </c>
      <c r="G3536" s="4" t="str">
        <f>HYPERLINK("http://141.218.60.56/~jnz1568/getInfo.php?workbook=14_09.xlsx&amp;sheet=A0&amp;row=3536&amp;col=7&amp;number=0&amp;sourceID=14","0")</f>
        <v>0</v>
      </c>
    </row>
    <row r="3537" spans="1:7">
      <c r="A3537" s="3">
        <v>14</v>
      </c>
      <c r="B3537" s="3">
        <v>9</v>
      </c>
      <c r="C3537" s="3">
        <v>174</v>
      </c>
      <c r="D3537" s="3">
        <v>89</v>
      </c>
      <c r="E3537" s="3">
        <v>-592.59</v>
      </c>
      <c r="F3537" s="4" t="str">
        <f>HYPERLINK("http://141.218.60.56/~jnz1568/getInfo.php?workbook=14_09.xlsx&amp;sheet=A0&amp;row=3537&amp;col=6&amp;number=214000000&amp;sourceID=14","214000000")</f>
        <v>214000000</v>
      </c>
      <c r="G3537" s="4" t="str">
        <f>HYPERLINK("http://141.218.60.56/~jnz1568/getInfo.php?workbook=14_09.xlsx&amp;sheet=A0&amp;row=3537&amp;col=7&amp;number=0&amp;sourceID=14","0")</f>
        <v>0</v>
      </c>
    </row>
    <row r="3538" spans="1:7">
      <c r="A3538" s="3">
        <v>14</v>
      </c>
      <c r="B3538" s="3">
        <v>9</v>
      </c>
      <c r="C3538" s="3">
        <v>178</v>
      </c>
      <c r="D3538" s="3">
        <v>89</v>
      </c>
      <c r="E3538" s="3">
        <v>-566.496</v>
      </c>
      <c r="F3538" s="4" t="str">
        <f>HYPERLINK("http://141.218.60.56/~jnz1568/getInfo.php?workbook=14_09.xlsx&amp;sheet=A0&amp;row=3538&amp;col=6&amp;number=62900000&amp;sourceID=14","62900000")</f>
        <v>62900000</v>
      </c>
      <c r="G3538" s="4" t="str">
        <f>HYPERLINK("http://141.218.60.56/~jnz1568/getInfo.php?workbook=14_09.xlsx&amp;sheet=A0&amp;row=3538&amp;col=7&amp;number=0&amp;sourceID=14","0")</f>
        <v>0</v>
      </c>
    </row>
    <row r="3539" spans="1:7">
      <c r="A3539" s="3">
        <v>14</v>
      </c>
      <c r="B3539" s="3">
        <v>9</v>
      </c>
      <c r="C3539" s="3">
        <v>179</v>
      </c>
      <c r="D3539" s="3">
        <v>89</v>
      </c>
      <c r="E3539" s="3">
        <v>-566.394</v>
      </c>
      <c r="F3539" s="4" t="str">
        <f>HYPERLINK("http://141.218.60.56/~jnz1568/getInfo.php?workbook=14_09.xlsx&amp;sheet=A0&amp;row=3539&amp;col=6&amp;number=4650000&amp;sourceID=14","4650000")</f>
        <v>4650000</v>
      </c>
      <c r="G3539" s="4" t="str">
        <f>HYPERLINK("http://141.218.60.56/~jnz1568/getInfo.php?workbook=14_09.xlsx&amp;sheet=A0&amp;row=3539&amp;col=7&amp;number=0&amp;sourceID=14","0")</f>
        <v>0</v>
      </c>
    </row>
    <row r="3540" spans="1:7">
      <c r="A3540" s="3">
        <v>14</v>
      </c>
      <c r="B3540" s="3">
        <v>9</v>
      </c>
      <c r="C3540" s="3">
        <v>182</v>
      </c>
      <c r="D3540" s="3">
        <v>89</v>
      </c>
      <c r="E3540" s="3">
        <v>-549.216</v>
      </c>
      <c r="F3540" s="4" t="str">
        <f>HYPERLINK("http://141.218.60.56/~jnz1568/getInfo.php?workbook=14_09.xlsx&amp;sheet=A0&amp;row=3540&amp;col=6&amp;number=653000&amp;sourceID=14","653000")</f>
        <v>653000</v>
      </c>
      <c r="G3540" s="4" t="str">
        <f>HYPERLINK("http://141.218.60.56/~jnz1568/getInfo.php?workbook=14_09.xlsx&amp;sheet=A0&amp;row=3540&amp;col=7&amp;number=0&amp;sourceID=14","0")</f>
        <v>0</v>
      </c>
    </row>
    <row r="3541" spans="1:7">
      <c r="A3541" s="3">
        <v>14</v>
      </c>
      <c r="B3541" s="3">
        <v>9</v>
      </c>
      <c r="C3541" s="3">
        <v>194</v>
      </c>
      <c r="D3541" s="3">
        <v>89</v>
      </c>
      <c r="E3541" s="3">
        <v>-302.792</v>
      </c>
      <c r="F3541" s="4" t="str">
        <f>HYPERLINK("http://141.218.60.56/~jnz1568/getInfo.php?workbook=14_09.xlsx&amp;sheet=A0&amp;row=3541&amp;col=6&amp;number=934000&amp;sourceID=14","934000")</f>
        <v>934000</v>
      </c>
      <c r="G3541" s="4" t="str">
        <f>HYPERLINK("http://141.218.60.56/~jnz1568/getInfo.php?workbook=14_09.xlsx&amp;sheet=A0&amp;row=3541&amp;col=7&amp;number=0&amp;sourceID=14","0")</f>
        <v>0</v>
      </c>
    </row>
    <row r="3542" spans="1:7">
      <c r="A3542" s="3">
        <v>14</v>
      </c>
      <c r="B3542" s="3">
        <v>9</v>
      </c>
      <c r="C3542" s="3">
        <v>104</v>
      </c>
      <c r="D3542" s="3">
        <v>90</v>
      </c>
      <c r="E3542" s="3">
        <v>-10009.026</v>
      </c>
      <c r="F3542" s="4" t="str">
        <f>HYPERLINK("http://141.218.60.56/~jnz1568/getInfo.php?workbook=14_09.xlsx&amp;sheet=A0&amp;row=3542&amp;col=6&amp;number=1010000&amp;sourceID=14","1010000")</f>
        <v>1010000</v>
      </c>
      <c r="G3542" s="4" t="str">
        <f>HYPERLINK("http://141.218.60.56/~jnz1568/getInfo.php?workbook=14_09.xlsx&amp;sheet=A0&amp;row=3542&amp;col=7&amp;number=0&amp;sourceID=14","0")</f>
        <v>0</v>
      </c>
    </row>
    <row r="3543" spans="1:7">
      <c r="A3543" s="3">
        <v>14</v>
      </c>
      <c r="B3543" s="3">
        <v>9</v>
      </c>
      <c r="C3543" s="3">
        <v>111</v>
      </c>
      <c r="D3543" s="3">
        <v>90</v>
      </c>
      <c r="E3543" s="3">
        <v>-8697.181</v>
      </c>
      <c r="F3543" s="4" t="str">
        <f>HYPERLINK("http://141.218.60.56/~jnz1568/getInfo.php?workbook=14_09.xlsx&amp;sheet=A0&amp;row=3543&amp;col=6&amp;number=9880000&amp;sourceID=14","9880000")</f>
        <v>9880000</v>
      </c>
      <c r="G3543" s="4" t="str">
        <f>HYPERLINK("http://141.218.60.56/~jnz1568/getInfo.php?workbook=14_09.xlsx&amp;sheet=A0&amp;row=3543&amp;col=7&amp;number=0&amp;sourceID=14","0")</f>
        <v>0</v>
      </c>
    </row>
    <row r="3544" spans="1:7">
      <c r="A3544" s="3">
        <v>14</v>
      </c>
      <c r="B3544" s="3">
        <v>9</v>
      </c>
      <c r="C3544" s="3">
        <v>114</v>
      </c>
      <c r="D3544" s="3">
        <v>90</v>
      </c>
      <c r="E3544" s="3">
        <v>-8658.774</v>
      </c>
      <c r="F3544" s="4" t="str">
        <f>HYPERLINK("http://141.218.60.56/~jnz1568/getInfo.php?workbook=14_09.xlsx&amp;sheet=A0&amp;row=3544&amp;col=6&amp;number=210000&amp;sourceID=14","210000")</f>
        <v>210000</v>
      </c>
      <c r="G3544" s="4" t="str">
        <f>HYPERLINK("http://141.218.60.56/~jnz1568/getInfo.php?workbook=14_09.xlsx&amp;sheet=A0&amp;row=3544&amp;col=7&amp;number=0&amp;sourceID=14","0")</f>
        <v>0</v>
      </c>
    </row>
    <row r="3545" spans="1:7">
      <c r="A3545" s="3">
        <v>14</v>
      </c>
      <c r="B3545" s="3">
        <v>9</v>
      </c>
      <c r="C3545" s="3">
        <v>171</v>
      </c>
      <c r="D3545" s="3">
        <v>90</v>
      </c>
      <c r="E3545" s="3">
        <v>-610.476</v>
      </c>
      <c r="F3545" s="4" t="str">
        <f>HYPERLINK("http://141.218.60.56/~jnz1568/getInfo.php?workbook=14_09.xlsx&amp;sheet=A0&amp;row=3545&amp;col=6&amp;number=18000000&amp;sourceID=14","18000000")</f>
        <v>18000000</v>
      </c>
      <c r="G3545" s="4" t="str">
        <f>HYPERLINK("http://141.218.60.56/~jnz1568/getInfo.php?workbook=14_09.xlsx&amp;sheet=A0&amp;row=3545&amp;col=7&amp;number=0&amp;sourceID=14","0")</f>
        <v>0</v>
      </c>
    </row>
    <row r="3546" spans="1:7">
      <c r="A3546" s="3">
        <v>14</v>
      </c>
      <c r="B3546" s="3">
        <v>9</v>
      </c>
      <c r="C3546" s="3">
        <v>172</v>
      </c>
      <c r="D3546" s="3">
        <v>90</v>
      </c>
      <c r="E3546" s="3">
        <v>-605.222</v>
      </c>
      <c r="F3546" s="4" t="str">
        <f>HYPERLINK("http://141.218.60.56/~jnz1568/getInfo.php?workbook=14_09.xlsx&amp;sheet=A0&amp;row=3546&amp;col=6&amp;number=4770000&amp;sourceID=14","4770000")</f>
        <v>4770000</v>
      </c>
      <c r="G3546" s="4" t="str">
        <f>HYPERLINK("http://141.218.60.56/~jnz1568/getInfo.php?workbook=14_09.xlsx&amp;sheet=A0&amp;row=3546&amp;col=7&amp;number=0&amp;sourceID=14","0")</f>
        <v>0</v>
      </c>
    </row>
    <row r="3547" spans="1:7">
      <c r="A3547" s="3">
        <v>14</v>
      </c>
      <c r="B3547" s="3">
        <v>9</v>
      </c>
      <c r="C3547" s="3">
        <v>175</v>
      </c>
      <c r="D3547" s="3">
        <v>90</v>
      </c>
      <c r="E3547" s="3">
        <v>-577.012</v>
      </c>
      <c r="F3547" s="4" t="str">
        <f>HYPERLINK("http://141.218.60.56/~jnz1568/getInfo.php?workbook=14_09.xlsx&amp;sheet=A0&amp;row=3547&amp;col=6&amp;number=11400000&amp;sourceID=14","11400000")</f>
        <v>11400000</v>
      </c>
      <c r="G3547" s="4" t="str">
        <f>HYPERLINK("http://141.218.60.56/~jnz1568/getInfo.php?workbook=14_09.xlsx&amp;sheet=A0&amp;row=3547&amp;col=7&amp;number=0&amp;sourceID=14","0")</f>
        <v>0</v>
      </c>
    </row>
    <row r="3548" spans="1:7">
      <c r="A3548" s="3">
        <v>14</v>
      </c>
      <c r="B3548" s="3">
        <v>9</v>
      </c>
      <c r="C3548" s="3">
        <v>177</v>
      </c>
      <c r="D3548" s="3">
        <v>90</v>
      </c>
      <c r="E3548" s="3">
        <v>-570.12</v>
      </c>
      <c r="F3548" s="4" t="str">
        <f>HYPERLINK("http://141.218.60.56/~jnz1568/getInfo.php?workbook=14_09.xlsx&amp;sheet=A0&amp;row=3548&amp;col=6&amp;number=11000000&amp;sourceID=14","11000000")</f>
        <v>11000000</v>
      </c>
      <c r="G3548" s="4" t="str">
        <f>HYPERLINK("http://141.218.60.56/~jnz1568/getInfo.php?workbook=14_09.xlsx&amp;sheet=A0&amp;row=3548&amp;col=7&amp;number=0&amp;sourceID=14","0")</f>
        <v>0</v>
      </c>
    </row>
    <row r="3549" spans="1:7">
      <c r="A3549" s="3">
        <v>14</v>
      </c>
      <c r="B3549" s="3">
        <v>9</v>
      </c>
      <c r="C3549" s="3">
        <v>105</v>
      </c>
      <c r="D3549" s="3">
        <v>91</v>
      </c>
      <c r="E3549" s="3">
        <v>-11433.819</v>
      </c>
      <c r="F3549" s="4" t="str">
        <f>HYPERLINK("http://141.218.60.56/~jnz1568/getInfo.php?workbook=14_09.xlsx&amp;sheet=A0&amp;row=3549&amp;col=6&amp;number=200000&amp;sourceID=14","200000")</f>
        <v>200000</v>
      </c>
      <c r="G3549" s="4" t="str">
        <f>HYPERLINK("http://141.218.60.56/~jnz1568/getInfo.php?workbook=14_09.xlsx&amp;sheet=A0&amp;row=3549&amp;col=7&amp;number=0&amp;sourceID=14","0")</f>
        <v>0</v>
      </c>
    </row>
    <row r="3550" spans="1:7">
      <c r="A3550" s="3">
        <v>14</v>
      </c>
      <c r="B3550" s="3">
        <v>9</v>
      </c>
      <c r="C3550" s="3">
        <v>107</v>
      </c>
      <c r="D3550" s="3">
        <v>91</v>
      </c>
      <c r="E3550" s="3">
        <v>-10898.015</v>
      </c>
      <c r="F3550" s="4" t="str">
        <f>HYPERLINK("http://141.218.60.56/~jnz1568/getInfo.php?workbook=14_09.xlsx&amp;sheet=A0&amp;row=3550&amp;col=6&amp;number=436000&amp;sourceID=14","436000")</f>
        <v>436000</v>
      </c>
      <c r="G3550" s="4" t="str">
        <f>HYPERLINK("http://141.218.60.56/~jnz1568/getInfo.php?workbook=14_09.xlsx&amp;sheet=A0&amp;row=3550&amp;col=7&amp;number=0&amp;sourceID=14","0")</f>
        <v>0</v>
      </c>
    </row>
    <row r="3551" spans="1:7">
      <c r="A3551" s="3">
        <v>14</v>
      </c>
      <c r="B3551" s="3">
        <v>9</v>
      </c>
      <c r="C3551" s="3">
        <v>114</v>
      </c>
      <c r="D3551" s="3">
        <v>91</v>
      </c>
      <c r="E3551" s="3">
        <v>-9732.378</v>
      </c>
      <c r="F3551" s="4" t="str">
        <f>HYPERLINK("http://141.218.60.56/~jnz1568/getInfo.php?workbook=14_09.xlsx&amp;sheet=A0&amp;row=3551&amp;col=6&amp;number=6080000&amp;sourceID=14","6080000")</f>
        <v>6080000</v>
      </c>
      <c r="G3551" s="4" t="str">
        <f>HYPERLINK("http://141.218.60.56/~jnz1568/getInfo.php?workbook=14_09.xlsx&amp;sheet=A0&amp;row=3551&amp;col=7&amp;number=0&amp;sourceID=14","0")</f>
        <v>0</v>
      </c>
    </row>
    <row r="3552" spans="1:7">
      <c r="A3552" s="3">
        <v>14</v>
      </c>
      <c r="B3552" s="3">
        <v>9</v>
      </c>
      <c r="C3552" s="3">
        <v>119</v>
      </c>
      <c r="D3552" s="3">
        <v>91</v>
      </c>
      <c r="E3552" s="3">
        <v>-7354.036</v>
      </c>
      <c r="F3552" s="4" t="str">
        <f>HYPERLINK("http://141.218.60.56/~jnz1568/getInfo.php?workbook=14_09.xlsx&amp;sheet=A0&amp;row=3552&amp;col=6&amp;number=1690000&amp;sourceID=14","1690000")</f>
        <v>1690000</v>
      </c>
      <c r="G3552" s="4" t="str">
        <f>HYPERLINK("http://141.218.60.56/~jnz1568/getInfo.php?workbook=14_09.xlsx&amp;sheet=A0&amp;row=3552&amp;col=7&amp;number=0&amp;sourceID=14","0")</f>
        <v>0</v>
      </c>
    </row>
    <row r="3553" spans="1:7">
      <c r="A3553" s="3">
        <v>14</v>
      </c>
      <c r="B3553" s="3">
        <v>9</v>
      </c>
      <c r="C3553" s="3">
        <v>120</v>
      </c>
      <c r="D3553" s="3">
        <v>91</v>
      </c>
      <c r="E3553" s="3">
        <v>-7315.837</v>
      </c>
      <c r="F3553" s="4" t="str">
        <f>HYPERLINK("http://141.218.60.56/~jnz1568/getInfo.php?workbook=14_09.xlsx&amp;sheet=A0&amp;row=3553&amp;col=6&amp;number=307000&amp;sourceID=14","307000")</f>
        <v>307000</v>
      </c>
      <c r="G3553" s="4" t="str">
        <f>HYPERLINK("http://141.218.60.56/~jnz1568/getInfo.php?workbook=14_09.xlsx&amp;sheet=A0&amp;row=3553&amp;col=7&amp;number=0&amp;sourceID=14","0")</f>
        <v>0</v>
      </c>
    </row>
    <row r="3554" spans="1:7">
      <c r="A3554" s="3">
        <v>14</v>
      </c>
      <c r="B3554" s="3">
        <v>9</v>
      </c>
      <c r="C3554" s="3">
        <v>121</v>
      </c>
      <c r="D3554" s="3">
        <v>91</v>
      </c>
      <c r="E3554" s="3">
        <v>-7089.195</v>
      </c>
      <c r="F3554" s="4" t="str">
        <f>HYPERLINK("http://141.218.60.56/~jnz1568/getInfo.php?workbook=14_09.xlsx&amp;sheet=A0&amp;row=3554&amp;col=6&amp;number=198000&amp;sourceID=14","198000")</f>
        <v>198000</v>
      </c>
      <c r="G3554" s="4" t="str">
        <f>HYPERLINK("http://141.218.60.56/~jnz1568/getInfo.php?workbook=14_09.xlsx&amp;sheet=A0&amp;row=3554&amp;col=7&amp;number=0&amp;sourceID=14","0")</f>
        <v>0</v>
      </c>
    </row>
    <row r="3555" spans="1:7">
      <c r="A3555" s="3">
        <v>14</v>
      </c>
      <c r="B3555" s="3">
        <v>9</v>
      </c>
      <c r="C3555" s="3">
        <v>150</v>
      </c>
      <c r="D3555" s="3">
        <v>91</v>
      </c>
      <c r="E3555" s="3">
        <v>-1692.136</v>
      </c>
      <c r="F3555" s="4" t="str">
        <f>HYPERLINK("http://141.218.60.56/~jnz1568/getInfo.php?workbook=14_09.xlsx&amp;sheet=A0&amp;row=3555&amp;col=6&amp;number=277000&amp;sourceID=14","277000")</f>
        <v>277000</v>
      </c>
      <c r="G3555" s="4" t="str">
        <f>HYPERLINK("http://141.218.60.56/~jnz1568/getInfo.php?workbook=14_09.xlsx&amp;sheet=A0&amp;row=3555&amp;col=7&amp;number=0&amp;sourceID=14","0")</f>
        <v>0</v>
      </c>
    </row>
    <row r="3556" spans="1:7">
      <c r="A3556" s="3">
        <v>14</v>
      </c>
      <c r="B3556" s="3">
        <v>9</v>
      </c>
      <c r="C3556" s="3">
        <v>171</v>
      </c>
      <c r="D3556" s="3">
        <v>91</v>
      </c>
      <c r="E3556" s="3">
        <v>-615.261</v>
      </c>
      <c r="F3556" s="4" t="str">
        <f>HYPERLINK("http://141.218.60.56/~jnz1568/getInfo.php?workbook=14_09.xlsx&amp;sheet=A0&amp;row=3556&amp;col=6&amp;number=16500000&amp;sourceID=14","16500000")</f>
        <v>16500000</v>
      </c>
      <c r="G3556" s="4" t="str">
        <f>HYPERLINK("http://141.218.60.56/~jnz1568/getInfo.php?workbook=14_09.xlsx&amp;sheet=A0&amp;row=3556&amp;col=7&amp;number=0&amp;sourceID=14","0")</f>
        <v>0</v>
      </c>
    </row>
    <row r="3557" spans="1:7">
      <c r="A3557" s="3">
        <v>14</v>
      </c>
      <c r="B3557" s="3">
        <v>9</v>
      </c>
      <c r="C3557" s="3">
        <v>172</v>
      </c>
      <c r="D3557" s="3">
        <v>91</v>
      </c>
      <c r="E3557" s="3">
        <v>-609.925</v>
      </c>
      <c r="F3557" s="4" t="str">
        <f>HYPERLINK("http://141.218.60.56/~jnz1568/getInfo.php?workbook=14_09.xlsx&amp;sheet=A0&amp;row=3557&amp;col=6&amp;number=2360000&amp;sourceID=14","2360000")</f>
        <v>2360000</v>
      </c>
      <c r="G3557" s="4" t="str">
        <f>HYPERLINK("http://141.218.60.56/~jnz1568/getInfo.php?workbook=14_09.xlsx&amp;sheet=A0&amp;row=3557&amp;col=7&amp;number=0&amp;sourceID=14","0")</f>
        <v>0</v>
      </c>
    </row>
    <row r="3558" spans="1:7">
      <c r="A3558" s="3">
        <v>14</v>
      </c>
      <c r="B3558" s="3">
        <v>9</v>
      </c>
      <c r="C3558" s="3">
        <v>173</v>
      </c>
      <c r="D3558" s="3">
        <v>91</v>
      </c>
      <c r="E3558" s="3">
        <v>-604.812</v>
      </c>
      <c r="F3558" s="4" t="str">
        <f>HYPERLINK("http://141.218.60.56/~jnz1568/getInfo.php?workbook=14_09.xlsx&amp;sheet=A0&amp;row=3558&amp;col=6&amp;number=3440000&amp;sourceID=14","3440000")</f>
        <v>3440000</v>
      </c>
      <c r="G3558" s="4" t="str">
        <f>HYPERLINK("http://141.218.60.56/~jnz1568/getInfo.php?workbook=14_09.xlsx&amp;sheet=A0&amp;row=3558&amp;col=7&amp;number=0&amp;sourceID=14","0")</f>
        <v>0</v>
      </c>
    </row>
    <row r="3559" spans="1:7">
      <c r="A3559" s="3">
        <v>14</v>
      </c>
      <c r="B3559" s="3">
        <v>9</v>
      </c>
      <c r="C3559" s="3">
        <v>175</v>
      </c>
      <c r="D3559" s="3">
        <v>91</v>
      </c>
      <c r="E3559" s="3">
        <v>-581.285</v>
      </c>
      <c r="F3559" s="4" t="str">
        <f>HYPERLINK("http://141.218.60.56/~jnz1568/getInfo.php?workbook=14_09.xlsx&amp;sheet=A0&amp;row=3559&amp;col=6&amp;number=10100000&amp;sourceID=14","10100000")</f>
        <v>10100000</v>
      </c>
      <c r="G3559" s="4" t="str">
        <f>HYPERLINK("http://141.218.60.56/~jnz1568/getInfo.php?workbook=14_09.xlsx&amp;sheet=A0&amp;row=3559&amp;col=7&amp;number=0&amp;sourceID=14","0")</f>
        <v>0</v>
      </c>
    </row>
    <row r="3560" spans="1:7">
      <c r="A3560" s="3">
        <v>14</v>
      </c>
      <c r="B3560" s="3">
        <v>9</v>
      </c>
      <c r="C3560" s="3">
        <v>176</v>
      </c>
      <c r="D3560" s="3">
        <v>91</v>
      </c>
      <c r="E3560" s="3">
        <v>-574.849</v>
      </c>
      <c r="F3560" s="4" t="str">
        <f>HYPERLINK("http://141.218.60.56/~jnz1568/getInfo.php?workbook=14_09.xlsx&amp;sheet=A0&amp;row=3560&amp;col=6&amp;number=7000000&amp;sourceID=14","7000000")</f>
        <v>7000000</v>
      </c>
      <c r="G3560" s="4" t="str">
        <f>HYPERLINK("http://141.218.60.56/~jnz1568/getInfo.php?workbook=14_09.xlsx&amp;sheet=A0&amp;row=3560&amp;col=7&amp;number=0&amp;sourceID=14","0")</f>
        <v>0</v>
      </c>
    </row>
    <row r="3561" spans="1:7">
      <c r="A3561" s="3">
        <v>14</v>
      </c>
      <c r="B3561" s="3">
        <v>9</v>
      </c>
      <c r="C3561" s="3">
        <v>180</v>
      </c>
      <c r="D3561" s="3">
        <v>91</v>
      </c>
      <c r="E3561" s="3">
        <v>-569.987</v>
      </c>
      <c r="F3561" s="4" t="str">
        <f>HYPERLINK("http://141.218.60.56/~jnz1568/getInfo.php?workbook=14_09.xlsx&amp;sheet=A0&amp;row=3561&amp;col=6&amp;number=5590000&amp;sourceID=14","5590000")</f>
        <v>5590000</v>
      </c>
      <c r="G3561" s="4" t="str">
        <f>HYPERLINK("http://141.218.60.56/~jnz1568/getInfo.php?workbook=14_09.xlsx&amp;sheet=A0&amp;row=3561&amp;col=7&amp;number=0&amp;sourceID=14","0")</f>
        <v>0</v>
      </c>
    </row>
    <row r="3562" spans="1:7">
      <c r="A3562" s="3">
        <v>14</v>
      </c>
      <c r="B3562" s="3">
        <v>9</v>
      </c>
      <c r="C3562" s="3">
        <v>181</v>
      </c>
      <c r="D3562" s="3">
        <v>91</v>
      </c>
      <c r="E3562" s="3">
        <v>-556.311</v>
      </c>
      <c r="F3562" s="4" t="str">
        <f>HYPERLINK("http://141.218.60.56/~jnz1568/getInfo.php?workbook=14_09.xlsx&amp;sheet=A0&amp;row=3562&amp;col=6&amp;number=8000000&amp;sourceID=14","8000000")</f>
        <v>8000000</v>
      </c>
      <c r="G3562" s="4" t="str">
        <f>HYPERLINK("http://141.218.60.56/~jnz1568/getInfo.php?workbook=14_09.xlsx&amp;sheet=A0&amp;row=3562&amp;col=7&amp;number=0&amp;sourceID=14","0")</f>
        <v>0</v>
      </c>
    </row>
    <row r="3563" spans="1:7">
      <c r="A3563" s="3">
        <v>14</v>
      </c>
      <c r="B3563" s="3">
        <v>9</v>
      </c>
      <c r="C3563" s="3">
        <v>112</v>
      </c>
      <c r="D3563" s="3">
        <v>92</v>
      </c>
      <c r="E3563" s="3">
        <v>-10671.239</v>
      </c>
      <c r="F3563" s="4" t="str">
        <f>HYPERLINK("http://141.218.60.56/~jnz1568/getInfo.php?workbook=14_09.xlsx&amp;sheet=A0&amp;row=3563&amp;col=6&amp;number=2650000&amp;sourceID=14","2650000")</f>
        <v>2650000</v>
      </c>
      <c r="G3563" s="4" t="str">
        <f>HYPERLINK("http://141.218.60.56/~jnz1568/getInfo.php?workbook=14_09.xlsx&amp;sheet=A0&amp;row=3563&amp;col=7&amp;number=0&amp;sourceID=14","0")</f>
        <v>0</v>
      </c>
    </row>
    <row r="3564" spans="1:7">
      <c r="A3564" s="3">
        <v>14</v>
      </c>
      <c r="B3564" s="3">
        <v>9</v>
      </c>
      <c r="C3564" s="3">
        <v>113</v>
      </c>
      <c r="D3564" s="3">
        <v>92</v>
      </c>
      <c r="E3564" s="3">
        <v>-10671.239</v>
      </c>
      <c r="F3564" s="4" t="str">
        <f>HYPERLINK("http://141.218.60.56/~jnz1568/getInfo.php?workbook=14_09.xlsx&amp;sheet=A0&amp;row=3564&amp;col=6&amp;number=101000&amp;sourceID=14","101000")</f>
        <v>101000</v>
      </c>
      <c r="G3564" s="4" t="str">
        <f>HYPERLINK("http://141.218.60.56/~jnz1568/getInfo.php?workbook=14_09.xlsx&amp;sheet=A0&amp;row=3564&amp;col=7&amp;number=0&amp;sourceID=14","0")</f>
        <v>0</v>
      </c>
    </row>
    <row r="3565" spans="1:7">
      <c r="A3565" s="3">
        <v>14</v>
      </c>
      <c r="B3565" s="3">
        <v>9</v>
      </c>
      <c r="C3565" s="3">
        <v>116</v>
      </c>
      <c r="D3565" s="3">
        <v>92</v>
      </c>
      <c r="E3565" s="3">
        <v>-10472.32</v>
      </c>
      <c r="F3565" s="4" t="str">
        <f>HYPERLINK("http://141.218.60.56/~jnz1568/getInfo.php?workbook=14_09.xlsx&amp;sheet=A0&amp;row=3565&amp;col=6&amp;number=1460000&amp;sourceID=14","1460000")</f>
        <v>1460000</v>
      </c>
      <c r="G3565" s="4" t="str">
        <f>HYPERLINK("http://141.218.60.56/~jnz1568/getInfo.php?workbook=14_09.xlsx&amp;sheet=A0&amp;row=3565&amp;col=7&amp;number=0&amp;sourceID=14","0")</f>
        <v>0</v>
      </c>
    </row>
    <row r="3566" spans="1:7">
      <c r="A3566" s="3">
        <v>14</v>
      </c>
      <c r="B3566" s="3">
        <v>9</v>
      </c>
      <c r="C3566" s="3">
        <v>117</v>
      </c>
      <c r="D3566" s="3">
        <v>92</v>
      </c>
      <c r="E3566" s="3">
        <v>-8162.614</v>
      </c>
      <c r="F3566" s="4" t="str">
        <f>HYPERLINK("http://141.218.60.56/~jnz1568/getInfo.php?workbook=14_09.xlsx&amp;sheet=A0&amp;row=3566&amp;col=6&amp;number=1850000&amp;sourceID=14","1850000")</f>
        <v>1850000</v>
      </c>
      <c r="G3566" s="4" t="str">
        <f>HYPERLINK("http://141.218.60.56/~jnz1568/getInfo.php?workbook=14_09.xlsx&amp;sheet=A0&amp;row=3566&amp;col=7&amp;number=0&amp;sourceID=14","0")</f>
        <v>0</v>
      </c>
    </row>
    <row r="3567" spans="1:7">
      <c r="A3567" s="3">
        <v>14</v>
      </c>
      <c r="B3567" s="3">
        <v>9</v>
      </c>
      <c r="C3567" s="3">
        <v>138</v>
      </c>
      <c r="D3567" s="3">
        <v>92</v>
      </c>
      <c r="E3567" s="3">
        <v>-1818.946</v>
      </c>
      <c r="F3567" s="4" t="str">
        <f>HYPERLINK("http://141.218.60.56/~jnz1568/getInfo.php?workbook=14_09.xlsx&amp;sheet=A0&amp;row=3567&amp;col=6&amp;number=203000&amp;sourceID=14","203000")</f>
        <v>203000</v>
      </c>
      <c r="G3567" s="4" t="str">
        <f>HYPERLINK("http://141.218.60.56/~jnz1568/getInfo.php?workbook=14_09.xlsx&amp;sheet=A0&amp;row=3567&amp;col=7&amp;number=0&amp;sourceID=14","0")</f>
        <v>0</v>
      </c>
    </row>
    <row r="3568" spans="1:7">
      <c r="A3568" s="3">
        <v>14</v>
      </c>
      <c r="B3568" s="3">
        <v>9</v>
      </c>
      <c r="C3568" s="3">
        <v>142</v>
      </c>
      <c r="D3568" s="3">
        <v>92</v>
      </c>
      <c r="E3568" s="3">
        <v>-1773.839</v>
      </c>
      <c r="F3568" s="4" t="str">
        <f>HYPERLINK("http://141.218.60.56/~jnz1568/getInfo.php?workbook=14_09.xlsx&amp;sheet=A0&amp;row=3568&amp;col=6&amp;number=225000&amp;sourceID=14","225000")</f>
        <v>225000</v>
      </c>
      <c r="G3568" s="4" t="str">
        <f>HYPERLINK("http://141.218.60.56/~jnz1568/getInfo.php?workbook=14_09.xlsx&amp;sheet=A0&amp;row=3568&amp;col=7&amp;number=0&amp;sourceID=14","0")</f>
        <v>0</v>
      </c>
    </row>
    <row r="3569" spans="1:7">
      <c r="A3569" s="3">
        <v>14</v>
      </c>
      <c r="B3569" s="3">
        <v>9</v>
      </c>
      <c r="C3569" s="3">
        <v>159</v>
      </c>
      <c r="D3569" s="3">
        <v>92</v>
      </c>
      <c r="E3569" s="3">
        <v>-1289.676</v>
      </c>
      <c r="F3569" s="4" t="str">
        <f>HYPERLINK("http://141.218.60.56/~jnz1568/getInfo.php?workbook=14_09.xlsx&amp;sheet=A0&amp;row=3569&amp;col=6&amp;number=78800&amp;sourceID=14","78800")</f>
        <v>78800</v>
      </c>
      <c r="G3569" s="4" t="str">
        <f>HYPERLINK("http://141.218.60.56/~jnz1568/getInfo.php?workbook=14_09.xlsx&amp;sheet=A0&amp;row=3569&amp;col=7&amp;number=0&amp;sourceID=14","0")</f>
        <v>0</v>
      </c>
    </row>
    <row r="3570" spans="1:7">
      <c r="A3570" s="3">
        <v>14</v>
      </c>
      <c r="B3570" s="3">
        <v>9</v>
      </c>
      <c r="C3570" s="3">
        <v>168</v>
      </c>
      <c r="D3570" s="3">
        <v>92</v>
      </c>
      <c r="E3570" s="3">
        <v>-636.952</v>
      </c>
      <c r="F3570" s="4" t="str">
        <f>HYPERLINK("http://141.218.60.56/~jnz1568/getInfo.php?workbook=14_09.xlsx&amp;sheet=A0&amp;row=3570&amp;col=6&amp;number=878000&amp;sourceID=14","878000")</f>
        <v>878000</v>
      </c>
      <c r="G3570" s="4" t="str">
        <f>HYPERLINK("http://141.218.60.56/~jnz1568/getInfo.php?workbook=14_09.xlsx&amp;sheet=A0&amp;row=3570&amp;col=7&amp;number=0&amp;sourceID=14","0")</f>
        <v>0</v>
      </c>
    </row>
    <row r="3571" spans="1:7">
      <c r="A3571" s="3">
        <v>14</v>
      </c>
      <c r="B3571" s="3">
        <v>9</v>
      </c>
      <c r="C3571" s="3">
        <v>174</v>
      </c>
      <c r="D3571" s="3">
        <v>92</v>
      </c>
      <c r="E3571" s="3">
        <v>-603.727</v>
      </c>
      <c r="F3571" s="4" t="str">
        <f>HYPERLINK("http://141.218.60.56/~jnz1568/getInfo.php?workbook=14_09.xlsx&amp;sheet=A0&amp;row=3571&amp;col=6&amp;number=10200000&amp;sourceID=14","10200000")</f>
        <v>10200000</v>
      </c>
      <c r="G3571" s="4" t="str">
        <f>HYPERLINK("http://141.218.60.56/~jnz1568/getInfo.php?workbook=14_09.xlsx&amp;sheet=A0&amp;row=3571&amp;col=7&amp;number=0&amp;sourceID=14","0")</f>
        <v>0</v>
      </c>
    </row>
    <row r="3572" spans="1:7">
      <c r="A3572" s="3">
        <v>14</v>
      </c>
      <c r="B3572" s="3">
        <v>9</v>
      </c>
      <c r="C3572" s="3">
        <v>178</v>
      </c>
      <c r="D3572" s="3">
        <v>92</v>
      </c>
      <c r="E3572" s="3">
        <v>-576.666</v>
      </c>
      <c r="F3572" s="4" t="str">
        <f>HYPERLINK("http://141.218.60.56/~jnz1568/getInfo.php?workbook=14_09.xlsx&amp;sheet=A0&amp;row=3572&amp;col=6&amp;number=116000000&amp;sourceID=14","116000000")</f>
        <v>116000000</v>
      </c>
      <c r="G3572" s="4" t="str">
        <f>HYPERLINK("http://141.218.60.56/~jnz1568/getInfo.php?workbook=14_09.xlsx&amp;sheet=A0&amp;row=3572&amp;col=7&amp;number=0&amp;sourceID=14","0")</f>
        <v>0</v>
      </c>
    </row>
    <row r="3573" spans="1:7">
      <c r="A3573" s="3">
        <v>14</v>
      </c>
      <c r="B3573" s="3">
        <v>9</v>
      </c>
      <c r="C3573" s="3">
        <v>179</v>
      </c>
      <c r="D3573" s="3">
        <v>92</v>
      </c>
      <c r="E3573" s="3">
        <v>-576.559</v>
      </c>
      <c r="F3573" s="4" t="str">
        <f>HYPERLINK("http://141.218.60.56/~jnz1568/getInfo.php?workbook=14_09.xlsx&amp;sheet=A0&amp;row=3573&amp;col=6&amp;number=96200000&amp;sourceID=14","96200000")</f>
        <v>96200000</v>
      </c>
      <c r="G3573" s="4" t="str">
        <f>HYPERLINK("http://141.218.60.56/~jnz1568/getInfo.php?workbook=14_09.xlsx&amp;sheet=A0&amp;row=3573&amp;col=7&amp;number=0&amp;sourceID=14","0")</f>
        <v>0</v>
      </c>
    </row>
    <row r="3574" spans="1:7">
      <c r="A3574" s="3">
        <v>14</v>
      </c>
      <c r="B3574" s="3">
        <v>9</v>
      </c>
      <c r="C3574" s="3">
        <v>182</v>
      </c>
      <c r="D3574" s="3">
        <v>92</v>
      </c>
      <c r="E3574" s="3">
        <v>-558.769</v>
      </c>
      <c r="F3574" s="4" t="str">
        <f>HYPERLINK("http://141.218.60.56/~jnz1568/getInfo.php?workbook=14_09.xlsx&amp;sheet=A0&amp;row=3574&amp;col=6&amp;number=4290000&amp;sourceID=14","4290000")</f>
        <v>4290000</v>
      </c>
      <c r="G3574" s="4" t="str">
        <f>HYPERLINK("http://141.218.60.56/~jnz1568/getInfo.php?workbook=14_09.xlsx&amp;sheet=A0&amp;row=3574&amp;col=7&amp;number=0&amp;sourceID=14","0")</f>
        <v>0</v>
      </c>
    </row>
    <row r="3575" spans="1:7">
      <c r="A3575" s="3">
        <v>14</v>
      </c>
      <c r="B3575" s="3">
        <v>9</v>
      </c>
      <c r="C3575" s="3">
        <v>107</v>
      </c>
      <c r="D3575" s="3">
        <v>93</v>
      </c>
      <c r="E3575" s="3">
        <v>-13413.841</v>
      </c>
      <c r="F3575" s="4" t="str">
        <f>HYPERLINK("http://141.218.60.56/~jnz1568/getInfo.php?workbook=14_09.xlsx&amp;sheet=A0&amp;row=3575&amp;col=6&amp;number=767000&amp;sourceID=14","767000")</f>
        <v>767000</v>
      </c>
      <c r="G3575" s="4" t="str">
        <f>HYPERLINK("http://141.218.60.56/~jnz1568/getInfo.php?workbook=14_09.xlsx&amp;sheet=A0&amp;row=3575&amp;col=7&amp;number=0&amp;sourceID=14","0")</f>
        <v>0</v>
      </c>
    </row>
    <row r="3576" spans="1:7">
      <c r="A3576" s="3">
        <v>14</v>
      </c>
      <c r="B3576" s="3">
        <v>9</v>
      </c>
      <c r="C3576" s="3">
        <v>109</v>
      </c>
      <c r="D3576" s="3">
        <v>93</v>
      </c>
      <c r="E3576" s="3">
        <v>-12732.389</v>
      </c>
      <c r="F3576" s="4" t="str">
        <f>HYPERLINK("http://141.218.60.56/~jnz1568/getInfo.php?workbook=14_09.xlsx&amp;sheet=A0&amp;row=3576&amp;col=6&amp;number=214000&amp;sourceID=14","214000")</f>
        <v>214000</v>
      </c>
      <c r="G3576" s="4" t="str">
        <f>HYPERLINK("http://141.218.60.56/~jnz1568/getInfo.php?workbook=14_09.xlsx&amp;sheet=A0&amp;row=3576&amp;col=7&amp;number=0&amp;sourceID=14","0")</f>
        <v>0</v>
      </c>
    </row>
    <row r="3577" spans="1:7">
      <c r="A3577" s="3">
        <v>14</v>
      </c>
      <c r="B3577" s="3">
        <v>9</v>
      </c>
      <c r="C3577" s="3">
        <v>118</v>
      </c>
      <c r="D3577" s="3">
        <v>93</v>
      </c>
      <c r="E3577" s="3">
        <v>-8701.722</v>
      </c>
      <c r="F3577" s="4" t="str">
        <f>HYPERLINK("http://141.218.60.56/~jnz1568/getInfo.php?workbook=14_09.xlsx&amp;sheet=A0&amp;row=3577&amp;col=6&amp;number=263000&amp;sourceID=14","263000")</f>
        <v>263000</v>
      </c>
      <c r="G3577" s="4" t="str">
        <f>HYPERLINK("http://141.218.60.56/~jnz1568/getInfo.php?workbook=14_09.xlsx&amp;sheet=A0&amp;row=3577&amp;col=7&amp;number=0&amp;sourceID=14","0")</f>
        <v>0</v>
      </c>
    </row>
    <row r="3578" spans="1:7">
      <c r="A3578" s="3">
        <v>14</v>
      </c>
      <c r="B3578" s="3">
        <v>9</v>
      </c>
      <c r="C3578" s="3">
        <v>120</v>
      </c>
      <c r="D3578" s="3">
        <v>93</v>
      </c>
      <c r="E3578" s="3">
        <v>-8369.617</v>
      </c>
      <c r="F3578" s="4" t="str">
        <f>HYPERLINK("http://141.218.60.56/~jnz1568/getInfo.php?workbook=14_09.xlsx&amp;sheet=A0&amp;row=3578&amp;col=6&amp;number=5800000&amp;sourceID=14","5800000")</f>
        <v>5800000</v>
      </c>
      <c r="G3578" s="4" t="str">
        <f>HYPERLINK("http://141.218.60.56/~jnz1568/getInfo.php?workbook=14_09.xlsx&amp;sheet=A0&amp;row=3578&amp;col=7&amp;number=0&amp;sourceID=14","0")</f>
        <v>0</v>
      </c>
    </row>
    <row r="3579" spans="1:7">
      <c r="A3579" s="3">
        <v>14</v>
      </c>
      <c r="B3579" s="3">
        <v>9</v>
      </c>
      <c r="C3579" s="3">
        <v>121</v>
      </c>
      <c r="D3579" s="3">
        <v>93</v>
      </c>
      <c r="E3579" s="3">
        <v>-8074.298</v>
      </c>
      <c r="F3579" s="4" t="str">
        <f>HYPERLINK("http://141.218.60.56/~jnz1568/getInfo.php?workbook=14_09.xlsx&amp;sheet=A0&amp;row=3579&amp;col=6&amp;number=670000&amp;sourceID=14","670000")</f>
        <v>670000</v>
      </c>
      <c r="G3579" s="4" t="str">
        <f>HYPERLINK("http://141.218.60.56/~jnz1568/getInfo.php?workbook=14_09.xlsx&amp;sheet=A0&amp;row=3579&amp;col=7&amp;number=0&amp;sourceID=14","0")</f>
        <v>0</v>
      </c>
    </row>
    <row r="3580" spans="1:7">
      <c r="A3580" s="3">
        <v>14</v>
      </c>
      <c r="B3580" s="3">
        <v>9</v>
      </c>
      <c r="C3580" s="3">
        <v>122</v>
      </c>
      <c r="D3580" s="3">
        <v>93</v>
      </c>
      <c r="E3580" s="3">
        <v>-8000.655</v>
      </c>
      <c r="F3580" s="4" t="str">
        <f>HYPERLINK("http://141.218.60.56/~jnz1568/getInfo.php?workbook=14_09.xlsx&amp;sheet=A0&amp;row=3580&amp;col=6&amp;number=718000&amp;sourceID=14","718000")</f>
        <v>718000</v>
      </c>
      <c r="G3580" s="4" t="str">
        <f>HYPERLINK("http://141.218.60.56/~jnz1568/getInfo.php?workbook=14_09.xlsx&amp;sheet=A0&amp;row=3580&amp;col=7&amp;number=0&amp;sourceID=14","0")</f>
        <v>0</v>
      </c>
    </row>
    <row r="3581" spans="1:7">
      <c r="A3581" s="3">
        <v>14</v>
      </c>
      <c r="B3581" s="3">
        <v>9</v>
      </c>
      <c r="C3581" s="3">
        <v>123</v>
      </c>
      <c r="D3581" s="3">
        <v>93</v>
      </c>
      <c r="E3581" s="3">
        <v>-7348.632</v>
      </c>
      <c r="F3581" s="4" t="str">
        <f>HYPERLINK("http://141.218.60.56/~jnz1568/getInfo.php?workbook=14_09.xlsx&amp;sheet=A0&amp;row=3581&amp;col=6&amp;number=239000&amp;sourceID=14","239000")</f>
        <v>239000</v>
      </c>
      <c r="G3581" s="4" t="str">
        <f>HYPERLINK("http://141.218.60.56/~jnz1568/getInfo.php?workbook=14_09.xlsx&amp;sheet=A0&amp;row=3581&amp;col=7&amp;number=0&amp;sourceID=14","0")</f>
        <v>0</v>
      </c>
    </row>
    <row r="3582" spans="1:7">
      <c r="A3582" s="3">
        <v>14</v>
      </c>
      <c r="B3582" s="3">
        <v>9</v>
      </c>
      <c r="C3582" s="3">
        <v>125</v>
      </c>
      <c r="D3582" s="3">
        <v>93</v>
      </c>
      <c r="E3582" s="3">
        <v>-4971.176</v>
      </c>
      <c r="F3582" s="4" t="str">
        <f>HYPERLINK("http://141.218.60.56/~jnz1568/getInfo.php?workbook=14_09.xlsx&amp;sheet=A0&amp;row=3582&amp;col=6&amp;number=138000&amp;sourceID=14","138000")</f>
        <v>138000</v>
      </c>
      <c r="G3582" s="4" t="str">
        <f>HYPERLINK("http://141.218.60.56/~jnz1568/getInfo.php?workbook=14_09.xlsx&amp;sheet=A0&amp;row=3582&amp;col=7&amp;number=0&amp;sourceID=14","0")</f>
        <v>0</v>
      </c>
    </row>
    <row r="3583" spans="1:7">
      <c r="A3583" s="3">
        <v>14</v>
      </c>
      <c r="B3583" s="3">
        <v>9</v>
      </c>
      <c r="C3583" s="3">
        <v>141</v>
      </c>
      <c r="D3583" s="3">
        <v>93</v>
      </c>
      <c r="E3583" s="3">
        <v>-1800.799</v>
      </c>
      <c r="F3583" s="4" t="str">
        <f>HYPERLINK("http://141.218.60.56/~jnz1568/getInfo.php?workbook=14_09.xlsx&amp;sheet=A0&amp;row=3583&amp;col=6&amp;number=354000&amp;sourceID=14","354000")</f>
        <v>354000</v>
      </c>
      <c r="G3583" s="4" t="str">
        <f>HYPERLINK("http://141.218.60.56/~jnz1568/getInfo.php?workbook=14_09.xlsx&amp;sheet=A0&amp;row=3583&amp;col=7&amp;number=0&amp;sourceID=14","0")</f>
        <v>0</v>
      </c>
    </row>
    <row r="3584" spans="1:7">
      <c r="A3584" s="3">
        <v>14</v>
      </c>
      <c r="B3584" s="3">
        <v>9</v>
      </c>
      <c r="C3584" s="3">
        <v>146</v>
      </c>
      <c r="D3584" s="3">
        <v>93</v>
      </c>
      <c r="E3584" s="3">
        <v>-1757.627</v>
      </c>
      <c r="F3584" s="4" t="str">
        <f>HYPERLINK("http://141.218.60.56/~jnz1568/getInfo.php?workbook=14_09.xlsx&amp;sheet=A0&amp;row=3584&amp;col=6&amp;number=662000&amp;sourceID=14","662000")</f>
        <v>662000</v>
      </c>
      <c r="G3584" s="4" t="str">
        <f>HYPERLINK("http://141.218.60.56/~jnz1568/getInfo.php?workbook=14_09.xlsx&amp;sheet=A0&amp;row=3584&amp;col=7&amp;number=0&amp;sourceID=14","0")</f>
        <v>0</v>
      </c>
    </row>
    <row r="3585" spans="1:7">
      <c r="A3585" s="3">
        <v>14</v>
      </c>
      <c r="B3585" s="3">
        <v>9</v>
      </c>
      <c r="C3585" s="3">
        <v>165</v>
      </c>
      <c r="D3585" s="3">
        <v>93</v>
      </c>
      <c r="E3585" s="3">
        <v>-798.188</v>
      </c>
      <c r="F3585" s="4" t="str">
        <f>HYPERLINK("http://141.218.60.56/~jnz1568/getInfo.php?workbook=14_09.xlsx&amp;sheet=A0&amp;row=3585&amp;col=6&amp;number=1650000&amp;sourceID=14","1650000")</f>
        <v>1650000</v>
      </c>
      <c r="G3585" s="4" t="str">
        <f>HYPERLINK("http://141.218.60.56/~jnz1568/getInfo.php?workbook=14_09.xlsx&amp;sheet=A0&amp;row=3585&amp;col=7&amp;number=0&amp;sourceID=14","0")</f>
        <v>0</v>
      </c>
    </row>
    <row r="3586" spans="1:7">
      <c r="A3586" s="3">
        <v>14</v>
      </c>
      <c r="B3586" s="3">
        <v>9</v>
      </c>
      <c r="C3586" s="3">
        <v>166</v>
      </c>
      <c r="D3586" s="3">
        <v>93</v>
      </c>
      <c r="E3586" s="3">
        <v>-746.309</v>
      </c>
      <c r="F3586" s="4" t="str">
        <f>HYPERLINK("http://141.218.60.56/~jnz1568/getInfo.php?workbook=14_09.xlsx&amp;sheet=A0&amp;row=3586&amp;col=6&amp;number=2310000&amp;sourceID=14","2310000")</f>
        <v>2310000</v>
      </c>
      <c r="G3586" s="4" t="str">
        <f>HYPERLINK("http://141.218.60.56/~jnz1568/getInfo.php?workbook=14_09.xlsx&amp;sheet=A0&amp;row=3586&amp;col=7&amp;number=0&amp;sourceID=14","0")</f>
        <v>0</v>
      </c>
    </row>
    <row r="3587" spans="1:7">
      <c r="A3587" s="3">
        <v>14</v>
      </c>
      <c r="B3587" s="3">
        <v>9</v>
      </c>
      <c r="C3587" s="3">
        <v>170</v>
      </c>
      <c r="D3587" s="3">
        <v>93</v>
      </c>
      <c r="E3587" s="3">
        <v>-631.008</v>
      </c>
      <c r="F3587" s="4" t="str">
        <f>HYPERLINK("http://141.218.60.56/~jnz1568/getInfo.php?workbook=14_09.xlsx&amp;sheet=A0&amp;row=3587&amp;col=6&amp;number=490000&amp;sourceID=14","490000")</f>
        <v>490000</v>
      </c>
      <c r="G3587" s="4" t="str">
        <f>HYPERLINK("http://141.218.60.56/~jnz1568/getInfo.php?workbook=14_09.xlsx&amp;sheet=A0&amp;row=3587&amp;col=7&amp;number=0&amp;sourceID=14","0")</f>
        <v>0</v>
      </c>
    </row>
    <row r="3588" spans="1:7">
      <c r="A3588" s="3">
        <v>14</v>
      </c>
      <c r="B3588" s="3">
        <v>9</v>
      </c>
      <c r="C3588" s="3">
        <v>172</v>
      </c>
      <c r="D3588" s="3">
        <v>93</v>
      </c>
      <c r="E3588" s="3">
        <v>-616.395</v>
      </c>
      <c r="F3588" s="4" t="str">
        <f>HYPERLINK("http://141.218.60.56/~jnz1568/getInfo.php?workbook=14_09.xlsx&amp;sheet=A0&amp;row=3588&amp;col=6&amp;number=14700000&amp;sourceID=14","14700000")</f>
        <v>14700000</v>
      </c>
      <c r="G3588" s="4" t="str">
        <f>HYPERLINK("http://141.218.60.56/~jnz1568/getInfo.php?workbook=14_09.xlsx&amp;sheet=A0&amp;row=3588&amp;col=7&amp;number=0&amp;sourceID=14","0")</f>
        <v>0</v>
      </c>
    </row>
    <row r="3589" spans="1:7">
      <c r="A3589" s="3">
        <v>14</v>
      </c>
      <c r="B3589" s="3">
        <v>9</v>
      </c>
      <c r="C3589" s="3">
        <v>173</v>
      </c>
      <c r="D3589" s="3">
        <v>93</v>
      </c>
      <c r="E3589" s="3">
        <v>-611.173</v>
      </c>
      <c r="F3589" s="4" t="str">
        <f>HYPERLINK("http://141.218.60.56/~jnz1568/getInfo.php?workbook=14_09.xlsx&amp;sheet=A0&amp;row=3589&amp;col=6&amp;number=1400000&amp;sourceID=14","1400000")</f>
        <v>1400000</v>
      </c>
      <c r="G3589" s="4" t="str">
        <f>HYPERLINK("http://141.218.60.56/~jnz1568/getInfo.php?workbook=14_09.xlsx&amp;sheet=A0&amp;row=3589&amp;col=7&amp;number=0&amp;sourceID=14","0")</f>
        <v>0</v>
      </c>
    </row>
    <row r="3590" spans="1:7">
      <c r="A3590" s="3">
        <v>14</v>
      </c>
      <c r="B3590" s="3">
        <v>9</v>
      </c>
      <c r="C3590" s="3">
        <v>174</v>
      </c>
      <c r="D3590" s="3">
        <v>93</v>
      </c>
      <c r="E3590" s="3">
        <v>-606.779</v>
      </c>
      <c r="F3590" s="4" t="str">
        <f>HYPERLINK("http://141.218.60.56/~jnz1568/getInfo.php?workbook=14_09.xlsx&amp;sheet=A0&amp;row=3590&amp;col=6&amp;number=3280000&amp;sourceID=14","3280000")</f>
        <v>3280000</v>
      </c>
      <c r="G3590" s="4" t="str">
        <f>HYPERLINK("http://141.218.60.56/~jnz1568/getInfo.php?workbook=14_09.xlsx&amp;sheet=A0&amp;row=3590&amp;col=7&amp;number=0&amp;sourceID=14","0")</f>
        <v>0</v>
      </c>
    </row>
    <row r="3591" spans="1:7">
      <c r="A3591" s="3">
        <v>14</v>
      </c>
      <c r="B3591" s="3">
        <v>9</v>
      </c>
      <c r="C3591" s="3">
        <v>175</v>
      </c>
      <c r="D3591" s="3">
        <v>93</v>
      </c>
      <c r="E3591" s="3">
        <v>-587.159</v>
      </c>
      <c r="F3591" s="4" t="str">
        <f>HYPERLINK("http://141.218.60.56/~jnz1568/getInfo.php?workbook=14_09.xlsx&amp;sheet=A0&amp;row=3591&amp;col=6&amp;number=28400000&amp;sourceID=14","28400000")</f>
        <v>28400000</v>
      </c>
      <c r="G3591" s="4" t="str">
        <f>HYPERLINK("http://141.218.60.56/~jnz1568/getInfo.php?workbook=14_09.xlsx&amp;sheet=A0&amp;row=3591&amp;col=7&amp;number=0&amp;sourceID=14","0")</f>
        <v>0</v>
      </c>
    </row>
    <row r="3592" spans="1:7">
      <c r="A3592" s="3">
        <v>14</v>
      </c>
      <c r="B3592" s="3">
        <v>9</v>
      </c>
      <c r="C3592" s="3">
        <v>176</v>
      </c>
      <c r="D3592" s="3">
        <v>93</v>
      </c>
      <c r="E3592" s="3">
        <v>-580.593</v>
      </c>
      <c r="F3592" s="4" t="str">
        <f>HYPERLINK("http://141.218.60.56/~jnz1568/getInfo.php?workbook=14_09.xlsx&amp;sheet=A0&amp;row=3592&amp;col=6&amp;number=30000000&amp;sourceID=14","30000000")</f>
        <v>30000000</v>
      </c>
      <c r="G3592" s="4" t="str">
        <f>HYPERLINK("http://141.218.60.56/~jnz1568/getInfo.php?workbook=14_09.xlsx&amp;sheet=A0&amp;row=3592&amp;col=7&amp;number=0&amp;sourceID=14","0")</f>
        <v>0</v>
      </c>
    </row>
    <row r="3593" spans="1:7">
      <c r="A3593" s="3">
        <v>14</v>
      </c>
      <c r="B3593" s="3">
        <v>9</v>
      </c>
      <c r="C3593" s="3">
        <v>177</v>
      </c>
      <c r="D3593" s="3">
        <v>93</v>
      </c>
      <c r="E3593" s="3">
        <v>-580.024</v>
      </c>
      <c r="F3593" s="4" t="str">
        <f>HYPERLINK("http://141.218.60.56/~jnz1568/getInfo.php?workbook=14_09.xlsx&amp;sheet=A0&amp;row=3593&amp;col=6&amp;number=532000&amp;sourceID=14","532000")</f>
        <v>532000</v>
      </c>
      <c r="G3593" s="4" t="str">
        <f>HYPERLINK("http://141.218.60.56/~jnz1568/getInfo.php?workbook=14_09.xlsx&amp;sheet=A0&amp;row=3593&amp;col=7&amp;number=0&amp;sourceID=14","0")</f>
        <v>0</v>
      </c>
    </row>
    <row r="3594" spans="1:7">
      <c r="A3594" s="3">
        <v>14</v>
      </c>
      <c r="B3594" s="3">
        <v>9</v>
      </c>
      <c r="C3594" s="3">
        <v>179</v>
      </c>
      <c r="D3594" s="3">
        <v>93</v>
      </c>
      <c r="E3594" s="3">
        <v>-579.342</v>
      </c>
      <c r="F3594" s="4" t="str">
        <f>HYPERLINK("http://141.218.60.56/~jnz1568/getInfo.php?workbook=14_09.xlsx&amp;sheet=A0&amp;row=3594&amp;col=6&amp;number=5850000&amp;sourceID=14","5850000")</f>
        <v>5850000</v>
      </c>
      <c r="G3594" s="4" t="str">
        <f>HYPERLINK("http://141.218.60.56/~jnz1568/getInfo.php?workbook=14_09.xlsx&amp;sheet=A0&amp;row=3594&amp;col=7&amp;number=0&amp;sourceID=14","0")</f>
        <v>0</v>
      </c>
    </row>
    <row r="3595" spans="1:7">
      <c r="A3595" s="3">
        <v>14</v>
      </c>
      <c r="B3595" s="3">
        <v>9</v>
      </c>
      <c r="C3595" s="3">
        <v>180</v>
      </c>
      <c r="D3595" s="3">
        <v>93</v>
      </c>
      <c r="E3595" s="3">
        <v>-575.633</v>
      </c>
      <c r="F3595" s="4" t="str">
        <f>HYPERLINK("http://141.218.60.56/~jnz1568/getInfo.php?workbook=14_09.xlsx&amp;sheet=A0&amp;row=3595&amp;col=6&amp;number=1160000&amp;sourceID=14","1160000")</f>
        <v>1160000</v>
      </c>
      <c r="G3595" s="4" t="str">
        <f>HYPERLINK("http://141.218.60.56/~jnz1568/getInfo.php?workbook=14_09.xlsx&amp;sheet=A0&amp;row=3595&amp;col=7&amp;number=0&amp;sourceID=14","0")</f>
        <v>0</v>
      </c>
    </row>
    <row r="3596" spans="1:7">
      <c r="A3596" s="3">
        <v>14</v>
      </c>
      <c r="B3596" s="3">
        <v>9</v>
      </c>
      <c r="C3596" s="3">
        <v>182</v>
      </c>
      <c r="D3596" s="3">
        <v>93</v>
      </c>
      <c r="E3596" s="3">
        <v>-561.382</v>
      </c>
      <c r="F3596" s="4" t="str">
        <f>HYPERLINK("http://141.218.60.56/~jnz1568/getInfo.php?workbook=14_09.xlsx&amp;sheet=A0&amp;row=3596&amp;col=6&amp;number=7170000&amp;sourceID=14","7170000")</f>
        <v>7170000</v>
      </c>
      <c r="G3596" s="4" t="str">
        <f>HYPERLINK("http://141.218.60.56/~jnz1568/getInfo.php?workbook=14_09.xlsx&amp;sheet=A0&amp;row=3596&amp;col=7&amp;number=0&amp;sourceID=14","0")</f>
        <v>0</v>
      </c>
    </row>
    <row r="3597" spans="1:7">
      <c r="A3597" s="3">
        <v>14</v>
      </c>
      <c r="B3597" s="3">
        <v>9</v>
      </c>
      <c r="C3597" s="3">
        <v>191</v>
      </c>
      <c r="D3597" s="3">
        <v>93</v>
      </c>
      <c r="E3597" s="3">
        <v>-312.762</v>
      </c>
      <c r="F3597" s="4" t="str">
        <f>HYPERLINK("http://141.218.60.56/~jnz1568/getInfo.php?workbook=14_09.xlsx&amp;sheet=A0&amp;row=3597&amp;col=6&amp;number=848000&amp;sourceID=14","848000")</f>
        <v>848000</v>
      </c>
      <c r="G3597" s="4" t="str">
        <f>HYPERLINK("http://141.218.60.56/~jnz1568/getInfo.php?workbook=14_09.xlsx&amp;sheet=A0&amp;row=3597&amp;col=7&amp;number=0&amp;sourceID=14","0")</f>
        <v>0</v>
      </c>
    </row>
    <row r="3598" spans="1:7">
      <c r="A3598" s="3">
        <v>14</v>
      </c>
      <c r="B3598" s="3">
        <v>9</v>
      </c>
      <c r="C3598" s="3">
        <v>192</v>
      </c>
      <c r="D3598" s="3">
        <v>93</v>
      </c>
      <c r="E3598" s="3">
        <v>-309.273</v>
      </c>
      <c r="F3598" s="4" t="str">
        <f>HYPERLINK("http://141.218.60.56/~jnz1568/getInfo.php?workbook=14_09.xlsx&amp;sheet=A0&amp;row=3598&amp;col=6&amp;number=3990000&amp;sourceID=14","3990000")</f>
        <v>3990000</v>
      </c>
      <c r="G3598" s="4" t="str">
        <f>HYPERLINK("http://141.218.60.56/~jnz1568/getInfo.php?workbook=14_09.xlsx&amp;sheet=A0&amp;row=3598&amp;col=7&amp;number=0&amp;sourceID=14","0")</f>
        <v>0</v>
      </c>
    </row>
    <row r="3599" spans="1:7">
      <c r="A3599" s="3">
        <v>14</v>
      </c>
      <c r="B3599" s="3">
        <v>9</v>
      </c>
      <c r="C3599" s="3">
        <v>109</v>
      </c>
      <c r="D3599" s="3">
        <v>94</v>
      </c>
      <c r="E3599" s="3">
        <v>-13101.033</v>
      </c>
      <c r="F3599" s="4" t="str">
        <f>HYPERLINK("http://141.218.60.56/~jnz1568/getInfo.php?workbook=14_09.xlsx&amp;sheet=A0&amp;row=3599&amp;col=6&amp;number=700000&amp;sourceID=14","700000")</f>
        <v>700000</v>
      </c>
      <c r="G3599" s="4" t="str">
        <f>HYPERLINK("http://141.218.60.56/~jnz1568/getInfo.php?workbook=14_09.xlsx&amp;sheet=A0&amp;row=3599&amp;col=7&amp;number=0&amp;sourceID=14","0")</f>
        <v>0</v>
      </c>
    </row>
    <row r="3600" spans="1:7">
      <c r="A3600" s="3">
        <v>14</v>
      </c>
      <c r="B3600" s="3">
        <v>9</v>
      </c>
      <c r="C3600" s="3">
        <v>112</v>
      </c>
      <c r="D3600" s="3">
        <v>94</v>
      </c>
      <c r="E3600" s="3">
        <v>-12023.588</v>
      </c>
      <c r="F3600" s="4" t="str">
        <f>HYPERLINK("http://141.218.60.56/~jnz1568/getInfo.php?workbook=14_09.xlsx&amp;sheet=A0&amp;row=3600&amp;col=6&amp;number=217000&amp;sourceID=14","217000")</f>
        <v>217000</v>
      </c>
      <c r="G3600" s="4" t="str">
        <f>HYPERLINK("http://141.218.60.56/~jnz1568/getInfo.php?workbook=14_09.xlsx&amp;sheet=A0&amp;row=3600&amp;col=7&amp;number=0&amp;sourceID=14","0")</f>
        <v>0</v>
      </c>
    </row>
    <row r="3601" spans="1:7">
      <c r="A3601" s="3">
        <v>14</v>
      </c>
      <c r="B3601" s="3">
        <v>9</v>
      </c>
      <c r="C3601" s="3">
        <v>113</v>
      </c>
      <c r="D3601" s="3">
        <v>94</v>
      </c>
      <c r="E3601" s="3">
        <v>-12023.588</v>
      </c>
      <c r="F3601" s="4" t="str">
        <f>HYPERLINK("http://141.218.60.56/~jnz1568/getInfo.php?workbook=14_09.xlsx&amp;sheet=A0&amp;row=3601&amp;col=6&amp;number=71000&amp;sourceID=14","71000")</f>
        <v>71000</v>
      </c>
      <c r="G3601" s="4" t="str">
        <f>HYPERLINK("http://141.218.60.56/~jnz1568/getInfo.php?workbook=14_09.xlsx&amp;sheet=A0&amp;row=3601&amp;col=7&amp;number=0&amp;sourceID=14","0")</f>
        <v>0</v>
      </c>
    </row>
    <row r="3602" spans="1:7">
      <c r="A3602" s="3">
        <v>14</v>
      </c>
      <c r="B3602" s="3">
        <v>9</v>
      </c>
      <c r="C3602" s="3">
        <v>116</v>
      </c>
      <c r="D3602" s="3">
        <v>94</v>
      </c>
      <c r="E3602" s="3">
        <v>-11771.652</v>
      </c>
      <c r="F3602" s="4" t="str">
        <f>HYPERLINK("http://141.218.60.56/~jnz1568/getInfo.php?workbook=14_09.xlsx&amp;sheet=A0&amp;row=3602&amp;col=6&amp;number=812000&amp;sourceID=14","812000")</f>
        <v>812000</v>
      </c>
      <c r="G3602" s="4" t="str">
        <f>HYPERLINK("http://141.218.60.56/~jnz1568/getInfo.php?workbook=14_09.xlsx&amp;sheet=A0&amp;row=3602&amp;col=7&amp;number=0&amp;sourceID=14","0")</f>
        <v>0</v>
      </c>
    </row>
    <row r="3603" spans="1:7">
      <c r="A3603" s="3">
        <v>14</v>
      </c>
      <c r="B3603" s="3">
        <v>9</v>
      </c>
      <c r="C3603" s="3">
        <v>117</v>
      </c>
      <c r="D3603" s="3">
        <v>94</v>
      </c>
      <c r="E3603" s="3">
        <v>-8930.98</v>
      </c>
      <c r="F3603" s="4" t="str">
        <f>HYPERLINK("http://141.218.60.56/~jnz1568/getInfo.php?workbook=14_09.xlsx&amp;sheet=A0&amp;row=3603&amp;col=6&amp;number=1090000&amp;sourceID=14","1090000")</f>
        <v>1090000</v>
      </c>
      <c r="G3603" s="4" t="str">
        <f>HYPERLINK("http://141.218.60.56/~jnz1568/getInfo.php?workbook=14_09.xlsx&amp;sheet=A0&amp;row=3603&amp;col=7&amp;number=0&amp;sourceID=14","0")</f>
        <v>0</v>
      </c>
    </row>
    <row r="3604" spans="1:7">
      <c r="A3604" s="3">
        <v>14</v>
      </c>
      <c r="B3604" s="3">
        <v>9</v>
      </c>
      <c r="C3604" s="3">
        <v>118</v>
      </c>
      <c r="D3604" s="3">
        <v>94</v>
      </c>
      <c r="E3604" s="3">
        <v>-8872.344</v>
      </c>
      <c r="F3604" s="4" t="str">
        <f>HYPERLINK("http://141.218.60.56/~jnz1568/getInfo.php?workbook=14_09.xlsx&amp;sheet=A0&amp;row=3604&amp;col=6&amp;number=2790000&amp;sourceID=14","2790000")</f>
        <v>2790000</v>
      </c>
      <c r="G3604" s="4" t="str">
        <f>HYPERLINK("http://141.218.60.56/~jnz1568/getInfo.php?workbook=14_09.xlsx&amp;sheet=A0&amp;row=3604&amp;col=7&amp;number=0&amp;sourceID=14","0")</f>
        <v>0</v>
      </c>
    </row>
    <row r="3605" spans="1:7">
      <c r="A3605" s="3">
        <v>14</v>
      </c>
      <c r="B3605" s="3">
        <v>9</v>
      </c>
      <c r="C3605" s="3">
        <v>122</v>
      </c>
      <c r="D3605" s="3">
        <v>94</v>
      </c>
      <c r="E3605" s="3">
        <v>-8144.664</v>
      </c>
      <c r="F3605" s="4" t="str">
        <f>HYPERLINK("http://141.218.60.56/~jnz1568/getInfo.php?workbook=14_09.xlsx&amp;sheet=A0&amp;row=3605&amp;col=6&amp;number=1460000&amp;sourceID=14","1460000")</f>
        <v>1460000</v>
      </c>
      <c r="G3605" s="4" t="str">
        <f>HYPERLINK("http://141.218.60.56/~jnz1568/getInfo.php?workbook=14_09.xlsx&amp;sheet=A0&amp;row=3605&amp;col=7&amp;number=0&amp;sourceID=14","0")</f>
        <v>0</v>
      </c>
    </row>
    <row r="3606" spans="1:7">
      <c r="A3606" s="3">
        <v>14</v>
      </c>
      <c r="B3606" s="3">
        <v>9</v>
      </c>
      <c r="C3606" s="3">
        <v>138</v>
      </c>
      <c r="D3606" s="3">
        <v>94</v>
      </c>
      <c r="E3606" s="3">
        <v>-1854.5</v>
      </c>
      <c r="F3606" s="4" t="str">
        <f>HYPERLINK("http://141.218.60.56/~jnz1568/getInfo.php?workbook=14_09.xlsx&amp;sheet=A0&amp;row=3606&amp;col=6&amp;number=195000&amp;sourceID=14","195000")</f>
        <v>195000</v>
      </c>
      <c r="G3606" s="4" t="str">
        <f>HYPERLINK("http://141.218.60.56/~jnz1568/getInfo.php?workbook=14_09.xlsx&amp;sheet=A0&amp;row=3606&amp;col=7&amp;number=0&amp;sourceID=14","0")</f>
        <v>0</v>
      </c>
    </row>
    <row r="3607" spans="1:7">
      <c r="A3607" s="3">
        <v>14</v>
      </c>
      <c r="B3607" s="3">
        <v>9</v>
      </c>
      <c r="C3607" s="3">
        <v>142</v>
      </c>
      <c r="D3607" s="3">
        <v>94</v>
      </c>
      <c r="E3607" s="3">
        <v>-1807.635</v>
      </c>
      <c r="F3607" s="4" t="str">
        <f>HYPERLINK("http://141.218.60.56/~jnz1568/getInfo.php?workbook=14_09.xlsx&amp;sheet=A0&amp;row=3607&amp;col=6&amp;number=395000&amp;sourceID=14","395000")</f>
        <v>395000</v>
      </c>
      <c r="G3607" s="4" t="str">
        <f>HYPERLINK("http://141.218.60.56/~jnz1568/getInfo.php?workbook=14_09.xlsx&amp;sheet=A0&amp;row=3607&amp;col=7&amp;number=0&amp;sourceID=14","0")</f>
        <v>0</v>
      </c>
    </row>
    <row r="3608" spans="1:7">
      <c r="A3608" s="3">
        <v>14</v>
      </c>
      <c r="B3608" s="3">
        <v>9</v>
      </c>
      <c r="C3608" s="3">
        <v>147</v>
      </c>
      <c r="D3608" s="3">
        <v>94</v>
      </c>
      <c r="E3608" s="3">
        <v>-1764.418</v>
      </c>
      <c r="F3608" s="4" t="str">
        <f>HYPERLINK("http://141.218.60.56/~jnz1568/getInfo.php?workbook=14_09.xlsx&amp;sheet=A0&amp;row=3608&amp;col=6&amp;number=342000&amp;sourceID=14","342000")</f>
        <v>342000</v>
      </c>
      <c r="G3608" s="4" t="str">
        <f>HYPERLINK("http://141.218.60.56/~jnz1568/getInfo.php?workbook=14_09.xlsx&amp;sheet=A0&amp;row=3608&amp;col=7&amp;number=0&amp;sourceID=14","0")</f>
        <v>0</v>
      </c>
    </row>
    <row r="3609" spans="1:7">
      <c r="A3609" s="3">
        <v>14</v>
      </c>
      <c r="B3609" s="3">
        <v>9</v>
      </c>
      <c r="C3609" s="3">
        <v>159</v>
      </c>
      <c r="D3609" s="3">
        <v>94</v>
      </c>
      <c r="E3609" s="3">
        <v>-1307.448</v>
      </c>
      <c r="F3609" s="4" t="str">
        <f>HYPERLINK("http://141.218.60.56/~jnz1568/getInfo.php?workbook=14_09.xlsx&amp;sheet=A0&amp;row=3609&amp;col=6&amp;number=67500&amp;sourceID=14","67500")</f>
        <v>67500</v>
      </c>
      <c r="G3609" s="4" t="str">
        <f>HYPERLINK("http://141.218.60.56/~jnz1568/getInfo.php?workbook=14_09.xlsx&amp;sheet=A0&amp;row=3609&amp;col=7&amp;number=0&amp;sourceID=14","0")</f>
        <v>0</v>
      </c>
    </row>
    <row r="3610" spans="1:7">
      <c r="A3610" s="3">
        <v>14</v>
      </c>
      <c r="B3610" s="3">
        <v>9</v>
      </c>
      <c r="C3610" s="3">
        <v>164</v>
      </c>
      <c r="D3610" s="3">
        <v>94</v>
      </c>
      <c r="E3610" s="3">
        <v>-799.662</v>
      </c>
      <c r="F3610" s="4" t="str">
        <f>HYPERLINK("http://141.218.60.56/~jnz1568/getInfo.php?workbook=14_09.xlsx&amp;sheet=A0&amp;row=3610&amp;col=6&amp;number=870000&amp;sourceID=14","870000")</f>
        <v>870000</v>
      </c>
      <c r="G3610" s="4" t="str">
        <f>HYPERLINK("http://141.218.60.56/~jnz1568/getInfo.php?workbook=14_09.xlsx&amp;sheet=A0&amp;row=3610&amp;col=7&amp;number=0&amp;sourceID=14","0")</f>
        <v>0</v>
      </c>
    </row>
    <row r="3611" spans="1:7">
      <c r="A3611" s="3">
        <v>14</v>
      </c>
      <c r="B3611" s="3">
        <v>9</v>
      </c>
      <c r="C3611" s="3">
        <v>169</v>
      </c>
      <c r="D3611" s="3">
        <v>94</v>
      </c>
      <c r="E3611" s="3">
        <v>-637.882</v>
      </c>
      <c r="F3611" s="4" t="str">
        <f>HYPERLINK("http://141.218.60.56/~jnz1568/getInfo.php?workbook=14_09.xlsx&amp;sheet=A0&amp;row=3611&amp;col=6&amp;number=2680000&amp;sourceID=14","2680000")</f>
        <v>2680000</v>
      </c>
      <c r="G3611" s="4" t="str">
        <f>HYPERLINK("http://141.218.60.56/~jnz1568/getInfo.php?workbook=14_09.xlsx&amp;sheet=A0&amp;row=3611&amp;col=7&amp;number=0&amp;sourceID=14","0")</f>
        <v>0</v>
      </c>
    </row>
    <row r="3612" spans="1:7">
      <c r="A3612" s="3">
        <v>14</v>
      </c>
      <c r="B3612" s="3">
        <v>9</v>
      </c>
      <c r="C3612" s="3">
        <v>170</v>
      </c>
      <c r="D3612" s="3">
        <v>94</v>
      </c>
      <c r="E3612" s="3">
        <v>-631.889</v>
      </c>
      <c r="F3612" s="4" t="str">
        <f>HYPERLINK("http://141.218.60.56/~jnz1568/getInfo.php?workbook=14_09.xlsx&amp;sheet=A0&amp;row=3612&amp;col=6&amp;number=1470000&amp;sourceID=14","1470000")</f>
        <v>1470000</v>
      </c>
      <c r="G3612" s="4" t="str">
        <f>HYPERLINK("http://141.218.60.56/~jnz1568/getInfo.php?workbook=14_09.xlsx&amp;sheet=A0&amp;row=3612&amp;col=7&amp;number=0&amp;sourceID=14","0")</f>
        <v>0</v>
      </c>
    </row>
    <row r="3613" spans="1:7">
      <c r="A3613" s="3">
        <v>14</v>
      </c>
      <c r="B3613" s="3">
        <v>9</v>
      </c>
      <c r="C3613" s="3">
        <v>173</v>
      </c>
      <c r="D3613" s="3">
        <v>94</v>
      </c>
      <c r="E3613" s="3">
        <v>-612</v>
      </c>
      <c r="F3613" s="4" t="str">
        <f>HYPERLINK("http://141.218.60.56/~jnz1568/getInfo.php?workbook=14_09.xlsx&amp;sheet=A0&amp;row=3613&amp;col=6&amp;number=3310000&amp;sourceID=14","3310000")</f>
        <v>3310000</v>
      </c>
      <c r="G3613" s="4" t="str">
        <f>HYPERLINK("http://141.218.60.56/~jnz1568/getInfo.php?workbook=14_09.xlsx&amp;sheet=A0&amp;row=3613&amp;col=7&amp;number=0&amp;sourceID=14","0")</f>
        <v>0</v>
      </c>
    </row>
    <row r="3614" spans="1:7">
      <c r="A3614" s="3">
        <v>14</v>
      </c>
      <c r="B3614" s="3">
        <v>9</v>
      </c>
      <c r="C3614" s="3">
        <v>174</v>
      </c>
      <c r="D3614" s="3">
        <v>94</v>
      </c>
      <c r="E3614" s="3">
        <v>-607.594</v>
      </c>
      <c r="F3614" s="4" t="str">
        <f>HYPERLINK("http://141.218.60.56/~jnz1568/getInfo.php?workbook=14_09.xlsx&amp;sheet=A0&amp;row=3614&amp;col=6&amp;number=6550000&amp;sourceID=14","6550000")</f>
        <v>6550000</v>
      </c>
      <c r="G3614" s="4" t="str">
        <f>HYPERLINK("http://141.218.60.56/~jnz1568/getInfo.php?workbook=14_09.xlsx&amp;sheet=A0&amp;row=3614&amp;col=7&amp;number=0&amp;sourceID=14","0")</f>
        <v>0</v>
      </c>
    </row>
    <row r="3615" spans="1:7">
      <c r="A3615" s="3">
        <v>14</v>
      </c>
      <c r="B3615" s="3">
        <v>9</v>
      </c>
      <c r="C3615" s="3">
        <v>176</v>
      </c>
      <c r="D3615" s="3">
        <v>94</v>
      </c>
      <c r="E3615" s="3">
        <v>-581.339</v>
      </c>
      <c r="F3615" s="4" t="str">
        <f>HYPERLINK("http://141.218.60.56/~jnz1568/getInfo.php?workbook=14_09.xlsx&amp;sheet=A0&amp;row=3615&amp;col=6&amp;number=133000000&amp;sourceID=14","133000000")</f>
        <v>133000000</v>
      </c>
      <c r="G3615" s="4" t="str">
        <f>HYPERLINK("http://141.218.60.56/~jnz1568/getInfo.php?workbook=14_09.xlsx&amp;sheet=A0&amp;row=3615&amp;col=7&amp;number=0&amp;sourceID=14","0")</f>
        <v>0</v>
      </c>
    </row>
    <row r="3616" spans="1:7">
      <c r="A3616" s="3">
        <v>14</v>
      </c>
      <c r="B3616" s="3">
        <v>9</v>
      </c>
      <c r="C3616" s="3">
        <v>178</v>
      </c>
      <c r="D3616" s="3">
        <v>94</v>
      </c>
      <c r="E3616" s="3">
        <v>-580.192</v>
      </c>
      <c r="F3616" s="4" t="str">
        <f>HYPERLINK("http://141.218.60.56/~jnz1568/getInfo.php?workbook=14_09.xlsx&amp;sheet=A0&amp;row=3616&amp;col=6&amp;number=4740000&amp;sourceID=14","4740000")</f>
        <v>4740000</v>
      </c>
      <c r="G3616" s="4" t="str">
        <f>HYPERLINK("http://141.218.60.56/~jnz1568/getInfo.php?workbook=14_09.xlsx&amp;sheet=A0&amp;row=3616&amp;col=7&amp;number=0&amp;sourceID=14","0")</f>
        <v>0</v>
      </c>
    </row>
    <row r="3617" spans="1:7">
      <c r="A3617" s="3">
        <v>14</v>
      </c>
      <c r="B3617" s="3">
        <v>9</v>
      </c>
      <c r="C3617" s="3">
        <v>179</v>
      </c>
      <c r="D3617" s="3">
        <v>94</v>
      </c>
      <c r="E3617" s="3">
        <v>-580.085</v>
      </c>
      <c r="F3617" s="4" t="str">
        <f>HYPERLINK("http://141.218.60.56/~jnz1568/getInfo.php?workbook=14_09.xlsx&amp;sheet=A0&amp;row=3617&amp;col=6&amp;number=82900000&amp;sourceID=14","82900000")</f>
        <v>82900000</v>
      </c>
      <c r="G3617" s="4" t="str">
        <f>HYPERLINK("http://141.218.60.56/~jnz1568/getInfo.php?workbook=14_09.xlsx&amp;sheet=A0&amp;row=3617&amp;col=7&amp;number=0&amp;sourceID=14","0")</f>
        <v>0</v>
      </c>
    </row>
    <row r="3618" spans="1:7">
      <c r="A3618" s="3">
        <v>14</v>
      </c>
      <c r="B3618" s="3">
        <v>9</v>
      </c>
      <c r="C3618" s="3">
        <v>181</v>
      </c>
      <c r="D3618" s="3">
        <v>94</v>
      </c>
      <c r="E3618" s="3">
        <v>-562.386</v>
      </c>
      <c r="F3618" s="4" t="str">
        <f>HYPERLINK("http://141.218.60.56/~jnz1568/getInfo.php?workbook=14_09.xlsx&amp;sheet=A0&amp;row=3618&amp;col=6&amp;number=2730000&amp;sourceID=14","2730000")</f>
        <v>2730000</v>
      </c>
      <c r="G3618" s="4" t="str">
        <f>HYPERLINK("http://141.218.60.56/~jnz1568/getInfo.php?workbook=14_09.xlsx&amp;sheet=A0&amp;row=3618&amp;col=7&amp;number=0&amp;sourceID=14","0")</f>
        <v>0</v>
      </c>
    </row>
    <row r="3619" spans="1:7">
      <c r="A3619" s="3">
        <v>14</v>
      </c>
      <c r="B3619" s="3">
        <v>9</v>
      </c>
      <c r="C3619" s="3">
        <v>182</v>
      </c>
      <c r="D3619" s="3">
        <v>94</v>
      </c>
      <c r="E3619" s="3">
        <v>-562.08</v>
      </c>
      <c r="F3619" s="4" t="str">
        <f>HYPERLINK("http://141.218.60.56/~jnz1568/getInfo.php?workbook=14_09.xlsx&amp;sheet=A0&amp;row=3619&amp;col=6&amp;number=4740000&amp;sourceID=14","4740000")</f>
        <v>4740000</v>
      </c>
      <c r="G3619" s="4" t="str">
        <f>HYPERLINK("http://141.218.60.56/~jnz1568/getInfo.php?workbook=14_09.xlsx&amp;sheet=A0&amp;row=3619&amp;col=7&amp;number=0&amp;sourceID=14","0")</f>
        <v>0</v>
      </c>
    </row>
    <row r="3620" spans="1:7">
      <c r="A3620" s="3">
        <v>14</v>
      </c>
      <c r="B3620" s="3">
        <v>9</v>
      </c>
      <c r="C3620" s="3">
        <v>190</v>
      </c>
      <c r="D3620" s="3">
        <v>94</v>
      </c>
      <c r="E3620" s="3">
        <v>-313.06</v>
      </c>
      <c r="F3620" s="4" t="str">
        <f>HYPERLINK("http://141.218.60.56/~jnz1568/getInfo.php?workbook=14_09.xlsx&amp;sheet=A0&amp;row=3620&amp;col=6&amp;number=856000&amp;sourceID=14","856000")</f>
        <v>856000</v>
      </c>
      <c r="G3620" s="4" t="str">
        <f>HYPERLINK("http://141.218.60.56/~jnz1568/getInfo.php?workbook=14_09.xlsx&amp;sheet=A0&amp;row=3620&amp;col=7&amp;number=0&amp;sourceID=14","0")</f>
        <v>0</v>
      </c>
    </row>
    <row r="3621" spans="1:7">
      <c r="A3621" s="3">
        <v>14</v>
      </c>
      <c r="B3621" s="3">
        <v>9</v>
      </c>
      <c r="C3621" s="3">
        <v>193</v>
      </c>
      <c r="D3621" s="3">
        <v>94</v>
      </c>
      <c r="E3621" s="3">
        <v>-309.354</v>
      </c>
      <c r="F3621" s="4" t="str">
        <f>HYPERLINK("http://141.218.60.56/~jnz1568/getInfo.php?workbook=14_09.xlsx&amp;sheet=A0&amp;row=3621&amp;col=6&amp;number=3380000&amp;sourceID=14","3380000")</f>
        <v>3380000</v>
      </c>
      <c r="G3621" s="4" t="str">
        <f>HYPERLINK("http://141.218.60.56/~jnz1568/getInfo.php?workbook=14_09.xlsx&amp;sheet=A0&amp;row=3621&amp;col=7&amp;number=0&amp;sourceID=14","0")</f>
        <v>0</v>
      </c>
    </row>
    <row r="3622" spans="1:7">
      <c r="A3622" s="3">
        <v>14</v>
      </c>
      <c r="B3622" s="3">
        <v>9</v>
      </c>
      <c r="C3622" s="3">
        <v>114</v>
      </c>
      <c r="D3622" s="3">
        <v>95</v>
      </c>
      <c r="E3622" s="3">
        <v>-13338.693</v>
      </c>
      <c r="F3622" s="4" t="str">
        <f>HYPERLINK("http://141.218.60.56/~jnz1568/getInfo.php?workbook=14_09.xlsx&amp;sheet=A0&amp;row=3622&amp;col=6&amp;number=277000&amp;sourceID=14","277000")</f>
        <v>277000</v>
      </c>
      <c r="G3622" s="4" t="str">
        <f>HYPERLINK("http://141.218.60.56/~jnz1568/getInfo.php?workbook=14_09.xlsx&amp;sheet=A0&amp;row=3622&amp;col=7&amp;number=0&amp;sourceID=14","0")</f>
        <v>0</v>
      </c>
    </row>
    <row r="3623" spans="1:7">
      <c r="A3623" s="3">
        <v>14</v>
      </c>
      <c r="B3623" s="3">
        <v>9</v>
      </c>
      <c r="C3623" s="3">
        <v>119</v>
      </c>
      <c r="D3623" s="3">
        <v>95</v>
      </c>
      <c r="E3623" s="3">
        <v>-9242.161</v>
      </c>
      <c r="F3623" s="4" t="str">
        <f>HYPERLINK("http://141.218.60.56/~jnz1568/getInfo.php?workbook=14_09.xlsx&amp;sheet=A0&amp;row=3623&amp;col=6&amp;number=7230000&amp;sourceID=14","7230000")</f>
        <v>7230000</v>
      </c>
      <c r="G3623" s="4" t="str">
        <f>HYPERLINK("http://141.218.60.56/~jnz1568/getInfo.php?workbook=14_09.xlsx&amp;sheet=A0&amp;row=3623&amp;col=7&amp;number=0&amp;sourceID=14","0")</f>
        <v>0</v>
      </c>
    </row>
    <row r="3624" spans="1:7">
      <c r="A3624" s="3">
        <v>14</v>
      </c>
      <c r="B3624" s="3">
        <v>9</v>
      </c>
      <c r="C3624" s="3">
        <v>120</v>
      </c>
      <c r="D3624" s="3">
        <v>95</v>
      </c>
      <c r="E3624" s="3">
        <v>-9181.91</v>
      </c>
      <c r="F3624" s="4" t="str">
        <f>HYPERLINK("http://141.218.60.56/~jnz1568/getInfo.php?workbook=14_09.xlsx&amp;sheet=A0&amp;row=3624&amp;col=6&amp;number=214000&amp;sourceID=14","214000")</f>
        <v>214000</v>
      </c>
      <c r="G3624" s="4" t="str">
        <f>HYPERLINK("http://141.218.60.56/~jnz1568/getInfo.php?workbook=14_09.xlsx&amp;sheet=A0&amp;row=3624&amp;col=7&amp;number=0&amp;sourceID=14","0")</f>
        <v>0</v>
      </c>
    </row>
    <row r="3625" spans="1:7">
      <c r="A3625" s="3">
        <v>14</v>
      </c>
      <c r="B3625" s="3">
        <v>9</v>
      </c>
      <c r="C3625" s="3">
        <v>121</v>
      </c>
      <c r="D3625" s="3">
        <v>95</v>
      </c>
      <c r="E3625" s="3">
        <v>-8827.7</v>
      </c>
      <c r="F3625" s="4" t="str">
        <f>HYPERLINK("http://141.218.60.56/~jnz1568/getInfo.php?workbook=14_09.xlsx&amp;sheet=A0&amp;row=3625&amp;col=6&amp;number=704000&amp;sourceID=14","704000")</f>
        <v>704000</v>
      </c>
      <c r="G3625" s="4" t="str">
        <f>HYPERLINK("http://141.218.60.56/~jnz1568/getInfo.php?workbook=14_09.xlsx&amp;sheet=A0&amp;row=3625&amp;col=7&amp;number=0&amp;sourceID=14","0")</f>
        <v>0</v>
      </c>
    </row>
    <row r="3626" spans="1:7">
      <c r="A3626" s="3">
        <v>14</v>
      </c>
      <c r="B3626" s="3">
        <v>9</v>
      </c>
      <c r="C3626" s="3">
        <v>150</v>
      </c>
      <c r="D3626" s="3">
        <v>95</v>
      </c>
      <c r="E3626" s="3">
        <v>-1775.603</v>
      </c>
      <c r="F3626" s="4" t="str">
        <f>HYPERLINK("http://141.218.60.56/~jnz1568/getInfo.php?workbook=14_09.xlsx&amp;sheet=A0&amp;row=3626&amp;col=6&amp;number=300000&amp;sourceID=14","300000")</f>
        <v>300000</v>
      </c>
      <c r="G3626" s="4" t="str">
        <f>HYPERLINK("http://141.218.60.56/~jnz1568/getInfo.php?workbook=14_09.xlsx&amp;sheet=A0&amp;row=3626&amp;col=7&amp;number=0&amp;sourceID=14","0")</f>
        <v>0</v>
      </c>
    </row>
    <row r="3627" spans="1:7">
      <c r="A3627" s="3">
        <v>14</v>
      </c>
      <c r="B3627" s="3">
        <v>9</v>
      </c>
      <c r="C3627" s="3">
        <v>171</v>
      </c>
      <c r="D3627" s="3">
        <v>95</v>
      </c>
      <c r="E3627" s="3">
        <v>-625.96</v>
      </c>
      <c r="F3627" s="4" t="str">
        <f>HYPERLINK("http://141.218.60.56/~jnz1568/getInfo.php?workbook=14_09.xlsx&amp;sheet=A0&amp;row=3627&amp;col=6&amp;number=36500000&amp;sourceID=14","36500000")</f>
        <v>36500000</v>
      </c>
      <c r="G3627" s="4" t="str">
        <f>HYPERLINK("http://141.218.60.56/~jnz1568/getInfo.php?workbook=14_09.xlsx&amp;sheet=A0&amp;row=3627&amp;col=7&amp;number=0&amp;sourceID=14","0")</f>
        <v>0</v>
      </c>
    </row>
    <row r="3628" spans="1:7">
      <c r="A3628" s="3">
        <v>14</v>
      </c>
      <c r="B3628" s="3">
        <v>9</v>
      </c>
      <c r="C3628" s="3">
        <v>173</v>
      </c>
      <c r="D3628" s="3">
        <v>95</v>
      </c>
      <c r="E3628" s="3">
        <v>-615.147</v>
      </c>
      <c r="F3628" s="4" t="str">
        <f>HYPERLINK("http://141.218.60.56/~jnz1568/getInfo.php?workbook=14_09.xlsx&amp;sheet=A0&amp;row=3628&amp;col=6&amp;number=453000&amp;sourceID=14","453000")</f>
        <v>453000</v>
      </c>
      <c r="G3628" s="4" t="str">
        <f>HYPERLINK("http://141.218.60.56/~jnz1568/getInfo.php?workbook=14_09.xlsx&amp;sheet=A0&amp;row=3628&amp;col=7&amp;number=0&amp;sourceID=14","0")</f>
        <v>0</v>
      </c>
    </row>
    <row r="3629" spans="1:7">
      <c r="A3629" s="3">
        <v>14</v>
      </c>
      <c r="B3629" s="3">
        <v>9</v>
      </c>
      <c r="C3629" s="3">
        <v>176</v>
      </c>
      <c r="D3629" s="3">
        <v>95</v>
      </c>
      <c r="E3629" s="3">
        <v>-584.178</v>
      </c>
      <c r="F3629" s="4" t="str">
        <f>HYPERLINK("http://141.218.60.56/~jnz1568/getInfo.php?workbook=14_09.xlsx&amp;sheet=A0&amp;row=3629&amp;col=6&amp;number=4660000&amp;sourceID=14","4660000")</f>
        <v>4660000</v>
      </c>
      <c r="G3629" s="4" t="str">
        <f>HYPERLINK("http://141.218.60.56/~jnz1568/getInfo.php?workbook=14_09.xlsx&amp;sheet=A0&amp;row=3629&amp;col=7&amp;number=0&amp;sourceID=14","0")</f>
        <v>0</v>
      </c>
    </row>
    <row r="3630" spans="1:7">
      <c r="A3630" s="3">
        <v>14</v>
      </c>
      <c r="B3630" s="3">
        <v>9</v>
      </c>
      <c r="C3630" s="3">
        <v>177</v>
      </c>
      <c r="D3630" s="3">
        <v>95</v>
      </c>
      <c r="E3630" s="3">
        <v>-583.602</v>
      </c>
      <c r="F3630" s="4" t="str">
        <f>HYPERLINK("http://141.218.60.56/~jnz1568/getInfo.php?workbook=14_09.xlsx&amp;sheet=A0&amp;row=3630&amp;col=6&amp;number=13400000&amp;sourceID=14","13400000")</f>
        <v>13400000</v>
      </c>
      <c r="G3630" s="4" t="str">
        <f>HYPERLINK("http://141.218.60.56/~jnz1568/getInfo.php?workbook=14_09.xlsx&amp;sheet=A0&amp;row=3630&amp;col=7&amp;number=0&amp;sourceID=14","0")</f>
        <v>0</v>
      </c>
    </row>
    <row r="3631" spans="1:7">
      <c r="A3631" s="3">
        <v>14</v>
      </c>
      <c r="B3631" s="3">
        <v>9</v>
      </c>
      <c r="C3631" s="3">
        <v>180</v>
      </c>
      <c r="D3631" s="3">
        <v>95</v>
      </c>
      <c r="E3631" s="3">
        <v>-579.157</v>
      </c>
      <c r="F3631" s="4" t="str">
        <f>HYPERLINK("http://141.218.60.56/~jnz1568/getInfo.php?workbook=14_09.xlsx&amp;sheet=A0&amp;row=3631&amp;col=6&amp;number=2430000&amp;sourceID=14","2430000")</f>
        <v>2430000</v>
      </c>
      <c r="G3631" s="4" t="str">
        <f>HYPERLINK("http://141.218.60.56/~jnz1568/getInfo.php?workbook=14_09.xlsx&amp;sheet=A0&amp;row=3631&amp;col=7&amp;number=0&amp;sourceID=14","0")</f>
        <v>0</v>
      </c>
    </row>
    <row r="3632" spans="1:7">
      <c r="A3632" s="3">
        <v>14</v>
      </c>
      <c r="B3632" s="3">
        <v>9</v>
      </c>
      <c r="C3632" s="3">
        <v>181</v>
      </c>
      <c r="D3632" s="3">
        <v>95</v>
      </c>
      <c r="E3632" s="3">
        <v>-565.043</v>
      </c>
      <c r="F3632" s="4" t="str">
        <f>HYPERLINK("http://141.218.60.56/~jnz1568/getInfo.php?workbook=14_09.xlsx&amp;sheet=A0&amp;row=3632&amp;col=6&amp;number=14900000&amp;sourceID=14","14900000")</f>
        <v>14900000</v>
      </c>
      <c r="G3632" s="4" t="str">
        <f>HYPERLINK("http://141.218.60.56/~jnz1568/getInfo.php?workbook=14_09.xlsx&amp;sheet=A0&amp;row=3632&amp;col=7&amp;number=0&amp;sourceID=14","0")</f>
        <v>0</v>
      </c>
    </row>
    <row r="3633" spans="1:7">
      <c r="A3633" s="3">
        <v>14</v>
      </c>
      <c r="B3633" s="3">
        <v>9</v>
      </c>
      <c r="C3633" s="3">
        <v>118</v>
      </c>
      <c r="D3633" s="3">
        <v>96</v>
      </c>
      <c r="E3633" s="3">
        <v>-10064.431</v>
      </c>
      <c r="F3633" s="4" t="str">
        <f>HYPERLINK("http://141.218.60.56/~jnz1568/getInfo.php?workbook=14_09.xlsx&amp;sheet=A0&amp;row=3633&amp;col=6&amp;number=938000&amp;sourceID=14","938000")</f>
        <v>938000</v>
      </c>
      <c r="G3633" s="4" t="str">
        <f>HYPERLINK("http://141.218.60.56/~jnz1568/getInfo.php?workbook=14_09.xlsx&amp;sheet=A0&amp;row=3633&amp;col=7&amp;number=0&amp;sourceID=14","0")</f>
        <v>0</v>
      </c>
    </row>
    <row r="3634" spans="1:7">
      <c r="A3634" s="3">
        <v>14</v>
      </c>
      <c r="B3634" s="3">
        <v>9</v>
      </c>
      <c r="C3634" s="3">
        <v>122</v>
      </c>
      <c r="D3634" s="3">
        <v>96</v>
      </c>
      <c r="E3634" s="3">
        <v>-9138.278</v>
      </c>
      <c r="F3634" s="4" t="str">
        <f>HYPERLINK("http://141.218.60.56/~jnz1568/getInfo.php?workbook=14_09.xlsx&amp;sheet=A0&amp;row=3634&amp;col=6&amp;number=1920000&amp;sourceID=14","1920000")</f>
        <v>1920000</v>
      </c>
      <c r="G3634" s="4" t="str">
        <f>HYPERLINK("http://141.218.60.56/~jnz1568/getInfo.php?workbook=14_09.xlsx&amp;sheet=A0&amp;row=3634&amp;col=7&amp;number=0&amp;sourceID=14","0")</f>
        <v>0</v>
      </c>
    </row>
    <row r="3635" spans="1:7">
      <c r="A3635" s="3">
        <v>14</v>
      </c>
      <c r="B3635" s="3">
        <v>9</v>
      </c>
      <c r="C3635" s="3">
        <v>124</v>
      </c>
      <c r="D3635" s="3">
        <v>96</v>
      </c>
      <c r="E3635" s="3">
        <v>-8284.333</v>
      </c>
      <c r="F3635" s="4" t="str">
        <f>HYPERLINK("http://141.218.60.56/~jnz1568/getInfo.php?workbook=14_09.xlsx&amp;sheet=A0&amp;row=3635&amp;col=6&amp;number=6020000&amp;sourceID=14","6020000")</f>
        <v>6020000</v>
      </c>
      <c r="G3635" s="4" t="str">
        <f>HYPERLINK("http://141.218.60.56/~jnz1568/getInfo.php?workbook=14_09.xlsx&amp;sheet=A0&amp;row=3635&amp;col=7&amp;number=0&amp;sourceID=14","0")</f>
        <v>0</v>
      </c>
    </row>
    <row r="3636" spans="1:7">
      <c r="A3636" s="3">
        <v>14</v>
      </c>
      <c r="B3636" s="3">
        <v>9</v>
      </c>
      <c r="C3636" s="3">
        <v>164</v>
      </c>
      <c r="D3636" s="3">
        <v>96</v>
      </c>
      <c r="E3636" s="3">
        <v>-808.291</v>
      </c>
      <c r="F3636" s="4" t="str">
        <f>HYPERLINK("http://141.218.60.56/~jnz1568/getInfo.php?workbook=14_09.xlsx&amp;sheet=A0&amp;row=3636&amp;col=6&amp;number=516000&amp;sourceID=14","516000")</f>
        <v>516000</v>
      </c>
      <c r="G3636" s="4" t="str">
        <f>HYPERLINK("http://141.218.60.56/~jnz1568/getInfo.php?workbook=14_09.xlsx&amp;sheet=A0&amp;row=3636&amp;col=7&amp;number=0&amp;sourceID=14","0")</f>
        <v>0</v>
      </c>
    </row>
    <row r="3637" spans="1:7">
      <c r="A3637" s="3">
        <v>14</v>
      </c>
      <c r="B3637" s="3">
        <v>9</v>
      </c>
      <c r="C3637" s="3">
        <v>169</v>
      </c>
      <c r="D3637" s="3">
        <v>96</v>
      </c>
      <c r="E3637" s="3">
        <v>-643.361</v>
      </c>
      <c r="F3637" s="4" t="str">
        <f>HYPERLINK("http://141.218.60.56/~jnz1568/getInfo.php?workbook=14_09.xlsx&amp;sheet=A0&amp;row=3637&amp;col=6&amp;number=286000&amp;sourceID=14","286000")</f>
        <v>286000</v>
      </c>
      <c r="G3637" s="4" t="str">
        <f>HYPERLINK("http://141.218.60.56/~jnz1568/getInfo.php?workbook=14_09.xlsx&amp;sheet=A0&amp;row=3637&amp;col=7&amp;number=0&amp;sourceID=14","0")</f>
        <v>0</v>
      </c>
    </row>
    <row r="3638" spans="1:7">
      <c r="A3638" s="3">
        <v>14</v>
      </c>
      <c r="B3638" s="3">
        <v>9</v>
      </c>
      <c r="C3638" s="3">
        <v>173</v>
      </c>
      <c r="D3638" s="3">
        <v>96</v>
      </c>
      <c r="E3638" s="3">
        <v>-617.041</v>
      </c>
      <c r="F3638" s="4" t="str">
        <f>HYPERLINK("http://141.218.60.56/~jnz1568/getInfo.php?workbook=14_09.xlsx&amp;sheet=A0&amp;row=3638&amp;col=6&amp;number=23600000&amp;sourceID=14","23600000")</f>
        <v>23600000</v>
      </c>
      <c r="G3638" s="4" t="str">
        <f>HYPERLINK("http://141.218.60.56/~jnz1568/getInfo.php?workbook=14_09.xlsx&amp;sheet=A0&amp;row=3638&amp;col=7&amp;number=0&amp;sourceID=14","0")</f>
        <v>0</v>
      </c>
    </row>
    <row r="3639" spans="1:7">
      <c r="A3639" s="3">
        <v>14</v>
      </c>
      <c r="B3639" s="3">
        <v>9</v>
      </c>
      <c r="C3639" s="3">
        <v>174</v>
      </c>
      <c r="D3639" s="3">
        <v>96</v>
      </c>
      <c r="E3639" s="3">
        <v>-612.562</v>
      </c>
      <c r="F3639" s="4" t="str">
        <f>HYPERLINK("http://141.218.60.56/~jnz1568/getInfo.php?workbook=14_09.xlsx&amp;sheet=A0&amp;row=3639&amp;col=6&amp;number=800000&amp;sourceID=14","800000")</f>
        <v>800000</v>
      </c>
      <c r="G3639" s="4" t="str">
        <f>HYPERLINK("http://141.218.60.56/~jnz1568/getInfo.php?workbook=14_09.xlsx&amp;sheet=A0&amp;row=3639&amp;col=7&amp;number=0&amp;sourceID=14","0")</f>
        <v>0</v>
      </c>
    </row>
    <row r="3640" spans="1:7">
      <c r="A3640" s="3">
        <v>14</v>
      </c>
      <c r="B3640" s="3">
        <v>9</v>
      </c>
      <c r="C3640" s="3">
        <v>176</v>
      </c>
      <c r="D3640" s="3">
        <v>96</v>
      </c>
      <c r="E3640" s="3">
        <v>-585.886</v>
      </c>
      <c r="F3640" s="4" t="str">
        <f>HYPERLINK("http://141.218.60.56/~jnz1568/getInfo.php?workbook=14_09.xlsx&amp;sheet=A0&amp;row=3640&amp;col=6&amp;number=21300000&amp;sourceID=14","21300000")</f>
        <v>21300000</v>
      </c>
      <c r="G3640" s="4" t="str">
        <f>HYPERLINK("http://141.218.60.56/~jnz1568/getInfo.php?workbook=14_09.xlsx&amp;sheet=A0&amp;row=3640&amp;col=7&amp;number=0&amp;sourceID=14","0")</f>
        <v>0</v>
      </c>
    </row>
    <row r="3641" spans="1:7">
      <c r="A3641" s="3">
        <v>14</v>
      </c>
      <c r="B3641" s="3">
        <v>9</v>
      </c>
      <c r="C3641" s="3">
        <v>178</v>
      </c>
      <c r="D3641" s="3">
        <v>96</v>
      </c>
      <c r="E3641" s="3">
        <v>-584.721</v>
      </c>
      <c r="F3641" s="4" t="str">
        <f>HYPERLINK("http://141.218.60.56/~jnz1568/getInfo.php?workbook=14_09.xlsx&amp;sheet=A0&amp;row=3641&amp;col=6&amp;number=28000000&amp;sourceID=14","28000000")</f>
        <v>28000000</v>
      </c>
      <c r="G3641" s="4" t="str">
        <f>HYPERLINK("http://141.218.60.56/~jnz1568/getInfo.php?workbook=14_09.xlsx&amp;sheet=A0&amp;row=3641&amp;col=7&amp;number=0&amp;sourceID=14","0")</f>
        <v>0</v>
      </c>
    </row>
    <row r="3642" spans="1:7">
      <c r="A3642" s="3">
        <v>14</v>
      </c>
      <c r="B3642" s="3">
        <v>9</v>
      </c>
      <c r="C3642" s="3">
        <v>180</v>
      </c>
      <c r="D3642" s="3">
        <v>96</v>
      </c>
      <c r="E3642" s="3">
        <v>-580.836</v>
      </c>
      <c r="F3642" s="4" t="str">
        <f>HYPERLINK("http://141.218.60.56/~jnz1568/getInfo.php?workbook=14_09.xlsx&amp;sheet=A0&amp;row=3642&amp;col=6&amp;number=12500000&amp;sourceID=14","12500000")</f>
        <v>12500000</v>
      </c>
      <c r="G3642" s="4" t="str">
        <f>HYPERLINK("http://141.218.60.56/~jnz1568/getInfo.php?workbook=14_09.xlsx&amp;sheet=A0&amp;row=3642&amp;col=7&amp;number=0&amp;sourceID=14","0")</f>
        <v>0</v>
      </c>
    </row>
    <row r="3643" spans="1:7">
      <c r="A3643" s="3">
        <v>14</v>
      </c>
      <c r="B3643" s="3">
        <v>9</v>
      </c>
      <c r="C3643" s="3">
        <v>181</v>
      </c>
      <c r="D3643" s="3">
        <v>96</v>
      </c>
      <c r="E3643" s="3">
        <v>-566.641</v>
      </c>
      <c r="F3643" s="4" t="str">
        <f>HYPERLINK("http://141.218.60.56/~jnz1568/getInfo.php?workbook=14_09.xlsx&amp;sheet=A0&amp;row=3643&amp;col=6&amp;number=2460000&amp;sourceID=14","2460000")</f>
        <v>2460000</v>
      </c>
      <c r="G3643" s="4" t="str">
        <f>HYPERLINK("http://141.218.60.56/~jnz1568/getInfo.php?workbook=14_09.xlsx&amp;sheet=A0&amp;row=3643&amp;col=7&amp;number=0&amp;sourceID=14","0")</f>
        <v>0</v>
      </c>
    </row>
    <row r="3644" spans="1:7">
      <c r="A3644" s="3">
        <v>14</v>
      </c>
      <c r="B3644" s="3">
        <v>9</v>
      </c>
      <c r="C3644" s="3">
        <v>118</v>
      </c>
      <c r="D3644" s="3">
        <v>97</v>
      </c>
      <c r="E3644" s="3">
        <v>-10544.094</v>
      </c>
      <c r="F3644" s="4" t="str">
        <f>HYPERLINK("http://141.218.60.56/~jnz1568/getInfo.php?workbook=14_09.xlsx&amp;sheet=A0&amp;row=3644&amp;col=6&amp;number=428000&amp;sourceID=14","428000")</f>
        <v>428000</v>
      </c>
      <c r="G3644" s="4" t="str">
        <f>HYPERLINK("http://141.218.60.56/~jnz1568/getInfo.php?workbook=14_09.xlsx&amp;sheet=A0&amp;row=3644&amp;col=7&amp;number=0&amp;sourceID=14","0")</f>
        <v>0</v>
      </c>
    </row>
    <row r="3645" spans="1:7">
      <c r="A3645" s="3">
        <v>14</v>
      </c>
      <c r="B3645" s="3">
        <v>9</v>
      </c>
      <c r="C3645" s="3">
        <v>120</v>
      </c>
      <c r="D3645" s="3">
        <v>97</v>
      </c>
      <c r="E3645" s="3">
        <v>-10060.381</v>
      </c>
      <c r="F3645" s="4" t="str">
        <f>HYPERLINK("http://141.218.60.56/~jnz1568/getInfo.php?workbook=14_09.xlsx&amp;sheet=A0&amp;row=3645&amp;col=6&amp;number=932000&amp;sourceID=14","932000")</f>
        <v>932000</v>
      </c>
      <c r="G3645" s="4" t="str">
        <f>HYPERLINK("http://141.218.60.56/~jnz1568/getInfo.php?workbook=14_09.xlsx&amp;sheet=A0&amp;row=3645&amp;col=7&amp;number=0&amp;sourceID=14","0")</f>
        <v>0</v>
      </c>
    </row>
    <row r="3646" spans="1:7">
      <c r="A3646" s="3">
        <v>14</v>
      </c>
      <c r="B3646" s="3">
        <v>9</v>
      </c>
      <c r="C3646" s="3">
        <v>121</v>
      </c>
      <c r="D3646" s="3">
        <v>97</v>
      </c>
      <c r="E3646" s="3">
        <v>-9636.714</v>
      </c>
      <c r="F3646" s="4" t="str">
        <f>HYPERLINK("http://141.218.60.56/~jnz1568/getInfo.php?workbook=14_09.xlsx&amp;sheet=A0&amp;row=3646&amp;col=6&amp;number=3100000&amp;sourceID=14","3100000")</f>
        <v>3100000</v>
      </c>
      <c r="G3646" s="4" t="str">
        <f>HYPERLINK("http://141.218.60.56/~jnz1568/getInfo.php?workbook=14_09.xlsx&amp;sheet=A0&amp;row=3646&amp;col=7&amp;number=0&amp;sourceID=14","0")</f>
        <v>0</v>
      </c>
    </row>
    <row r="3647" spans="1:7">
      <c r="A3647" s="3">
        <v>14</v>
      </c>
      <c r="B3647" s="3">
        <v>9</v>
      </c>
      <c r="C3647" s="3">
        <v>123</v>
      </c>
      <c r="D3647" s="3">
        <v>97</v>
      </c>
      <c r="E3647" s="3">
        <v>-8620.705</v>
      </c>
      <c r="F3647" s="4" t="str">
        <f>HYPERLINK("http://141.218.60.56/~jnz1568/getInfo.php?workbook=14_09.xlsx&amp;sheet=A0&amp;row=3647&amp;col=6&amp;number=2910000&amp;sourceID=14","2910000")</f>
        <v>2910000</v>
      </c>
      <c r="G3647" s="4" t="str">
        <f>HYPERLINK("http://141.218.60.56/~jnz1568/getInfo.php?workbook=14_09.xlsx&amp;sheet=A0&amp;row=3647&amp;col=7&amp;number=0&amp;sourceID=14","0")</f>
        <v>0</v>
      </c>
    </row>
    <row r="3648" spans="1:7">
      <c r="A3648" s="3">
        <v>14</v>
      </c>
      <c r="B3648" s="3">
        <v>9</v>
      </c>
      <c r="C3648" s="3">
        <v>124</v>
      </c>
      <c r="D3648" s="3">
        <v>97</v>
      </c>
      <c r="E3648" s="3">
        <v>-8606.608</v>
      </c>
      <c r="F3648" s="4" t="str">
        <f>HYPERLINK("http://141.218.60.56/~jnz1568/getInfo.php?workbook=14_09.xlsx&amp;sheet=A0&amp;row=3648&amp;col=6&amp;number=216000&amp;sourceID=14","216000")</f>
        <v>216000</v>
      </c>
      <c r="G3648" s="4" t="str">
        <f>HYPERLINK("http://141.218.60.56/~jnz1568/getInfo.php?workbook=14_09.xlsx&amp;sheet=A0&amp;row=3648&amp;col=7&amp;number=0&amp;sourceID=14","0")</f>
        <v>0</v>
      </c>
    </row>
    <row r="3649" spans="1:7">
      <c r="A3649" s="3">
        <v>14</v>
      </c>
      <c r="B3649" s="3">
        <v>9</v>
      </c>
      <c r="C3649" s="3">
        <v>146</v>
      </c>
      <c r="D3649" s="3">
        <v>97</v>
      </c>
      <c r="E3649" s="3">
        <v>-1821.928</v>
      </c>
      <c r="F3649" s="4" t="str">
        <f>HYPERLINK("http://141.218.60.56/~jnz1568/getInfo.php?workbook=14_09.xlsx&amp;sheet=A0&amp;row=3649&amp;col=6&amp;number=274000&amp;sourceID=14","274000")</f>
        <v>274000</v>
      </c>
      <c r="G3649" s="4" t="str">
        <f>HYPERLINK("http://141.218.60.56/~jnz1568/getInfo.php?workbook=14_09.xlsx&amp;sheet=A0&amp;row=3649&amp;col=7&amp;number=0&amp;sourceID=14","0")</f>
        <v>0</v>
      </c>
    </row>
    <row r="3650" spans="1:7">
      <c r="A3650" s="3">
        <v>14</v>
      </c>
      <c r="B3650" s="3">
        <v>9</v>
      </c>
      <c r="C3650" s="3">
        <v>165</v>
      </c>
      <c r="D3650" s="3">
        <v>97</v>
      </c>
      <c r="E3650" s="3">
        <v>-811.189</v>
      </c>
      <c r="F3650" s="4" t="str">
        <f>HYPERLINK("http://141.218.60.56/~jnz1568/getInfo.php?workbook=14_09.xlsx&amp;sheet=A0&amp;row=3650&amp;col=6&amp;number=577000&amp;sourceID=14","577000")</f>
        <v>577000</v>
      </c>
      <c r="G3650" s="4" t="str">
        <f>HYPERLINK("http://141.218.60.56/~jnz1568/getInfo.php?workbook=14_09.xlsx&amp;sheet=A0&amp;row=3650&amp;col=7&amp;number=0&amp;sourceID=14","0")</f>
        <v>0</v>
      </c>
    </row>
    <row r="3651" spans="1:7">
      <c r="A3651" s="3">
        <v>14</v>
      </c>
      <c r="B3651" s="3">
        <v>9</v>
      </c>
      <c r="C3651" s="3">
        <v>166</v>
      </c>
      <c r="D3651" s="3">
        <v>97</v>
      </c>
      <c r="E3651" s="3">
        <v>-757.663</v>
      </c>
      <c r="F3651" s="4" t="str">
        <f>HYPERLINK("http://141.218.60.56/~jnz1568/getInfo.php?workbook=14_09.xlsx&amp;sheet=A0&amp;row=3651&amp;col=6&amp;number=1110000&amp;sourceID=14","1110000")</f>
        <v>1110000</v>
      </c>
      <c r="G3651" s="4" t="str">
        <f>HYPERLINK("http://141.218.60.56/~jnz1568/getInfo.php?workbook=14_09.xlsx&amp;sheet=A0&amp;row=3651&amp;col=7&amp;number=0&amp;sourceID=14","0")</f>
        <v>0</v>
      </c>
    </row>
    <row r="3652" spans="1:7">
      <c r="A3652" s="3">
        <v>14</v>
      </c>
      <c r="B3652" s="3">
        <v>9</v>
      </c>
      <c r="C3652" s="3">
        <v>170</v>
      </c>
      <c r="D3652" s="3">
        <v>97</v>
      </c>
      <c r="E3652" s="3">
        <v>-639.105</v>
      </c>
      <c r="F3652" s="4" t="str">
        <f>HYPERLINK("http://141.218.60.56/~jnz1568/getInfo.php?workbook=14_09.xlsx&amp;sheet=A0&amp;row=3652&amp;col=6&amp;number=2540000&amp;sourceID=14","2540000")</f>
        <v>2540000</v>
      </c>
      <c r="G3652" s="4" t="str">
        <f>HYPERLINK("http://141.218.60.56/~jnz1568/getInfo.php?workbook=14_09.xlsx&amp;sheet=A0&amp;row=3652&amp;col=7&amp;number=0&amp;sourceID=14","0")</f>
        <v>0</v>
      </c>
    </row>
    <row r="3653" spans="1:7">
      <c r="A3653" s="3">
        <v>14</v>
      </c>
      <c r="B3653" s="3">
        <v>9</v>
      </c>
      <c r="C3653" s="3">
        <v>172</v>
      </c>
      <c r="D3653" s="3">
        <v>97</v>
      </c>
      <c r="E3653" s="3">
        <v>-624.12</v>
      </c>
      <c r="F3653" s="4" t="str">
        <f>HYPERLINK("http://141.218.60.56/~jnz1568/getInfo.php?workbook=14_09.xlsx&amp;sheet=A0&amp;row=3653&amp;col=6&amp;number=17400000&amp;sourceID=14","17400000")</f>
        <v>17400000</v>
      </c>
      <c r="G3653" s="4" t="str">
        <f>HYPERLINK("http://141.218.60.56/~jnz1568/getInfo.php?workbook=14_09.xlsx&amp;sheet=A0&amp;row=3653&amp;col=7&amp;number=0&amp;sourceID=14","0")</f>
        <v>0</v>
      </c>
    </row>
    <row r="3654" spans="1:7">
      <c r="A3654" s="3">
        <v>14</v>
      </c>
      <c r="B3654" s="3">
        <v>9</v>
      </c>
      <c r="C3654" s="3">
        <v>173</v>
      </c>
      <c r="D3654" s="3">
        <v>97</v>
      </c>
      <c r="E3654" s="3">
        <v>-618.767</v>
      </c>
      <c r="F3654" s="4" t="str">
        <f>HYPERLINK("http://141.218.60.56/~jnz1568/getInfo.php?workbook=14_09.xlsx&amp;sheet=A0&amp;row=3654&amp;col=6&amp;number=1550000&amp;sourceID=14","1550000")</f>
        <v>1550000</v>
      </c>
      <c r="G3654" s="4" t="str">
        <f>HYPERLINK("http://141.218.60.56/~jnz1568/getInfo.php?workbook=14_09.xlsx&amp;sheet=A0&amp;row=3654&amp;col=7&amp;number=0&amp;sourceID=14","0")</f>
        <v>0</v>
      </c>
    </row>
    <row r="3655" spans="1:7">
      <c r="A3655" s="3">
        <v>14</v>
      </c>
      <c r="B3655" s="3">
        <v>9</v>
      </c>
      <c r="C3655" s="3">
        <v>175</v>
      </c>
      <c r="D3655" s="3">
        <v>97</v>
      </c>
      <c r="E3655" s="3">
        <v>-594.164</v>
      </c>
      <c r="F3655" s="4" t="str">
        <f>HYPERLINK("http://141.218.60.56/~jnz1568/getInfo.php?workbook=14_09.xlsx&amp;sheet=A0&amp;row=3655&amp;col=6&amp;number=130000000&amp;sourceID=14","130000000")</f>
        <v>130000000</v>
      </c>
      <c r="G3655" s="4" t="str">
        <f>HYPERLINK("http://141.218.60.56/~jnz1568/getInfo.php?workbook=14_09.xlsx&amp;sheet=A0&amp;row=3655&amp;col=7&amp;number=0&amp;sourceID=14","0")</f>
        <v>0</v>
      </c>
    </row>
    <row r="3656" spans="1:7">
      <c r="A3656" s="3">
        <v>14</v>
      </c>
      <c r="B3656" s="3">
        <v>9</v>
      </c>
      <c r="C3656" s="3">
        <v>176</v>
      </c>
      <c r="D3656" s="3">
        <v>97</v>
      </c>
      <c r="E3656" s="3">
        <v>-587.442</v>
      </c>
      <c r="F3656" s="4" t="str">
        <f>HYPERLINK("http://141.218.60.56/~jnz1568/getInfo.php?workbook=14_09.xlsx&amp;sheet=A0&amp;row=3656&amp;col=6&amp;number=22000000&amp;sourceID=14","22000000")</f>
        <v>22000000</v>
      </c>
      <c r="G3656" s="4" t="str">
        <f>HYPERLINK("http://141.218.60.56/~jnz1568/getInfo.php?workbook=14_09.xlsx&amp;sheet=A0&amp;row=3656&amp;col=7&amp;number=0&amp;sourceID=14","0")</f>
        <v>0</v>
      </c>
    </row>
    <row r="3657" spans="1:7">
      <c r="A3657" s="3">
        <v>14</v>
      </c>
      <c r="B3657" s="3">
        <v>9</v>
      </c>
      <c r="C3657" s="3">
        <v>177</v>
      </c>
      <c r="D3657" s="3">
        <v>97</v>
      </c>
      <c r="E3657" s="3">
        <v>-586.859</v>
      </c>
      <c r="F3657" s="4" t="str">
        <f>HYPERLINK("http://141.218.60.56/~jnz1568/getInfo.php?workbook=14_09.xlsx&amp;sheet=A0&amp;row=3657&amp;col=6&amp;number=72700000&amp;sourceID=14","72700000")</f>
        <v>72700000</v>
      </c>
      <c r="G3657" s="4" t="str">
        <f>HYPERLINK("http://141.218.60.56/~jnz1568/getInfo.php?workbook=14_09.xlsx&amp;sheet=A0&amp;row=3657&amp;col=7&amp;number=0&amp;sourceID=14","0")</f>
        <v>0</v>
      </c>
    </row>
    <row r="3658" spans="1:7">
      <c r="A3658" s="3">
        <v>14</v>
      </c>
      <c r="B3658" s="3">
        <v>9</v>
      </c>
      <c r="C3658" s="3">
        <v>179</v>
      </c>
      <c r="D3658" s="3">
        <v>97</v>
      </c>
      <c r="E3658" s="3">
        <v>-586.161</v>
      </c>
      <c r="F3658" s="4" t="str">
        <f>HYPERLINK("http://141.218.60.56/~jnz1568/getInfo.php?workbook=14_09.xlsx&amp;sheet=A0&amp;row=3658&amp;col=6&amp;number=8760000&amp;sourceID=14","8760000")</f>
        <v>8760000</v>
      </c>
      <c r="G3658" s="4" t="str">
        <f>HYPERLINK("http://141.218.60.56/~jnz1568/getInfo.php?workbook=14_09.xlsx&amp;sheet=A0&amp;row=3658&amp;col=7&amp;number=0&amp;sourceID=14","0")</f>
        <v>0</v>
      </c>
    </row>
    <row r="3659" spans="1:7">
      <c r="A3659" s="3">
        <v>14</v>
      </c>
      <c r="B3659" s="3">
        <v>9</v>
      </c>
      <c r="C3659" s="3">
        <v>180</v>
      </c>
      <c r="D3659" s="3">
        <v>97</v>
      </c>
      <c r="E3659" s="3">
        <v>-582.365</v>
      </c>
      <c r="F3659" s="4" t="str">
        <f>HYPERLINK("http://141.218.60.56/~jnz1568/getInfo.php?workbook=14_09.xlsx&amp;sheet=A0&amp;row=3659&amp;col=6&amp;number=295000&amp;sourceID=14","295000")</f>
        <v>295000</v>
      </c>
      <c r="G3659" s="4" t="str">
        <f>HYPERLINK("http://141.218.60.56/~jnz1568/getInfo.php?workbook=14_09.xlsx&amp;sheet=A0&amp;row=3659&amp;col=7&amp;number=0&amp;sourceID=14","0")</f>
        <v>0</v>
      </c>
    </row>
    <row r="3660" spans="1:7">
      <c r="A3660" s="3">
        <v>14</v>
      </c>
      <c r="B3660" s="3">
        <v>9</v>
      </c>
      <c r="C3660" s="3">
        <v>181</v>
      </c>
      <c r="D3660" s="3">
        <v>97</v>
      </c>
      <c r="E3660" s="3">
        <v>-568.096</v>
      </c>
      <c r="F3660" s="4" t="str">
        <f>HYPERLINK("http://141.218.60.56/~jnz1568/getInfo.php?workbook=14_09.xlsx&amp;sheet=A0&amp;row=3660&amp;col=6&amp;number=1610000&amp;sourceID=14","1610000")</f>
        <v>1610000</v>
      </c>
      <c r="G3660" s="4" t="str">
        <f>HYPERLINK("http://141.218.60.56/~jnz1568/getInfo.php?workbook=14_09.xlsx&amp;sheet=A0&amp;row=3660&amp;col=7&amp;number=0&amp;sourceID=14","0")</f>
        <v>0</v>
      </c>
    </row>
    <row r="3661" spans="1:7">
      <c r="A3661" s="3">
        <v>14</v>
      </c>
      <c r="B3661" s="3">
        <v>9</v>
      </c>
      <c r="C3661" s="3">
        <v>118</v>
      </c>
      <c r="D3661" s="3">
        <v>98</v>
      </c>
      <c r="E3661" s="3">
        <v>-11554.036</v>
      </c>
      <c r="F3661" s="4" t="str">
        <f>HYPERLINK("http://141.218.60.56/~jnz1568/getInfo.php?workbook=14_09.xlsx&amp;sheet=A0&amp;row=3661&amp;col=6&amp;number=269000&amp;sourceID=14","269000")</f>
        <v>269000</v>
      </c>
      <c r="G3661" s="4" t="str">
        <f>HYPERLINK("http://141.218.60.56/~jnz1568/getInfo.php?workbook=14_09.xlsx&amp;sheet=A0&amp;row=3661&amp;col=7&amp;number=0&amp;sourceID=14","0")</f>
        <v>0</v>
      </c>
    </row>
    <row r="3662" spans="1:7">
      <c r="A3662" s="3">
        <v>14</v>
      </c>
      <c r="B3662" s="3">
        <v>9</v>
      </c>
      <c r="C3662" s="3">
        <v>121</v>
      </c>
      <c r="D3662" s="3">
        <v>98</v>
      </c>
      <c r="E3662" s="3">
        <v>-10473.417</v>
      </c>
      <c r="F3662" s="4" t="str">
        <f>HYPERLINK("http://141.218.60.56/~jnz1568/getInfo.php?workbook=14_09.xlsx&amp;sheet=A0&amp;row=3662&amp;col=6&amp;number=2050000&amp;sourceID=14","2050000")</f>
        <v>2050000</v>
      </c>
      <c r="G3662" s="4" t="str">
        <f>HYPERLINK("http://141.218.60.56/~jnz1568/getInfo.php?workbook=14_09.xlsx&amp;sheet=A0&amp;row=3662&amp;col=7&amp;number=0&amp;sourceID=14","0")</f>
        <v>0</v>
      </c>
    </row>
    <row r="3663" spans="1:7">
      <c r="A3663" s="3">
        <v>14</v>
      </c>
      <c r="B3663" s="3">
        <v>9</v>
      </c>
      <c r="C3663" s="3">
        <v>123</v>
      </c>
      <c r="D3663" s="3">
        <v>98</v>
      </c>
      <c r="E3663" s="3">
        <v>-9284.206</v>
      </c>
      <c r="F3663" s="4" t="str">
        <f>HYPERLINK("http://141.218.60.56/~jnz1568/getInfo.php?workbook=14_09.xlsx&amp;sheet=A0&amp;row=3663&amp;col=6&amp;number=3390000&amp;sourceID=14","3390000")</f>
        <v>3390000</v>
      </c>
      <c r="G3663" s="4" t="str">
        <f>HYPERLINK("http://141.218.60.56/~jnz1568/getInfo.php?workbook=14_09.xlsx&amp;sheet=A0&amp;row=3663&amp;col=7&amp;number=0&amp;sourceID=14","0")</f>
        <v>0</v>
      </c>
    </row>
    <row r="3664" spans="1:7">
      <c r="A3664" s="3">
        <v>14</v>
      </c>
      <c r="B3664" s="3">
        <v>9</v>
      </c>
      <c r="C3664" s="3">
        <v>125</v>
      </c>
      <c r="D3664" s="3">
        <v>98</v>
      </c>
      <c r="E3664" s="3">
        <v>-5787.382</v>
      </c>
      <c r="F3664" s="4" t="str">
        <f>HYPERLINK("http://141.218.60.56/~jnz1568/getInfo.php?workbook=14_09.xlsx&amp;sheet=A0&amp;row=3664&amp;col=6&amp;number=133000&amp;sourceID=14","133000")</f>
        <v>133000</v>
      </c>
      <c r="G3664" s="4" t="str">
        <f>HYPERLINK("http://141.218.60.56/~jnz1568/getInfo.php?workbook=14_09.xlsx&amp;sheet=A0&amp;row=3664&amp;col=7&amp;number=0&amp;sourceID=14","0")</f>
        <v>0</v>
      </c>
    </row>
    <row r="3665" spans="1:7">
      <c r="A3665" s="3">
        <v>14</v>
      </c>
      <c r="B3665" s="3">
        <v>9</v>
      </c>
      <c r="C3665" s="3">
        <v>141</v>
      </c>
      <c r="D3665" s="3">
        <v>98</v>
      </c>
      <c r="E3665" s="3">
        <v>-1897.753</v>
      </c>
      <c r="F3665" s="4" t="str">
        <f>HYPERLINK("http://141.218.60.56/~jnz1568/getInfo.php?workbook=14_09.xlsx&amp;sheet=A0&amp;row=3665&amp;col=6&amp;number=458000&amp;sourceID=14","458000")</f>
        <v>458000</v>
      </c>
      <c r="G3665" s="4" t="str">
        <f>HYPERLINK("http://141.218.60.56/~jnz1568/getInfo.php?workbook=14_09.xlsx&amp;sheet=A0&amp;row=3665&amp;col=7&amp;number=0&amp;sourceID=14","0")</f>
        <v>0</v>
      </c>
    </row>
    <row r="3666" spans="1:7">
      <c r="A3666" s="3">
        <v>14</v>
      </c>
      <c r="B3666" s="3">
        <v>9</v>
      </c>
      <c r="C3666" s="3">
        <v>146</v>
      </c>
      <c r="D3666" s="3">
        <v>98</v>
      </c>
      <c r="E3666" s="3">
        <v>-1849.868</v>
      </c>
      <c r="F3666" s="4" t="str">
        <f>HYPERLINK("http://141.218.60.56/~jnz1568/getInfo.php?workbook=14_09.xlsx&amp;sheet=A0&amp;row=3666&amp;col=6&amp;number=872000&amp;sourceID=14","872000")</f>
        <v>872000</v>
      </c>
      <c r="G3666" s="4" t="str">
        <f>HYPERLINK("http://141.218.60.56/~jnz1568/getInfo.php?workbook=14_09.xlsx&amp;sheet=A0&amp;row=3666&amp;col=7&amp;number=0&amp;sourceID=14","0")</f>
        <v>0</v>
      </c>
    </row>
    <row r="3667" spans="1:7">
      <c r="A3667" s="3">
        <v>14</v>
      </c>
      <c r="B3667" s="3">
        <v>9</v>
      </c>
      <c r="C3667" s="3">
        <v>149</v>
      </c>
      <c r="D3667" s="3">
        <v>98</v>
      </c>
      <c r="E3667" s="3">
        <v>-1834.193</v>
      </c>
      <c r="F3667" s="4" t="str">
        <f>HYPERLINK("http://141.218.60.56/~jnz1568/getInfo.php?workbook=14_09.xlsx&amp;sheet=A0&amp;row=3667&amp;col=6&amp;number=269000&amp;sourceID=14","269000")</f>
        <v>269000</v>
      </c>
      <c r="G3667" s="4" t="str">
        <f>HYPERLINK("http://141.218.60.56/~jnz1568/getInfo.php?workbook=14_09.xlsx&amp;sheet=A0&amp;row=3667&amp;col=7&amp;number=0&amp;sourceID=14","0")</f>
        <v>0</v>
      </c>
    </row>
    <row r="3668" spans="1:7">
      <c r="A3668" s="3">
        <v>14</v>
      </c>
      <c r="B3668" s="3">
        <v>9</v>
      </c>
      <c r="C3668" s="3">
        <v>165</v>
      </c>
      <c r="D3668" s="3">
        <v>98</v>
      </c>
      <c r="E3668" s="3">
        <v>-816.681</v>
      </c>
      <c r="F3668" s="4" t="str">
        <f>HYPERLINK("http://141.218.60.56/~jnz1568/getInfo.php?workbook=14_09.xlsx&amp;sheet=A0&amp;row=3668&amp;col=6&amp;number=1750000&amp;sourceID=14","1750000")</f>
        <v>1750000</v>
      </c>
      <c r="G3668" s="4" t="str">
        <f>HYPERLINK("http://141.218.60.56/~jnz1568/getInfo.php?workbook=14_09.xlsx&amp;sheet=A0&amp;row=3668&amp;col=7&amp;number=0&amp;sourceID=14","0")</f>
        <v>0</v>
      </c>
    </row>
    <row r="3669" spans="1:7">
      <c r="A3669" s="3">
        <v>14</v>
      </c>
      <c r="B3669" s="3">
        <v>9</v>
      </c>
      <c r="C3669" s="3">
        <v>166</v>
      </c>
      <c r="D3669" s="3">
        <v>98</v>
      </c>
      <c r="E3669" s="3">
        <v>-762.452</v>
      </c>
      <c r="F3669" s="4" t="str">
        <f>HYPERLINK("http://141.218.60.56/~jnz1568/getInfo.php?workbook=14_09.xlsx&amp;sheet=A0&amp;row=3669&amp;col=6&amp;number=3200000&amp;sourceID=14","3200000")</f>
        <v>3200000</v>
      </c>
      <c r="G3669" s="4" t="str">
        <f>HYPERLINK("http://141.218.60.56/~jnz1568/getInfo.php?workbook=14_09.xlsx&amp;sheet=A0&amp;row=3669&amp;col=7&amp;number=0&amp;sourceID=14","0")</f>
        <v>0</v>
      </c>
    </row>
    <row r="3670" spans="1:7">
      <c r="A3670" s="3">
        <v>14</v>
      </c>
      <c r="B3670" s="3">
        <v>9</v>
      </c>
      <c r="C3670" s="3">
        <v>172</v>
      </c>
      <c r="D3670" s="3">
        <v>98</v>
      </c>
      <c r="E3670" s="3">
        <v>-627.365</v>
      </c>
      <c r="F3670" s="4" t="str">
        <f>HYPERLINK("http://141.218.60.56/~jnz1568/getInfo.php?workbook=14_09.xlsx&amp;sheet=A0&amp;row=3670&amp;col=6&amp;number=7020000&amp;sourceID=14","7020000")</f>
        <v>7020000</v>
      </c>
      <c r="G3670" s="4" t="str">
        <f>HYPERLINK("http://141.218.60.56/~jnz1568/getInfo.php?workbook=14_09.xlsx&amp;sheet=A0&amp;row=3670&amp;col=7&amp;number=0&amp;sourceID=14","0")</f>
        <v>0</v>
      </c>
    </row>
    <row r="3671" spans="1:7">
      <c r="A3671" s="3">
        <v>14</v>
      </c>
      <c r="B3671" s="3">
        <v>9</v>
      </c>
      <c r="C3671" s="3">
        <v>175</v>
      </c>
      <c r="D3671" s="3">
        <v>98</v>
      </c>
      <c r="E3671" s="3">
        <v>-597.105</v>
      </c>
      <c r="F3671" s="4" t="str">
        <f>HYPERLINK("http://141.218.60.56/~jnz1568/getInfo.php?workbook=14_09.xlsx&amp;sheet=A0&amp;row=3671&amp;col=6&amp;number=4240000&amp;sourceID=14","4240000")</f>
        <v>4240000</v>
      </c>
      <c r="G3671" s="4" t="str">
        <f>HYPERLINK("http://141.218.60.56/~jnz1568/getInfo.php?workbook=14_09.xlsx&amp;sheet=A0&amp;row=3671&amp;col=7&amp;number=0&amp;sourceID=14","0")</f>
        <v>0</v>
      </c>
    </row>
    <row r="3672" spans="1:7">
      <c r="A3672" s="3">
        <v>14</v>
      </c>
      <c r="B3672" s="3">
        <v>9</v>
      </c>
      <c r="C3672" s="3">
        <v>176</v>
      </c>
      <c r="D3672" s="3">
        <v>98</v>
      </c>
      <c r="E3672" s="3">
        <v>-590.316</v>
      </c>
      <c r="F3672" s="4" t="str">
        <f>HYPERLINK("http://141.218.60.56/~jnz1568/getInfo.php?workbook=14_09.xlsx&amp;sheet=A0&amp;row=3672&amp;col=6&amp;number=1560000&amp;sourceID=14","1560000")</f>
        <v>1560000</v>
      </c>
      <c r="G3672" s="4" t="str">
        <f>HYPERLINK("http://141.218.60.56/~jnz1568/getInfo.php?workbook=14_09.xlsx&amp;sheet=A0&amp;row=3672&amp;col=7&amp;number=0&amp;sourceID=14","0")</f>
        <v>0</v>
      </c>
    </row>
    <row r="3673" spans="1:7">
      <c r="A3673" s="3">
        <v>14</v>
      </c>
      <c r="B3673" s="3">
        <v>9</v>
      </c>
      <c r="C3673" s="3">
        <v>177</v>
      </c>
      <c r="D3673" s="3">
        <v>98</v>
      </c>
      <c r="E3673" s="3">
        <v>-589.728</v>
      </c>
      <c r="F3673" s="4" t="str">
        <f>HYPERLINK("http://141.218.60.56/~jnz1568/getInfo.php?workbook=14_09.xlsx&amp;sheet=A0&amp;row=3673&amp;col=6&amp;number=14900000&amp;sourceID=14","14900000")</f>
        <v>14900000</v>
      </c>
      <c r="G3673" s="4" t="str">
        <f>HYPERLINK("http://141.218.60.56/~jnz1568/getInfo.php?workbook=14_09.xlsx&amp;sheet=A0&amp;row=3673&amp;col=7&amp;number=0&amp;sourceID=14","0")</f>
        <v>0</v>
      </c>
    </row>
    <row r="3674" spans="1:7">
      <c r="A3674" s="3">
        <v>14</v>
      </c>
      <c r="B3674" s="3">
        <v>9</v>
      </c>
      <c r="C3674" s="3">
        <v>179</v>
      </c>
      <c r="D3674" s="3">
        <v>98</v>
      </c>
      <c r="E3674" s="3">
        <v>-589.023</v>
      </c>
      <c r="F3674" s="4" t="str">
        <f>HYPERLINK("http://141.218.60.56/~jnz1568/getInfo.php?workbook=14_09.xlsx&amp;sheet=A0&amp;row=3674&amp;col=6&amp;number=609000&amp;sourceID=14","609000")</f>
        <v>609000</v>
      </c>
      <c r="G3674" s="4" t="str">
        <f>HYPERLINK("http://141.218.60.56/~jnz1568/getInfo.php?workbook=14_09.xlsx&amp;sheet=A0&amp;row=3674&amp;col=7&amp;number=0&amp;sourceID=14","0")</f>
        <v>0</v>
      </c>
    </row>
    <row r="3675" spans="1:7">
      <c r="A3675" s="3">
        <v>14</v>
      </c>
      <c r="B3675" s="3">
        <v>9</v>
      </c>
      <c r="C3675" s="3">
        <v>180</v>
      </c>
      <c r="D3675" s="3">
        <v>98</v>
      </c>
      <c r="E3675" s="3">
        <v>-585.19</v>
      </c>
      <c r="F3675" s="4" t="str">
        <f>HYPERLINK("http://141.218.60.56/~jnz1568/getInfo.php?workbook=14_09.xlsx&amp;sheet=A0&amp;row=3675&amp;col=6&amp;number=21400000&amp;sourceID=14","21400000")</f>
        <v>21400000</v>
      </c>
      <c r="G3675" s="4" t="str">
        <f>HYPERLINK("http://141.218.60.56/~jnz1568/getInfo.php?workbook=14_09.xlsx&amp;sheet=A0&amp;row=3675&amp;col=7&amp;number=0&amp;sourceID=14","0")</f>
        <v>0</v>
      </c>
    </row>
    <row r="3676" spans="1:7">
      <c r="A3676" s="3">
        <v>14</v>
      </c>
      <c r="B3676" s="3">
        <v>9</v>
      </c>
      <c r="C3676" s="3">
        <v>181</v>
      </c>
      <c r="D3676" s="3">
        <v>98</v>
      </c>
      <c r="E3676" s="3">
        <v>-570.784</v>
      </c>
      <c r="F3676" s="4" t="str">
        <f>HYPERLINK("http://141.218.60.56/~jnz1568/getInfo.php?workbook=14_09.xlsx&amp;sheet=A0&amp;row=3676&amp;col=6&amp;number=1600000&amp;sourceID=14","1600000")</f>
        <v>1600000</v>
      </c>
      <c r="G3676" s="4" t="str">
        <f>HYPERLINK("http://141.218.60.56/~jnz1568/getInfo.php?workbook=14_09.xlsx&amp;sheet=A0&amp;row=3676&amp;col=7&amp;number=0&amp;sourceID=14","0")</f>
        <v>0</v>
      </c>
    </row>
    <row r="3677" spans="1:7">
      <c r="A3677" s="3">
        <v>14</v>
      </c>
      <c r="B3677" s="3">
        <v>9</v>
      </c>
      <c r="C3677" s="3">
        <v>182</v>
      </c>
      <c r="D3677" s="3">
        <v>98</v>
      </c>
      <c r="E3677" s="3">
        <v>-570.468</v>
      </c>
      <c r="F3677" s="4" t="str">
        <f>HYPERLINK("http://141.218.60.56/~jnz1568/getInfo.php?workbook=14_09.xlsx&amp;sheet=A0&amp;row=3677&amp;col=6&amp;number=31400000&amp;sourceID=14","31400000")</f>
        <v>31400000</v>
      </c>
      <c r="G3677" s="4" t="str">
        <f>HYPERLINK("http://141.218.60.56/~jnz1568/getInfo.php?workbook=14_09.xlsx&amp;sheet=A0&amp;row=3677&amp;col=7&amp;number=0&amp;sourceID=14","0")</f>
        <v>0</v>
      </c>
    </row>
    <row r="3678" spans="1:7">
      <c r="A3678" s="3">
        <v>14</v>
      </c>
      <c r="B3678" s="3">
        <v>9</v>
      </c>
      <c r="C3678" s="3">
        <v>191</v>
      </c>
      <c r="D3678" s="3">
        <v>98</v>
      </c>
      <c r="E3678" s="3">
        <v>-315.562</v>
      </c>
      <c r="F3678" s="4" t="str">
        <f>HYPERLINK("http://141.218.60.56/~jnz1568/getInfo.php?workbook=14_09.xlsx&amp;sheet=A0&amp;row=3678&amp;col=6&amp;number=2720000&amp;sourceID=14","2720000")</f>
        <v>2720000</v>
      </c>
      <c r="G3678" s="4" t="str">
        <f>HYPERLINK("http://141.218.60.56/~jnz1568/getInfo.php?workbook=14_09.xlsx&amp;sheet=A0&amp;row=3678&amp;col=7&amp;number=0&amp;sourceID=14","0")</f>
        <v>0</v>
      </c>
    </row>
    <row r="3679" spans="1:7">
      <c r="A3679" s="3">
        <v>14</v>
      </c>
      <c r="B3679" s="3">
        <v>9</v>
      </c>
      <c r="C3679" s="3">
        <v>192</v>
      </c>
      <c r="D3679" s="3">
        <v>98</v>
      </c>
      <c r="E3679" s="3">
        <v>-312.01</v>
      </c>
      <c r="F3679" s="4" t="str">
        <f>HYPERLINK("http://141.218.60.56/~jnz1568/getInfo.php?workbook=14_09.xlsx&amp;sheet=A0&amp;row=3679&amp;col=6&amp;number=4840000&amp;sourceID=14","4840000")</f>
        <v>4840000</v>
      </c>
      <c r="G3679" s="4" t="str">
        <f>HYPERLINK("http://141.218.60.56/~jnz1568/getInfo.php?workbook=14_09.xlsx&amp;sheet=A0&amp;row=3679&amp;col=7&amp;number=0&amp;sourceID=14","0")</f>
        <v>0</v>
      </c>
    </row>
    <row r="3680" spans="1:7">
      <c r="A3680" s="3">
        <v>14</v>
      </c>
      <c r="B3680" s="3">
        <v>9</v>
      </c>
      <c r="C3680" s="3">
        <v>117</v>
      </c>
      <c r="D3680" s="3">
        <v>99</v>
      </c>
      <c r="E3680" s="3">
        <v>-14126.315</v>
      </c>
      <c r="F3680" s="4" t="str">
        <f>HYPERLINK("http://141.218.60.56/~jnz1568/getInfo.php?workbook=14_09.xlsx&amp;sheet=A0&amp;row=3680&amp;col=6&amp;number=850000&amp;sourceID=14","850000")</f>
        <v>850000</v>
      </c>
      <c r="G3680" s="4" t="str">
        <f>HYPERLINK("http://141.218.60.56/~jnz1568/getInfo.php?workbook=14_09.xlsx&amp;sheet=A0&amp;row=3680&amp;col=7&amp;number=0&amp;sourceID=14","0")</f>
        <v>0</v>
      </c>
    </row>
    <row r="3681" spans="1:7">
      <c r="A3681" s="3">
        <v>14</v>
      </c>
      <c r="B3681" s="3">
        <v>9</v>
      </c>
      <c r="C3681" s="3">
        <v>138</v>
      </c>
      <c r="D3681" s="3">
        <v>99</v>
      </c>
      <c r="E3681" s="3">
        <v>-2007.834</v>
      </c>
      <c r="F3681" s="4" t="str">
        <f>HYPERLINK("http://141.218.60.56/~jnz1568/getInfo.php?workbook=14_09.xlsx&amp;sheet=A0&amp;row=3681&amp;col=6&amp;number=5750000&amp;sourceID=14","5750000")</f>
        <v>5750000</v>
      </c>
      <c r="G3681" s="4" t="str">
        <f>HYPERLINK("http://141.218.60.56/~jnz1568/getInfo.php?workbook=14_09.xlsx&amp;sheet=A0&amp;row=3681&amp;col=7&amp;number=0&amp;sourceID=14","0")</f>
        <v>0</v>
      </c>
    </row>
    <row r="3682" spans="1:7">
      <c r="A3682" s="3">
        <v>14</v>
      </c>
      <c r="B3682" s="3">
        <v>9</v>
      </c>
      <c r="C3682" s="3">
        <v>139</v>
      </c>
      <c r="D3682" s="3">
        <v>99</v>
      </c>
      <c r="E3682" s="3">
        <v>-2007.109</v>
      </c>
      <c r="F3682" s="4" t="str">
        <f>HYPERLINK("http://141.218.60.56/~jnz1568/getInfo.php?workbook=14_09.xlsx&amp;sheet=A0&amp;row=3682&amp;col=6&amp;number=1520000&amp;sourceID=14","1520000")</f>
        <v>1520000</v>
      </c>
      <c r="G3682" s="4" t="str">
        <f>HYPERLINK("http://141.218.60.56/~jnz1568/getInfo.php?workbook=14_09.xlsx&amp;sheet=A0&amp;row=3682&amp;col=7&amp;number=0&amp;sourceID=14","0")</f>
        <v>0</v>
      </c>
    </row>
    <row r="3683" spans="1:7">
      <c r="A3683" s="3">
        <v>14</v>
      </c>
      <c r="B3683" s="3">
        <v>9</v>
      </c>
      <c r="C3683" s="3">
        <v>142</v>
      </c>
      <c r="D3683" s="3">
        <v>99</v>
      </c>
      <c r="E3683" s="3">
        <v>-1953.014</v>
      </c>
      <c r="F3683" s="4" t="str">
        <f>HYPERLINK("http://141.218.60.56/~jnz1568/getInfo.php?workbook=14_09.xlsx&amp;sheet=A0&amp;row=3683&amp;col=6&amp;number=9000000&amp;sourceID=14","9000000")</f>
        <v>9000000</v>
      </c>
      <c r="G3683" s="4" t="str">
        <f>HYPERLINK("http://141.218.60.56/~jnz1568/getInfo.php?workbook=14_09.xlsx&amp;sheet=A0&amp;row=3683&amp;col=7&amp;number=0&amp;sourceID=14","0")</f>
        <v>0</v>
      </c>
    </row>
    <row r="3684" spans="1:7">
      <c r="A3684" s="3">
        <v>14</v>
      </c>
      <c r="B3684" s="3">
        <v>9</v>
      </c>
      <c r="C3684" s="3">
        <v>159</v>
      </c>
      <c r="D3684" s="3">
        <v>99</v>
      </c>
      <c r="E3684" s="3">
        <v>-1381.848</v>
      </c>
      <c r="F3684" s="4" t="str">
        <f>HYPERLINK("http://141.218.60.56/~jnz1568/getInfo.php?workbook=14_09.xlsx&amp;sheet=A0&amp;row=3684&amp;col=6&amp;number=498000&amp;sourceID=14","498000")</f>
        <v>498000</v>
      </c>
      <c r="G3684" s="4" t="str">
        <f>HYPERLINK("http://141.218.60.56/~jnz1568/getInfo.php?workbook=14_09.xlsx&amp;sheet=A0&amp;row=3684&amp;col=7&amp;number=0&amp;sourceID=14","0")</f>
        <v>0</v>
      </c>
    </row>
    <row r="3685" spans="1:7">
      <c r="A3685" s="3">
        <v>14</v>
      </c>
      <c r="B3685" s="3">
        <v>9</v>
      </c>
      <c r="C3685" s="3">
        <v>160</v>
      </c>
      <c r="D3685" s="3">
        <v>99</v>
      </c>
      <c r="E3685" s="3">
        <v>-1379.465</v>
      </c>
      <c r="F3685" s="4" t="str">
        <f>HYPERLINK("http://141.218.60.56/~jnz1568/getInfo.php?workbook=14_09.xlsx&amp;sheet=A0&amp;row=3685&amp;col=6&amp;number=1590000&amp;sourceID=14","1590000")</f>
        <v>1590000</v>
      </c>
      <c r="G3685" s="4" t="str">
        <f>HYPERLINK("http://141.218.60.56/~jnz1568/getInfo.php?workbook=14_09.xlsx&amp;sheet=A0&amp;row=3685&amp;col=7&amp;number=0&amp;sourceID=14","0")</f>
        <v>0</v>
      </c>
    </row>
    <row r="3686" spans="1:7">
      <c r="A3686" s="3">
        <v>14</v>
      </c>
      <c r="B3686" s="3">
        <v>9</v>
      </c>
      <c r="C3686" s="3">
        <v>166</v>
      </c>
      <c r="D3686" s="3">
        <v>99</v>
      </c>
      <c r="E3686" s="3">
        <v>-771.285</v>
      </c>
      <c r="F3686" s="4" t="str">
        <f>HYPERLINK("http://141.218.60.56/~jnz1568/getInfo.php?workbook=14_09.xlsx&amp;sheet=A0&amp;row=3686&amp;col=6&amp;number=2610000&amp;sourceID=14","2610000")</f>
        <v>2610000</v>
      </c>
      <c r="G3686" s="4" t="str">
        <f>HYPERLINK("http://141.218.60.56/~jnz1568/getInfo.php?workbook=14_09.xlsx&amp;sheet=A0&amp;row=3686&amp;col=7&amp;number=0&amp;sourceID=14","0")</f>
        <v>0</v>
      </c>
    </row>
    <row r="3687" spans="1:7">
      <c r="A3687" s="3">
        <v>14</v>
      </c>
      <c r="B3687" s="3">
        <v>9</v>
      </c>
      <c r="C3687" s="3">
        <v>167</v>
      </c>
      <c r="D3687" s="3">
        <v>99</v>
      </c>
      <c r="E3687" s="3">
        <v>-770.435</v>
      </c>
      <c r="F3687" s="4" t="str">
        <f>HYPERLINK("http://141.218.60.56/~jnz1568/getInfo.php?workbook=14_09.xlsx&amp;sheet=A0&amp;row=3687&amp;col=6&amp;number=11900000&amp;sourceID=14","11900000")</f>
        <v>11900000</v>
      </c>
      <c r="G3687" s="4" t="str">
        <f>HYPERLINK("http://141.218.60.56/~jnz1568/getInfo.php?workbook=14_09.xlsx&amp;sheet=A0&amp;row=3687&amp;col=7&amp;number=0&amp;sourceID=14","0")</f>
        <v>0</v>
      </c>
    </row>
    <row r="3688" spans="1:7">
      <c r="A3688" s="3">
        <v>14</v>
      </c>
      <c r="B3688" s="3">
        <v>9</v>
      </c>
      <c r="C3688" s="3">
        <v>174</v>
      </c>
      <c r="D3688" s="3">
        <v>99</v>
      </c>
      <c r="E3688" s="3">
        <v>-623.186</v>
      </c>
      <c r="F3688" s="4" t="str">
        <f>HYPERLINK("http://141.218.60.56/~jnz1568/getInfo.php?workbook=14_09.xlsx&amp;sheet=A0&amp;row=3688&amp;col=6&amp;number=3870000&amp;sourceID=14","3870000")</f>
        <v>3870000</v>
      </c>
      <c r="G3688" s="4" t="str">
        <f>HYPERLINK("http://141.218.60.56/~jnz1568/getInfo.php?workbook=14_09.xlsx&amp;sheet=A0&amp;row=3688&amp;col=7&amp;number=0&amp;sourceID=14","0")</f>
        <v>0</v>
      </c>
    </row>
    <row r="3689" spans="1:7">
      <c r="A3689" s="3">
        <v>14</v>
      </c>
      <c r="B3689" s="3">
        <v>9</v>
      </c>
      <c r="C3689" s="3">
        <v>179</v>
      </c>
      <c r="D3689" s="3">
        <v>99</v>
      </c>
      <c r="E3689" s="3">
        <v>-594.281</v>
      </c>
      <c r="F3689" s="4" t="str">
        <f>HYPERLINK("http://141.218.60.56/~jnz1568/getInfo.php?workbook=14_09.xlsx&amp;sheet=A0&amp;row=3689&amp;col=6&amp;number=6130000&amp;sourceID=14","6130000")</f>
        <v>6130000</v>
      </c>
      <c r="G3689" s="4" t="str">
        <f>HYPERLINK("http://141.218.60.56/~jnz1568/getInfo.php?workbook=14_09.xlsx&amp;sheet=A0&amp;row=3689&amp;col=7&amp;number=0&amp;sourceID=14","0")</f>
        <v>0</v>
      </c>
    </row>
    <row r="3690" spans="1:7">
      <c r="A3690" s="3">
        <v>14</v>
      </c>
      <c r="B3690" s="3">
        <v>9</v>
      </c>
      <c r="C3690" s="3">
        <v>182</v>
      </c>
      <c r="D3690" s="3">
        <v>99</v>
      </c>
      <c r="E3690" s="3">
        <v>-575.398</v>
      </c>
      <c r="F3690" s="4" t="str">
        <f>HYPERLINK("http://141.218.60.56/~jnz1568/getInfo.php?workbook=14_09.xlsx&amp;sheet=A0&amp;row=3690&amp;col=6&amp;number=129000000&amp;sourceID=14","129000000")</f>
        <v>129000000</v>
      </c>
      <c r="G3690" s="4" t="str">
        <f>HYPERLINK("http://141.218.60.56/~jnz1568/getInfo.php?workbook=14_09.xlsx&amp;sheet=A0&amp;row=3690&amp;col=7&amp;number=0&amp;sourceID=14","0")</f>
        <v>0</v>
      </c>
    </row>
    <row r="3691" spans="1:7">
      <c r="A3691" s="3">
        <v>14</v>
      </c>
      <c r="B3691" s="3">
        <v>9</v>
      </c>
      <c r="C3691" s="3">
        <v>183</v>
      </c>
      <c r="D3691" s="3">
        <v>99</v>
      </c>
      <c r="E3691" s="3">
        <v>-548.629</v>
      </c>
      <c r="F3691" s="4" t="str">
        <f>HYPERLINK("http://141.218.60.56/~jnz1568/getInfo.php?workbook=14_09.xlsx&amp;sheet=A0&amp;row=3691&amp;col=6&amp;number=5460000&amp;sourceID=14","5460000")</f>
        <v>5460000</v>
      </c>
      <c r="G3691" s="4" t="str">
        <f>HYPERLINK("http://141.218.60.56/~jnz1568/getInfo.php?workbook=14_09.xlsx&amp;sheet=A0&amp;row=3691&amp;col=7&amp;number=0&amp;sourceID=14","0")</f>
        <v>0</v>
      </c>
    </row>
    <row r="3692" spans="1:7">
      <c r="A3692" s="3">
        <v>14</v>
      </c>
      <c r="B3692" s="3">
        <v>9</v>
      </c>
      <c r="C3692" s="3">
        <v>184</v>
      </c>
      <c r="D3692" s="3">
        <v>99</v>
      </c>
      <c r="E3692" s="3">
        <v>-541.537</v>
      </c>
      <c r="F3692" s="4" t="str">
        <f>HYPERLINK("http://141.218.60.56/~jnz1568/getInfo.php?workbook=14_09.xlsx&amp;sheet=A0&amp;row=3692&amp;col=6&amp;number=9910000&amp;sourceID=14","9910000")</f>
        <v>9910000</v>
      </c>
      <c r="G3692" s="4" t="str">
        <f>HYPERLINK("http://141.218.60.56/~jnz1568/getInfo.php?workbook=14_09.xlsx&amp;sheet=A0&amp;row=3692&amp;col=7&amp;number=0&amp;sourceID=14","0")</f>
        <v>0</v>
      </c>
    </row>
    <row r="3693" spans="1:7">
      <c r="A3693" s="3">
        <v>14</v>
      </c>
      <c r="B3693" s="3">
        <v>9</v>
      </c>
      <c r="C3693" s="3">
        <v>192</v>
      </c>
      <c r="D3693" s="3">
        <v>99</v>
      </c>
      <c r="E3693" s="3">
        <v>-313.479</v>
      </c>
      <c r="F3693" s="4" t="str">
        <f>HYPERLINK("http://141.218.60.56/~jnz1568/getInfo.php?workbook=14_09.xlsx&amp;sheet=A0&amp;row=3693&amp;col=6&amp;number=13300000&amp;sourceID=14","13300000")</f>
        <v>13300000</v>
      </c>
      <c r="G3693" s="4" t="str">
        <f>HYPERLINK("http://141.218.60.56/~jnz1568/getInfo.php?workbook=14_09.xlsx&amp;sheet=A0&amp;row=3693&amp;col=7&amp;number=0&amp;sourceID=14","0")</f>
        <v>0</v>
      </c>
    </row>
    <row r="3694" spans="1:7">
      <c r="A3694" s="3">
        <v>14</v>
      </c>
      <c r="B3694" s="3">
        <v>9</v>
      </c>
      <c r="C3694" s="3">
        <v>193</v>
      </c>
      <c r="D3694" s="3">
        <v>99</v>
      </c>
      <c r="E3694" s="3">
        <v>-313.346</v>
      </c>
      <c r="F3694" s="4" t="str">
        <f>HYPERLINK("http://141.218.60.56/~jnz1568/getInfo.php?workbook=14_09.xlsx&amp;sheet=A0&amp;row=3694&amp;col=6&amp;number=31400000&amp;sourceID=14","31400000")</f>
        <v>31400000</v>
      </c>
      <c r="G3694" s="4" t="str">
        <f>HYPERLINK("http://141.218.60.56/~jnz1568/getInfo.php?workbook=14_09.xlsx&amp;sheet=A0&amp;row=3694&amp;col=7&amp;number=0&amp;sourceID=14","0")</f>
        <v>0</v>
      </c>
    </row>
    <row r="3695" spans="1:7">
      <c r="A3695" s="3">
        <v>14</v>
      </c>
      <c r="B3695" s="3">
        <v>9</v>
      </c>
      <c r="C3695" s="3">
        <v>194</v>
      </c>
      <c r="D3695" s="3">
        <v>99</v>
      </c>
      <c r="E3695" s="3">
        <v>-310.584</v>
      </c>
      <c r="F3695" s="4" t="str">
        <f>HYPERLINK("http://141.218.60.56/~jnz1568/getInfo.php?workbook=14_09.xlsx&amp;sheet=A0&amp;row=3695&amp;col=6&amp;number=15200000&amp;sourceID=14","15200000")</f>
        <v>15200000</v>
      </c>
      <c r="G3695" s="4" t="str">
        <f>HYPERLINK("http://141.218.60.56/~jnz1568/getInfo.php?workbook=14_09.xlsx&amp;sheet=A0&amp;row=3695&amp;col=7&amp;number=0&amp;sourceID=14","0")</f>
        <v>0</v>
      </c>
    </row>
    <row r="3696" spans="1:7">
      <c r="A3696" s="3">
        <v>14</v>
      </c>
      <c r="B3696" s="3">
        <v>9</v>
      </c>
      <c r="C3696" s="3">
        <v>117</v>
      </c>
      <c r="D3696" s="3">
        <v>100</v>
      </c>
      <c r="E3696" s="3">
        <v>-15733.194</v>
      </c>
      <c r="F3696" s="4" t="str">
        <f>HYPERLINK("http://141.218.60.56/~jnz1568/getInfo.php?workbook=14_09.xlsx&amp;sheet=A0&amp;row=3696&amp;col=6&amp;number=263000&amp;sourceID=14","263000")</f>
        <v>263000</v>
      </c>
      <c r="G3696" s="4" t="str">
        <f>HYPERLINK("http://141.218.60.56/~jnz1568/getInfo.php?workbook=14_09.xlsx&amp;sheet=A0&amp;row=3696&amp;col=7&amp;number=0&amp;sourceID=14","0")</f>
        <v>0</v>
      </c>
    </row>
    <row r="3697" spans="1:7">
      <c r="A3697" s="3">
        <v>14</v>
      </c>
      <c r="B3697" s="3">
        <v>9</v>
      </c>
      <c r="C3697" s="3">
        <v>122</v>
      </c>
      <c r="D3697" s="3">
        <v>100</v>
      </c>
      <c r="E3697" s="3">
        <v>-13446.307</v>
      </c>
      <c r="F3697" s="4" t="str">
        <f>HYPERLINK("http://141.218.60.56/~jnz1568/getInfo.php?workbook=14_09.xlsx&amp;sheet=A0&amp;row=3697&amp;col=6&amp;number=489000&amp;sourceID=14","489000")</f>
        <v>489000</v>
      </c>
      <c r="G3697" s="4" t="str">
        <f>HYPERLINK("http://141.218.60.56/~jnz1568/getInfo.php?workbook=14_09.xlsx&amp;sheet=A0&amp;row=3697&amp;col=7&amp;number=0&amp;sourceID=14","0")</f>
        <v>0</v>
      </c>
    </row>
    <row r="3698" spans="1:7">
      <c r="A3698" s="3">
        <v>14</v>
      </c>
      <c r="B3698" s="3">
        <v>9</v>
      </c>
      <c r="C3698" s="3">
        <v>125</v>
      </c>
      <c r="D3698" s="3">
        <v>100</v>
      </c>
      <c r="E3698" s="3">
        <v>-6642.765</v>
      </c>
      <c r="F3698" s="4" t="str">
        <f>HYPERLINK("http://141.218.60.56/~jnz1568/getInfo.php?workbook=14_09.xlsx&amp;sheet=A0&amp;row=3698&amp;col=6&amp;number=253000&amp;sourceID=14","253000")</f>
        <v>253000</v>
      </c>
      <c r="G3698" s="4" t="str">
        <f>HYPERLINK("http://141.218.60.56/~jnz1568/getInfo.php?workbook=14_09.xlsx&amp;sheet=A0&amp;row=3698&amp;col=7&amp;number=0&amp;sourceID=14","0")</f>
        <v>0</v>
      </c>
    </row>
    <row r="3699" spans="1:7">
      <c r="A3699" s="3">
        <v>14</v>
      </c>
      <c r="B3699" s="3">
        <v>9</v>
      </c>
      <c r="C3699" s="3">
        <v>126</v>
      </c>
      <c r="D3699" s="3">
        <v>100</v>
      </c>
      <c r="E3699" s="3">
        <v>-5843.863</v>
      </c>
      <c r="F3699" s="4" t="str">
        <f>HYPERLINK("http://141.218.60.56/~jnz1568/getInfo.php?workbook=14_09.xlsx&amp;sheet=A0&amp;row=3699&amp;col=6&amp;number=572000&amp;sourceID=14","572000")</f>
        <v>572000</v>
      </c>
      <c r="G3699" s="4" t="str">
        <f>HYPERLINK("http://141.218.60.56/~jnz1568/getInfo.php?workbook=14_09.xlsx&amp;sheet=A0&amp;row=3699&amp;col=7&amp;number=0&amp;sourceID=14","0")</f>
        <v>0</v>
      </c>
    </row>
    <row r="3700" spans="1:7">
      <c r="A3700" s="3">
        <v>14</v>
      </c>
      <c r="B3700" s="3">
        <v>9</v>
      </c>
      <c r="C3700" s="3">
        <v>138</v>
      </c>
      <c r="D3700" s="3">
        <v>100</v>
      </c>
      <c r="E3700" s="3">
        <v>-2037.41</v>
      </c>
      <c r="F3700" s="4" t="str">
        <f>HYPERLINK("http://141.218.60.56/~jnz1568/getInfo.php?workbook=14_09.xlsx&amp;sheet=A0&amp;row=3700&amp;col=6&amp;number=2950000&amp;sourceID=14","2950000")</f>
        <v>2950000</v>
      </c>
      <c r="G3700" s="4" t="str">
        <f>HYPERLINK("http://141.218.60.56/~jnz1568/getInfo.php?workbook=14_09.xlsx&amp;sheet=A0&amp;row=3700&amp;col=7&amp;number=0&amp;sourceID=14","0")</f>
        <v>0</v>
      </c>
    </row>
    <row r="3701" spans="1:7">
      <c r="A3701" s="3">
        <v>14</v>
      </c>
      <c r="B3701" s="3">
        <v>9</v>
      </c>
      <c r="C3701" s="3">
        <v>139</v>
      </c>
      <c r="D3701" s="3">
        <v>100</v>
      </c>
      <c r="E3701" s="3">
        <v>-2036.664</v>
      </c>
      <c r="F3701" s="4" t="str">
        <f>HYPERLINK("http://141.218.60.56/~jnz1568/getInfo.php?workbook=14_09.xlsx&amp;sheet=A0&amp;row=3701&amp;col=6&amp;number=2900000&amp;sourceID=14","2900000")</f>
        <v>2900000</v>
      </c>
      <c r="G3701" s="4" t="str">
        <f>HYPERLINK("http://141.218.60.56/~jnz1568/getInfo.php?workbook=14_09.xlsx&amp;sheet=A0&amp;row=3701&amp;col=7&amp;number=0&amp;sourceID=14","0")</f>
        <v>0</v>
      </c>
    </row>
    <row r="3702" spans="1:7">
      <c r="A3702" s="3">
        <v>14</v>
      </c>
      <c r="B3702" s="3">
        <v>9</v>
      </c>
      <c r="C3702" s="3">
        <v>141</v>
      </c>
      <c r="D3702" s="3">
        <v>100</v>
      </c>
      <c r="E3702" s="3">
        <v>-1981.418</v>
      </c>
      <c r="F3702" s="4" t="str">
        <f>HYPERLINK("http://141.218.60.56/~jnz1568/getInfo.php?workbook=14_09.xlsx&amp;sheet=A0&amp;row=3702&amp;col=6&amp;number=3010000&amp;sourceID=14","3010000")</f>
        <v>3010000</v>
      </c>
      <c r="G3702" s="4" t="str">
        <f>HYPERLINK("http://141.218.60.56/~jnz1568/getInfo.php?workbook=14_09.xlsx&amp;sheet=A0&amp;row=3702&amp;col=7&amp;number=0&amp;sourceID=14","0")</f>
        <v>0</v>
      </c>
    </row>
    <row r="3703" spans="1:7">
      <c r="A3703" s="3">
        <v>14</v>
      </c>
      <c r="B3703" s="3">
        <v>9</v>
      </c>
      <c r="C3703" s="3">
        <v>142</v>
      </c>
      <c r="D3703" s="3">
        <v>100</v>
      </c>
      <c r="E3703" s="3">
        <v>-1980.986</v>
      </c>
      <c r="F3703" s="4" t="str">
        <f>HYPERLINK("http://141.218.60.56/~jnz1568/getInfo.php?workbook=14_09.xlsx&amp;sheet=A0&amp;row=3703&amp;col=6&amp;number=5910000&amp;sourceID=14","5910000")</f>
        <v>5910000</v>
      </c>
      <c r="G3703" s="4" t="str">
        <f>HYPERLINK("http://141.218.60.56/~jnz1568/getInfo.php?workbook=14_09.xlsx&amp;sheet=A0&amp;row=3703&amp;col=7&amp;number=0&amp;sourceID=14","0")</f>
        <v>0</v>
      </c>
    </row>
    <row r="3704" spans="1:7">
      <c r="A3704" s="3">
        <v>14</v>
      </c>
      <c r="B3704" s="3">
        <v>9</v>
      </c>
      <c r="C3704" s="3">
        <v>147</v>
      </c>
      <c r="D3704" s="3">
        <v>100</v>
      </c>
      <c r="E3704" s="3">
        <v>-1929.202</v>
      </c>
      <c r="F3704" s="4" t="str">
        <f>HYPERLINK("http://141.218.60.56/~jnz1568/getInfo.php?workbook=14_09.xlsx&amp;sheet=A0&amp;row=3704&amp;col=6&amp;number=4880000&amp;sourceID=14","4880000")</f>
        <v>4880000</v>
      </c>
      <c r="G3704" s="4" t="str">
        <f>HYPERLINK("http://141.218.60.56/~jnz1568/getInfo.php?workbook=14_09.xlsx&amp;sheet=A0&amp;row=3704&amp;col=7&amp;number=0&amp;sourceID=14","0")</f>
        <v>0</v>
      </c>
    </row>
    <row r="3705" spans="1:7">
      <c r="A3705" s="3">
        <v>14</v>
      </c>
      <c r="B3705" s="3">
        <v>9</v>
      </c>
      <c r="C3705" s="3">
        <v>159</v>
      </c>
      <c r="D3705" s="3">
        <v>100</v>
      </c>
      <c r="E3705" s="3">
        <v>-1395.793</v>
      </c>
      <c r="F3705" s="4" t="str">
        <f>HYPERLINK("http://141.218.60.56/~jnz1568/getInfo.php?workbook=14_09.xlsx&amp;sheet=A0&amp;row=3705&amp;col=6&amp;number=1020000&amp;sourceID=14","1020000")</f>
        <v>1020000</v>
      </c>
      <c r="G3705" s="4" t="str">
        <f>HYPERLINK("http://141.218.60.56/~jnz1568/getInfo.php?workbook=14_09.xlsx&amp;sheet=A0&amp;row=3705&amp;col=7&amp;number=0&amp;sourceID=14","0")</f>
        <v>0</v>
      </c>
    </row>
    <row r="3706" spans="1:7">
      <c r="A3706" s="3">
        <v>14</v>
      </c>
      <c r="B3706" s="3">
        <v>9</v>
      </c>
      <c r="C3706" s="3">
        <v>160</v>
      </c>
      <c r="D3706" s="3">
        <v>100</v>
      </c>
      <c r="E3706" s="3">
        <v>-1393.362</v>
      </c>
      <c r="F3706" s="4" t="str">
        <f>HYPERLINK("http://141.218.60.56/~jnz1568/getInfo.php?workbook=14_09.xlsx&amp;sheet=A0&amp;row=3706&amp;col=6&amp;number=257000&amp;sourceID=14","257000")</f>
        <v>257000</v>
      </c>
      <c r="G3706" s="4" t="str">
        <f>HYPERLINK("http://141.218.60.56/~jnz1568/getInfo.php?workbook=14_09.xlsx&amp;sheet=A0&amp;row=3706&amp;col=7&amp;number=0&amp;sourceID=14","0")</f>
        <v>0</v>
      </c>
    </row>
    <row r="3707" spans="1:7">
      <c r="A3707" s="3">
        <v>14</v>
      </c>
      <c r="B3707" s="3">
        <v>9</v>
      </c>
      <c r="C3707" s="3">
        <v>164</v>
      </c>
      <c r="D3707" s="3">
        <v>100</v>
      </c>
      <c r="E3707" s="3">
        <v>-831.865</v>
      </c>
      <c r="F3707" s="4" t="str">
        <f>HYPERLINK("http://141.218.60.56/~jnz1568/getInfo.php?workbook=14_09.xlsx&amp;sheet=A0&amp;row=3707&amp;col=6&amp;number=11100000&amp;sourceID=14","11100000")</f>
        <v>11100000</v>
      </c>
      <c r="G3707" s="4" t="str">
        <f>HYPERLINK("http://141.218.60.56/~jnz1568/getInfo.php?workbook=14_09.xlsx&amp;sheet=A0&amp;row=3707&amp;col=7&amp;number=0&amp;sourceID=14","0")</f>
        <v>0</v>
      </c>
    </row>
    <row r="3708" spans="1:7">
      <c r="A3708" s="3">
        <v>14</v>
      </c>
      <c r="B3708" s="3">
        <v>9</v>
      </c>
      <c r="C3708" s="3">
        <v>166</v>
      </c>
      <c r="D3708" s="3">
        <v>100</v>
      </c>
      <c r="E3708" s="3">
        <v>-775.61</v>
      </c>
      <c r="F3708" s="4" t="str">
        <f>HYPERLINK("http://141.218.60.56/~jnz1568/getInfo.php?workbook=14_09.xlsx&amp;sheet=A0&amp;row=3708&amp;col=6&amp;number=16000000&amp;sourceID=14","16000000")</f>
        <v>16000000</v>
      </c>
      <c r="G3708" s="4" t="str">
        <f>HYPERLINK("http://141.218.60.56/~jnz1568/getInfo.php?workbook=14_09.xlsx&amp;sheet=A0&amp;row=3708&amp;col=7&amp;number=0&amp;sourceID=14","0")</f>
        <v>0</v>
      </c>
    </row>
    <row r="3709" spans="1:7">
      <c r="A3709" s="3">
        <v>14</v>
      </c>
      <c r="B3709" s="3">
        <v>9</v>
      </c>
      <c r="C3709" s="3">
        <v>167</v>
      </c>
      <c r="D3709" s="3">
        <v>100</v>
      </c>
      <c r="E3709" s="3">
        <v>-774.751</v>
      </c>
      <c r="F3709" s="4" t="str">
        <f>HYPERLINK("http://141.218.60.56/~jnz1568/getInfo.php?workbook=14_09.xlsx&amp;sheet=A0&amp;row=3709&amp;col=6&amp;number=10100000&amp;sourceID=14","10100000")</f>
        <v>10100000</v>
      </c>
      <c r="G3709" s="4" t="str">
        <f>HYPERLINK("http://141.218.60.56/~jnz1568/getInfo.php?workbook=14_09.xlsx&amp;sheet=A0&amp;row=3709&amp;col=7&amp;number=0&amp;sourceID=14","0")</f>
        <v>0</v>
      </c>
    </row>
    <row r="3710" spans="1:7">
      <c r="A3710" s="3">
        <v>14</v>
      </c>
      <c r="B3710" s="3">
        <v>9</v>
      </c>
      <c r="C3710" s="3">
        <v>174</v>
      </c>
      <c r="D3710" s="3">
        <v>100</v>
      </c>
      <c r="E3710" s="3">
        <v>-626.007</v>
      </c>
      <c r="F3710" s="4" t="str">
        <f>HYPERLINK("http://141.218.60.56/~jnz1568/getInfo.php?workbook=14_09.xlsx&amp;sheet=A0&amp;row=3710&amp;col=6&amp;number=1120000&amp;sourceID=14","1120000")</f>
        <v>1120000</v>
      </c>
      <c r="G3710" s="4" t="str">
        <f>HYPERLINK("http://141.218.60.56/~jnz1568/getInfo.php?workbook=14_09.xlsx&amp;sheet=A0&amp;row=3710&amp;col=7&amp;number=0&amp;sourceID=14","0")</f>
        <v>0</v>
      </c>
    </row>
    <row r="3711" spans="1:7">
      <c r="A3711" s="3">
        <v>14</v>
      </c>
      <c r="B3711" s="3">
        <v>9</v>
      </c>
      <c r="C3711" s="3">
        <v>176</v>
      </c>
      <c r="D3711" s="3">
        <v>100</v>
      </c>
      <c r="E3711" s="3">
        <v>-598.173</v>
      </c>
      <c r="F3711" s="4" t="str">
        <f>HYPERLINK("http://141.218.60.56/~jnz1568/getInfo.php?workbook=14_09.xlsx&amp;sheet=A0&amp;row=3711&amp;col=6&amp;number=1120000&amp;sourceID=14","1120000")</f>
        <v>1120000</v>
      </c>
      <c r="G3711" s="4" t="str">
        <f>HYPERLINK("http://141.218.60.56/~jnz1568/getInfo.php?workbook=14_09.xlsx&amp;sheet=A0&amp;row=3711&amp;col=7&amp;number=0&amp;sourceID=14","0")</f>
        <v>0</v>
      </c>
    </row>
    <row r="3712" spans="1:7">
      <c r="A3712" s="3">
        <v>14</v>
      </c>
      <c r="B3712" s="3">
        <v>9</v>
      </c>
      <c r="C3712" s="3">
        <v>179</v>
      </c>
      <c r="D3712" s="3">
        <v>100</v>
      </c>
      <c r="E3712" s="3">
        <v>-596.845</v>
      </c>
      <c r="F3712" s="4" t="str">
        <f>HYPERLINK("http://141.218.60.56/~jnz1568/getInfo.php?workbook=14_09.xlsx&amp;sheet=A0&amp;row=3712&amp;col=6&amp;number=4800000&amp;sourceID=14","4800000")</f>
        <v>4800000</v>
      </c>
      <c r="G3712" s="4" t="str">
        <f>HYPERLINK("http://141.218.60.56/~jnz1568/getInfo.php?workbook=14_09.xlsx&amp;sheet=A0&amp;row=3712&amp;col=7&amp;number=0&amp;sourceID=14","0")</f>
        <v>0</v>
      </c>
    </row>
    <row r="3713" spans="1:7">
      <c r="A3713" s="3">
        <v>14</v>
      </c>
      <c r="B3713" s="3">
        <v>9</v>
      </c>
      <c r="C3713" s="3">
        <v>180</v>
      </c>
      <c r="D3713" s="3">
        <v>100</v>
      </c>
      <c r="E3713" s="3">
        <v>-592.91</v>
      </c>
      <c r="F3713" s="4" t="str">
        <f>HYPERLINK("http://141.218.60.56/~jnz1568/getInfo.php?workbook=14_09.xlsx&amp;sheet=A0&amp;row=3713&amp;col=6&amp;number=203000000&amp;sourceID=14","203000000")</f>
        <v>203000000</v>
      </c>
      <c r="G3713" s="4" t="str">
        <f>HYPERLINK("http://141.218.60.56/~jnz1568/getInfo.php?workbook=14_09.xlsx&amp;sheet=A0&amp;row=3713&amp;col=7&amp;number=0&amp;sourceID=14","0")</f>
        <v>0</v>
      </c>
    </row>
    <row r="3714" spans="1:7">
      <c r="A3714" s="3">
        <v>14</v>
      </c>
      <c r="B3714" s="3">
        <v>9</v>
      </c>
      <c r="C3714" s="3">
        <v>181</v>
      </c>
      <c r="D3714" s="3">
        <v>100</v>
      </c>
      <c r="E3714" s="3">
        <v>-578.126</v>
      </c>
      <c r="F3714" s="4" t="str">
        <f>HYPERLINK("http://141.218.60.56/~jnz1568/getInfo.php?workbook=14_09.xlsx&amp;sheet=A0&amp;row=3714&amp;col=6&amp;number=8810000&amp;sourceID=14","8810000")</f>
        <v>8810000</v>
      </c>
      <c r="G3714" s="4" t="str">
        <f>HYPERLINK("http://141.218.60.56/~jnz1568/getInfo.php?workbook=14_09.xlsx&amp;sheet=A0&amp;row=3714&amp;col=7&amp;number=0&amp;sourceID=14","0")</f>
        <v>0</v>
      </c>
    </row>
    <row r="3715" spans="1:7">
      <c r="A3715" s="3">
        <v>14</v>
      </c>
      <c r="B3715" s="3">
        <v>9</v>
      </c>
      <c r="C3715" s="3">
        <v>182</v>
      </c>
      <c r="D3715" s="3">
        <v>100</v>
      </c>
      <c r="E3715" s="3">
        <v>-577.802</v>
      </c>
      <c r="F3715" s="4" t="str">
        <f>HYPERLINK("http://141.218.60.56/~jnz1568/getInfo.php?workbook=14_09.xlsx&amp;sheet=A0&amp;row=3715&amp;col=6&amp;number=57800000&amp;sourceID=14","57800000")</f>
        <v>57800000</v>
      </c>
      <c r="G3715" s="4" t="str">
        <f>HYPERLINK("http://141.218.60.56/~jnz1568/getInfo.php?workbook=14_09.xlsx&amp;sheet=A0&amp;row=3715&amp;col=7&amp;number=0&amp;sourceID=14","0")</f>
        <v>0</v>
      </c>
    </row>
    <row r="3716" spans="1:7">
      <c r="A3716" s="3">
        <v>14</v>
      </c>
      <c r="B3716" s="3">
        <v>9</v>
      </c>
      <c r="C3716" s="3">
        <v>183</v>
      </c>
      <c r="D3716" s="3">
        <v>100</v>
      </c>
      <c r="E3716" s="3">
        <v>-550.813</v>
      </c>
      <c r="F3716" s="4" t="str">
        <f>HYPERLINK("http://141.218.60.56/~jnz1568/getInfo.php?workbook=14_09.xlsx&amp;sheet=A0&amp;row=3716&amp;col=6&amp;number=30600000&amp;sourceID=14","30600000")</f>
        <v>30600000</v>
      </c>
      <c r="G3716" s="4" t="str">
        <f>HYPERLINK("http://141.218.60.56/~jnz1568/getInfo.php?workbook=14_09.xlsx&amp;sheet=A0&amp;row=3716&amp;col=7&amp;number=0&amp;sourceID=14","0")</f>
        <v>0</v>
      </c>
    </row>
    <row r="3717" spans="1:7">
      <c r="A3717" s="3">
        <v>14</v>
      </c>
      <c r="B3717" s="3">
        <v>9</v>
      </c>
      <c r="C3717" s="3">
        <v>190</v>
      </c>
      <c r="D3717" s="3">
        <v>100</v>
      </c>
      <c r="E3717" s="3">
        <v>-317.878</v>
      </c>
      <c r="F3717" s="4" t="str">
        <f>HYPERLINK("http://141.218.60.56/~jnz1568/getInfo.php?workbook=14_09.xlsx&amp;sheet=A0&amp;row=3717&amp;col=6&amp;number=15300000&amp;sourceID=14","15300000")</f>
        <v>15300000</v>
      </c>
      <c r="G3717" s="4" t="str">
        <f>HYPERLINK("http://141.218.60.56/~jnz1568/getInfo.php?workbook=14_09.xlsx&amp;sheet=A0&amp;row=3717&amp;col=7&amp;number=0&amp;sourceID=14","0")</f>
        <v>0</v>
      </c>
    </row>
    <row r="3718" spans="1:7">
      <c r="A3718" s="3">
        <v>14</v>
      </c>
      <c r="B3718" s="3">
        <v>9</v>
      </c>
      <c r="C3718" s="3">
        <v>192</v>
      </c>
      <c r="D3718" s="3">
        <v>100</v>
      </c>
      <c r="E3718" s="3">
        <v>-314.191</v>
      </c>
      <c r="F3718" s="4" t="str">
        <f>HYPERLINK("http://141.218.60.56/~jnz1568/getInfo.php?workbook=14_09.xlsx&amp;sheet=A0&amp;row=3718&amp;col=6&amp;number=3830000&amp;sourceID=14","3830000")</f>
        <v>3830000</v>
      </c>
      <c r="G3718" s="4" t="str">
        <f>HYPERLINK("http://141.218.60.56/~jnz1568/getInfo.php?workbook=14_09.xlsx&amp;sheet=A0&amp;row=3718&amp;col=7&amp;number=0&amp;sourceID=14","0")</f>
        <v>0</v>
      </c>
    </row>
    <row r="3719" spans="1:7">
      <c r="A3719" s="3">
        <v>14</v>
      </c>
      <c r="B3719" s="3">
        <v>9</v>
      </c>
      <c r="C3719" s="3">
        <v>193</v>
      </c>
      <c r="D3719" s="3">
        <v>100</v>
      </c>
      <c r="E3719" s="3">
        <v>-314.057</v>
      </c>
      <c r="F3719" s="4" t="str">
        <f>HYPERLINK("http://141.218.60.56/~jnz1568/getInfo.php?workbook=14_09.xlsx&amp;sheet=A0&amp;row=3719&amp;col=6&amp;number=76100000&amp;sourceID=14","76100000")</f>
        <v>76100000</v>
      </c>
      <c r="G3719" s="4" t="str">
        <f>HYPERLINK("http://141.218.60.56/~jnz1568/getInfo.php?workbook=14_09.xlsx&amp;sheet=A0&amp;row=3719&amp;col=7&amp;number=0&amp;sourceID=14","0")</f>
        <v>0</v>
      </c>
    </row>
    <row r="3720" spans="1:7">
      <c r="A3720" s="3">
        <v>14</v>
      </c>
      <c r="B3720" s="3">
        <v>9</v>
      </c>
      <c r="C3720" s="3">
        <v>194</v>
      </c>
      <c r="D3720" s="3">
        <v>100</v>
      </c>
      <c r="E3720" s="3">
        <v>-311.283</v>
      </c>
      <c r="F3720" s="4" t="str">
        <f>HYPERLINK("http://141.218.60.56/~jnz1568/getInfo.php?workbook=14_09.xlsx&amp;sheet=A0&amp;row=3720&amp;col=6&amp;number=6780000&amp;sourceID=14","6780000")</f>
        <v>6780000</v>
      </c>
      <c r="G3720" s="4" t="str">
        <f>HYPERLINK("http://141.218.60.56/~jnz1568/getInfo.php?workbook=14_09.xlsx&amp;sheet=A0&amp;row=3720&amp;col=7&amp;number=0&amp;sourceID=14","0")</f>
        <v>0</v>
      </c>
    </row>
    <row r="3721" spans="1:7">
      <c r="A3721" s="3">
        <v>14</v>
      </c>
      <c r="B3721" s="3">
        <v>9</v>
      </c>
      <c r="C3721" s="3">
        <v>195</v>
      </c>
      <c r="D3721" s="3">
        <v>100</v>
      </c>
      <c r="E3721" s="3">
        <v>-311.217</v>
      </c>
      <c r="F3721" s="4" t="str">
        <f>HYPERLINK("http://141.218.60.56/~jnz1568/getInfo.php?workbook=14_09.xlsx&amp;sheet=A0&amp;row=3721&amp;col=6&amp;number=3020000&amp;sourceID=14","3020000")</f>
        <v>3020000</v>
      </c>
      <c r="G3721" s="4" t="str">
        <f>HYPERLINK("http://141.218.60.56/~jnz1568/getInfo.php?workbook=14_09.xlsx&amp;sheet=A0&amp;row=3721&amp;col=7&amp;number=0&amp;sourceID=14","0")</f>
        <v>0</v>
      </c>
    </row>
    <row r="3722" spans="1:7">
      <c r="A3722" s="3">
        <v>14</v>
      </c>
      <c r="B3722" s="3">
        <v>9</v>
      </c>
      <c r="C3722" s="3">
        <v>129</v>
      </c>
      <c r="D3722" s="3">
        <v>101</v>
      </c>
      <c r="E3722" s="3">
        <v>-2568.52</v>
      </c>
      <c r="F3722" s="4" t="str">
        <f>HYPERLINK("http://141.218.60.56/~jnz1568/getInfo.php?workbook=14_09.xlsx&amp;sheet=A0&amp;row=3722&amp;col=6&amp;number=483000000&amp;sourceID=14","483000000")</f>
        <v>483000000</v>
      </c>
      <c r="G3722" s="4" t="str">
        <f>HYPERLINK("http://141.218.60.56/~jnz1568/getInfo.php?workbook=14_09.xlsx&amp;sheet=A0&amp;row=3722&amp;col=7&amp;number=0&amp;sourceID=14","0")</f>
        <v>0</v>
      </c>
    </row>
    <row r="3723" spans="1:7">
      <c r="A3723" s="3">
        <v>14</v>
      </c>
      <c r="B3723" s="3">
        <v>9</v>
      </c>
      <c r="C3723" s="3">
        <v>131</v>
      </c>
      <c r="D3723" s="3">
        <v>101</v>
      </c>
      <c r="E3723" s="3">
        <v>-2361.168</v>
      </c>
      <c r="F3723" s="4" t="str">
        <f>HYPERLINK("http://141.218.60.56/~jnz1568/getInfo.php?workbook=14_09.xlsx&amp;sheet=A0&amp;row=3723&amp;col=6&amp;number=206000000&amp;sourceID=14","206000000")</f>
        <v>206000000</v>
      </c>
      <c r="G3723" s="4" t="str">
        <f>HYPERLINK("http://141.218.60.56/~jnz1568/getInfo.php?workbook=14_09.xlsx&amp;sheet=A0&amp;row=3723&amp;col=7&amp;number=0&amp;sourceID=14","0")</f>
        <v>0</v>
      </c>
    </row>
    <row r="3724" spans="1:7">
      <c r="A3724" s="3">
        <v>14</v>
      </c>
      <c r="B3724" s="3">
        <v>9</v>
      </c>
      <c r="C3724" s="3">
        <v>133</v>
      </c>
      <c r="D3724" s="3">
        <v>101</v>
      </c>
      <c r="E3724" s="3">
        <v>-2354.053</v>
      </c>
      <c r="F3724" s="4" t="str">
        <f>HYPERLINK("http://141.218.60.56/~jnz1568/getInfo.php?workbook=14_09.xlsx&amp;sheet=A0&amp;row=3724&amp;col=6&amp;number=5190000&amp;sourceID=14","5190000")</f>
        <v>5190000</v>
      </c>
      <c r="G3724" s="4" t="str">
        <f>HYPERLINK("http://141.218.60.56/~jnz1568/getInfo.php?workbook=14_09.xlsx&amp;sheet=A0&amp;row=3724&amp;col=7&amp;number=0&amp;sourceID=14","0")</f>
        <v>0</v>
      </c>
    </row>
    <row r="3725" spans="1:7">
      <c r="A3725" s="3">
        <v>14</v>
      </c>
      <c r="B3725" s="3">
        <v>9</v>
      </c>
      <c r="C3725" s="3">
        <v>135</v>
      </c>
      <c r="D3725" s="3">
        <v>101</v>
      </c>
      <c r="E3725" s="3">
        <v>-2317.824</v>
      </c>
      <c r="F3725" s="4" t="str">
        <f>HYPERLINK("http://141.218.60.56/~jnz1568/getInfo.php?workbook=14_09.xlsx&amp;sheet=A0&amp;row=3725&amp;col=6&amp;number=7900000&amp;sourceID=14","7900000")</f>
        <v>7900000</v>
      </c>
      <c r="G3725" s="4" t="str">
        <f>HYPERLINK("http://141.218.60.56/~jnz1568/getInfo.php?workbook=14_09.xlsx&amp;sheet=A0&amp;row=3725&amp;col=7&amp;number=0&amp;sourceID=14","0")</f>
        <v>0</v>
      </c>
    </row>
    <row r="3726" spans="1:7">
      <c r="A3726" s="3">
        <v>14</v>
      </c>
      <c r="B3726" s="3">
        <v>9</v>
      </c>
      <c r="C3726" s="3">
        <v>136</v>
      </c>
      <c r="D3726" s="3">
        <v>101</v>
      </c>
      <c r="E3726" s="3">
        <v>-2292.794</v>
      </c>
      <c r="F3726" s="4" t="str">
        <f>HYPERLINK("http://141.218.60.56/~jnz1568/getInfo.php?workbook=14_09.xlsx&amp;sheet=A0&amp;row=3726&amp;col=6&amp;number=40000000&amp;sourceID=14","40000000")</f>
        <v>40000000</v>
      </c>
      <c r="G3726" s="4" t="str">
        <f>HYPERLINK("http://141.218.60.56/~jnz1568/getInfo.php?workbook=14_09.xlsx&amp;sheet=A0&amp;row=3726&amp;col=7&amp;number=0&amp;sourceID=14","0")</f>
        <v>0</v>
      </c>
    </row>
    <row r="3727" spans="1:7">
      <c r="A3727" s="3">
        <v>14</v>
      </c>
      <c r="B3727" s="3">
        <v>9</v>
      </c>
      <c r="C3727" s="3">
        <v>163</v>
      </c>
      <c r="D3727" s="3">
        <v>101</v>
      </c>
      <c r="E3727" s="3">
        <v>-905.815</v>
      </c>
      <c r="F3727" s="4" t="str">
        <f>HYPERLINK("http://141.218.60.56/~jnz1568/getInfo.php?workbook=14_09.xlsx&amp;sheet=A0&amp;row=3727&amp;col=6&amp;number=3880000&amp;sourceID=14","3880000")</f>
        <v>3880000</v>
      </c>
      <c r="G3727" s="4" t="str">
        <f>HYPERLINK("http://141.218.60.56/~jnz1568/getInfo.php?workbook=14_09.xlsx&amp;sheet=A0&amp;row=3727&amp;col=7&amp;number=0&amp;sourceID=14","0")</f>
        <v>0</v>
      </c>
    </row>
    <row r="3728" spans="1:7">
      <c r="A3728" s="3">
        <v>14</v>
      </c>
      <c r="B3728" s="3">
        <v>9</v>
      </c>
      <c r="C3728" s="3">
        <v>185</v>
      </c>
      <c r="D3728" s="3">
        <v>101</v>
      </c>
      <c r="E3728" s="3">
        <v>-480.44</v>
      </c>
      <c r="F3728" s="4" t="str">
        <f>HYPERLINK("http://141.218.60.56/~jnz1568/getInfo.php?workbook=14_09.xlsx&amp;sheet=A0&amp;row=3728&amp;col=6&amp;number=16600000&amp;sourceID=14","16600000")</f>
        <v>16600000</v>
      </c>
      <c r="G3728" s="4" t="str">
        <f>HYPERLINK("http://141.218.60.56/~jnz1568/getInfo.php?workbook=14_09.xlsx&amp;sheet=A0&amp;row=3728&amp;col=7&amp;number=0&amp;sourceID=14","0")</f>
        <v>0</v>
      </c>
    </row>
    <row r="3729" spans="1:7">
      <c r="A3729" s="3">
        <v>14</v>
      </c>
      <c r="B3729" s="3">
        <v>9</v>
      </c>
      <c r="C3729" s="3">
        <v>186</v>
      </c>
      <c r="D3729" s="3">
        <v>101</v>
      </c>
      <c r="E3729" s="3">
        <v>-478.978</v>
      </c>
      <c r="F3729" s="4" t="str">
        <f>HYPERLINK("http://141.218.60.56/~jnz1568/getInfo.php?workbook=14_09.xlsx&amp;sheet=A0&amp;row=3729&amp;col=6&amp;number=1070000&amp;sourceID=14","1070000")</f>
        <v>1070000</v>
      </c>
      <c r="G3729" s="4" t="str">
        <f>HYPERLINK("http://141.218.60.56/~jnz1568/getInfo.php?workbook=14_09.xlsx&amp;sheet=A0&amp;row=3729&amp;col=7&amp;number=0&amp;sourceID=14","0")</f>
        <v>0</v>
      </c>
    </row>
    <row r="3730" spans="1:7">
      <c r="A3730" s="3">
        <v>14</v>
      </c>
      <c r="B3730" s="3">
        <v>9</v>
      </c>
      <c r="C3730" s="3">
        <v>129</v>
      </c>
      <c r="D3730" s="3">
        <v>102</v>
      </c>
      <c r="E3730" s="3">
        <v>-2582.649</v>
      </c>
      <c r="F3730" s="4" t="str">
        <f>HYPERLINK("http://141.218.60.56/~jnz1568/getInfo.php?workbook=14_09.xlsx&amp;sheet=A0&amp;row=3730&amp;col=6&amp;number=19700000&amp;sourceID=14","19700000")</f>
        <v>19700000</v>
      </c>
      <c r="G3730" s="4" t="str">
        <f>HYPERLINK("http://141.218.60.56/~jnz1568/getInfo.php?workbook=14_09.xlsx&amp;sheet=A0&amp;row=3730&amp;col=7&amp;number=0&amp;sourceID=14","0")</f>
        <v>0</v>
      </c>
    </row>
    <row r="3731" spans="1:7">
      <c r="A3731" s="3">
        <v>14</v>
      </c>
      <c r="B3731" s="3">
        <v>9</v>
      </c>
      <c r="C3731" s="3">
        <v>130</v>
      </c>
      <c r="D3731" s="3">
        <v>102</v>
      </c>
      <c r="E3731" s="3">
        <v>-2579.651</v>
      </c>
      <c r="F3731" s="4" t="str">
        <f>HYPERLINK("http://141.218.60.56/~jnz1568/getInfo.php?workbook=14_09.xlsx&amp;sheet=A0&amp;row=3731&amp;col=6&amp;number=497000000&amp;sourceID=14","497000000")</f>
        <v>497000000</v>
      </c>
      <c r="G3731" s="4" t="str">
        <f>HYPERLINK("http://141.218.60.56/~jnz1568/getInfo.php?workbook=14_09.xlsx&amp;sheet=A0&amp;row=3731&amp;col=7&amp;number=0&amp;sourceID=14","0")</f>
        <v>0</v>
      </c>
    </row>
    <row r="3732" spans="1:7">
      <c r="A3732" s="3">
        <v>14</v>
      </c>
      <c r="B3732" s="3">
        <v>9</v>
      </c>
      <c r="C3732" s="3">
        <v>131</v>
      </c>
      <c r="D3732" s="3">
        <v>102</v>
      </c>
      <c r="E3732" s="3">
        <v>-2373.103</v>
      </c>
      <c r="F3732" s="4" t="str">
        <f>HYPERLINK("http://141.218.60.56/~jnz1568/getInfo.php?workbook=14_09.xlsx&amp;sheet=A0&amp;row=3732&amp;col=6&amp;number=3690000&amp;sourceID=14","3690000")</f>
        <v>3690000</v>
      </c>
      <c r="G3732" s="4" t="str">
        <f>HYPERLINK("http://141.218.60.56/~jnz1568/getInfo.php?workbook=14_09.xlsx&amp;sheet=A0&amp;row=3732&amp;col=7&amp;number=0&amp;sourceID=14","0")</f>
        <v>0</v>
      </c>
    </row>
    <row r="3733" spans="1:7">
      <c r="A3733" s="3">
        <v>14</v>
      </c>
      <c r="B3733" s="3">
        <v>9</v>
      </c>
      <c r="C3733" s="3">
        <v>133</v>
      </c>
      <c r="D3733" s="3">
        <v>102</v>
      </c>
      <c r="E3733" s="3">
        <v>-2365.916</v>
      </c>
      <c r="F3733" s="4" t="str">
        <f>HYPERLINK("http://141.218.60.56/~jnz1568/getInfo.php?workbook=14_09.xlsx&amp;sheet=A0&amp;row=3733&amp;col=6&amp;number=205000000&amp;sourceID=14","205000000")</f>
        <v>205000000</v>
      </c>
      <c r="G3733" s="4" t="str">
        <f>HYPERLINK("http://141.218.60.56/~jnz1568/getInfo.php?workbook=14_09.xlsx&amp;sheet=A0&amp;row=3733&amp;col=7&amp;number=0&amp;sourceID=14","0")</f>
        <v>0</v>
      </c>
    </row>
    <row r="3734" spans="1:7">
      <c r="A3734" s="3">
        <v>14</v>
      </c>
      <c r="B3734" s="3">
        <v>9</v>
      </c>
      <c r="C3734" s="3">
        <v>135</v>
      </c>
      <c r="D3734" s="3">
        <v>102</v>
      </c>
      <c r="E3734" s="3">
        <v>-2329.323</v>
      </c>
      <c r="F3734" s="4" t="str">
        <f>HYPERLINK("http://141.218.60.56/~jnz1568/getInfo.php?workbook=14_09.xlsx&amp;sheet=A0&amp;row=3734&amp;col=6&amp;number=39800000&amp;sourceID=14","39800000")</f>
        <v>39800000</v>
      </c>
      <c r="G3734" s="4" t="str">
        <f>HYPERLINK("http://141.218.60.56/~jnz1568/getInfo.php?workbook=14_09.xlsx&amp;sheet=A0&amp;row=3734&amp;col=7&amp;number=0&amp;sourceID=14","0")</f>
        <v>0</v>
      </c>
    </row>
    <row r="3735" spans="1:7">
      <c r="A3735" s="3">
        <v>14</v>
      </c>
      <c r="B3735" s="3">
        <v>9</v>
      </c>
      <c r="C3735" s="3">
        <v>162</v>
      </c>
      <c r="D3735" s="3">
        <v>102</v>
      </c>
      <c r="E3735" s="3">
        <v>-908.646</v>
      </c>
      <c r="F3735" s="4" t="str">
        <f>HYPERLINK("http://141.218.60.56/~jnz1568/getInfo.php?workbook=14_09.xlsx&amp;sheet=A0&amp;row=3735&amp;col=6&amp;number=3850000&amp;sourceID=14","3850000")</f>
        <v>3850000</v>
      </c>
      <c r="G3735" s="4" t="str">
        <f>HYPERLINK("http://141.218.60.56/~jnz1568/getInfo.php?workbook=14_09.xlsx&amp;sheet=A0&amp;row=3735&amp;col=7&amp;number=0&amp;sourceID=14","0")</f>
        <v>0</v>
      </c>
    </row>
    <row r="3736" spans="1:7">
      <c r="A3736" s="3">
        <v>14</v>
      </c>
      <c r="B3736" s="3">
        <v>9</v>
      </c>
      <c r="C3736" s="3">
        <v>186</v>
      </c>
      <c r="D3736" s="3">
        <v>102</v>
      </c>
      <c r="E3736" s="3">
        <v>-479.468</v>
      </c>
      <c r="F3736" s="4" t="str">
        <f>HYPERLINK("http://141.218.60.56/~jnz1568/getInfo.php?workbook=14_09.xlsx&amp;sheet=A0&amp;row=3736&amp;col=6&amp;number=17200000&amp;sourceID=14","17200000")</f>
        <v>17200000</v>
      </c>
      <c r="G3736" s="4" t="str">
        <f>HYPERLINK("http://141.218.60.56/~jnz1568/getInfo.php?workbook=14_09.xlsx&amp;sheet=A0&amp;row=3736&amp;col=7&amp;number=0&amp;sourceID=14","0")</f>
        <v>0</v>
      </c>
    </row>
    <row r="3737" spans="1:7">
      <c r="A3737" s="3">
        <v>14</v>
      </c>
      <c r="B3737" s="3">
        <v>9</v>
      </c>
      <c r="C3737" s="3">
        <v>120</v>
      </c>
      <c r="D3737" s="3">
        <v>103</v>
      </c>
      <c r="E3737" s="3">
        <v>-20000.037</v>
      </c>
      <c r="F3737" s="4" t="str">
        <f>HYPERLINK("http://141.218.60.56/~jnz1568/getInfo.php?workbook=14_09.xlsx&amp;sheet=A0&amp;row=3737&amp;col=6&amp;number=215000&amp;sourceID=14","215000")</f>
        <v>215000</v>
      </c>
      <c r="G3737" s="4" t="str">
        <f>HYPERLINK("http://141.218.60.56/~jnz1568/getInfo.php?workbook=14_09.xlsx&amp;sheet=A0&amp;row=3737&amp;col=7&amp;number=0&amp;sourceID=14","0")</f>
        <v>0</v>
      </c>
    </row>
    <row r="3738" spans="1:7">
      <c r="A3738" s="3">
        <v>14</v>
      </c>
      <c r="B3738" s="3">
        <v>9</v>
      </c>
      <c r="C3738" s="3">
        <v>123</v>
      </c>
      <c r="D3738" s="3">
        <v>103</v>
      </c>
      <c r="E3738" s="3">
        <v>-15015.043</v>
      </c>
      <c r="F3738" s="4" t="str">
        <f>HYPERLINK("http://141.218.60.56/~jnz1568/getInfo.php?workbook=14_09.xlsx&amp;sheet=A0&amp;row=3738&amp;col=6&amp;number=475000&amp;sourceID=14","475000")</f>
        <v>475000</v>
      </c>
      <c r="G3738" s="4" t="str">
        <f>HYPERLINK("http://141.218.60.56/~jnz1568/getInfo.php?workbook=14_09.xlsx&amp;sheet=A0&amp;row=3738&amp;col=7&amp;number=0&amp;sourceID=14","0")</f>
        <v>0</v>
      </c>
    </row>
    <row r="3739" spans="1:7">
      <c r="A3739" s="3">
        <v>14</v>
      </c>
      <c r="B3739" s="3">
        <v>9</v>
      </c>
      <c r="C3739" s="3">
        <v>125</v>
      </c>
      <c r="D3739" s="3">
        <v>103</v>
      </c>
      <c r="E3739" s="3">
        <v>-7594.182</v>
      </c>
      <c r="F3739" s="4" t="str">
        <f>HYPERLINK("http://141.218.60.56/~jnz1568/getInfo.php?workbook=14_09.xlsx&amp;sheet=A0&amp;row=3739&amp;col=6&amp;number=828000&amp;sourceID=14","828000")</f>
        <v>828000</v>
      </c>
      <c r="G3739" s="4" t="str">
        <f>HYPERLINK("http://141.218.60.56/~jnz1568/getInfo.php?workbook=14_09.xlsx&amp;sheet=A0&amp;row=3739&amp;col=7&amp;number=0&amp;sourceID=14","0")</f>
        <v>0</v>
      </c>
    </row>
    <row r="3740" spans="1:7">
      <c r="A3740" s="3">
        <v>14</v>
      </c>
      <c r="B3740" s="3">
        <v>9</v>
      </c>
      <c r="C3740" s="3">
        <v>139</v>
      </c>
      <c r="D3740" s="3">
        <v>103</v>
      </c>
      <c r="E3740" s="3">
        <v>-2118.02</v>
      </c>
      <c r="F3740" s="4" t="str">
        <f>HYPERLINK("http://141.218.60.56/~jnz1568/getInfo.php?workbook=14_09.xlsx&amp;sheet=A0&amp;row=3740&amp;col=6&amp;number=435000&amp;sourceID=14","435000")</f>
        <v>435000</v>
      </c>
      <c r="G3740" s="4" t="str">
        <f>HYPERLINK("http://141.218.60.56/~jnz1568/getInfo.php?workbook=14_09.xlsx&amp;sheet=A0&amp;row=3740&amp;col=7&amp;number=0&amp;sourceID=14","0")</f>
        <v>0</v>
      </c>
    </row>
    <row r="3741" spans="1:7">
      <c r="A3741" s="3">
        <v>14</v>
      </c>
      <c r="B3741" s="3">
        <v>9</v>
      </c>
      <c r="C3741" s="3">
        <v>141</v>
      </c>
      <c r="D3741" s="3">
        <v>103</v>
      </c>
      <c r="E3741" s="3">
        <v>-2058.337</v>
      </c>
      <c r="F3741" s="4" t="str">
        <f>HYPERLINK("http://141.218.60.56/~jnz1568/getInfo.php?workbook=14_09.xlsx&amp;sheet=A0&amp;row=3741&amp;col=6&amp;number=3840000&amp;sourceID=14","3840000")</f>
        <v>3840000</v>
      </c>
      <c r="G3741" s="4" t="str">
        <f>HYPERLINK("http://141.218.60.56/~jnz1568/getInfo.php?workbook=14_09.xlsx&amp;sheet=A0&amp;row=3741&amp;col=7&amp;number=0&amp;sourceID=14","0")</f>
        <v>0</v>
      </c>
    </row>
    <row r="3742" spans="1:7">
      <c r="A3742" s="3">
        <v>14</v>
      </c>
      <c r="B3742" s="3">
        <v>9</v>
      </c>
      <c r="C3742" s="3">
        <v>142</v>
      </c>
      <c r="D3742" s="3">
        <v>103</v>
      </c>
      <c r="E3742" s="3">
        <v>-2057.871</v>
      </c>
      <c r="F3742" s="4" t="str">
        <f>HYPERLINK("http://141.218.60.56/~jnz1568/getInfo.php?workbook=14_09.xlsx&amp;sheet=A0&amp;row=3742&amp;col=6&amp;number=566000&amp;sourceID=14","566000")</f>
        <v>566000</v>
      </c>
      <c r="G3742" s="4" t="str">
        <f>HYPERLINK("http://141.218.60.56/~jnz1568/getInfo.php?workbook=14_09.xlsx&amp;sheet=A0&amp;row=3742&amp;col=7&amp;number=0&amp;sourceID=14","0")</f>
        <v>0</v>
      </c>
    </row>
    <row r="3743" spans="1:7">
      <c r="A3743" s="3">
        <v>14</v>
      </c>
      <c r="B3743" s="3">
        <v>9</v>
      </c>
      <c r="C3743" s="3">
        <v>146</v>
      </c>
      <c r="D3743" s="3">
        <v>103</v>
      </c>
      <c r="E3743" s="3">
        <v>-2002.126</v>
      </c>
      <c r="F3743" s="4" t="str">
        <f>HYPERLINK("http://141.218.60.56/~jnz1568/getInfo.php?workbook=14_09.xlsx&amp;sheet=A0&amp;row=3743&amp;col=6&amp;number=7490000&amp;sourceID=14","7490000")</f>
        <v>7490000</v>
      </c>
      <c r="G3743" s="4" t="str">
        <f>HYPERLINK("http://141.218.60.56/~jnz1568/getInfo.php?workbook=14_09.xlsx&amp;sheet=A0&amp;row=3743&amp;col=7&amp;number=0&amp;sourceID=14","0")</f>
        <v>0</v>
      </c>
    </row>
    <row r="3744" spans="1:7">
      <c r="A3744" s="3">
        <v>14</v>
      </c>
      <c r="B3744" s="3">
        <v>9</v>
      </c>
      <c r="C3744" s="3">
        <v>147</v>
      </c>
      <c r="D3744" s="3">
        <v>103</v>
      </c>
      <c r="E3744" s="3">
        <v>-2002.046</v>
      </c>
      <c r="F3744" s="4" t="str">
        <f>HYPERLINK("http://141.218.60.56/~jnz1568/getInfo.php?workbook=14_09.xlsx&amp;sheet=A0&amp;row=3744&amp;col=6&amp;number=917000&amp;sourceID=14","917000")</f>
        <v>917000</v>
      </c>
      <c r="G3744" s="4" t="str">
        <f>HYPERLINK("http://141.218.60.56/~jnz1568/getInfo.php?workbook=14_09.xlsx&amp;sheet=A0&amp;row=3744&amp;col=7&amp;number=0&amp;sourceID=14","0")</f>
        <v>0</v>
      </c>
    </row>
    <row r="3745" spans="1:7">
      <c r="A3745" s="3">
        <v>14</v>
      </c>
      <c r="B3745" s="3">
        <v>9</v>
      </c>
      <c r="C3745" s="3">
        <v>164</v>
      </c>
      <c r="D3745" s="3">
        <v>103</v>
      </c>
      <c r="E3745" s="3">
        <v>-845.124</v>
      </c>
      <c r="F3745" s="4" t="str">
        <f>HYPERLINK("http://141.218.60.56/~jnz1568/getInfo.php?workbook=14_09.xlsx&amp;sheet=A0&amp;row=3745&amp;col=6&amp;number=1190000&amp;sourceID=14","1190000")</f>
        <v>1190000</v>
      </c>
      <c r="G3745" s="4" t="str">
        <f>HYPERLINK("http://141.218.60.56/~jnz1568/getInfo.php?workbook=14_09.xlsx&amp;sheet=A0&amp;row=3745&amp;col=7&amp;number=0&amp;sourceID=14","0")</f>
        <v>0</v>
      </c>
    </row>
    <row r="3746" spans="1:7">
      <c r="A3746" s="3">
        <v>14</v>
      </c>
      <c r="B3746" s="3">
        <v>9</v>
      </c>
      <c r="C3746" s="3">
        <v>165</v>
      </c>
      <c r="D3746" s="3">
        <v>103</v>
      </c>
      <c r="E3746" s="3">
        <v>-845.053</v>
      </c>
      <c r="F3746" s="4" t="str">
        <f>HYPERLINK("http://141.218.60.56/~jnz1568/getInfo.php?workbook=14_09.xlsx&amp;sheet=A0&amp;row=3746&amp;col=6&amp;number=18500000&amp;sourceID=14","18500000")</f>
        <v>18500000</v>
      </c>
      <c r="G3746" s="4" t="str">
        <f>HYPERLINK("http://141.218.60.56/~jnz1568/getInfo.php?workbook=14_09.xlsx&amp;sheet=A0&amp;row=3746&amp;col=7&amp;number=0&amp;sourceID=14","0")</f>
        <v>0</v>
      </c>
    </row>
    <row r="3747" spans="1:7">
      <c r="A3747" s="3">
        <v>14</v>
      </c>
      <c r="B3747" s="3">
        <v>9</v>
      </c>
      <c r="C3747" s="3">
        <v>166</v>
      </c>
      <c r="D3747" s="3">
        <v>103</v>
      </c>
      <c r="E3747" s="3">
        <v>-787.124</v>
      </c>
      <c r="F3747" s="4" t="str">
        <f>HYPERLINK("http://141.218.60.56/~jnz1568/getInfo.php?workbook=14_09.xlsx&amp;sheet=A0&amp;row=3747&amp;col=6&amp;number=34200000&amp;sourceID=14","34200000")</f>
        <v>34200000</v>
      </c>
      <c r="G3747" s="4" t="str">
        <f>HYPERLINK("http://141.218.60.56/~jnz1568/getInfo.php?workbook=14_09.xlsx&amp;sheet=A0&amp;row=3747&amp;col=7&amp;number=0&amp;sourceID=14","0")</f>
        <v>0</v>
      </c>
    </row>
    <row r="3748" spans="1:7">
      <c r="A3748" s="3">
        <v>14</v>
      </c>
      <c r="B3748" s="3">
        <v>9</v>
      </c>
      <c r="C3748" s="3">
        <v>172</v>
      </c>
      <c r="D3748" s="3">
        <v>103</v>
      </c>
      <c r="E3748" s="3">
        <v>-643.974</v>
      </c>
      <c r="F3748" s="4" t="str">
        <f>HYPERLINK("http://141.218.60.56/~jnz1568/getInfo.php?workbook=14_09.xlsx&amp;sheet=A0&amp;row=3748&amp;col=6&amp;number=911000&amp;sourceID=14","911000")</f>
        <v>911000</v>
      </c>
      <c r="G3748" s="4" t="str">
        <f>HYPERLINK("http://141.218.60.56/~jnz1568/getInfo.php?workbook=14_09.xlsx&amp;sheet=A0&amp;row=3748&amp;col=7&amp;number=0&amp;sourceID=14","0")</f>
        <v>0</v>
      </c>
    </row>
    <row r="3749" spans="1:7">
      <c r="A3749" s="3">
        <v>14</v>
      </c>
      <c r="B3749" s="3">
        <v>9</v>
      </c>
      <c r="C3749" s="3">
        <v>175</v>
      </c>
      <c r="D3749" s="3">
        <v>103</v>
      </c>
      <c r="E3749" s="3">
        <v>-612.131</v>
      </c>
      <c r="F3749" s="4" t="str">
        <f>HYPERLINK("http://141.218.60.56/~jnz1568/getInfo.php?workbook=14_09.xlsx&amp;sheet=A0&amp;row=3749&amp;col=6&amp;number=117000000&amp;sourceID=14","117000000")</f>
        <v>117000000</v>
      </c>
      <c r="G3749" s="4" t="str">
        <f>HYPERLINK("http://141.218.60.56/~jnz1568/getInfo.php?workbook=14_09.xlsx&amp;sheet=A0&amp;row=3749&amp;col=7&amp;number=0&amp;sourceID=14","0")</f>
        <v>0</v>
      </c>
    </row>
    <row r="3750" spans="1:7">
      <c r="A3750" s="3">
        <v>14</v>
      </c>
      <c r="B3750" s="3">
        <v>9</v>
      </c>
      <c r="C3750" s="3">
        <v>177</v>
      </c>
      <c r="D3750" s="3">
        <v>103</v>
      </c>
      <c r="E3750" s="3">
        <v>-604.38</v>
      </c>
      <c r="F3750" s="4" t="str">
        <f>HYPERLINK("http://141.218.60.56/~jnz1568/getInfo.php?workbook=14_09.xlsx&amp;sheet=A0&amp;row=3750&amp;col=6&amp;number=190000000&amp;sourceID=14","190000000")</f>
        <v>190000000</v>
      </c>
      <c r="G3750" s="4" t="str">
        <f>HYPERLINK("http://141.218.60.56/~jnz1568/getInfo.php?workbook=14_09.xlsx&amp;sheet=A0&amp;row=3750&amp;col=7&amp;number=0&amp;sourceID=14","0")</f>
        <v>0</v>
      </c>
    </row>
    <row r="3751" spans="1:7">
      <c r="A3751" s="3">
        <v>14</v>
      </c>
      <c r="B3751" s="3">
        <v>9</v>
      </c>
      <c r="C3751" s="3">
        <v>179</v>
      </c>
      <c r="D3751" s="3">
        <v>103</v>
      </c>
      <c r="E3751" s="3">
        <v>-603.64</v>
      </c>
      <c r="F3751" s="4" t="str">
        <f>HYPERLINK("http://141.218.60.56/~jnz1568/getInfo.php?workbook=14_09.xlsx&amp;sheet=A0&amp;row=3751&amp;col=6&amp;number=270000&amp;sourceID=14","270000")</f>
        <v>270000</v>
      </c>
      <c r="G3751" s="4" t="str">
        <f>HYPERLINK("http://141.218.60.56/~jnz1568/getInfo.php?workbook=14_09.xlsx&amp;sheet=A0&amp;row=3751&amp;col=7&amp;number=0&amp;sourceID=14","0")</f>
        <v>0</v>
      </c>
    </row>
    <row r="3752" spans="1:7">
      <c r="A3752" s="3">
        <v>14</v>
      </c>
      <c r="B3752" s="3">
        <v>9</v>
      </c>
      <c r="C3752" s="3">
        <v>180</v>
      </c>
      <c r="D3752" s="3">
        <v>103</v>
      </c>
      <c r="E3752" s="3">
        <v>-599.615</v>
      </c>
      <c r="F3752" s="4" t="str">
        <f>HYPERLINK("http://141.218.60.56/~jnz1568/getInfo.php?workbook=14_09.xlsx&amp;sheet=A0&amp;row=3752&amp;col=6&amp;number=30600000&amp;sourceID=14","30600000")</f>
        <v>30600000</v>
      </c>
      <c r="G3752" s="4" t="str">
        <f>HYPERLINK("http://141.218.60.56/~jnz1568/getInfo.php?workbook=14_09.xlsx&amp;sheet=A0&amp;row=3752&amp;col=7&amp;number=0&amp;sourceID=14","0")</f>
        <v>0</v>
      </c>
    </row>
    <row r="3753" spans="1:7">
      <c r="A3753" s="3">
        <v>14</v>
      </c>
      <c r="B3753" s="3">
        <v>9</v>
      </c>
      <c r="C3753" s="3">
        <v>181</v>
      </c>
      <c r="D3753" s="3">
        <v>103</v>
      </c>
      <c r="E3753" s="3">
        <v>-584.499</v>
      </c>
      <c r="F3753" s="4" t="str">
        <f>HYPERLINK("http://141.218.60.56/~jnz1568/getInfo.php?workbook=14_09.xlsx&amp;sheet=A0&amp;row=3753&amp;col=6&amp;number=18300000&amp;sourceID=14","18300000")</f>
        <v>18300000</v>
      </c>
      <c r="G3753" s="4" t="str">
        <f>HYPERLINK("http://141.218.60.56/~jnz1568/getInfo.php?workbook=14_09.xlsx&amp;sheet=A0&amp;row=3753&amp;col=7&amp;number=0&amp;sourceID=14","0")</f>
        <v>0</v>
      </c>
    </row>
    <row r="3754" spans="1:7">
      <c r="A3754" s="3">
        <v>14</v>
      </c>
      <c r="B3754" s="3">
        <v>9</v>
      </c>
      <c r="C3754" s="3">
        <v>182</v>
      </c>
      <c r="D3754" s="3">
        <v>103</v>
      </c>
      <c r="E3754" s="3">
        <v>-584.168</v>
      </c>
      <c r="F3754" s="4" t="str">
        <f>HYPERLINK("http://141.218.60.56/~jnz1568/getInfo.php?workbook=14_09.xlsx&amp;sheet=A0&amp;row=3754&amp;col=6&amp;number=851000&amp;sourceID=14","851000")</f>
        <v>851000</v>
      </c>
      <c r="G3754" s="4" t="str">
        <f>HYPERLINK("http://141.218.60.56/~jnz1568/getInfo.php?workbook=14_09.xlsx&amp;sheet=A0&amp;row=3754&amp;col=7&amp;number=0&amp;sourceID=14","0")</f>
        <v>0</v>
      </c>
    </row>
    <row r="3755" spans="1:7">
      <c r="A3755" s="3">
        <v>14</v>
      </c>
      <c r="B3755" s="3">
        <v>9</v>
      </c>
      <c r="C3755" s="3">
        <v>184</v>
      </c>
      <c r="D3755" s="3">
        <v>103</v>
      </c>
      <c r="E3755" s="3">
        <v>-549.298</v>
      </c>
      <c r="F3755" s="4" t="str">
        <f>HYPERLINK("http://141.218.60.56/~jnz1568/getInfo.php?workbook=14_09.xlsx&amp;sheet=A0&amp;row=3755&amp;col=6&amp;number=31600000&amp;sourceID=14","31600000")</f>
        <v>31600000</v>
      </c>
      <c r="G3755" s="4" t="str">
        <f>HYPERLINK("http://141.218.60.56/~jnz1568/getInfo.php?workbook=14_09.xlsx&amp;sheet=A0&amp;row=3755&amp;col=7&amp;number=0&amp;sourceID=14","0")</f>
        <v>0</v>
      </c>
    </row>
    <row r="3756" spans="1:7">
      <c r="A3756" s="3">
        <v>14</v>
      </c>
      <c r="B3756" s="3">
        <v>9</v>
      </c>
      <c r="C3756" s="3">
        <v>190</v>
      </c>
      <c r="D3756" s="3">
        <v>103</v>
      </c>
      <c r="E3756" s="3">
        <v>-319.795</v>
      </c>
      <c r="F3756" s="4" t="str">
        <f>HYPERLINK("http://141.218.60.56/~jnz1568/getInfo.php?workbook=14_09.xlsx&amp;sheet=A0&amp;row=3756&amp;col=6&amp;number=2530000&amp;sourceID=14","2530000")</f>
        <v>2530000</v>
      </c>
      <c r="G3756" s="4" t="str">
        <f>HYPERLINK("http://141.218.60.56/~jnz1568/getInfo.php?workbook=14_09.xlsx&amp;sheet=A0&amp;row=3756&amp;col=7&amp;number=0&amp;sourceID=14","0")</f>
        <v>0</v>
      </c>
    </row>
    <row r="3757" spans="1:7">
      <c r="A3757" s="3">
        <v>14</v>
      </c>
      <c r="B3757" s="3">
        <v>9</v>
      </c>
      <c r="C3757" s="3">
        <v>191</v>
      </c>
      <c r="D3757" s="3">
        <v>103</v>
      </c>
      <c r="E3757" s="3">
        <v>-319.709</v>
      </c>
      <c r="F3757" s="4" t="str">
        <f>HYPERLINK("http://141.218.60.56/~jnz1568/getInfo.php?workbook=14_09.xlsx&amp;sheet=A0&amp;row=3757&amp;col=6&amp;number=16900000&amp;sourceID=14","16900000")</f>
        <v>16900000</v>
      </c>
      <c r="G3757" s="4" t="str">
        <f>HYPERLINK("http://141.218.60.56/~jnz1568/getInfo.php?workbook=14_09.xlsx&amp;sheet=A0&amp;row=3757&amp;col=7&amp;number=0&amp;sourceID=14","0")</f>
        <v>0</v>
      </c>
    </row>
    <row r="3758" spans="1:7">
      <c r="A3758" s="3">
        <v>14</v>
      </c>
      <c r="B3758" s="3">
        <v>9</v>
      </c>
      <c r="C3758" s="3">
        <v>192</v>
      </c>
      <c r="D3758" s="3">
        <v>103</v>
      </c>
      <c r="E3758" s="3">
        <v>-316.064</v>
      </c>
      <c r="F3758" s="4" t="str">
        <f>HYPERLINK("http://141.218.60.56/~jnz1568/getInfo.php?workbook=14_09.xlsx&amp;sheet=A0&amp;row=3758&amp;col=6&amp;number=55600000&amp;sourceID=14","55600000")</f>
        <v>55600000</v>
      </c>
      <c r="G3758" s="4" t="str">
        <f>HYPERLINK("http://141.218.60.56/~jnz1568/getInfo.php?workbook=14_09.xlsx&amp;sheet=A0&amp;row=3758&amp;col=7&amp;number=0&amp;sourceID=14","0")</f>
        <v>0</v>
      </c>
    </row>
    <row r="3759" spans="1:7">
      <c r="A3759" s="3">
        <v>14</v>
      </c>
      <c r="B3759" s="3">
        <v>9</v>
      </c>
      <c r="C3759" s="3">
        <v>194</v>
      </c>
      <c r="D3759" s="3">
        <v>103</v>
      </c>
      <c r="E3759" s="3">
        <v>-313.121</v>
      </c>
      <c r="F3759" s="4" t="str">
        <f>HYPERLINK("http://141.218.60.56/~jnz1568/getInfo.php?workbook=14_09.xlsx&amp;sheet=A0&amp;row=3759&amp;col=6&amp;number=1060000&amp;sourceID=14","1060000")</f>
        <v>1060000</v>
      </c>
      <c r="G3759" s="4" t="str">
        <f>HYPERLINK("http://141.218.60.56/~jnz1568/getInfo.php?workbook=14_09.xlsx&amp;sheet=A0&amp;row=3759&amp;col=7&amp;number=0&amp;sourceID=14","0")</f>
        <v>0</v>
      </c>
    </row>
    <row r="3760" spans="1:7">
      <c r="A3760" s="3">
        <v>14</v>
      </c>
      <c r="B3760" s="3">
        <v>9</v>
      </c>
      <c r="C3760" s="3">
        <v>195</v>
      </c>
      <c r="D3760" s="3">
        <v>103</v>
      </c>
      <c r="E3760" s="3">
        <v>-313.054</v>
      </c>
      <c r="F3760" s="4" t="str">
        <f>HYPERLINK("http://141.218.60.56/~jnz1568/getInfo.php?workbook=14_09.xlsx&amp;sheet=A0&amp;row=3760&amp;col=6&amp;number=1750000&amp;sourceID=14","1750000")</f>
        <v>1750000</v>
      </c>
      <c r="G3760" s="4" t="str">
        <f>HYPERLINK("http://141.218.60.56/~jnz1568/getInfo.php?workbook=14_09.xlsx&amp;sheet=A0&amp;row=3760&amp;col=7&amp;number=0&amp;sourceID=14","0")</f>
        <v>0</v>
      </c>
    </row>
    <row r="3761" spans="1:7">
      <c r="A3761" s="3">
        <v>14</v>
      </c>
      <c r="B3761" s="3">
        <v>9</v>
      </c>
      <c r="C3761" s="3">
        <v>140</v>
      </c>
      <c r="D3761" s="3">
        <v>104</v>
      </c>
      <c r="E3761" s="3">
        <v>-2112.74</v>
      </c>
      <c r="F3761" s="4" t="str">
        <f>HYPERLINK("http://141.218.60.56/~jnz1568/getInfo.php?workbook=14_09.xlsx&amp;sheet=A0&amp;row=3761&amp;col=6&amp;number=3190000&amp;sourceID=14","3190000")</f>
        <v>3190000</v>
      </c>
      <c r="G3761" s="4" t="str">
        <f>HYPERLINK("http://141.218.60.56/~jnz1568/getInfo.php?workbook=14_09.xlsx&amp;sheet=A0&amp;row=3761&amp;col=7&amp;number=0&amp;sourceID=14","0")</f>
        <v>0</v>
      </c>
    </row>
    <row r="3762" spans="1:7">
      <c r="A3762" s="3">
        <v>14</v>
      </c>
      <c r="B3762" s="3">
        <v>9</v>
      </c>
      <c r="C3762" s="3">
        <v>130</v>
      </c>
      <c r="D3762" s="3">
        <v>105</v>
      </c>
      <c r="E3762" s="3">
        <v>-2691.071</v>
      </c>
      <c r="F3762" s="4" t="str">
        <f>HYPERLINK("http://141.218.60.56/~jnz1568/getInfo.php?workbook=14_09.xlsx&amp;sheet=A0&amp;row=3762&amp;col=6&amp;number=320000&amp;sourceID=14","320000")</f>
        <v>320000</v>
      </c>
      <c r="G3762" s="4" t="str">
        <f>HYPERLINK("http://141.218.60.56/~jnz1568/getInfo.php?workbook=14_09.xlsx&amp;sheet=A0&amp;row=3762&amp;col=7&amp;number=0&amp;sourceID=14","0")</f>
        <v>0</v>
      </c>
    </row>
    <row r="3763" spans="1:7">
      <c r="A3763" s="3">
        <v>14</v>
      </c>
      <c r="B3763" s="3">
        <v>9</v>
      </c>
      <c r="C3763" s="3">
        <v>133</v>
      </c>
      <c r="D3763" s="3">
        <v>105</v>
      </c>
      <c r="E3763" s="3">
        <v>-2459.303</v>
      </c>
      <c r="F3763" s="4" t="str">
        <f>HYPERLINK("http://141.218.60.56/~jnz1568/getInfo.php?workbook=14_09.xlsx&amp;sheet=A0&amp;row=3763&amp;col=6&amp;number=98600&amp;sourceID=14","98600")</f>
        <v>98600</v>
      </c>
      <c r="G3763" s="4" t="str">
        <f>HYPERLINK("http://141.218.60.56/~jnz1568/getInfo.php?workbook=14_09.xlsx&amp;sheet=A0&amp;row=3763&amp;col=7&amp;number=0&amp;sourceID=14","0")</f>
        <v>0</v>
      </c>
    </row>
    <row r="3764" spans="1:7">
      <c r="A3764" s="3">
        <v>14</v>
      </c>
      <c r="B3764" s="3">
        <v>9</v>
      </c>
      <c r="C3764" s="3">
        <v>140</v>
      </c>
      <c r="D3764" s="3">
        <v>105</v>
      </c>
      <c r="E3764" s="3">
        <v>-2114.035</v>
      </c>
      <c r="F3764" s="4" t="str">
        <f>HYPERLINK("http://141.218.60.56/~jnz1568/getInfo.php?workbook=14_09.xlsx&amp;sheet=A0&amp;row=3764&amp;col=6&amp;number=686000&amp;sourceID=14","686000")</f>
        <v>686000</v>
      </c>
      <c r="G3764" s="4" t="str">
        <f>HYPERLINK("http://141.218.60.56/~jnz1568/getInfo.php?workbook=14_09.xlsx&amp;sheet=A0&amp;row=3764&amp;col=7&amp;number=0&amp;sourceID=14","0")</f>
        <v>0</v>
      </c>
    </row>
    <row r="3765" spans="1:7">
      <c r="A3765" s="3">
        <v>14</v>
      </c>
      <c r="B3765" s="3">
        <v>9</v>
      </c>
      <c r="C3765" s="3">
        <v>145</v>
      </c>
      <c r="D3765" s="3">
        <v>105</v>
      </c>
      <c r="E3765" s="3">
        <v>-2052.97</v>
      </c>
      <c r="F3765" s="4" t="str">
        <f>HYPERLINK("http://141.218.60.56/~jnz1568/getInfo.php?workbook=14_09.xlsx&amp;sheet=A0&amp;row=3765&amp;col=6&amp;number=2810000&amp;sourceID=14","2810000")</f>
        <v>2810000</v>
      </c>
      <c r="G3765" s="4" t="str">
        <f>HYPERLINK("http://141.218.60.56/~jnz1568/getInfo.php?workbook=14_09.xlsx&amp;sheet=A0&amp;row=3765&amp;col=7&amp;number=0&amp;sourceID=14","0")</f>
        <v>0</v>
      </c>
    </row>
    <row r="3766" spans="1:7">
      <c r="A3766" s="3">
        <v>14</v>
      </c>
      <c r="B3766" s="3">
        <v>9</v>
      </c>
      <c r="C3766" s="3">
        <v>129</v>
      </c>
      <c r="D3766" s="3">
        <v>106</v>
      </c>
      <c r="E3766" s="3">
        <v>-2705.047</v>
      </c>
      <c r="F3766" s="4" t="str">
        <f>HYPERLINK("http://141.218.60.56/~jnz1568/getInfo.php?workbook=14_09.xlsx&amp;sheet=A0&amp;row=3766&amp;col=6&amp;number=1070000&amp;sourceID=14","1070000")</f>
        <v>1070000</v>
      </c>
      <c r="G3766" s="4" t="str">
        <f>HYPERLINK("http://141.218.60.56/~jnz1568/getInfo.php?workbook=14_09.xlsx&amp;sheet=A0&amp;row=3766&amp;col=7&amp;number=0&amp;sourceID=14","0")</f>
        <v>0</v>
      </c>
    </row>
    <row r="3767" spans="1:7">
      <c r="A3767" s="3">
        <v>14</v>
      </c>
      <c r="B3767" s="3">
        <v>9</v>
      </c>
      <c r="C3767" s="3">
        <v>131</v>
      </c>
      <c r="D3767" s="3">
        <v>106</v>
      </c>
      <c r="E3767" s="3">
        <v>-2476.049</v>
      </c>
      <c r="F3767" s="4" t="str">
        <f>HYPERLINK("http://141.218.60.56/~jnz1568/getInfo.php?workbook=14_09.xlsx&amp;sheet=A0&amp;row=3767&amp;col=6&amp;number=325000&amp;sourceID=14","325000")</f>
        <v>325000</v>
      </c>
      <c r="G3767" s="4" t="str">
        <f>HYPERLINK("http://141.218.60.56/~jnz1568/getInfo.php?workbook=14_09.xlsx&amp;sheet=A0&amp;row=3767&amp;col=7&amp;number=0&amp;sourceID=14","0")</f>
        <v>0</v>
      </c>
    </row>
    <row r="3768" spans="1:7">
      <c r="A3768" s="3">
        <v>14</v>
      </c>
      <c r="B3768" s="3">
        <v>9</v>
      </c>
      <c r="C3768" s="3">
        <v>133</v>
      </c>
      <c r="D3768" s="3">
        <v>106</v>
      </c>
      <c r="E3768" s="3">
        <v>-2468.226</v>
      </c>
      <c r="F3768" s="4" t="str">
        <f>HYPERLINK("http://141.218.60.56/~jnz1568/getInfo.php?workbook=14_09.xlsx&amp;sheet=A0&amp;row=3768&amp;col=6&amp;number=117000&amp;sourceID=14","117000")</f>
        <v>117000</v>
      </c>
      <c r="G3768" s="4" t="str">
        <f>HYPERLINK("http://141.218.60.56/~jnz1568/getInfo.php?workbook=14_09.xlsx&amp;sheet=A0&amp;row=3768&amp;col=7&amp;number=0&amp;sourceID=14","0")</f>
        <v>0</v>
      </c>
    </row>
    <row r="3769" spans="1:7">
      <c r="A3769" s="3">
        <v>14</v>
      </c>
      <c r="B3769" s="3">
        <v>9</v>
      </c>
      <c r="C3769" s="3">
        <v>145</v>
      </c>
      <c r="D3769" s="3">
        <v>106</v>
      </c>
      <c r="E3769" s="3">
        <v>-2059.185</v>
      </c>
      <c r="F3769" s="4" t="str">
        <f>HYPERLINK("http://141.218.60.56/~jnz1568/getInfo.php?workbook=14_09.xlsx&amp;sheet=A0&amp;row=3769&amp;col=6&amp;number=1030000&amp;sourceID=14","1030000")</f>
        <v>1030000</v>
      </c>
      <c r="G3769" s="4" t="str">
        <f>HYPERLINK("http://141.218.60.56/~jnz1568/getInfo.php?workbook=14_09.xlsx&amp;sheet=A0&amp;row=3769&amp;col=7&amp;number=0&amp;sourceID=14","0")</f>
        <v>0</v>
      </c>
    </row>
    <row r="3770" spans="1:7">
      <c r="A3770" s="3">
        <v>14</v>
      </c>
      <c r="B3770" s="3">
        <v>9</v>
      </c>
      <c r="C3770" s="3">
        <v>148</v>
      </c>
      <c r="D3770" s="3">
        <v>106</v>
      </c>
      <c r="E3770" s="3">
        <v>-2000.004</v>
      </c>
      <c r="F3770" s="4" t="str">
        <f>HYPERLINK("http://141.218.60.56/~jnz1568/getInfo.php?workbook=14_09.xlsx&amp;sheet=A0&amp;row=3770&amp;col=6&amp;number=2580000&amp;sourceID=14","2580000")</f>
        <v>2580000</v>
      </c>
      <c r="G3770" s="4" t="str">
        <f>HYPERLINK("http://141.218.60.56/~jnz1568/getInfo.php?workbook=14_09.xlsx&amp;sheet=A0&amp;row=3770&amp;col=7&amp;number=0&amp;sourceID=14","0")</f>
        <v>0</v>
      </c>
    </row>
    <row r="3771" spans="1:7">
      <c r="A3771" s="3">
        <v>14</v>
      </c>
      <c r="B3771" s="3">
        <v>9</v>
      </c>
      <c r="C3771" s="3">
        <v>156</v>
      </c>
      <c r="D3771" s="3">
        <v>106</v>
      </c>
      <c r="E3771" s="3">
        <v>-1644.767</v>
      </c>
      <c r="F3771" s="4" t="str">
        <f>HYPERLINK("http://141.218.60.56/~jnz1568/getInfo.php?workbook=14_09.xlsx&amp;sheet=A0&amp;row=3771&amp;col=6&amp;number=1180000&amp;sourceID=14","1180000")</f>
        <v>1180000</v>
      </c>
      <c r="G3771" s="4" t="str">
        <f>HYPERLINK("http://141.218.60.56/~jnz1568/getInfo.php?workbook=14_09.xlsx&amp;sheet=A0&amp;row=3771&amp;col=7&amp;number=0&amp;sourceID=14","0")</f>
        <v>0</v>
      </c>
    </row>
    <row r="3772" spans="1:7">
      <c r="A3772" s="3">
        <v>14</v>
      </c>
      <c r="B3772" s="3">
        <v>9</v>
      </c>
      <c r="C3772" s="3">
        <v>129</v>
      </c>
      <c r="D3772" s="3">
        <v>107</v>
      </c>
      <c r="E3772" s="3">
        <v>-2725.915</v>
      </c>
      <c r="F3772" s="4" t="str">
        <f>HYPERLINK("http://141.218.60.56/~jnz1568/getInfo.php?workbook=14_09.xlsx&amp;sheet=A0&amp;row=3772&amp;col=6&amp;number=125000&amp;sourceID=14","125000")</f>
        <v>125000</v>
      </c>
      <c r="G3772" s="4" t="str">
        <f>HYPERLINK("http://141.218.60.56/~jnz1568/getInfo.php?workbook=14_09.xlsx&amp;sheet=A0&amp;row=3772&amp;col=7&amp;number=0&amp;sourceID=14","0")</f>
        <v>0</v>
      </c>
    </row>
    <row r="3773" spans="1:7">
      <c r="A3773" s="3">
        <v>14</v>
      </c>
      <c r="B3773" s="3">
        <v>9</v>
      </c>
      <c r="C3773" s="3">
        <v>130</v>
      </c>
      <c r="D3773" s="3">
        <v>107</v>
      </c>
      <c r="E3773" s="3">
        <v>-2722.575</v>
      </c>
      <c r="F3773" s="4" t="str">
        <f>HYPERLINK("http://141.218.60.56/~jnz1568/getInfo.php?workbook=14_09.xlsx&amp;sheet=A0&amp;row=3773&amp;col=6&amp;number=2640000&amp;sourceID=14","2640000")</f>
        <v>2640000</v>
      </c>
      <c r="G3773" s="4" t="str">
        <f>HYPERLINK("http://141.218.60.56/~jnz1568/getInfo.php?workbook=14_09.xlsx&amp;sheet=A0&amp;row=3773&amp;col=7&amp;number=0&amp;sourceID=14","0")</f>
        <v>0</v>
      </c>
    </row>
    <row r="3774" spans="1:7">
      <c r="A3774" s="3">
        <v>14</v>
      </c>
      <c r="B3774" s="3">
        <v>9</v>
      </c>
      <c r="C3774" s="3">
        <v>131</v>
      </c>
      <c r="D3774" s="3">
        <v>107</v>
      </c>
      <c r="E3774" s="3">
        <v>-2493.521</v>
      </c>
      <c r="F3774" s="4" t="str">
        <f>HYPERLINK("http://141.218.60.56/~jnz1568/getInfo.php?workbook=14_09.xlsx&amp;sheet=A0&amp;row=3774&amp;col=6&amp;number=224000&amp;sourceID=14","224000")</f>
        <v>224000</v>
      </c>
      <c r="G3774" s="4" t="str">
        <f>HYPERLINK("http://141.218.60.56/~jnz1568/getInfo.php?workbook=14_09.xlsx&amp;sheet=A0&amp;row=3774&amp;col=7&amp;number=0&amp;sourceID=14","0")</f>
        <v>0</v>
      </c>
    </row>
    <row r="3775" spans="1:7">
      <c r="A3775" s="3">
        <v>14</v>
      </c>
      <c r="B3775" s="3">
        <v>9</v>
      </c>
      <c r="C3775" s="3">
        <v>133</v>
      </c>
      <c r="D3775" s="3">
        <v>107</v>
      </c>
      <c r="E3775" s="3">
        <v>-2485.588</v>
      </c>
      <c r="F3775" s="4" t="str">
        <f>HYPERLINK("http://141.218.60.56/~jnz1568/getInfo.php?workbook=14_09.xlsx&amp;sheet=A0&amp;row=3775&amp;col=6&amp;number=839000&amp;sourceID=14","839000")</f>
        <v>839000</v>
      </c>
      <c r="G3775" s="4" t="str">
        <f>HYPERLINK("http://141.218.60.56/~jnz1568/getInfo.php?workbook=14_09.xlsx&amp;sheet=A0&amp;row=3775&amp;col=7&amp;number=0&amp;sourceID=14","0")</f>
        <v>0</v>
      </c>
    </row>
    <row r="3776" spans="1:7">
      <c r="A3776" s="3">
        <v>14</v>
      </c>
      <c r="B3776" s="3">
        <v>9</v>
      </c>
      <c r="C3776" s="3">
        <v>152</v>
      </c>
      <c r="D3776" s="3">
        <v>107</v>
      </c>
      <c r="E3776" s="3">
        <v>-1749.387</v>
      </c>
      <c r="F3776" s="4" t="str">
        <f>HYPERLINK("http://141.218.60.56/~jnz1568/getInfo.php?workbook=14_09.xlsx&amp;sheet=A0&amp;row=3776&amp;col=6&amp;number=4760000&amp;sourceID=14","4760000")</f>
        <v>4760000</v>
      </c>
      <c r="G3776" s="4" t="str">
        <f>HYPERLINK("http://141.218.60.56/~jnz1568/getInfo.php?workbook=14_09.xlsx&amp;sheet=A0&amp;row=3776&amp;col=7&amp;number=0&amp;sourceID=14","0")</f>
        <v>0</v>
      </c>
    </row>
    <row r="3777" spans="1:7">
      <c r="A3777" s="3">
        <v>14</v>
      </c>
      <c r="B3777" s="3">
        <v>9</v>
      </c>
      <c r="C3777" s="3">
        <v>153</v>
      </c>
      <c r="D3777" s="3">
        <v>107</v>
      </c>
      <c r="E3777" s="3">
        <v>-1697.421</v>
      </c>
      <c r="F3777" s="4" t="str">
        <f>HYPERLINK("http://141.218.60.56/~jnz1568/getInfo.php?workbook=14_09.xlsx&amp;sheet=A0&amp;row=3777&amp;col=6&amp;number=6440000&amp;sourceID=14","6440000")</f>
        <v>6440000</v>
      </c>
      <c r="G3777" s="4" t="str">
        <f>HYPERLINK("http://141.218.60.56/~jnz1568/getInfo.php?workbook=14_09.xlsx&amp;sheet=A0&amp;row=3777&amp;col=7&amp;number=0&amp;sourceID=14","0")</f>
        <v>0</v>
      </c>
    </row>
    <row r="3778" spans="1:7">
      <c r="A3778" s="3">
        <v>14</v>
      </c>
      <c r="B3778" s="3">
        <v>9</v>
      </c>
      <c r="C3778" s="3">
        <v>162</v>
      </c>
      <c r="D3778" s="3">
        <v>107</v>
      </c>
      <c r="E3778" s="3">
        <v>-925.765</v>
      </c>
      <c r="F3778" s="4" t="str">
        <f>HYPERLINK("http://141.218.60.56/~jnz1568/getInfo.php?workbook=14_09.xlsx&amp;sheet=A0&amp;row=3778&amp;col=6&amp;number=2280000&amp;sourceID=14","2280000")</f>
        <v>2280000</v>
      </c>
      <c r="G3778" s="4" t="str">
        <f>HYPERLINK("http://141.218.60.56/~jnz1568/getInfo.php?workbook=14_09.xlsx&amp;sheet=A0&amp;row=3778&amp;col=7&amp;number=0&amp;sourceID=14","0")</f>
        <v>0</v>
      </c>
    </row>
    <row r="3779" spans="1:7">
      <c r="A3779" s="3">
        <v>14</v>
      </c>
      <c r="B3779" s="3">
        <v>9</v>
      </c>
      <c r="C3779" s="3">
        <v>131</v>
      </c>
      <c r="D3779" s="3">
        <v>108</v>
      </c>
      <c r="E3779" s="3">
        <v>-2501.568</v>
      </c>
      <c r="F3779" s="4" t="str">
        <f>HYPERLINK("http://141.218.60.56/~jnz1568/getInfo.php?workbook=14_09.xlsx&amp;sheet=A0&amp;row=3779&amp;col=6&amp;number=887000&amp;sourceID=14","887000")</f>
        <v>887000</v>
      </c>
      <c r="G3779" s="4" t="str">
        <f>HYPERLINK("http://141.218.60.56/~jnz1568/getInfo.php?workbook=14_09.xlsx&amp;sheet=A0&amp;row=3779&amp;col=7&amp;number=0&amp;sourceID=14","0")</f>
        <v>0</v>
      </c>
    </row>
    <row r="3780" spans="1:7">
      <c r="A3780" s="3">
        <v>14</v>
      </c>
      <c r="B3780" s="3">
        <v>9</v>
      </c>
      <c r="C3780" s="3">
        <v>148</v>
      </c>
      <c r="D3780" s="3">
        <v>108</v>
      </c>
      <c r="E3780" s="3">
        <v>-2016.621</v>
      </c>
      <c r="F3780" s="4" t="str">
        <f>HYPERLINK("http://141.218.60.56/~jnz1568/getInfo.php?workbook=14_09.xlsx&amp;sheet=A0&amp;row=3780&amp;col=6&amp;number=1160000&amp;sourceID=14","1160000")</f>
        <v>1160000</v>
      </c>
      <c r="G3780" s="4" t="str">
        <f>HYPERLINK("http://141.218.60.56/~jnz1568/getInfo.php?workbook=14_09.xlsx&amp;sheet=A0&amp;row=3780&amp;col=7&amp;number=0&amp;sourceID=14","0")</f>
        <v>0</v>
      </c>
    </row>
    <row r="3781" spans="1:7">
      <c r="A3781" s="3">
        <v>14</v>
      </c>
      <c r="B3781" s="3">
        <v>9</v>
      </c>
      <c r="C3781" s="3">
        <v>151</v>
      </c>
      <c r="D3781" s="3">
        <v>108</v>
      </c>
      <c r="E3781" s="3">
        <v>-1974.064</v>
      </c>
      <c r="F3781" s="4" t="str">
        <f>HYPERLINK("http://141.218.60.56/~jnz1568/getInfo.php?workbook=14_09.xlsx&amp;sheet=A0&amp;row=3781&amp;col=6&amp;number=2460000&amp;sourceID=14","2460000")</f>
        <v>2460000</v>
      </c>
      <c r="G3781" s="4" t="str">
        <f>HYPERLINK("http://141.218.60.56/~jnz1568/getInfo.php?workbook=14_09.xlsx&amp;sheet=A0&amp;row=3781&amp;col=7&amp;number=0&amp;sourceID=14","0")</f>
        <v>0</v>
      </c>
    </row>
    <row r="3782" spans="1:7">
      <c r="A3782" s="3">
        <v>14</v>
      </c>
      <c r="B3782" s="3">
        <v>9</v>
      </c>
      <c r="C3782" s="3">
        <v>155</v>
      </c>
      <c r="D3782" s="3">
        <v>108</v>
      </c>
      <c r="E3782" s="3">
        <v>-1681.693</v>
      </c>
      <c r="F3782" s="4" t="str">
        <f>HYPERLINK("http://141.218.60.56/~jnz1568/getInfo.php?workbook=14_09.xlsx&amp;sheet=A0&amp;row=3782&amp;col=6&amp;number=489000&amp;sourceID=14","489000")</f>
        <v>489000</v>
      </c>
      <c r="G3782" s="4" t="str">
        <f>HYPERLINK("http://141.218.60.56/~jnz1568/getInfo.php?workbook=14_09.xlsx&amp;sheet=A0&amp;row=3782&amp;col=7&amp;number=0&amp;sourceID=14","0")</f>
        <v>0</v>
      </c>
    </row>
    <row r="3783" spans="1:7">
      <c r="A3783" s="3">
        <v>14</v>
      </c>
      <c r="B3783" s="3">
        <v>9</v>
      </c>
      <c r="C3783" s="3">
        <v>158</v>
      </c>
      <c r="D3783" s="3">
        <v>108</v>
      </c>
      <c r="E3783" s="3">
        <v>-1575.352</v>
      </c>
      <c r="F3783" s="4" t="str">
        <f>HYPERLINK("http://141.218.60.56/~jnz1568/getInfo.php?workbook=14_09.xlsx&amp;sheet=A0&amp;row=3783&amp;col=6&amp;number=876000&amp;sourceID=14","876000")</f>
        <v>876000</v>
      </c>
      <c r="G3783" s="4" t="str">
        <f>HYPERLINK("http://141.218.60.56/~jnz1568/getInfo.php?workbook=14_09.xlsx&amp;sheet=A0&amp;row=3783&amp;col=7&amp;number=0&amp;sourceID=14","0")</f>
        <v>0</v>
      </c>
    </row>
    <row r="3784" spans="1:7">
      <c r="A3784" s="3">
        <v>14</v>
      </c>
      <c r="B3784" s="3">
        <v>9</v>
      </c>
      <c r="C3784" s="3">
        <v>129</v>
      </c>
      <c r="D3784" s="3">
        <v>109</v>
      </c>
      <c r="E3784" s="3">
        <v>-2755.889</v>
      </c>
      <c r="F3784" s="4" t="str">
        <f>HYPERLINK("http://141.218.60.56/~jnz1568/getInfo.php?workbook=14_09.xlsx&amp;sheet=A0&amp;row=3784&amp;col=6&amp;number=1330000&amp;sourceID=14","1330000")</f>
        <v>1330000</v>
      </c>
      <c r="G3784" s="4" t="str">
        <f>HYPERLINK("http://141.218.60.56/~jnz1568/getInfo.php?workbook=14_09.xlsx&amp;sheet=A0&amp;row=3784&amp;col=7&amp;number=0&amp;sourceID=14","0")</f>
        <v>0</v>
      </c>
    </row>
    <row r="3785" spans="1:7">
      <c r="A3785" s="3">
        <v>14</v>
      </c>
      <c r="B3785" s="3">
        <v>9</v>
      </c>
      <c r="C3785" s="3">
        <v>131</v>
      </c>
      <c r="D3785" s="3">
        <v>109</v>
      </c>
      <c r="E3785" s="3">
        <v>-2518.579</v>
      </c>
      <c r="F3785" s="4" t="str">
        <f>HYPERLINK("http://141.218.60.56/~jnz1568/getInfo.php?workbook=14_09.xlsx&amp;sheet=A0&amp;row=3785&amp;col=6&amp;number=339000&amp;sourceID=14","339000")</f>
        <v>339000</v>
      </c>
      <c r="G3785" s="4" t="str">
        <f>HYPERLINK("http://141.218.60.56/~jnz1568/getInfo.php?workbook=14_09.xlsx&amp;sheet=A0&amp;row=3785&amp;col=7&amp;number=0&amp;sourceID=14","0")</f>
        <v>0</v>
      </c>
    </row>
    <row r="3786" spans="1:7">
      <c r="A3786" s="3">
        <v>14</v>
      </c>
      <c r="B3786" s="3">
        <v>9</v>
      </c>
      <c r="C3786" s="3">
        <v>152</v>
      </c>
      <c r="D3786" s="3">
        <v>109</v>
      </c>
      <c r="E3786" s="3">
        <v>-1761.683</v>
      </c>
      <c r="F3786" s="4" t="str">
        <f>HYPERLINK("http://141.218.60.56/~jnz1568/getInfo.php?workbook=14_09.xlsx&amp;sheet=A0&amp;row=3786&amp;col=6&amp;number=936000&amp;sourceID=14","936000")</f>
        <v>936000</v>
      </c>
      <c r="G3786" s="4" t="str">
        <f>HYPERLINK("http://141.218.60.56/~jnz1568/getInfo.php?workbook=14_09.xlsx&amp;sheet=A0&amp;row=3786&amp;col=7&amp;number=0&amp;sourceID=14","0")</f>
        <v>0</v>
      </c>
    </row>
    <row r="3787" spans="1:7">
      <c r="A3787" s="3">
        <v>14</v>
      </c>
      <c r="B3787" s="3">
        <v>9</v>
      </c>
      <c r="C3787" s="3">
        <v>153</v>
      </c>
      <c r="D3787" s="3">
        <v>109</v>
      </c>
      <c r="E3787" s="3">
        <v>-1708.996</v>
      </c>
      <c r="F3787" s="4" t="str">
        <f>HYPERLINK("http://141.218.60.56/~jnz1568/getInfo.php?workbook=14_09.xlsx&amp;sheet=A0&amp;row=3787&amp;col=6&amp;number=792000&amp;sourceID=14","792000")</f>
        <v>792000</v>
      </c>
      <c r="G3787" s="4" t="str">
        <f>HYPERLINK("http://141.218.60.56/~jnz1568/getInfo.php?workbook=14_09.xlsx&amp;sheet=A0&amp;row=3787&amp;col=7&amp;number=0&amp;sourceID=14","0")</f>
        <v>0</v>
      </c>
    </row>
    <row r="3788" spans="1:7">
      <c r="A3788" s="3">
        <v>14</v>
      </c>
      <c r="B3788" s="3">
        <v>9</v>
      </c>
      <c r="C3788" s="3">
        <v>156</v>
      </c>
      <c r="D3788" s="3">
        <v>109</v>
      </c>
      <c r="E3788" s="3">
        <v>-1663.426</v>
      </c>
      <c r="F3788" s="4" t="str">
        <f>HYPERLINK("http://141.218.60.56/~jnz1568/getInfo.php?workbook=14_09.xlsx&amp;sheet=A0&amp;row=3788&amp;col=6&amp;number=8200000&amp;sourceID=14","8200000")</f>
        <v>8200000</v>
      </c>
      <c r="G3788" s="4" t="str">
        <f>HYPERLINK("http://141.218.60.56/~jnz1568/getInfo.php?workbook=14_09.xlsx&amp;sheet=A0&amp;row=3788&amp;col=7&amp;number=0&amp;sourceID=14","0")</f>
        <v>0</v>
      </c>
    </row>
    <row r="3789" spans="1:7">
      <c r="A3789" s="3">
        <v>14</v>
      </c>
      <c r="B3789" s="3">
        <v>9</v>
      </c>
      <c r="C3789" s="3">
        <v>163</v>
      </c>
      <c r="D3789" s="3">
        <v>109</v>
      </c>
      <c r="E3789" s="3">
        <v>-928.067</v>
      </c>
      <c r="F3789" s="4" t="str">
        <f>HYPERLINK("http://141.218.60.56/~jnz1568/getInfo.php?workbook=14_09.xlsx&amp;sheet=A0&amp;row=3789&amp;col=6&amp;number=1640000&amp;sourceID=14","1640000")</f>
        <v>1640000</v>
      </c>
      <c r="G3789" s="4" t="str">
        <f>HYPERLINK("http://141.218.60.56/~jnz1568/getInfo.php?workbook=14_09.xlsx&amp;sheet=A0&amp;row=3789&amp;col=7&amp;number=0&amp;sourceID=14","0")</f>
        <v>0</v>
      </c>
    </row>
    <row r="3790" spans="1:7">
      <c r="A3790" s="3">
        <v>14</v>
      </c>
      <c r="B3790" s="3">
        <v>9</v>
      </c>
      <c r="C3790" s="3">
        <v>124</v>
      </c>
      <c r="D3790" s="3">
        <v>110</v>
      </c>
      <c r="E3790" s="3">
        <v>-19227.107</v>
      </c>
      <c r="F3790" s="4" t="str">
        <f>HYPERLINK("http://141.218.60.56/~jnz1568/getInfo.php?workbook=14_09.xlsx&amp;sheet=A0&amp;row=3790&amp;col=6&amp;number=334000&amp;sourceID=14","334000")</f>
        <v>334000</v>
      </c>
      <c r="G3790" s="4" t="str">
        <f>HYPERLINK("http://141.218.60.56/~jnz1568/getInfo.php?workbook=14_09.xlsx&amp;sheet=A0&amp;row=3790&amp;col=7&amp;number=0&amp;sourceID=14","0")</f>
        <v>0</v>
      </c>
    </row>
    <row r="3791" spans="1:7">
      <c r="A3791" s="3">
        <v>14</v>
      </c>
      <c r="B3791" s="3">
        <v>9</v>
      </c>
      <c r="C3791" s="3">
        <v>126</v>
      </c>
      <c r="D3791" s="3">
        <v>110</v>
      </c>
      <c r="E3791" s="3">
        <v>-7273.799</v>
      </c>
      <c r="F3791" s="4" t="str">
        <f>HYPERLINK("http://141.218.60.56/~jnz1568/getInfo.php?workbook=14_09.xlsx&amp;sheet=A0&amp;row=3791&amp;col=6&amp;number=788000&amp;sourceID=14","788000")</f>
        <v>788000</v>
      </c>
      <c r="G3791" s="4" t="str">
        <f>HYPERLINK("http://141.218.60.56/~jnz1568/getInfo.php?workbook=14_09.xlsx&amp;sheet=A0&amp;row=3791&amp;col=7&amp;number=0&amp;sourceID=14","0")</f>
        <v>0</v>
      </c>
    </row>
    <row r="3792" spans="1:7">
      <c r="A3792" s="3">
        <v>14</v>
      </c>
      <c r="B3792" s="3">
        <v>9</v>
      </c>
      <c r="C3792" s="3">
        <v>138</v>
      </c>
      <c r="D3792" s="3">
        <v>110</v>
      </c>
      <c r="E3792" s="3">
        <v>-2187.326</v>
      </c>
      <c r="F3792" s="4" t="str">
        <f>HYPERLINK("http://141.218.60.56/~jnz1568/getInfo.php?workbook=14_09.xlsx&amp;sheet=A0&amp;row=3792&amp;col=6&amp;number=382000&amp;sourceID=14","382000")</f>
        <v>382000</v>
      </c>
      <c r="G3792" s="4" t="str">
        <f>HYPERLINK("http://141.218.60.56/~jnz1568/getInfo.php?workbook=14_09.xlsx&amp;sheet=A0&amp;row=3792&amp;col=7&amp;number=0&amp;sourceID=14","0")</f>
        <v>0</v>
      </c>
    </row>
    <row r="3793" spans="1:7">
      <c r="A3793" s="3">
        <v>14</v>
      </c>
      <c r="B3793" s="3">
        <v>9</v>
      </c>
      <c r="C3793" s="3">
        <v>139</v>
      </c>
      <c r="D3793" s="3">
        <v>110</v>
      </c>
      <c r="E3793" s="3">
        <v>-2186.465</v>
      </c>
      <c r="F3793" s="4" t="str">
        <f>HYPERLINK("http://141.218.60.56/~jnz1568/getInfo.php?workbook=14_09.xlsx&amp;sheet=A0&amp;row=3793&amp;col=6&amp;number=4040000&amp;sourceID=14","4040000")</f>
        <v>4040000</v>
      </c>
      <c r="G3793" s="4" t="str">
        <f>HYPERLINK("http://141.218.60.56/~jnz1568/getInfo.php?workbook=14_09.xlsx&amp;sheet=A0&amp;row=3793&amp;col=7&amp;number=0&amp;sourceID=14","0")</f>
        <v>0</v>
      </c>
    </row>
    <row r="3794" spans="1:7">
      <c r="A3794" s="3">
        <v>14</v>
      </c>
      <c r="B3794" s="3">
        <v>9</v>
      </c>
      <c r="C3794" s="3">
        <v>141</v>
      </c>
      <c r="D3794" s="3">
        <v>110</v>
      </c>
      <c r="E3794" s="3">
        <v>-2122.921</v>
      </c>
      <c r="F3794" s="4" t="str">
        <f>HYPERLINK("http://141.218.60.56/~jnz1568/getInfo.php?workbook=14_09.xlsx&amp;sheet=A0&amp;row=3794&amp;col=6&amp;number=6880000&amp;sourceID=14","6880000")</f>
        <v>6880000</v>
      </c>
      <c r="G3794" s="4" t="str">
        <f>HYPERLINK("http://141.218.60.56/~jnz1568/getInfo.php?workbook=14_09.xlsx&amp;sheet=A0&amp;row=3794&amp;col=7&amp;number=0&amp;sourceID=14","0")</f>
        <v>0</v>
      </c>
    </row>
    <row r="3795" spans="1:7">
      <c r="A3795" s="3">
        <v>14</v>
      </c>
      <c r="B3795" s="3">
        <v>9</v>
      </c>
      <c r="C3795" s="3">
        <v>142</v>
      </c>
      <c r="D3795" s="3">
        <v>110</v>
      </c>
      <c r="E3795" s="3">
        <v>-2122.425</v>
      </c>
      <c r="F3795" s="4" t="str">
        <f>HYPERLINK("http://141.218.60.56/~jnz1568/getInfo.php?workbook=14_09.xlsx&amp;sheet=A0&amp;row=3795&amp;col=6&amp;number=428000&amp;sourceID=14","428000")</f>
        <v>428000</v>
      </c>
      <c r="G3795" s="4" t="str">
        <f>HYPERLINK("http://141.218.60.56/~jnz1568/getInfo.php?workbook=14_09.xlsx&amp;sheet=A0&amp;row=3795&amp;col=7&amp;number=0&amp;sourceID=14","0")</f>
        <v>0</v>
      </c>
    </row>
    <row r="3796" spans="1:7">
      <c r="A3796" s="3">
        <v>14</v>
      </c>
      <c r="B3796" s="3">
        <v>9</v>
      </c>
      <c r="C3796" s="3">
        <v>147</v>
      </c>
      <c r="D3796" s="3">
        <v>110</v>
      </c>
      <c r="E3796" s="3">
        <v>-2063.093</v>
      </c>
      <c r="F3796" s="4" t="str">
        <f>HYPERLINK("http://141.218.60.56/~jnz1568/getInfo.php?workbook=14_09.xlsx&amp;sheet=A0&amp;row=3796&amp;col=6&amp;number=4510000&amp;sourceID=14","4510000")</f>
        <v>4510000</v>
      </c>
      <c r="G3796" s="4" t="str">
        <f>HYPERLINK("http://141.218.60.56/~jnz1568/getInfo.php?workbook=14_09.xlsx&amp;sheet=A0&amp;row=3796&amp;col=7&amp;number=0&amp;sourceID=14","0")</f>
        <v>0</v>
      </c>
    </row>
    <row r="3797" spans="1:7">
      <c r="A3797" s="3">
        <v>14</v>
      </c>
      <c r="B3797" s="3">
        <v>9</v>
      </c>
      <c r="C3797" s="3">
        <v>159</v>
      </c>
      <c r="D3797" s="3">
        <v>110</v>
      </c>
      <c r="E3797" s="3">
        <v>-1464.56</v>
      </c>
      <c r="F3797" s="4" t="str">
        <f>HYPERLINK("http://141.218.60.56/~jnz1568/getInfo.php?workbook=14_09.xlsx&amp;sheet=A0&amp;row=3797&amp;col=6&amp;number=989000&amp;sourceID=14","989000")</f>
        <v>989000</v>
      </c>
      <c r="G3797" s="4" t="str">
        <f>HYPERLINK("http://141.218.60.56/~jnz1568/getInfo.php?workbook=14_09.xlsx&amp;sheet=A0&amp;row=3797&amp;col=7&amp;number=0&amp;sourceID=14","0")</f>
        <v>0</v>
      </c>
    </row>
    <row r="3798" spans="1:7">
      <c r="A3798" s="3">
        <v>14</v>
      </c>
      <c r="B3798" s="3">
        <v>9</v>
      </c>
      <c r="C3798" s="3">
        <v>160</v>
      </c>
      <c r="D3798" s="3">
        <v>110</v>
      </c>
      <c r="E3798" s="3">
        <v>-1461.884</v>
      </c>
      <c r="F3798" s="4" t="str">
        <f>HYPERLINK("http://141.218.60.56/~jnz1568/getInfo.php?workbook=14_09.xlsx&amp;sheet=A0&amp;row=3798&amp;col=6&amp;number=663000&amp;sourceID=14","663000")</f>
        <v>663000</v>
      </c>
      <c r="G3798" s="4" t="str">
        <f>HYPERLINK("http://141.218.60.56/~jnz1568/getInfo.php?workbook=14_09.xlsx&amp;sheet=A0&amp;row=3798&amp;col=7&amp;number=0&amp;sourceID=14","0")</f>
        <v>0</v>
      </c>
    </row>
    <row r="3799" spans="1:7">
      <c r="A3799" s="3">
        <v>14</v>
      </c>
      <c r="B3799" s="3">
        <v>9</v>
      </c>
      <c r="C3799" s="3">
        <v>164</v>
      </c>
      <c r="D3799" s="3">
        <v>110</v>
      </c>
      <c r="E3799" s="3">
        <v>-855.814</v>
      </c>
      <c r="F3799" s="4" t="str">
        <f>HYPERLINK("http://141.218.60.56/~jnz1568/getInfo.php?workbook=14_09.xlsx&amp;sheet=A0&amp;row=3799&amp;col=6&amp;number=12500000&amp;sourceID=14","12500000")</f>
        <v>12500000</v>
      </c>
      <c r="G3799" s="4" t="str">
        <f>HYPERLINK("http://141.218.60.56/~jnz1568/getInfo.php?workbook=14_09.xlsx&amp;sheet=A0&amp;row=3799&amp;col=7&amp;number=0&amp;sourceID=14","0")</f>
        <v>0</v>
      </c>
    </row>
    <row r="3800" spans="1:7">
      <c r="A3800" s="3">
        <v>14</v>
      </c>
      <c r="B3800" s="3">
        <v>9</v>
      </c>
      <c r="C3800" s="3">
        <v>166</v>
      </c>
      <c r="D3800" s="3">
        <v>110</v>
      </c>
      <c r="E3800" s="3">
        <v>-796.389</v>
      </c>
      <c r="F3800" s="4" t="str">
        <f>HYPERLINK("http://141.218.60.56/~jnz1568/getInfo.php?workbook=14_09.xlsx&amp;sheet=A0&amp;row=3800&amp;col=6&amp;number=1190000&amp;sourceID=14","1190000")</f>
        <v>1190000</v>
      </c>
      <c r="G3800" s="4" t="str">
        <f>HYPERLINK("http://141.218.60.56/~jnz1568/getInfo.php?workbook=14_09.xlsx&amp;sheet=A0&amp;row=3800&amp;col=7&amp;number=0&amp;sourceID=14","0")</f>
        <v>0</v>
      </c>
    </row>
    <row r="3801" spans="1:7">
      <c r="A3801" s="3">
        <v>14</v>
      </c>
      <c r="B3801" s="3">
        <v>9</v>
      </c>
      <c r="C3801" s="3">
        <v>167</v>
      </c>
      <c r="D3801" s="3">
        <v>110</v>
      </c>
      <c r="E3801" s="3">
        <v>-795.483</v>
      </c>
      <c r="F3801" s="4" t="str">
        <f>HYPERLINK("http://141.218.60.56/~jnz1568/getInfo.php?workbook=14_09.xlsx&amp;sheet=A0&amp;row=3801&amp;col=6&amp;number=43100000&amp;sourceID=14","43100000")</f>
        <v>43100000</v>
      </c>
      <c r="G3801" s="4" t="str">
        <f>HYPERLINK("http://141.218.60.56/~jnz1568/getInfo.php?workbook=14_09.xlsx&amp;sheet=A0&amp;row=3801&amp;col=7&amp;number=0&amp;sourceID=14","0")</f>
        <v>0</v>
      </c>
    </row>
    <row r="3802" spans="1:7">
      <c r="A3802" s="3">
        <v>14</v>
      </c>
      <c r="B3802" s="3">
        <v>9</v>
      </c>
      <c r="C3802" s="3">
        <v>170</v>
      </c>
      <c r="D3802" s="3">
        <v>110</v>
      </c>
      <c r="E3802" s="3">
        <v>-666.441</v>
      </c>
      <c r="F3802" s="4" t="str">
        <f>HYPERLINK("http://141.218.60.56/~jnz1568/getInfo.php?workbook=14_09.xlsx&amp;sheet=A0&amp;row=3802&amp;col=6&amp;number=249000&amp;sourceID=14","249000")</f>
        <v>249000</v>
      </c>
      <c r="G3802" s="4" t="str">
        <f>HYPERLINK("http://141.218.60.56/~jnz1568/getInfo.php?workbook=14_09.xlsx&amp;sheet=A0&amp;row=3802&amp;col=7&amp;number=0&amp;sourceID=14","0")</f>
        <v>0</v>
      </c>
    </row>
    <row r="3803" spans="1:7">
      <c r="A3803" s="3">
        <v>14</v>
      </c>
      <c r="B3803" s="3">
        <v>9</v>
      </c>
      <c r="C3803" s="3">
        <v>173</v>
      </c>
      <c r="D3803" s="3">
        <v>110</v>
      </c>
      <c r="E3803" s="3">
        <v>-644.356</v>
      </c>
      <c r="F3803" s="4" t="str">
        <f>HYPERLINK("http://141.218.60.56/~jnz1568/getInfo.php?workbook=14_09.xlsx&amp;sheet=A0&amp;row=3803&amp;col=6&amp;number=1270000&amp;sourceID=14","1270000")</f>
        <v>1270000</v>
      </c>
      <c r="G3803" s="4" t="str">
        <f>HYPERLINK("http://141.218.60.56/~jnz1568/getInfo.php?workbook=14_09.xlsx&amp;sheet=A0&amp;row=3803&amp;col=7&amp;number=0&amp;sourceID=14","0")</f>
        <v>0</v>
      </c>
    </row>
    <row r="3804" spans="1:7">
      <c r="A3804" s="3">
        <v>14</v>
      </c>
      <c r="B3804" s="3">
        <v>9</v>
      </c>
      <c r="C3804" s="3">
        <v>176</v>
      </c>
      <c r="D3804" s="3">
        <v>110</v>
      </c>
      <c r="E3804" s="3">
        <v>-610.457</v>
      </c>
      <c r="F3804" s="4" t="str">
        <f>HYPERLINK("http://141.218.60.56/~jnz1568/getInfo.php?workbook=14_09.xlsx&amp;sheet=A0&amp;row=3804&amp;col=6&amp;number=16200000&amp;sourceID=14","16200000")</f>
        <v>16200000</v>
      </c>
      <c r="G3804" s="4" t="str">
        <f>HYPERLINK("http://141.218.60.56/~jnz1568/getInfo.php?workbook=14_09.xlsx&amp;sheet=A0&amp;row=3804&amp;col=7&amp;number=0&amp;sourceID=14","0")</f>
        <v>0</v>
      </c>
    </row>
    <row r="3805" spans="1:7">
      <c r="A3805" s="3">
        <v>14</v>
      </c>
      <c r="B3805" s="3">
        <v>9</v>
      </c>
      <c r="C3805" s="3">
        <v>180</v>
      </c>
      <c r="D3805" s="3">
        <v>110</v>
      </c>
      <c r="E3805" s="3">
        <v>-604.976</v>
      </c>
      <c r="F3805" s="4" t="str">
        <f>HYPERLINK("http://141.218.60.56/~jnz1568/getInfo.php?workbook=14_09.xlsx&amp;sheet=A0&amp;row=3805&amp;col=6&amp;number=48300000&amp;sourceID=14","48300000")</f>
        <v>48300000</v>
      </c>
      <c r="G3805" s="4" t="str">
        <f>HYPERLINK("http://141.218.60.56/~jnz1568/getInfo.php?workbook=14_09.xlsx&amp;sheet=A0&amp;row=3805&amp;col=7&amp;number=0&amp;sourceID=14","0")</f>
        <v>0</v>
      </c>
    </row>
    <row r="3806" spans="1:7">
      <c r="A3806" s="3">
        <v>14</v>
      </c>
      <c r="B3806" s="3">
        <v>9</v>
      </c>
      <c r="C3806" s="3">
        <v>181</v>
      </c>
      <c r="D3806" s="3">
        <v>110</v>
      </c>
      <c r="E3806" s="3">
        <v>-589.592</v>
      </c>
      <c r="F3806" s="4" t="str">
        <f>HYPERLINK("http://141.218.60.56/~jnz1568/getInfo.php?workbook=14_09.xlsx&amp;sheet=A0&amp;row=3806&amp;col=6&amp;number=199000000&amp;sourceID=14","199000000")</f>
        <v>199000000</v>
      </c>
      <c r="G3806" s="4" t="str">
        <f>HYPERLINK("http://141.218.60.56/~jnz1568/getInfo.php?workbook=14_09.xlsx&amp;sheet=A0&amp;row=3806&amp;col=7&amp;number=0&amp;sourceID=14","0")</f>
        <v>0</v>
      </c>
    </row>
    <row r="3807" spans="1:7">
      <c r="A3807" s="3">
        <v>14</v>
      </c>
      <c r="B3807" s="3">
        <v>9</v>
      </c>
      <c r="C3807" s="3">
        <v>183</v>
      </c>
      <c r="D3807" s="3">
        <v>110</v>
      </c>
      <c r="E3807" s="3">
        <v>-561.212</v>
      </c>
      <c r="F3807" s="4" t="str">
        <f>HYPERLINK("http://141.218.60.56/~jnz1568/getInfo.php?workbook=14_09.xlsx&amp;sheet=A0&amp;row=3807&amp;col=6&amp;number=10900000&amp;sourceID=14","10900000")</f>
        <v>10900000</v>
      </c>
      <c r="G3807" s="4" t="str">
        <f>HYPERLINK("http://141.218.60.56/~jnz1568/getInfo.php?workbook=14_09.xlsx&amp;sheet=A0&amp;row=3807&amp;col=7&amp;number=0&amp;sourceID=14","0")</f>
        <v>0</v>
      </c>
    </row>
    <row r="3808" spans="1:7">
      <c r="A3808" s="3">
        <v>14</v>
      </c>
      <c r="B3808" s="3">
        <v>9</v>
      </c>
      <c r="C3808" s="3">
        <v>184</v>
      </c>
      <c r="D3808" s="3">
        <v>110</v>
      </c>
      <c r="E3808" s="3">
        <v>-553.794</v>
      </c>
      <c r="F3808" s="4" t="str">
        <f>HYPERLINK("http://141.218.60.56/~jnz1568/getInfo.php?workbook=14_09.xlsx&amp;sheet=A0&amp;row=3808&amp;col=6&amp;number=11400000&amp;sourceID=14","11400000")</f>
        <v>11400000</v>
      </c>
      <c r="G3808" s="4" t="str">
        <f>HYPERLINK("http://141.218.60.56/~jnz1568/getInfo.php?workbook=14_09.xlsx&amp;sheet=A0&amp;row=3808&amp;col=7&amp;number=0&amp;sourceID=14","0")</f>
        <v>0</v>
      </c>
    </row>
    <row r="3809" spans="1:7">
      <c r="A3809" s="3">
        <v>14</v>
      </c>
      <c r="B3809" s="3">
        <v>9</v>
      </c>
      <c r="C3809" s="3">
        <v>190</v>
      </c>
      <c r="D3809" s="3">
        <v>110</v>
      </c>
      <c r="E3809" s="3">
        <v>-321.314</v>
      </c>
      <c r="F3809" s="4" t="str">
        <f>HYPERLINK("http://141.218.60.56/~jnz1568/getInfo.php?workbook=14_09.xlsx&amp;sheet=A0&amp;row=3809&amp;col=6&amp;number=13800000&amp;sourceID=14","13800000")</f>
        <v>13800000</v>
      </c>
      <c r="G3809" s="4" t="str">
        <f>HYPERLINK("http://141.218.60.56/~jnz1568/getInfo.php?workbook=14_09.xlsx&amp;sheet=A0&amp;row=3809&amp;col=7&amp;number=0&amp;sourceID=14","0")</f>
        <v>0</v>
      </c>
    </row>
    <row r="3810" spans="1:7">
      <c r="A3810" s="3">
        <v>14</v>
      </c>
      <c r="B3810" s="3">
        <v>9</v>
      </c>
      <c r="C3810" s="3">
        <v>192</v>
      </c>
      <c r="D3810" s="3">
        <v>110</v>
      </c>
      <c r="E3810" s="3">
        <v>-317.548</v>
      </c>
      <c r="F3810" s="4" t="str">
        <f>HYPERLINK("http://141.218.60.56/~jnz1568/getInfo.php?workbook=14_09.xlsx&amp;sheet=A0&amp;row=3810&amp;col=6&amp;number=41100000&amp;sourceID=14","41100000")</f>
        <v>41100000</v>
      </c>
      <c r="G3810" s="4" t="str">
        <f>HYPERLINK("http://141.218.60.56/~jnz1568/getInfo.php?workbook=14_09.xlsx&amp;sheet=A0&amp;row=3810&amp;col=7&amp;number=0&amp;sourceID=14","0")</f>
        <v>0</v>
      </c>
    </row>
    <row r="3811" spans="1:7">
      <c r="A3811" s="3">
        <v>14</v>
      </c>
      <c r="B3811" s="3">
        <v>9</v>
      </c>
      <c r="C3811" s="3">
        <v>193</v>
      </c>
      <c r="D3811" s="3">
        <v>110</v>
      </c>
      <c r="E3811" s="3">
        <v>-317.411</v>
      </c>
      <c r="F3811" s="4" t="str">
        <f>HYPERLINK("http://141.218.60.56/~jnz1568/getInfo.php?workbook=14_09.xlsx&amp;sheet=A0&amp;row=3811&amp;col=6&amp;number=9810000&amp;sourceID=14","9810000")</f>
        <v>9810000</v>
      </c>
      <c r="G3811" s="4" t="str">
        <f>HYPERLINK("http://141.218.60.56/~jnz1568/getInfo.php?workbook=14_09.xlsx&amp;sheet=A0&amp;row=3811&amp;col=7&amp;number=0&amp;sourceID=14","0")</f>
        <v>0</v>
      </c>
    </row>
    <row r="3812" spans="1:7">
      <c r="A3812" s="3">
        <v>14</v>
      </c>
      <c r="B3812" s="3">
        <v>9</v>
      </c>
      <c r="C3812" s="3">
        <v>195</v>
      </c>
      <c r="D3812" s="3">
        <v>110</v>
      </c>
      <c r="E3812" s="3">
        <v>-314.51</v>
      </c>
      <c r="F3812" s="4" t="str">
        <f>HYPERLINK("http://141.218.60.56/~jnz1568/getInfo.php?workbook=14_09.xlsx&amp;sheet=A0&amp;row=3812&amp;col=6&amp;number=9330000&amp;sourceID=14","9330000")</f>
        <v>9330000</v>
      </c>
      <c r="G3812" s="4" t="str">
        <f>HYPERLINK("http://141.218.60.56/~jnz1568/getInfo.php?workbook=14_09.xlsx&amp;sheet=A0&amp;row=3812&amp;col=7&amp;number=0&amp;sourceID=14","0")</f>
        <v>0</v>
      </c>
    </row>
    <row r="3813" spans="1:7">
      <c r="A3813" s="3">
        <v>14</v>
      </c>
      <c r="B3813" s="3">
        <v>9</v>
      </c>
      <c r="C3813" s="3">
        <v>148</v>
      </c>
      <c r="D3813" s="3">
        <v>112</v>
      </c>
      <c r="E3813" s="3">
        <v>-2056.178</v>
      </c>
      <c r="F3813" s="4" t="str">
        <f>HYPERLINK("http://141.218.60.56/~jnz1568/getInfo.php?workbook=14_09.xlsx&amp;sheet=A0&amp;row=3813&amp;col=6&amp;number=189000&amp;sourceID=14","189000")</f>
        <v>189000</v>
      </c>
      <c r="G3813" s="4" t="str">
        <f>HYPERLINK("http://141.218.60.56/~jnz1568/getInfo.php?workbook=14_09.xlsx&amp;sheet=A0&amp;row=3813&amp;col=7&amp;number=0&amp;sourceID=14","0")</f>
        <v>0</v>
      </c>
    </row>
    <row r="3814" spans="1:7">
      <c r="A3814" s="3">
        <v>14</v>
      </c>
      <c r="B3814" s="3">
        <v>9</v>
      </c>
      <c r="C3814" s="3">
        <v>151</v>
      </c>
      <c r="D3814" s="3">
        <v>112</v>
      </c>
      <c r="E3814" s="3">
        <v>-2011.955</v>
      </c>
      <c r="F3814" s="4" t="str">
        <f>HYPERLINK("http://141.218.60.56/~jnz1568/getInfo.php?workbook=14_09.xlsx&amp;sheet=A0&amp;row=3814&amp;col=6&amp;number=445000&amp;sourceID=14","445000")</f>
        <v>445000</v>
      </c>
      <c r="G3814" s="4" t="str">
        <f>HYPERLINK("http://141.218.60.56/~jnz1568/getInfo.php?workbook=14_09.xlsx&amp;sheet=A0&amp;row=3814&amp;col=7&amp;number=0&amp;sourceID=14","0")</f>
        <v>0</v>
      </c>
    </row>
    <row r="3815" spans="1:7">
      <c r="A3815" s="3">
        <v>14</v>
      </c>
      <c r="B3815" s="3">
        <v>9</v>
      </c>
      <c r="C3815" s="3">
        <v>155</v>
      </c>
      <c r="D3815" s="3">
        <v>112</v>
      </c>
      <c r="E3815" s="3">
        <v>-1709.113</v>
      </c>
      <c r="F3815" s="4" t="str">
        <f>HYPERLINK("http://141.218.60.56/~jnz1568/getInfo.php?workbook=14_09.xlsx&amp;sheet=A0&amp;row=3815&amp;col=6&amp;number=1940000&amp;sourceID=14","1940000")</f>
        <v>1940000</v>
      </c>
      <c r="G3815" s="4" t="str">
        <f>HYPERLINK("http://141.218.60.56/~jnz1568/getInfo.php?workbook=14_09.xlsx&amp;sheet=A0&amp;row=3815&amp;col=7&amp;number=0&amp;sourceID=14","0")</f>
        <v>0</v>
      </c>
    </row>
    <row r="3816" spans="1:7">
      <c r="A3816" s="3">
        <v>14</v>
      </c>
      <c r="B3816" s="3">
        <v>9</v>
      </c>
      <c r="C3816" s="3">
        <v>131</v>
      </c>
      <c r="D3816" s="3">
        <v>113</v>
      </c>
      <c r="E3816" s="3">
        <v>-2562.727</v>
      </c>
      <c r="F3816" s="4" t="str">
        <f>HYPERLINK("http://141.218.60.56/~jnz1568/getInfo.php?workbook=14_09.xlsx&amp;sheet=A0&amp;row=3816&amp;col=6&amp;number=310000000&amp;sourceID=14","310000000")</f>
        <v>310000000</v>
      </c>
      <c r="G3816" s="4" t="str">
        <f>HYPERLINK("http://141.218.60.56/~jnz1568/getInfo.php?workbook=14_09.xlsx&amp;sheet=A0&amp;row=3816&amp;col=7&amp;number=0&amp;sourceID=14","0")</f>
        <v>0</v>
      </c>
    </row>
    <row r="3817" spans="1:7">
      <c r="A3817" s="3">
        <v>14</v>
      </c>
      <c r="B3817" s="3">
        <v>9</v>
      </c>
      <c r="C3817" s="3">
        <v>132</v>
      </c>
      <c r="D3817" s="3">
        <v>113</v>
      </c>
      <c r="E3817" s="3">
        <v>-2560.103</v>
      </c>
      <c r="F3817" s="4" t="str">
        <f>HYPERLINK("http://141.218.60.56/~jnz1568/getInfo.php?workbook=14_09.xlsx&amp;sheet=A0&amp;row=3817&amp;col=6&amp;number=17100000&amp;sourceID=14","17100000")</f>
        <v>17100000</v>
      </c>
      <c r="G3817" s="4" t="str">
        <f>HYPERLINK("http://141.218.60.56/~jnz1568/getInfo.php?workbook=14_09.xlsx&amp;sheet=A0&amp;row=3817&amp;col=7&amp;number=0&amp;sourceID=14","0")</f>
        <v>0</v>
      </c>
    </row>
    <row r="3818" spans="1:7">
      <c r="A3818" s="3">
        <v>14</v>
      </c>
      <c r="B3818" s="3">
        <v>9</v>
      </c>
      <c r="C3818" s="3">
        <v>134</v>
      </c>
      <c r="D3818" s="3">
        <v>113</v>
      </c>
      <c r="E3818" s="3">
        <v>-2520.928</v>
      </c>
      <c r="F3818" s="4" t="str">
        <f>HYPERLINK("http://141.218.60.56/~jnz1568/getInfo.php?workbook=14_09.xlsx&amp;sheet=A0&amp;row=3818&amp;col=6&amp;number=111000000&amp;sourceID=14","111000000")</f>
        <v>111000000</v>
      </c>
      <c r="G3818" s="4" t="str">
        <f>HYPERLINK("http://141.218.60.56/~jnz1568/getInfo.php?workbook=14_09.xlsx&amp;sheet=A0&amp;row=3818&amp;col=7&amp;number=0&amp;sourceID=14","0")</f>
        <v>0</v>
      </c>
    </row>
    <row r="3819" spans="1:7">
      <c r="A3819" s="3">
        <v>14</v>
      </c>
      <c r="B3819" s="3">
        <v>9</v>
      </c>
      <c r="C3819" s="3">
        <v>135</v>
      </c>
      <c r="D3819" s="3">
        <v>113</v>
      </c>
      <c r="E3819" s="3">
        <v>-2511.747</v>
      </c>
      <c r="F3819" s="4" t="str">
        <f>HYPERLINK("http://141.218.60.56/~jnz1568/getInfo.php?workbook=14_09.xlsx&amp;sheet=A0&amp;row=3819&amp;col=6&amp;number=1380000&amp;sourceID=14","1380000")</f>
        <v>1380000</v>
      </c>
      <c r="G3819" s="4" t="str">
        <f>HYPERLINK("http://141.218.60.56/~jnz1568/getInfo.php?workbook=14_09.xlsx&amp;sheet=A0&amp;row=3819&amp;col=7&amp;number=0&amp;sourceID=14","0")</f>
        <v>0</v>
      </c>
    </row>
    <row r="3820" spans="1:7">
      <c r="A3820" s="3">
        <v>14</v>
      </c>
      <c r="B3820" s="3">
        <v>9</v>
      </c>
      <c r="C3820" s="3">
        <v>136</v>
      </c>
      <c r="D3820" s="3">
        <v>113</v>
      </c>
      <c r="E3820" s="3">
        <v>-2482.38</v>
      </c>
      <c r="F3820" s="4" t="str">
        <f>HYPERLINK("http://141.218.60.56/~jnz1568/getInfo.php?workbook=14_09.xlsx&amp;sheet=A0&amp;row=3820&amp;col=6&amp;number=267000000&amp;sourceID=14","267000000")</f>
        <v>267000000</v>
      </c>
      <c r="G3820" s="4" t="str">
        <f>HYPERLINK("http://141.218.60.56/~jnz1568/getInfo.php?workbook=14_09.xlsx&amp;sheet=A0&amp;row=3820&amp;col=7&amp;number=0&amp;sourceID=14","0")</f>
        <v>0</v>
      </c>
    </row>
    <row r="3821" spans="1:7">
      <c r="A3821" s="3">
        <v>14</v>
      </c>
      <c r="B3821" s="3">
        <v>9</v>
      </c>
      <c r="C3821" s="3">
        <v>137</v>
      </c>
      <c r="D3821" s="3">
        <v>113</v>
      </c>
      <c r="E3821" s="3">
        <v>-2429.311</v>
      </c>
      <c r="F3821" s="4" t="str">
        <f>HYPERLINK("http://141.218.60.56/~jnz1568/getInfo.php?workbook=14_09.xlsx&amp;sheet=A0&amp;row=3821&amp;col=6&amp;number=5700000&amp;sourceID=14","5700000")</f>
        <v>5700000</v>
      </c>
      <c r="G3821" s="4" t="str">
        <f>HYPERLINK("http://141.218.60.56/~jnz1568/getInfo.php?workbook=14_09.xlsx&amp;sheet=A0&amp;row=3821&amp;col=7&amp;number=0&amp;sourceID=14","0")</f>
        <v>0</v>
      </c>
    </row>
    <row r="3822" spans="1:7">
      <c r="A3822" s="3">
        <v>14</v>
      </c>
      <c r="B3822" s="3">
        <v>9</v>
      </c>
      <c r="C3822" s="3">
        <v>148</v>
      </c>
      <c r="D3822" s="3">
        <v>113</v>
      </c>
      <c r="E3822" s="3">
        <v>-2056.178</v>
      </c>
      <c r="F3822" s="4" t="str">
        <f>HYPERLINK("http://141.218.60.56/~jnz1568/getInfo.php?workbook=14_09.xlsx&amp;sheet=A0&amp;row=3822&amp;col=6&amp;number=874000&amp;sourceID=14","874000")</f>
        <v>874000</v>
      </c>
      <c r="G3822" s="4" t="str">
        <f>HYPERLINK("http://141.218.60.56/~jnz1568/getInfo.php?workbook=14_09.xlsx&amp;sheet=A0&amp;row=3822&amp;col=7&amp;number=0&amp;sourceID=14","0")</f>
        <v>0</v>
      </c>
    </row>
    <row r="3823" spans="1:7">
      <c r="A3823" s="3">
        <v>14</v>
      </c>
      <c r="B3823" s="3">
        <v>9</v>
      </c>
      <c r="C3823" s="3">
        <v>156</v>
      </c>
      <c r="D3823" s="3">
        <v>113</v>
      </c>
      <c r="E3823" s="3">
        <v>-1682.57</v>
      </c>
      <c r="F3823" s="4" t="str">
        <f>HYPERLINK("http://141.218.60.56/~jnz1568/getInfo.php?workbook=14_09.xlsx&amp;sheet=A0&amp;row=3823&amp;col=6&amp;number=6310000&amp;sourceID=14","6310000")</f>
        <v>6310000</v>
      </c>
      <c r="G3823" s="4" t="str">
        <f>HYPERLINK("http://141.218.60.56/~jnz1568/getInfo.php?workbook=14_09.xlsx&amp;sheet=A0&amp;row=3823&amp;col=7&amp;number=0&amp;sourceID=14","0")</f>
        <v>0</v>
      </c>
    </row>
    <row r="3824" spans="1:7">
      <c r="A3824" s="3">
        <v>14</v>
      </c>
      <c r="B3824" s="3">
        <v>9</v>
      </c>
      <c r="C3824" s="3">
        <v>157</v>
      </c>
      <c r="D3824" s="3">
        <v>113</v>
      </c>
      <c r="E3824" s="3">
        <v>-1613.14</v>
      </c>
      <c r="F3824" s="4" t="str">
        <f>HYPERLINK("http://141.218.60.56/~jnz1568/getInfo.php?workbook=14_09.xlsx&amp;sheet=A0&amp;row=3824&amp;col=6&amp;number=4540000&amp;sourceID=14","4540000")</f>
        <v>4540000</v>
      </c>
      <c r="G3824" s="4" t="str">
        <f>HYPERLINK("http://141.218.60.56/~jnz1568/getInfo.php?workbook=14_09.xlsx&amp;sheet=A0&amp;row=3824&amp;col=7&amp;number=0&amp;sourceID=14","0")</f>
        <v>0</v>
      </c>
    </row>
    <row r="3825" spans="1:7">
      <c r="A3825" s="3">
        <v>14</v>
      </c>
      <c r="B3825" s="3">
        <v>9</v>
      </c>
      <c r="C3825" s="3">
        <v>158</v>
      </c>
      <c r="D3825" s="3">
        <v>113</v>
      </c>
      <c r="E3825" s="3">
        <v>-1599.389</v>
      </c>
      <c r="F3825" s="4" t="str">
        <f>HYPERLINK("http://141.218.60.56/~jnz1568/getInfo.php?workbook=14_09.xlsx&amp;sheet=A0&amp;row=3825&amp;col=6&amp;number=3670000&amp;sourceID=14","3670000")</f>
        <v>3670000</v>
      </c>
      <c r="G3825" s="4" t="str">
        <f>HYPERLINK("http://141.218.60.56/~jnz1568/getInfo.php?workbook=14_09.xlsx&amp;sheet=A0&amp;row=3825&amp;col=7&amp;number=0&amp;sourceID=14","0")</f>
        <v>0</v>
      </c>
    </row>
    <row r="3826" spans="1:7">
      <c r="A3826" s="3">
        <v>14</v>
      </c>
      <c r="B3826" s="3">
        <v>9</v>
      </c>
      <c r="C3826" s="3">
        <v>185</v>
      </c>
      <c r="D3826" s="3">
        <v>113</v>
      </c>
      <c r="E3826" s="3">
        <v>-488.253</v>
      </c>
      <c r="F3826" s="4" t="str">
        <f>HYPERLINK("http://141.218.60.56/~jnz1568/getInfo.php?workbook=14_09.xlsx&amp;sheet=A0&amp;row=3826&amp;col=6&amp;number=5990000&amp;sourceID=14","5990000")</f>
        <v>5990000</v>
      </c>
      <c r="G3826" s="4" t="str">
        <f>HYPERLINK("http://141.218.60.56/~jnz1568/getInfo.php?workbook=14_09.xlsx&amp;sheet=A0&amp;row=3826&amp;col=7&amp;number=0&amp;sourceID=14","0")</f>
        <v>0</v>
      </c>
    </row>
    <row r="3827" spans="1:7">
      <c r="A3827" s="3">
        <v>14</v>
      </c>
      <c r="B3827" s="3">
        <v>9</v>
      </c>
      <c r="C3827" s="3">
        <v>186</v>
      </c>
      <c r="D3827" s="3">
        <v>113</v>
      </c>
      <c r="E3827" s="3">
        <v>-486.744</v>
      </c>
      <c r="F3827" s="4" t="str">
        <f>HYPERLINK("http://141.218.60.56/~jnz1568/getInfo.php?workbook=14_09.xlsx&amp;sheet=A0&amp;row=3827&amp;col=6&amp;number=1030000&amp;sourceID=14","1030000")</f>
        <v>1030000</v>
      </c>
      <c r="G3827" s="4" t="str">
        <f>HYPERLINK("http://141.218.60.56/~jnz1568/getInfo.php?workbook=14_09.xlsx&amp;sheet=A0&amp;row=3827&amp;col=7&amp;number=0&amp;sourceID=14","0")</f>
        <v>0</v>
      </c>
    </row>
    <row r="3828" spans="1:7">
      <c r="A3828" s="3">
        <v>14</v>
      </c>
      <c r="B3828" s="3">
        <v>9</v>
      </c>
      <c r="C3828" s="3">
        <v>187</v>
      </c>
      <c r="D3828" s="3">
        <v>113</v>
      </c>
      <c r="E3828" s="3">
        <v>-475.401</v>
      </c>
      <c r="F3828" s="4" t="str">
        <f>HYPERLINK("http://141.218.60.56/~jnz1568/getInfo.php?workbook=14_09.xlsx&amp;sheet=A0&amp;row=3828&amp;col=6&amp;number=2230000&amp;sourceID=14","2230000")</f>
        <v>2230000</v>
      </c>
      <c r="G3828" s="4" t="str">
        <f>HYPERLINK("http://141.218.60.56/~jnz1568/getInfo.php?workbook=14_09.xlsx&amp;sheet=A0&amp;row=3828&amp;col=7&amp;number=0&amp;sourceID=14","0")</f>
        <v>0</v>
      </c>
    </row>
    <row r="3829" spans="1:7">
      <c r="A3829" s="3">
        <v>14</v>
      </c>
      <c r="B3829" s="3">
        <v>9</v>
      </c>
      <c r="C3829" s="3">
        <v>133</v>
      </c>
      <c r="D3829" s="3">
        <v>114</v>
      </c>
      <c r="E3829" s="3">
        <v>-2555.393</v>
      </c>
      <c r="F3829" s="4" t="str">
        <f>HYPERLINK("http://141.218.60.56/~jnz1568/getInfo.php?workbook=14_09.xlsx&amp;sheet=A0&amp;row=3829&amp;col=6&amp;number=81900&amp;sourceID=14","81900")</f>
        <v>81900</v>
      </c>
      <c r="G3829" s="4" t="str">
        <f>HYPERLINK("http://141.218.60.56/~jnz1568/getInfo.php?workbook=14_09.xlsx&amp;sheet=A0&amp;row=3829&amp;col=7&amp;number=0&amp;sourceID=14","0")</f>
        <v>0</v>
      </c>
    </row>
    <row r="3830" spans="1:7">
      <c r="A3830" s="3">
        <v>14</v>
      </c>
      <c r="B3830" s="3">
        <v>9</v>
      </c>
      <c r="C3830" s="3">
        <v>129</v>
      </c>
      <c r="D3830" s="3">
        <v>115</v>
      </c>
      <c r="E3830" s="3">
        <v>-2820.72</v>
      </c>
      <c r="F3830" s="4" t="str">
        <f>HYPERLINK("http://141.218.60.56/~jnz1568/getInfo.php?workbook=14_09.xlsx&amp;sheet=A0&amp;row=3830&amp;col=6&amp;number=346000&amp;sourceID=14","346000")</f>
        <v>346000</v>
      </c>
      <c r="G3830" s="4" t="str">
        <f>HYPERLINK("http://141.218.60.56/~jnz1568/getInfo.php?workbook=14_09.xlsx&amp;sheet=A0&amp;row=3830&amp;col=7&amp;number=0&amp;sourceID=14","0")</f>
        <v>0</v>
      </c>
    </row>
    <row r="3831" spans="1:7">
      <c r="A3831" s="3">
        <v>14</v>
      </c>
      <c r="B3831" s="3">
        <v>9</v>
      </c>
      <c r="C3831" s="3">
        <v>131</v>
      </c>
      <c r="D3831" s="3">
        <v>115</v>
      </c>
      <c r="E3831" s="3">
        <v>-2572.617</v>
      </c>
      <c r="F3831" s="4" t="str">
        <f>HYPERLINK("http://141.218.60.56/~jnz1568/getInfo.php?workbook=14_09.xlsx&amp;sheet=A0&amp;row=3831&amp;col=6&amp;number=156000&amp;sourceID=14","156000")</f>
        <v>156000</v>
      </c>
      <c r="G3831" s="4" t="str">
        <f>HYPERLINK("http://141.218.60.56/~jnz1568/getInfo.php?workbook=14_09.xlsx&amp;sheet=A0&amp;row=3831&amp;col=7&amp;number=0&amp;sourceID=14","0")</f>
        <v>0</v>
      </c>
    </row>
    <row r="3832" spans="1:7">
      <c r="A3832" s="3">
        <v>14</v>
      </c>
      <c r="B3832" s="3">
        <v>9</v>
      </c>
      <c r="C3832" s="3">
        <v>132</v>
      </c>
      <c r="D3832" s="3">
        <v>115</v>
      </c>
      <c r="E3832" s="3">
        <v>-2569.972</v>
      </c>
      <c r="F3832" s="4" t="str">
        <f>HYPERLINK("http://141.218.60.56/~jnz1568/getInfo.php?workbook=14_09.xlsx&amp;sheet=A0&amp;row=3832&amp;col=6&amp;number=108000000&amp;sourceID=14","108000000")</f>
        <v>108000000</v>
      </c>
      <c r="G3832" s="4" t="str">
        <f>HYPERLINK("http://141.218.60.56/~jnz1568/getInfo.php?workbook=14_09.xlsx&amp;sheet=A0&amp;row=3832&amp;col=7&amp;number=0&amp;sourceID=14","0")</f>
        <v>0</v>
      </c>
    </row>
    <row r="3833" spans="1:7">
      <c r="A3833" s="3">
        <v>14</v>
      </c>
      <c r="B3833" s="3">
        <v>9</v>
      </c>
      <c r="C3833" s="3">
        <v>133</v>
      </c>
      <c r="D3833" s="3">
        <v>115</v>
      </c>
      <c r="E3833" s="3">
        <v>-2564.173</v>
      </c>
      <c r="F3833" s="4" t="str">
        <f>HYPERLINK("http://141.218.60.56/~jnz1568/getInfo.php?workbook=14_09.xlsx&amp;sheet=A0&amp;row=3833&amp;col=6&amp;number=338000000&amp;sourceID=14","338000000")</f>
        <v>338000000</v>
      </c>
      <c r="G3833" s="4" t="str">
        <f>HYPERLINK("http://141.218.60.56/~jnz1568/getInfo.php?workbook=14_09.xlsx&amp;sheet=A0&amp;row=3833&amp;col=7&amp;number=0&amp;sourceID=14","0")</f>
        <v>0</v>
      </c>
    </row>
    <row r="3834" spans="1:7">
      <c r="A3834" s="3">
        <v>14</v>
      </c>
      <c r="B3834" s="3">
        <v>9</v>
      </c>
      <c r="C3834" s="3">
        <v>135</v>
      </c>
      <c r="D3834" s="3">
        <v>115</v>
      </c>
      <c r="E3834" s="3">
        <v>-2521.246</v>
      </c>
      <c r="F3834" s="4" t="str">
        <f>HYPERLINK("http://141.218.60.56/~jnz1568/getInfo.php?workbook=14_09.xlsx&amp;sheet=A0&amp;row=3834&amp;col=6&amp;number=319000000&amp;sourceID=14","319000000")</f>
        <v>319000000</v>
      </c>
      <c r="G3834" s="4" t="str">
        <f>HYPERLINK("http://141.218.60.56/~jnz1568/getInfo.php?workbook=14_09.xlsx&amp;sheet=A0&amp;row=3834&amp;col=7&amp;number=0&amp;sourceID=14","0")</f>
        <v>0</v>
      </c>
    </row>
    <row r="3835" spans="1:7">
      <c r="A3835" s="3">
        <v>14</v>
      </c>
      <c r="B3835" s="3">
        <v>9</v>
      </c>
      <c r="C3835" s="3">
        <v>136</v>
      </c>
      <c r="D3835" s="3">
        <v>115</v>
      </c>
      <c r="E3835" s="3">
        <v>-2491.657</v>
      </c>
      <c r="F3835" s="4" t="str">
        <f>HYPERLINK("http://141.218.60.56/~jnz1568/getInfo.php?workbook=14_09.xlsx&amp;sheet=A0&amp;row=3835&amp;col=6&amp;number=29700000&amp;sourceID=14","29700000")</f>
        <v>29700000</v>
      </c>
      <c r="G3835" s="4" t="str">
        <f>HYPERLINK("http://141.218.60.56/~jnz1568/getInfo.php?workbook=14_09.xlsx&amp;sheet=A0&amp;row=3835&amp;col=7&amp;number=0&amp;sourceID=14","0")</f>
        <v>0</v>
      </c>
    </row>
    <row r="3836" spans="1:7">
      <c r="A3836" s="3">
        <v>14</v>
      </c>
      <c r="B3836" s="3">
        <v>9</v>
      </c>
      <c r="C3836" s="3">
        <v>140</v>
      </c>
      <c r="D3836" s="3">
        <v>115</v>
      </c>
      <c r="E3836" s="3">
        <v>-2191.064</v>
      </c>
      <c r="F3836" s="4" t="str">
        <f>HYPERLINK("http://141.218.60.56/~jnz1568/getInfo.php?workbook=14_09.xlsx&amp;sheet=A0&amp;row=3836&amp;col=6&amp;number=528000&amp;sourceID=14","528000")</f>
        <v>528000</v>
      </c>
      <c r="G3836" s="4" t="str">
        <f>HYPERLINK("http://141.218.60.56/~jnz1568/getInfo.php?workbook=14_09.xlsx&amp;sheet=A0&amp;row=3836&amp;col=7&amp;number=0&amp;sourceID=14","0")</f>
        <v>0</v>
      </c>
    </row>
    <row r="3837" spans="1:7">
      <c r="A3837" s="3">
        <v>14</v>
      </c>
      <c r="B3837" s="3">
        <v>9</v>
      </c>
      <c r="C3837" s="3">
        <v>145</v>
      </c>
      <c r="D3837" s="3">
        <v>115</v>
      </c>
      <c r="E3837" s="3">
        <v>-2125.538</v>
      </c>
      <c r="F3837" s="4" t="str">
        <f>HYPERLINK("http://141.218.60.56/~jnz1568/getInfo.php?workbook=14_09.xlsx&amp;sheet=A0&amp;row=3837&amp;col=6&amp;number=1650000&amp;sourceID=14","1650000")</f>
        <v>1650000</v>
      </c>
      <c r="G3837" s="4" t="str">
        <f>HYPERLINK("http://141.218.60.56/~jnz1568/getInfo.php?workbook=14_09.xlsx&amp;sheet=A0&amp;row=3837&amp;col=7&amp;number=0&amp;sourceID=14","0")</f>
        <v>0</v>
      </c>
    </row>
    <row r="3838" spans="1:7">
      <c r="A3838" s="3">
        <v>14</v>
      </c>
      <c r="B3838" s="3">
        <v>9</v>
      </c>
      <c r="C3838" s="3">
        <v>148</v>
      </c>
      <c r="D3838" s="3">
        <v>115</v>
      </c>
      <c r="E3838" s="3">
        <v>-2062.54</v>
      </c>
      <c r="F3838" s="4" t="str">
        <f>HYPERLINK("http://141.218.60.56/~jnz1568/getInfo.php?workbook=14_09.xlsx&amp;sheet=A0&amp;row=3838&amp;col=6&amp;number=194000&amp;sourceID=14","194000")</f>
        <v>194000</v>
      </c>
      <c r="G3838" s="4" t="str">
        <f>HYPERLINK("http://141.218.60.56/~jnz1568/getInfo.php?workbook=14_09.xlsx&amp;sheet=A0&amp;row=3838&amp;col=7&amp;number=0&amp;sourceID=14","0")</f>
        <v>0</v>
      </c>
    </row>
    <row r="3839" spans="1:7">
      <c r="A3839" s="3">
        <v>14</v>
      </c>
      <c r="B3839" s="3">
        <v>9</v>
      </c>
      <c r="C3839" s="3">
        <v>152</v>
      </c>
      <c r="D3839" s="3">
        <v>115</v>
      </c>
      <c r="E3839" s="3">
        <v>-1787.953</v>
      </c>
      <c r="F3839" s="4" t="str">
        <f>HYPERLINK("http://141.218.60.56/~jnz1568/getInfo.php?workbook=14_09.xlsx&amp;sheet=A0&amp;row=3839&amp;col=6&amp;number=2340000&amp;sourceID=14","2340000")</f>
        <v>2340000</v>
      </c>
      <c r="G3839" s="4" t="str">
        <f>HYPERLINK("http://141.218.60.56/~jnz1568/getInfo.php?workbook=14_09.xlsx&amp;sheet=A0&amp;row=3839&amp;col=7&amp;number=0&amp;sourceID=14","0")</f>
        <v>0</v>
      </c>
    </row>
    <row r="3840" spans="1:7">
      <c r="A3840" s="3">
        <v>14</v>
      </c>
      <c r="B3840" s="3">
        <v>9</v>
      </c>
      <c r="C3840" s="3">
        <v>153</v>
      </c>
      <c r="D3840" s="3">
        <v>115</v>
      </c>
      <c r="E3840" s="3">
        <v>-1733.706</v>
      </c>
      <c r="F3840" s="4" t="str">
        <f>HYPERLINK("http://141.218.60.56/~jnz1568/getInfo.php?workbook=14_09.xlsx&amp;sheet=A0&amp;row=3840&amp;col=6&amp;number=9190000&amp;sourceID=14","9190000")</f>
        <v>9190000</v>
      </c>
      <c r="G3840" s="4" t="str">
        <f>HYPERLINK("http://141.218.60.56/~jnz1568/getInfo.php?workbook=14_09.xlsx&amp;sheet=A0&amp;row=3840&amp;col=7&amp;number=0&amp;sourceID=14","0")</f>
        <v>0</v>
      </c>
    </row>
    <row r="3841" spans="1:7">
      <c r="A3841" s="3">
        <v>14</v>
      </c>
      <c r="B3841" s="3">
        <v>9</v>
      </c>
      <c r="C3841" s="3">
        <v>154</v>
      </c>
      <c r="D3841" s="3">
        <v>115</v>
      </c>
      <c r="E3841" s="3">
        <v>-1733.015</v>
      </c>
      <c r="F3841" s="4" t="str">
        <f>HYPERLINK("http://141.218.60.56/~jnz1568/getInfo.php?workbook=14_09.xlsx&amp;sheet=A0&amp;row=3841&amp;col=6&amp;number=310000&amp;sourceID=14","310000")</f>
        <v>310000</v>
      </c>
      <c r="G3841" s="4" t="str">
        <f>HYPERLINK("http://141.218.60.56/~jnz1568/getInfo.php?workbook=14_09.xlsx&amp;sheet=A0&amp;row=3841&amp;col=7&amp;number=0&amp;sourceID=14","0")</f>
        <v>0</v>
      </c>
    </row>
    <row r="3842" spans="1:7">
      <c r="A3842" s="3">
        <v>14</v>
      </c>
      <c r="B3842" s="3">
        <v>9</v>
      </c>
      <c r="C3842" s="3">
        <v>156</v>
      </c>
      <c r="D3842" s="3">
        <v>115</v>
      </c>
      <c r="E3842" s="3">
        <v>-1686.827</v>
      </c>
      <c r="F3842" s="4" t="str">
        <f>HYPERLINK("http://141.218.60.56/~jnz1568/getInfo.php?workbook=14_09.xlsx&amp;sheet=A0&amp;row=3842&amp;col=6&amp;number=2260000&amp;sourceID=14","2260000")</f>
        <v>2260000</v>
      </c>
      <c r="G3842" s="4" t="str">
        <f>HYPERLINK("http://141.218.60.56/~jnz1568/getInfo.php?workbook=14_09.xlsx&amp;sheet=A0&amp;row=3842&amp;col=7&amp;number=0&amp;sourceID=14","0")</f>
        <v>0</v>
      </c>
    </row>
    <row r="3843" spans="1:7">
      <c r="A3843" s="3">
        <v>14</v>
      </c>
      <c r="B3843" s="3">
        <v>9</v>
      </c>
      <c r="C3843" s="3">
        <v>162</v>
      </c>
      <c r="D3843" s="3">
        <v>115</v>
      </c>
      <c r="E3843" s="3">
        <v>-936.454</v>
      </c>
      <c r="F3843" s="4" t="str">
        <f>HYPERLINK("http://141.218.60.56/~jnz1568/getInfo.php?workbook=14_09.xlsx&amp;sheet=A0&amp;row=3843&amp;col=6&amp;number=681000&amp;sourceID=14","681000")</f>
        <v>681000</v>
      </c>
      <c r="G3843" s="4" t="str">
        <f>HYPERLINK("http://141.218.60.56/~jnz1568/getInfo.php?workbook=14_09.xlsx&amp;sheet=A0&amp;row=3843&amp;col=7&amp;number=0&amp;sourceID=14","0")</f>
        <v>0</v>
      </c>
    </row>
    <row r="3844" spans="1:7">
      <c r="A3844" s="3">
        <v>14</v>
      </c>
      <c r="B3844" s="3">
        <v>9</v>
      </c>
      <c r="C3844" s="3">
        <v>185</v>
      </c>
      <c r="D3844" s="3">
        <v>115</v>
      </c>
      <c r="E3844" s="3">
        <v>-488.611</v>
      </c>
      <c r="F3844" s="4" t="str">
        <f>HYPERLINK("http://141.218.60.56/~jnz1568/getInfo.php?workbook=14_09.xlsx&amp;sheet=A0&amp;row=3844&amp;col=6&amp;number=1100000&amp;sourceID=14","1100000")</f>
        <v>1100000</v>
      </c>
      <c r="G3844" s="4" t="str">
        <f>HYPERLINK("http://141.218.60.56/~jnz1568/getInfo.php?workbook=14_09.xlsx&amp;sheet=A0&amp;row=3844&amp;col=7&amp;number=0&amp;sourceID=14","0")</f>
        <v>0</v>
      </c>
    </row>
    <row r="3845" spans="1:7">
      <c r="A3845" s="3">
        <v>14</v>
      </c>
      <c r="B3845" s="3">
        <v>9</v>
      </c>
      <c r="C3845" s="3">
        <v>186</v>
      </c>
      <c r="D3845" s="3">
        <v>115</v>
      </c>
      <c r="E3845" s="3">
        <v>-487.1</v>
      </c>
      <c r="F3845" s="4" t="str">
        <f>HYPERLINK("http://141.218.60.56/~jnz1568/getInfo.php?workbook=14_09.xlsx&amp;sheet=A0&amp;row=3845&amp;col=6&amp;number=7420000&amp;sourceID=14","7420000")</f>
        <v>7420000</v>
      </c>
      <c r="G3845" s="4" t="str">
        <f>HYPERLINK("http://141.218.60.56/~jnz1568/getInfo.php?workbook=14_09.xlsx&amp;sheet=A0&amp;row=3845&amp;col=7&amp;number=0&amp;sourceID=14","0")</f>
        <v>0</v>
      </c>
    </row>
    <row r="3846" spans="1:7">
      <c r="A3846" s="3">
        <v>14</v>
      </c>
      <c r="B3846" s="3">
        <v>9</v>
      </c>
      <c r="C3846" s="3">
        <v>188</v>
      </c>
      <c r="D3846" s="3">
        <v>115</v>
      </c>
      <c r="E3846" s="3">
        <v>-475.031</v>
      </c>
      <c r="F3846" s="4" t="str">
        <f>HYPERLINK("http://141.218.60.56/~jnz1568/getInfo.php?workbook=14_09.xlsx&amp;sheet=A0&amp;row=3846&amp;col=6&amp;number=1420000&amp;sourceID=14","1420000")</f>
        <v>1420000</v>
      </c>
      <c r="G3846" s="4" t="str">
        <f>HYPERLINK("http://141.218.60.56/~jnz1568/getInfo.php?workbook=14_09.xlsx&amp;sheet=A0&amp;row=3846&amp;col=7&amp;number=0&amp;sourceID=14","0")</f>
        <v>0</v>
      </c>
    </row>
    <row r="3847" spans="1:7">
      <c r="A3847" s="3">
        <v>14</v>
      </c>
      <c r="B3847" s="3">
        <v>9</v>
      </c>
      <c r="C3847" s="3">
        <v>131</v>
      </c>
      <c r="D3847" s="3">
        <v>116</v>
      </c>
      <c r="E3847" s="3">
        <v>-2574.471</v>
      </c>
      <c r="F3847" s="4" t="str">
        <f>HYPERLINK("http://141.218.60.56/~jnz1568/getInfo.php?workbook=14_09.xlsx&amp;sheet=A0&amp;row=3847&amp;col=6&amp;number=26200000&amp;sourceID=14","26200000")</f>
        <v>26200000</v>
      </c>
      <c r="G3847" s="4" t="str">
        <f>HYPERLINK("http://141.218.60.56/~jnz1568/getInfo.php?workbook=14_09.xlsx&amp;sheet=A0&amp;row=3847&amp;col=7&amp;number=0&amp;sourceID=14","0")</f>
        <v>0</v>
      </c>
    </row>
    <row r="3848" spans="1:7">
      <c r="A3848" s="3">
        <v>14</v>
      </c>
      <c r="B3848" s="3">
        <v>9</v>
      </c>
      <c r="C3848" s="3">
        <v>136</v>
      </c>
      <c r="D3848" s="3">
        <v>116</v>
      </c>
      <c r="E3848" s="3">
        <v>-2493.397</v>
      </c>
      <c r="F3848" s="4" t="str">
        <f>HYPERLINK("http://141.218.60.56/~jnz1568/getInfo.php?workbook=14_09.xlsx&amp;sheet=A0&amp;row=3848&amp;col=6&amp;number=26600000&amp;sourceID=14","26600000")</f>
        <v>26600000</v>
      </c>
      <c r="G3848" s="4" t="str">
        <f>HYPERLINK("http://141.218.60.56/~jnz1568/getInfo.php?workbook=14_09.xlsx&amp;sheet=A0&amp;row=3848&amp;col=7&amp;number=0&amp;sourceID=14","0")</f>
        <v>0</v>
      </c>
    </row>
    <row r="3849" spans="1:7">
      <c r="A3849" s="3">
        <v>14</v>
      </c>
      <c r="B3849" s="3">
        <v>9</v>
      </c>
      <c r="C3849" s="3">
        <v>151</v>
      </c>
      <c r="D3849" s="3">
        <v>116</v>
      </c>
      <c r="E3849" s="3">
        <v>-2019.186</v>
      </c>
      <c r="F3849" s="4" t="str">
        <f>HYPERLINK("http://141.218.60.56/~jnz1568/getInfo.php?workbook=14_09.xlsx&amp;sheet=A0&amp;row=3849&amp;col=6&amp;number=294000&amp;sourceID=14","294000")</f>
        <v>294000</v>
      </c>
      <c r="G3849" s="4" t="str">
        <f>HYPERLINK("http://141.218.60.56/~jnz1568/getInfo.php?workbook=14_09.xlsx&amp;sheet=A0&amp;row=3849&amp;col=7&amp;number=0&amp;sourceID=14","0")</f>
        <v>0</v>
      </c>
    </row>
    <row r="3850" spans="1:7">
      <c r="A3850" s="3">
        <v>14</v>
      </c>
      <c r="B3850" s="3">
        <v>9</v>
      </c>
      <c r="C3850" s="3">
        <v>154</v>
      </c>
      <c r="D3850" s="3">
        <v>116</v>
      </c>
      <c r="E3850" s="3">
        <v>-1733.857</v>
      </c>
      <c r="F3850" s="4" t="str">
        <f>HYPERLINK("http://141.218.60.56/~jnz1568/getInfo.php?workbook=14_09.xlsx&amp;sheet=A0&amp;row=3850&amp;col=6&amp;number=274000&amp;sourceID=14","274000")</f>
        <v>274000</v>
      </c>
      <c r="G3850" s="4" t="str">
        <f>HYPERLINK("http://141.218.60.56/~jnz1568/getInfo.php?workbook=14_09.xlsx&amp;sheet=A0&amp;row=3850&amp;col=7&amp;number=0&amp;sourceID=14","0")</f>
        <v>0</v>
      </c>
    </row>
    <row r="3851" spans="1:7">
      <c r="A3851" s="3">
        <v>14</v>
      </c>
      <c r="B3851" s="3">
        <v>9</v>
      </c>
      <c r="C3851" s="3">
        <v>155</v>
      </c>
      <c r="D3851" s="3">
        <v>116</v>
      </c>
      <c r="E3851" s="3">
        <v>-1714.328</v>
      </c>
      <c r="F3851" s="4" t="str">
        <f>HYPERLINK("http://141.218.60.56/~jnz1568/getInfo.php?workbook=14_09.xlsx&amp;sheet=A0&amp;row=3851&amp;col=6&amp;number=775000&amp;sourceID=14","775000")</f>
        <v>775000</v>
      </c>
      <c r="G3851" s="4" t="str">
        <f>HYPERLINK("http://141.218.60.56/~jnz1568/getInfo.php?workbook=14_09.xlsx&amp;sheet=A0&amp;row=3851&amp;col=7&amp;number=0&amp;sourceID=14","0")</f>
        <v>0</v>
      </c>
    </row>
    <row r="3852" spans="1:7">
      <c r="A3852" s="3">
        <v>14</v>
      </c>
      <c r="B3852" s="3">
        <v>9</v>
      </c>
      <c r="C3852" s="3">
        <v>156</v>
      </c>
      <c r="D3852" s="3">
        <v>116</v>
      </c>
      <c r="E3852" s="3">
        <v>-1687.624</v>
      </c>
      <c r="F3852" s="4" t="str">
        <f>HYPERLINK("http://141.218.60.56/~jnz1568/getInfo.php?workbook=14_09.xlsx&amp;sheet=A0&amp;row=3852&amp;col=6&amp;number=4210000&amp;sourceID=14","4210000")</f>
        <v>4210000</v>
      </c>
      <c r="G3852" s="4" t="str">
        <f>HYPERLINK("http://141.218.60.56/~jnz1568/getInfo.php?workbook=14_09.xlsx&amp;sheet=A0&amp;row=3852&amp;col=7&amp;number=0&amp;sourceID=14","0")</f>
        <v>0</v>
      </c>
    </row>
    <row r="3853" spans="1:7">
      <c r="A3853" s="3">
        <v>14</v>
      </c>
      <c r="B3853" s="3">
        <v>9</v>
      </c>
      <c r="C3853" s="3">
        <v>158</v>
      </c>
      <c r="D3853" s="3">
        <v>116</v>
      </c>
      <c r="E3853" s="3">
        <v>-1603.955</v>
      </c>
      <c r="F3853" s="4" t="str">
        <f>HYPERLINK("http://141.218.60.56/~jnz1568/getInfo.php?workbook=14_09.xlsx&amp;sheet=A0&amp;row=3853&amp;col=6&amp;number=2630000&amp;sourceID=14","2630000")</f>
        <v>2630000</v>
      </c>
      <c r="G3853" s="4" t="str">
        <f>HYPERLINK("http://141.218.60.56/~jnz1568/getInfo.php?workbook=14_09.xlsx&amp;sheet=A0&amp;row=3853&amp;col=7&amp;number=0&amp;sourceID=14","0")</f>
        <v>0</v>
      </c>
    </row>
    <row r="3854" spans="1:7">
      <c r="A3854" s="3">
        <v>14</v>
      </c>
      <c r="B3854" s="3">
        <v>9</v>
      </c>
      <c r="C3854" s="3">
        <v>131</v>
      </c>
      <c r="D3854" s="3">
        <v>117</v>
      </c>
      <c r="E3854" s="3">
        <v>-2766.946</v>
      </c>
      <c r="F3854" s="4" t="str">
        <f>HYPERLINK("http://141.218.60.56/~jnz1568/getInfo.php?workbook=14_09.xlsx&amp;sheet=A0&amp;row=3854&amp;col=6&amp;number=117000&amp;sourceID=14","117000")</f>
        <v>117000</v>
      </c>
      <c r="G3854" s="4" t="str">
        <f>HYPERLINK("http://141.218.60.56/~jnz1568/getInfo.php?workbook=14_09.xlsx&amp;sheet=A0&amp;row=3854&amp;col=7&amp;number=0&amp;sourceID=14","0")</f>
        <v>0</v>
      </c>
    </row>
    <row r="3855" spans="1:7">
      <c r="A3855" s="3">
        <v>14</v>
      </c>
      <c r="B3855" s="3">
        <v>9</v>
      </c>
      <c r="C3855" s="3">
        <v>151</v>
      </c>
      <c r="D3855" s="3">
        <v>117</v>
      </c>
      <c r="E3855" s="3">
        <v>-2135.706</v>
      </c>
      <c r="F3855" s="4" t="str">
        <f>HYPERLINK("http://141.218.60.56/~jnz1568/getInfo.php?workbook=14_09.xlsx&amp;sheet=A0&amp;row=3855&amp;col=6&amp;number=1910000&amp;sourceID=14","1910000")</f>
        <v>1910000</v>
      </c>
      <c r="G3855" s="4" t="str">
        <f>HYPERLINK("http://141.218.60.56/~jnz1568/getInfo.php?workbook=14_09.xlsx&amp;sheet=A0&amp;row=3855&amp;col=7&amp;number=0&amp;sourceID=14","0")</f>
        <v>0</v>
      </c>
    </row>
    <row r="3856" spans="1:7">
      <c r="A3856" s="3">
        <v>14</v>
      </c>
      <c r="B3856" s="3">
        <v>9</v>
      </c>
      <c r="C3856" s="3">
        <v>154</v>
      </c>
      <c r="D3856" s="3">
        <v>117</v>
      </c>
      <c r="E3856" s="3">
        <v>-1819.078</v>
      </c>
      <c r="F3856" s="4" t="str">
        <f>HYPERLINK("http://141.218.60.56/~jnz1568/getInfo.php?workbook=14_09.xlsx&amp;sheet=A0&amp;row=3856&amp;col=6&amp;number=558000&amp;sourceID=14","558000")</f>
        <v>558000</v>
      </c>
      <c r="G3856" s="4" t="str">
        <f>HYPERLINK("http://141.218.60.56/~jnz1568/getInfo.php?workbook=14_09.xlsx&amp;sheet=A0&amp;row=3856&amp;col=7&amp;number=0&amp;sourceID=14","0")</f>
        <v>0</v>
      </c>
    </row>
    <row r="3857" spans="1:7">
      <c r="A3857" s="3">
        <v>14</v>
      </c>
      <c r="B3857" s="3">
        <v>9</v>
      </c>
      <c r="C3857" s="3">
        <v>155</v>
      </c>
      <c r="D3857" s="3">
        <v>117</v>
      </c>
      <c r="E3857" s="3">
        <v>-1797.594</v>
      </c>
      <c r="F3857" s="4" t="str">
        <f>HYPERLINK("http://141.218.60.56/~jnz1568/getInfo.php?workbook=14_09.xlsx&amp;sheet=A0&amp;row=3857&amp;col=6&amp;number=1240000&amp;sourceID=14","1240000")</f>
        <v>1240000</v>
      </c>
      <c r="G3857" s="4" t="str">
        <f>HYPERLINK("http://141.218.60.56/~jnz1568/getInfo.php?workbook=14_09.xlsx&amp;sheet=A0&amp;row=3857&amp;col=7&amp;number=0&amp;sourceID=14","0")</f>
        <v>0</v>
      </c>
    </row>
    <row r="3858" spans="1:7">
      <c r="A3858" s="3">
        <v>14</v>
      </c>
      <c r="B3858" s="3">
        <v>9</v>
      </c>
      <c r="C3858" s="3">
        <v>156</v>
      </c>
      <c r="D3858" s="3">
        <v>117</v>
      </c>
      <c r="E3858" s="3">
        <v>-1768.256</v>
      </c>
      <c r="F3858" s="4" t="str">
        <f>HYPERLINK("http://141.218.60.56/~jnz1568/getInfo.php?workbook=14_09.xlsx&amp;sheet=A0&amp;row=3858&amp;col=6&amp;number=721000&amp;sourceID=14","721000")</f>
        <v>721000</v>
      </c>
      <c r="G3858" s="4" t="str">
        <f>HYPERLINK("http://141.218.60.56/~jnz1568/getInfo.php?workbook=14_09.xlsx&amp;sheet=A0&amp;row=3858&amp;col=7&amp;number=0&amp;sourceID=14","0")</f>
        <v>0</v>
      </c>
    </row>
    <row r="3859" spans="1:7">
      <c r="A3859" s="3">
        <v>14</v>
      </c>
      <c r="B3859" s="3">
        <v>9</v>
      </c>
      <c r="C3859" s="3">
        <v>158</v>
      </c>
      <c r="D3859" s="3">
        <v>117</v>
      </c>
      <c r="E3859" s="3">
        <v>-1676.618</v>
      </c>
      <c r="F3859" s="4" t="str">
        <f>HYPERLINK("http://141.218.60.56/~jnz1568/getInfo.php?workbook=14_09.xlsx&amp;sheet=A0&amp;row=3859&amp;col=6&amp;number=2430000&amp;sourceID=14","2430000")</f>
        <v>2430000</v>
      </c>
      <c r="G3859" s="4" t="str">
        <f>HYPERLINK("http://141.218.60.56/~jnz1568/getInfo.php?workbook=14_09.xlsx&amp;sheet=A0&amp;row=3859&amp;col=7&amp;number=0&amp;sourceID=14","0")</f>
        <v>0</v>
      </c>
    </row>
    <row r="3860" spans="1:7">
      <c r="A3860" s="3">
        <v>14</v>
      </c>
      <c r="B3860" s="3">
        <v>9</v>
      </c>
      <c r="C3860" s="3">
        <v>129</v>
      </c>
      <c r="D3860" s="3">
        <v>118</v>
      </c>
      <c r="E3860" s="3">
        <v>-3062.981</v>
      </c>
      <c r="F3860" s="4" t="str">
        <f>HYPERLINK("http://141.218.60.56/~jnz1568/getInfo.php?workbook=14_09.xlsx&amp;sheet=A0&amp;row=3860&amp;col=6&amp;number=75100&amp;sourceID=14","75100")</f>
        <v>75100</v>
      </c>
      <c r="G3860" s="4" t="str">
        <f>HYPERLINK("http://141.218.60.56/~jnz1568/getInfo.php?workbook=14_09.xlsx&amp;sheet=A0&amp;row=3860&amp;col=7&amp;number=0&amp;sourceID=14","0")</f>
        <v>0</v>
      </c>
    </row>
    <row r="3861" spans="1:7">
      <c r="A3861" s="3">
        <v>14</v>
      </c>
      <c r="B3861" s="3">
        <v>9</v>
      </c>
      <c r="C3861" s="3">
        <v>148</v>
      </c>
      <c r="D3861" s="3">
        <v>118</v>
      </c>
      <c r="E3861" s="3">
        <v>-2189.146</v>
      </c>
      <c r="F3861" s="4" t="str">
        <f>HYPERLINK("http://141.218.60.56/~jnz1568/getInfo.php?workbook=14_09.xlsx&amp;sheet=A0&amp;row=3861&amp;col=6&amp;number=634000&amp;sourceID=14","634000")</f>
        <v>634000</v>
      </c>
      <c r="G3861" s="4" t="str">
        <f>HYPERLINK("http://141.218.60.56/~jnz1568/getInfo.php?workbook=14_09.xlsx&amp;sheet=A0&amp;row=3861&amp;col=7&amp;number=0&amp;sourceID=14","0")</f>
        <v>0</v>
      </c>
    </row>
    <row r="3862" spans="1:7">
      <c r="A3862" s="3">
        <v>14</v>
      </c>
      <c r="B3862" s="3">
        <v>9</v>
      </c>
      <c r="C3862" s="3">
        <v>154</v>
      </c>
      <c r="D3862" s="3">
        <v>118</v>
      </c>
      <c r="E3862" s="3">
        <v>-1821.53</v>
      </c>
      <c r="F3862" s="4" t="str">
        <f>HYPERLINK("http://141.218.60.56/~jnz1568/getInfo.php?workbook=14_09.xlsx&amp;sheet=A0&amp;row=3862&amp;col=6&amp;number=1130000&amp;sourceID=14","1130000")</f>
        <v>1130000</v>
      </c>
      <c r="G3862" s="4" t="str">
        <f>HYPERLINK("http://141.218.60.56/~jnz1568/getInfo.php?workbook=14_09.xlsx&amp;sheet=A0&amp;row=3862&amp;col=7&amp;number=0&amp;sourceID=14","0")</f>
        <v>0</v>
      </c>
    </row>
    <row r="3863" spans="1:7">
      <c r="A3863" s="3">
        <v>14</v>
      </c>
      <c r="B3863" s="3">
        <v>9</v>
      </c>
      <c r="C3863" s="3">
        <v>156</v>
      </c>
      <c r="D3863" s="3">
        <v>118</v>
      </c>
      <c r="E3863" s="3">
        <v>-1770.573</v>
      </c>
      <c r="F3863" s="4" t="str">
        <f>HYPERLINK("http://141.218.60.56/~jnz1568/getInfo.php?workbook=14_09.xlsx&amp;sheet=A0&amp;row=3863&amp;col=6&amp;number=871000&amp;sourceID=14","871000")</f>
        <v>871000</v>
      </c>
      <c r="G3863" s="4" t="str">
        <f>HYPERLINK("http://141.218.60.56/~jnz1568/getInfo.php?workbook=14_09.xlsx&amp;sheet=A0&amp;row=3863&amp;col=7&amp;number=0&amp;sourceID=14","0")</f>
        <v>0</v>
      </c>
    </row>
    <row r="3864" spans="1:7">
      <c r="A3864" s="3">
        <v>14</v>
      </c>
      <c r="B3864" s="3">
        <v>9</v>
      </c>
      <c r="C3864" s="3">
        <v>157</v>
      </c>
      <c r="D3864" s="3">
        <v>118</v>
      </c>
      <c r="E3864" s="3">
        <v>-1693.856</v>
      </c>
      <c r="F3864" s="4" t="str">
        <f>HYPERLINK("http://141.218.60.56/~jnz1568/getInfo.php?workbook=14_09.xlsx&amp;sheet=A0&amp;row=3864&amp;col=6&amp;number=4240000&amp;sourceID=14","4240000")</f>
        <v>4240000</v>
      </c>
      <c r="G3864" s="4" t="str">
        <f>HYPERLINK("http://141.218.60.56/~jnz1568/getInfo.php?workbook=14_09.xlsx&amp;sheet=A0&amp;row=3864&amp;col=7&amp;number=0&amp;sourceID=14","0")</f>
        <v>0</v>
      </c>
    </row>
    <row r="3865" spans="1:7">
      <c r="A3865" s="3">
        <v>14</v>
      </c>
      <c r="B3865" s="3">
        <v>9</v>
      </c>
      <c r="C3865" s="3">
        <v>163</v>
      </c>
      <c r="D3865" s="3">
        <v>118</v>
      </c>
      <c r="E3865" s="3">
        <v>-960.497</v>
      </c>
      <c r="F3865" s="4" t="str">
        <f>HYPERLINK("http://141.218.60.56/~jnz1568/getInfo.php?workbook=14_09.xlsx&amp;sheet=A0&amp;row=3865&amp;col=6&amp;number=861000&amp;sourceID=14","861000")</f>
        <v>861000</v>
      </c>
      <c r="G3865" s="4" t="str">
        <f>HYPERLINK("http://141.218.60.56/~jnz1568/getInfo.php?workbook=14_09.xlsx&amp;sheet=A0&amp;row=3865&amp;col=7&amp;number=0&amp;sourceID=14","0")</f>
        <v>0</v>
      </c>
    </row>
    <row r="3866" spans="1:7">
      <c r="A3866" s="3">
        <v>14</v>
      </c>
      <c r="B3866" s="3">
        <v>9</v>
      </c>
      <c r="C3866" s="3">
        <v>140</v>
      </c>
      <c r="D3866" s="3">
        <v>119</v>
      </c>
      <c r="E3866" s="3">
        <v>-2355.661</v>
      </c>
      <c r="F3866" s="4" t="str">
        <f>HYPERLINK("http://141.218.60.56/~jnz1568/getInfo.php?workbook=14_09.xlsx&amp;sheet=A0&amp;row=3866&amp;col=6&amp;number=620000&amp;sourceID=14","620000")</f>
        <v>620000</v>
      </c>
      <c r="G3866" s="4" t="str">
        <f>HYPERLINK("http://141.218.60.56/~jnz1568/getInfo.php?workbook=14_09.xlsx&amp;sheet=A0&amp;row=3866&amp;col=7&amp;number=0&amp;sourceID=14","0")</f>
        <v>0</v>
      </c>
    </row>
    <row r="3867" spans="1:7">
      <c r="A3867" s="3">
        <v>14</v>
      </c>
      <c r="B3867" s="3">
        <v>9</v>
      </c>
      <c r="C3867" s="3">
        <v>145</v>
      </c>
      <c r="D3867" s="3">
        <v>120</v>
      </c>
      <c r="E3867" s="3">
        <v>-2283.787</v>
      </c>
      <c r="F3867" s="4" t="str">
        <f>HYPERLINK("http://141.218.60.56/~jnz1568/getInfo.php?workbook=14_09.xlsx&amp;sheet=A0&amp;row=3867&amp;col=6&amp;number=359000&amp;sourceID=14","359000")</f>
        <v>359000</v>
      </c>
      <c r="G3867" s="4" t="str">
        <f>HYPERLINK("http://141.218.60.56/~jnz1568/getInfo.php?workbook=14_09.xlsx&amp;sheet=A0&amp;row=3867&amp;col=7&amp;number=0&amp;sourceID=14","0")</f>
        <v>0</v>
      </c>
    </row>
    <row r="3868" spans="1:7">
      <c r="A3868" s="3">
        <v>14</v>
      </c>
      <c r="B3868" s="3">
        <v>9</v>
      </c>
      <c r="C3868" s="3">
        <v>152</v>
      </c>
      <c r="D3868" s="3">
        <v>120</v>
      </c>
      <c r="E3868" s="3">
        <v>-1898.617</v>
      </c>
      <c r="F3868" s="4" t="str">
        <f>HYPERLINK("http://141.218.60.56/~jnz1568/getInfo.php?workbook=14_09.xlsx&amp;sheet=A0&amp;row=3868&amp;col=6&amp;number=705000&amp;sourceID=14","705000")</f>
        <v>705000</v>
      </c>
      <c r="G3868" s="4" t="str">
        <f>HYPERLINK("http://141.218.60.56/~jnz1568/getInfo.php?workbook=14_09.xlsx&amp;sheet=A0&amp;row=3868&amp;col=7&amp;number=0&amp;sourceID=14","0")</f>
        <v>0</v>
      </c>
    </row>
    <row r="3869" spans="1:7">
      <c r="A3869" s="3">
        <v>14</v>
      </c>
      <c r="B3869" s="3">
        <v>9</v>
      </c>
      <c r="C3869" s="3">
        <v>153</v>
      </c>
      <c r="D3869" s="3">
        <v>120</v>
      </c>
      <c r="E3869" s="3">
        <v>-1837.563</v>
      </c>
      <c r="F3869" s="4" t="str">
        <f>HYPERLINK("http://141.218.60.56/~jnz1568/getInfo.php?workbook=14_09.xlsx&amp;sheet=A0&amp;row=3869&amp;col=6&amp;number=1150000&amp;sourceID=14","1150000")</f>
        <v>1150000</v>
      </c>
      <c r="G3869" s="4" t="str">
        <f>HYPERLINK("http://141.218.60.56/~jnz1568/getInfo.php?workbook=14_09.xlsx&amp;sheet=A0&amp;row=3869&amp;col=7&amp;number=0&amp;sourceID=14","0")</f>
        <v>0</v>
      </c>
    </row>
    <row r="3870" spans="1:7">
      <c r="A3870" s="3">
        <v>14</v>
      </c>
      <c r="B3870" s="3">
        <v>9</v>
      </c>
      <c r="C3870" s="3">
        <v>152</v>
      </c>
      <c r="D3870" s="3">
        <v>121</v>
      </c>
      <c r="E3870" s="3">
        <v>-1914.502</v>
      </c>
      <c r="F3870" s="4" t="str">
        <f>HYPERLINK("http://141.218.60.56/~jnz1568/getInfo.php?workbook=14_09.xlsx&amp;sheet=A0&amp;row=3870&amp;col=6&amp;number=960000&amp;sourceID=14","960000")</f>
        <v>960000</v>
      </c>
      <c r="G3870" s="4" t="str">
        <f>HYPERLINK("http://141.218.60.56/~jnz1568/getInfo.php?workbook=14_09.xlsx&amp;sheet=A0&amp;row=3870&amp;col=7&amp;number=0&amp;sourceID=14","0")</f>
        <v>0</v>
      </c>
    </row>
    <row r="3871" spans="1:7">
      <c r="A3871" s="3">
        <v>14</v>
      </c>
      <c r="B3871" s="3">
        <v>9</v>
      </c>
      <c r="C3871" s="3">
        <v>153</v>
      </c>
      <c r="D3871" s="3">
        <v>121</v>
      </c>
      <c r="E3871" s="3">
        <v>-1852.438</v>
      </c>
      <c r="F3871" s="4" t="str">
        <f>HYPERLINK("http://141.218.60.56/~jnz1568/getInfo.php?workbook=14_09.xlsx&amp;sheet=A0&amp;row=3871&amp;col=6&amp;number=1500000&amp;sourceID=14","1500000")</f>
        <v>1500000</v>
      </c>
      <c r="G3871" s="4" t="str">
        <f>HYPERLINK("http://141.218.60.56/~jnz1568/getInfo.php?workbook=14_09.xlsx&amp;sheet=A0&amp;row=3871&amp;col=7&amp;number=0&amp;sourceID=14","0")</f>
        <v>0</v>
      </c>
    </row>
    <row r="3872" spans="1:7">
      <c r="A3872" s="3">
        <v>14</v>
      </c>
      <c r="B3872" s="3">
        <v>9</v>
      </c>
      <c r="C3872" s="3">
        <v>133</v>
      </c>
      <c r="D3872" s="3">
        <v>122</v>
      </c>
      <c r="E3872" s="3">
        <v>-2841.883</v>
      </c>
      <c r="F3872" s="4" t="str">
        <f>HYPERLINK("http://141.218.60.56/~jnz1568/getInfo.php?workbook=14_09.xlsx&amp;sheet=A0&amp;row=3872&amp;col=6&amp;number=53300&amp;sourceID=14","53300")</f>
        <v>53300</v>
      </c>
      <c r="G3872" s="4" t="str">
        <f>HYPERLINK("http://141.218.60.56/~jnz1568/getInfo.php?workbook=14_09.xlsx&amp;sheet=A0&amp;row=3872&amp;col=7&amp;number=0&amp;sourceID=14","0")</f>
        <v>0</v>
      </c>
    </row>
    <row r="3873" spans="1:7">
      <c r="A3873" s="3">
        <v>14</v>
      </c>
      <c r="B3873" s="3">
        <v>9</v>
      </c>
      <c r="C3873" s="3">
        <v>153</v>
      </c>
      <c r="D3873" s="3">
        <v>122</v>
      </c>
      <c r="E3873" s="3">
        <v>-1856.359</v>
      </c>
      <c r="F3873" s="4" t="str">
        <f>HYPERLINK("http://141.218.60.56/~jnz1568/getInfo.php?workbook=14_09.xlsx&amp;sheet=A0&amp;row=3873&amp;col=6&amp;number=590000&amp;sourceID=14","590000")</f>
        <v>590000</v>
      </c>
      <c r="G3873" s="4" t="str">
        <f>HYPERLINK("http://141.218.60.56/~jnz1568/getInfo.php?workbook=14_09.xlsx&amp;sheet=A0&amp;row=3873&amp;col=7&amp;number=0&amp;sourceID=14","0")</f>
        <v>0</v>
      </c>
    </row>
    <row r="3874" spans="1:7">
      <c r="A3874" s="3">
        <v>14</v>
      </c>
      <c r="B3874" s="3">
        <v>9</v>
      </c>
      <c r="C3874" s="3">
        <v>154</v>
      </c>
      <c r="D3874" s="3">
        <v>122</v>
      </c>
      <c r="E3874" s="3">
        <v>-1855.566</v>
      </c>
      <c r="F3874" s="4" t="str">
        <f>HYPERLINK("http://141.218.60.56/~jnz1568/getInfo.php?workbook=14_09.xlsx&amp;sheet=A0&amp;row=3874&amp;col=6&amp;number=949000&amp;sourceID=14","949000")</f>
        <v>949000</v>
      </c>
      <c r="G3874" s="4" t="str">
        <f>HYPERLINK("http://141.218.60.56/~jnz1568/getInfo.php?workbook=14_09.xlsx&amp;sheet=A0&amp;row=3874&amp;col=7&amp;number=0&amp;sourceID=14","0")</f>
        <v>0</v>
      </c>
    </row>
    <row r="3875" spans="1:7">
      <c r="A3875" s="3">
        <v>14</v>
      </c>
      <c r="B3875" s="3">
        <v>9</v>
      </c>
      <c r="C3875" s="3">
        <v>157</v>
      </c>
      <c r="D3875" s="3">
        <v>122</v>
      </c>
      <c r="E3875" s="3">
        <v>-1723.25</v>
      </c>
      <c r="F3875" s="4" t="str">
        <f>HYPERLINK("http://141.218.60.56/~jnz1568/getInfo.php?workbook=14_09.xlsx&amp;sheet=A0&amp;row=3875&amp;col=6&amp;number=3020000&amp;sourceID=14","3020000")</f>
        <v>3020000</v>
      </c>
      <c r="G3875" s="4" t="str">
        <f>HYPERLINK("http://141.218.60.56/~jnz1568/getInfo.php?workbook=14_09.xlsx&amp;sheet=A0&amp;row=3875&amp;col=7&amp;number=0&amp;sourceID=14","0")</f>
        <v>0</v>
      </c>
    </row>
    <row r="3876" spans="1:7">
      <c r="A3876" s="3">
        <v>14</v>
      </c>
      <c r="B3876" s="3">
        <v>9</v>
      </c>
      <c r="C3876" s="3">
        <v>145</v>
      </c>
      <c r="D3876" s="3">
        <v>123</v>
      </c>
      <c r="E3876" s="3">
        <v>-2373.779</v>
      </c>
      <c r="F3876" s="4" t="str">
        <f>HYPERLINK("http://141.218.60.56/~jnz1568/getInfo.php?workbook=14_09.xlsx&amp;sheet=A0&amp;row=3876&amp;col=6&amp;number=258000&amp;sourceID=14","258000")</f>
        <v>258000</v>
      </c>
      <c r="G3876" s="4" t="str">
        <f>HYPERLINK("http://141.218.60.56/~jnz1568/getInfo.php?workbook=14_09.xlsx&amp;sheet=A0&amp;row=3876&amp;col=7&amp;number=0&amp;sourceID=14","0")</f>
        <v>0</v>
      </c>
    </row>
    <row r="3877" spans="1:7">
      <c r="A3877" s="3">
        <v>14</v>
      </c>
      <c r="B3877" s="3">
        <v>9</v>
      </c>
      <c r="C3877" s="3">
        <v>153</v>
      </c>
      <c r="D3877" s="3">
        <v>123</v>
      </c>
      <c r="E3877" s="3">
        <v>-1895.379</v>
      </c>
      <c r="F3877" s="4" t="str">
        <f>HYPERLINK("http://141.218.60.56/~jnz1568/getInfo.php?workbook=14_09.xlsx&amp;sheet=A0&amp;row=3877&amp;col=6&amp;number=1740000&amp;sourceID=14","1740000")</f>
        <v>1740000</v>
      </c>
      <c r="G3877" s="4" t="str">
        <f>HYPERLINK("http://141.218.60.56/~jnz1568/getInfo.php?workbook=14_09.xlsx&amp;sheet=A0&amp;row=3877&amp;col=7&amp;number=0&amp;sourceID=14","0")</f>
        <v>0</v>
      </c>
    </row>
    <row r="3878" spans="1:7">
      <c r="A3878" s="3">
        <v>14</v>
      </c>
      <c r="B3878" s="3">
        <v>9</v>
      </c>
      <c r="C3878" s="3">
        <v>148</v>
      </c>
      <c r="D3878" s="3">
        <v>124</v>
      </c>
      <c r="E3878" s="3">
        <v>-2296.479</v>
      </c>
      <c r="F3878" s="4" t="str">
        <f>HYPERLINK("http://141.218.60.56/~jnz1568/getInfo.php?workbook=14_09.xlsx&amp;sheet=A0&amp;row=3878&amp;col=6&amp;number=412000&amp;sourceID=14","412000")</f>
        <v>412000</v>
      </c>
      <c r="G3878" s="4" t="str">
        <f>HYPERLINK("http://141.218.60.56/~jnz1568/getInfo.php?workbook=14_09.xlsx&amp;sheet=A0&amp;row=3878&amp;col=7&amp;number=0&amp;sourceID=14","0")</f>
        <v>0</v>
      </c>
    </row>
    <row r="3879" spans="1:7">
      <c r="A3879" s="3">
        <v>14</v>
      </c>
      <c r="B3879" s="3">
        <v>9</v>
      </c>
      <c r="C3879" s="3">
        <v>154</v>
      </c>
      <c r="D3879" s="3">
        <v>124</v>
      </c>
      <c r="E3879" s="3">
        <v>-1895.235</v>
      </c>
      <c r="F3879" s="4" t="str">
        <f>HYPERLINK("http://141.218.60.56/~jnz1568/getInfo.php?workbook=14_09.xlsx&amp;sheet=A0&amp;row=3879&amp;col=6&amp;number=634000&amp;sourceID=14","634000")</f>
        <v>634000</v>
      </c>
      <c r="G3879" s="4" t="str">
        <f>HYPERLINK("http://141.218.60.56/~jnz1568/getInfo.php?workbook=14_09.xlsx&amp;sheet=A0&amp;row=3879&amp;col=7&amp;number=0&amp;sourceID=14","0")</f>
        <v>0</v>
      </c>
    </row>
    <row r="3880" spans="1:7">
      <c r="A3880" s="3">
        <v>14</v>
      </c>
      <c r="B3880" s="3">
        <v>9</v>
      </c>
      <c r="C3880" s="3">
        <v>157</v>
      </c>
      <c r="D3880" s="3">
        <v>124</v>
      </c>
      <c r="E3880" s="3">
        <v>-1757.411</v>
      </c>
      <c r="F3880" s="4" t="str">
        <f>HYPERLINK("http://141.218.60.56/~jnz1568/getInfo.php?workbook=14_09.xlsx&amp;sheet=A0&amp;row=3880&amp;col=6&amp;number=2850000&amp;sourceID=14","2850000")</f>
        <v>2850000</v>
      </c>
      <c r="G3880" s="4" t="str">
        <f>HYPERLINK("http://141.218.60.56/~jnz1568/getInfo.php?workbook=14_09.xlsx&amp;sheet=A0&amp;row=3880&amp;col=7&amp;number=0&amp;sourceID=14","0")</f>
        <v>0</v>
      </c>
    </row>
    <row r="3881" spans="1:7">
      <c r="A3881" s="3">
        <v>14</v>
      </c>
      <c r="B3881" s="3">
        <v>9</v>
      </c>
      <c r="C3881" s="3">
        <v>127</v>
      </c>
      <c r="D3881" s="3">
        <v>125</v>
      </c>
      <c r="E3881" s="3">
        <v>-4733.736</v>
      </c>
      <c r="F3881" s="4" t="str">
        <f>HYPERLINK("http://141.218.60.56/~jnz1568/getInfo.php?workbook=14_09.xlsx&amp;sheet=A0&amp;row=3881&amp;col=6&amp;number=8380000&amp;sourceID=14","8380000")</f>
        <v>8380000</v>
      </c>
      <c r="G3881" s="4" t="str">
        <f>HYPERLINK("http://141.218.60.56/~jnz1568/getInfo.php?workbook=14_09.xlsx&amp;sheet=A0&amp;row=3881&amp;col=7&amp;number=0&amp;sourceID=14","0")</f>
        <v>0</v>
      </c>
    </row>
    <row r="3882" spans="1:7">
      <c r="A3882" s="3">
        <v>14</v>
      </c>
      <c r="B3882" s="3">
        <v>9</v>
      </c>
      <c r="C3882" s="3">
        <v>131</v>
      </c>
      <c r="D3882" s="3">
        <v>125</v>
      </c>
      <c r="E3882" s="3">
        <v>-3643.923</v>
      </c>
      <c r="F3882" s="4" t="str">
        <f>HYPERLINK("http://141.218.60.56/~jnz1568/getInfo.php?workbook=14_09.xlsx&amp;sheet=A0&amp;row=3882&amp;col=6&amp;number=783000&amp;sourceID=14","783000")</f>
        <v>783000</v>
      </c>
      <c r="G3882" s="4" t="str">
        <f>HYPERLINK("http://141.218.60.56/~jnz1568/getInfo.php?workbook=14_09.xlsx&amp;sheet=A0&amp;row=3882&amp;col=7&amp;number=0&amp;sourceID=14","0")</f>
        <v>0</v>
      </c>
    </row>
    <row r="3883" spans="1:7">
      <c r="A3883" s="3">
        <v>14</v>
      </c>
      <c r="B3883" s="3">
        <v>9</v>
      </c>
      <c r="C3883" s="3">
        <v>132</v>
      </c>
      <c r="D3883" s="3">
        <v>125</v>
      </c>
      <c r="E3883" s="3">
        <v>-3638.62</v>
      </c>
      <c r="F3883" s="4" t="str">
        <f>HYPERLINK("http://141.218.60.56/~jnz1568/getInfo.php?workbook=14_09.xlsx&amp;sheet=A0&amp;row=3883&amp;col=6&amp;number=79000000&amp;sourceID=14","79000000")</f>
        <v>79000000</v>
      </c>
      <c r="G3883" s="4" t="str">
        <f>HYPERLINK("http://141.218.60.56/~jnz1568/getInfo.php?workbook=14_09.xlsx&amp;sheet=A0&amp;row=3883&amp;col=7&amp;number=0&amp;sourceID=14","0")</f>
        <v>0</v>
      </c>
    </row>
    <row r="3884" spans="1:7">
      <c r="A3884" s="3">
        <v>14</v>
      </c>
      <c r="B3884" s="3">
        <v>9</v>
      </c>
      <c r="C3884" s="3">
        <v>134</v>
      </c>
      <c r="D3884" s="3">
        <v>125</v>
      </c>
      <c r="E3884" s="3">
        <v>-3559.992</v>
      </c>
      <c r="F3884" s="4" t="str">
        <f>HYPERLINK("http://141.218.60.56/~jnz1568/getInfo.php?workbook=14_09.xlsx&amp;sheet=A0&amp;row=3884&amp;col=6&amp;number=53500000&amp;sourceID=14","53500000")</f>
        <v>53500000</v>
      </c>
      <c r="G3884" s="4" t="str">
        <f>HYPERLINK("http://141.218.60.56/~jnz1568/getInfo.php?workbook=14_09.xlsx&amp;sheet=A0&amp;row=3884&amp;col=7&amp;number=0&amp;sourceID=14","0")</f>
        <v>0</v>
      </c>
    </row>
    <row r="3885" spans="1:7">
      <c r="A3885" s="3">
        <v>14</v>
      </c>
      <c r="B3885" s="3">
        <v>9</v>
      </c>
      <c r="C3885" s="3">
        <v>135</v>
      </c>
      <c r="D3885" s="3">
        <v>125</v>
      </c>
      <c r="E3885" s="3">
        <v>-3541.71</v>
      </c>
      <c r="F3885" s="4" t="str">
        <f>HYPERLINK("http://141.218.60.56/~jnz1568/getInfo.php?workbook=14_09.xlsx&amp;sheet=A0&amp;row=3885&amp;col=6&amp;number=46600000&amp;sourceID=14","46600000")</f>
        <v>46600000</v>
      </c>
      <c r="G3885" s="4" t="str">
        <f>HYPERLINK("http://141.218.60.56/~jnz1568/getInfo.php?workbook=14_09.xlsx&amp;sheet=A0&amp;row=3885&amp;col=7&amp;number=0&amp;sourceID=14","0")</f>
        <v>0</v>
      </c>
    </row>
    <row r="3886" spans="1:7">
      <c r="A3886" s="3">
        <v>14</v>
      </c>
      <c r="B3886" s="3">
        <v>9</v>
      </c>
      <c r="C3886" s="3">
        <v>136</v>
      </c>
      <c r="D3886" s="3">
        <v>125</v>
      </c>
      <c r="E3886" s="3">
        <v>-3483.599</v>
      </c>
      <c r="F3886" s="4" t="str">
        <f>HYPERLINK("http://141.218.60.56/~jnz1568/getInfo.php?workbook=14_09.xlsx&amp;sheet=A0&amp;row=3886&amp;col=6&amp;number=11500000&amp;sourceID=14","11500000")</f>
        <v>11500000</v>
      </c>
      <c r="G3886" s="4" t="str">
        <f>HYPERLINK("http://141.218.60.56/~jnz1568/getInfo.php?workbook=14_09.xlsx&amp;sheet=A0&amp;row=3886&amp;col=7&amp;number=0&amp;sourceID=14","0")</f>
        <v>0</v>
      </c>
    </row>
    <row r="3887" spans="1:7">
      <c r="A3887" s="3">
        <v>14</v>
      </c>
      <c r="B3887" s="3">
        <v>9</v>
      </c>
      <c r="C3887" s="3">
        <v>137</v>
      </c>
      <c r="D3887" s="3">
        <v>125</v>
      </c>
      <c r="E3887" s="3">
        <v>-3379.983</v>
      </c>
      <c r="F3887" s="4" t="str">
        <f>HYPERLINK("http://141.218.60.56/~jnz1568/getInfo.php?workbook=14_09.xlsx&amp;sheet=A0&amp;row=3887&amp;col=6&amp;number=63400000&amp;sourceID=14","63400000")</f>
        <v>63400000</v>
      </c>
      <c r="G3887" s="4" t="str">
        <f>HYPERLINK("http://141.218.60.56/~jnz1568/getInfo.php?workbook=14_09.xlsx&amp;sheet=A0&amp;row=3887&amp;col=7&amp;number=0&amp;sourceID=14","0")</f>
        <v>0</v>
      </c>
    </row>
    <row r="3888" spans="1:7">
      <c r="A3888" s="3">
        <v>14</v>
      </c>
      <c r="B3888" s="3">
        <v>9</v>
      </c>
      <c r="C3888" s="3">
        <v>152</v>
      </c>
      <c r="D3888" s="3">
        <v>125</v>
      </c>
      <c r="E3888" s="3">
        <v>-2247.094</v>
      </c>
      <c r="F3888" s="4" t="str">
        <f>HYPERLINK("http://141.218.60.56/~jnz1568/getInfo.php?workbook=14_09.xlsx&amp;sheet=A0&amp;row=3888&amp;col=6&amp;number=4270000&amp;sourceID=14","4270000")</f>
        <v>4270000</v>
      </c>
      <c r="G3888" s="4" t="str">
        <f>HYPERLINK("http://141.218.60.56/~jnz1568/getInfo.php?workbook=14_09.xlsx&amp;sheet=A0&amp;row=3888&amp;col=7&amp;number=0&amp;sourceID=14","0")</f>
        <v>0</v>
      </c>
    </row>
    <row r="3889" spans="1:7">
      <c r="A3889" s="3">
        <v>14</v>
      </c>
      <c r="B3889" s="3">
        <v>9</v>
      </c>
      <c r="C3889" s="3">
        <v>153</v>
      </c>
      <c r="D3889" s="3">
        <v>125</v>
      </c>
      <c r="E3889" s="3">
        <v>-2162.073</v>
      </c>
      <c r="F3889" s="4" t="str">
        <f>HYPERLINK("http://141.218.60.56/~jnz1568/getInfo.php?workbook=14_09.xlsx&amp;sheet=A0&amp;row=3889&amp;col=6&amp;number=12500000&amp;sourceID=14","12500000")</f>
        <v>12500000</v>
      </c>
      <c r="G3889" s="4" t="str">
        <f>HYPERLINK("http://141.218.60.56/~jnz1568/getInfo.php?workbook=14_09.xlsx&amp;sheet=A0&amp;row=3889&amp;col=7&amp;number=0&amp;sourceID=14","0")</f>
        <v>0</v>
      </c>
    </row>
    <row r="3890" spans="1:7">
      <c r="A3890" s="3">
        <v>14</v>
      </c>
      <c r="B3890" s="3">
        <v>9</v>
      </c>
      <c r="C3890" s="3">
        <v>154</v>
      </c>
      <c r="D3890" s="3">
        <v>125</v>
      </c>
      <c r="E3890" s="3">
        <v>-2160.998</v>
      </c>
      <c r="F3890" s="4" t="str">
        <f>HYPERLINK("http://141.218.60.56/~jnz1568/getInfo.php?workbook=14_09.xlsx&amp;sheet=A0&amp;row=3890&amp;col=6&amp;number=618000&amp;sourceID=14","618000")</f>
        <v>618000</v>
      </c>
      <c r="G3890" s="4" t="str">
        <f>HYPERLINK("http://141.218.60.56/~jnz1568/getInfo.php?workbook=14_09.xlsx&amp;sheet=A0&amp;row=3890&amp;col=7&amp;number=0&amp;sourceID=14","0")</f>
        <v>0</v>
      </c>
    </row>
    <row r="3891" spans="1:7">
      <c r="A3891" s="3">
        <v>14</v>
      </c>
      <c r="B3891" s="3">
        <v>9</v>
      </c>
      <c r="C3891" s="3">
        <v>156</v>
      </c>
      <c r="D3891" s="3">
        <v>125</v>
      </c>
      <c r="E3891" s="3">
        <v>-2089.65</v>
      </c>
      <c r="F3891" s="4" t="str">
        <f>HYPERLINK("http://141.218.60.56/~jnz1568/getInfo.php?workbook=14_09.xlsx&amp;sheet=A0&amp;row=3891&amp;col=6&amp;number=13500000&amp;sourceID=14","13500000")</f>
        <v>13500000</v>
      </c>
      <c r="G3891" s="4" t="str">
        <f>HYPERLINK("http://141.218.60.56/~jnz1568/getInfo.php?workbook=14_09.xlsx&amp;sheet=A0&amp;row=3891&amp;col=7&amp;number=0&amp;sourceID=14","0")</f>
        <v>0</v>
      </c>
    </row>
    <row r="3892" spans="1:7">
      <c r="A3892" s="3">
        <v>14</v>
      </c>
      <c r="B3892" s="3">
        <v>9</v>
      </c>
      <c r="C3892" s="3">
        <v>157</v>
      </c>
      <c r="D3892" s="3">
        <v>125</v>
      </c>
      <c r="E3892" s="3">
        <v>-1983.619</v>
      </c>
      <c r="F3892" s="4" t="str">
        <f>HYPERLINK("http://141.218.60.56/~jnz1568/getInfo.php?workbook=14_09.xlsx&amp;sheet=A0&amp;row=3892&amp;col=6&amp;number=3030000&amp;sourceID=14","3030000")</f>
        <v>3030000</v>
      </c>
      <c r="G3892" s="4" t="str">
        <f>HYPERLINK("http://141.218.60.56/~jnz1568/getInfo.php?workbook=14_09.xlsx&amp;sheet=A0&amp;row=3892&amp;col=7&amp;number=0&amp;sourceID=14","0")</f>
        <v>0</v>
      </c>
    </row>
    <row r="3893" spans="1:7">
      <c r="A3893" s="3">
        <v>14</v>
      </c>
      <c r="B3893" s="3">
        <v>9</v>
      </c>
      <c r="C3893" s="3">
        <v>158</v>
      </c>
      <c r="D3893" s="3">
        <v>125</v>
      </c>
      <c r="E3893" s="3">
        <v>-1962.866</v>
      </c>
      <c r="F3893" s="4" t="str">
        <f>HYPERLINK("http://141.218.60.56/~jnz1568/getInfo.php?workbook=14_09.xlsx&amp;sheet=A0&amp;row=3893&amp;col=6&amp;number=6830000&amp;sourceID=14","6830000")</f>
        <v>6830000</v>
      </c>
      <c r="G3893" s="4" t="str">
        <f>HYPERLINK("http://141.218.60.56/~jnz1568/getInfo.php?workbook=14_09.xlsx&amp;sheet=A0&amp;row=3893&amp;col=7&amp;number=0&amp;sourceID=14","0")</f>
        <v>0</v>
      </c>
    </row>
    <row r="3894" spans="1:7">
      <c r="A3894" s="3">
        <v>14</v>
      </c>
      <c r="B3894" s="3">
        <v>9</v>
      </c>
      <c r="C3894" s="3">
        <v>161</v>
      </c>
      <c r="D3894" s="3">
        <v>125</v>
      </c>
      <c r="E3894" s="3">
        <v>-1144.075</v>
      </c>
      <c r="F3894" s="4" t="str">
        <f>HYPERLINK("http://141.218.60.56/~jnz1568/getInfo.php?workbook=14_09.xlsx&amp;sheet=A0&amp;row=3894&amp;col=6&amp;number=54600000&amp;sourceID=14","54600000")</f>
        <v>54600000</v>
      </c>
      <c r="G3894" s="4" t="str">
        <f>HYPERLINK("http://141.218.60.56/~jnz1568/getInfo.php?workbook=14_09.xlsx&amp;sheet=A0&amp;row=3894&amp;col=7&amp;number=0&amp;sourceID=14","0")</f>
        <v>0</v>
      </c>
    </row>
    <row r="3895" spans="1:7">
      <c r="A3895" s="3">
        <v>14</v>
      </c>
      <c r="B3895" s="3">
        <v>9</v>
      </c>
      <c r="C3895" s="3">
        <v>162</v>
      </c>
      <c r="D3895" s="3">
        <v>125</v>
      </c>
      <c r="E3895" s="3">
        <v>-1048.682</v>
      </c>
      <c r="F3895" s="4" t="str">
        <f>HYPERLINK("http://141.218.60.56/~jnz1568/getInfo.php?workbook=14_09.xlsx&amp;sheet=A0&amp;row=3895&amp;col=6&amp;number=37200000&amp;sourceID=14","37200000")</f>
        <v>37200000</v>
      </c>
      <c r="G3895" s="4" t="str">
        <f>HYPERLINK("http://141.218.60.56/~jnz1568/getInfo.php?workbook=14_09.xlsx&amp;sheet=A0&amp;row=3895&amp;col=7&amp;number=0&amp;sourceID=14","0")</f>
        <v>0</v>
      </c>
    </row>
    <row r="3896" spans="1:7">
      <c r="A3896" s="3">
        <v>14</v>
      </c>
      <c r="B3896" s="3">
        <v>9</v>
      </c>
      <c r="C3896" s="3">
        <v>163</v>
      </c>
      <c r="D3896" s="3">
        <v>125</v>
      </c>
      <c r="E3896" s="3">
        <v>-1047.243</v>
      </c>
      <c r="F3896" s="4" t="str">
        <f>HYPERLINK("http://141.218.60.56/~jnz1568/getInfo.php?workbook=14_09.xlsx&amp;sheet=A0&amp;row=3896&amp;col=6&amp;number=6710000&amp;sourceID=14","6710000")</f>
        <v>6710000</v>
      </c>
      <c r="G3896" s="4" t="str">
        <f>HYPERLINK("http://141.218.60.56/~jnz1568/getInfo.php?workbook=14_09.xlsx&amp;sheet=A0&amp;row=3896&amp;col=7&amp;number=0&amp;sourceID=14","0")</f>
        <v>0</v>
      </c>
    </row>
    <row r="3897" spans="1:7">
      <c r="A3897" s="3">
        <v>14</v>
      </c>
      <c r="B3897" s="3">
        <v>9</v>
      </c>
      <c r="C3897" s="3">
        <v>185</v>
      </c>
      <c r="D3897" s="3">
        <v>125</v>
      </c>
      <c r="E3897" s="3">
        <v>-517.508</v>
      </c>
      <c r="F3897" s="4" t="str">
        <f>HYPERLINK("http://141.218.60.56/~jnz1568/getInfo.php?workbook=14_09.xlsx&amp;sheet=A0&amp;row=3897&amp;col=6&amp;number=3680000&amp;sourceID=14","3680000")</f>
        <v>3680000</v>
      </c>
      <c r="G3897" s="4" t="str">
        <f>HYPERLINK("http://141.218.60.56/~jnz1568/getInfo.php?workbook=14_09.xlsx&amp;sheet=A0&amp;row=3897&amp;col=7&amp;number=0&amp;sourceID=14","0")</f>
        <v>0</v>
      </c>
    </row>
    <row r="3898" spans="1:7">
      <c r="A3898" s="3">
        <v>14</v>
      </c>
      <c r="B3898" s="3">
        <v>9</v>
      </c>
      <c r="C3898" s="3">
        <v>186</v>
      </c>
      <c r="D3898" s="3">
        <v>125</v>
      </c>
      <c r="E3898" s="3">
        <v>-515.813</v>
      </c>
      <c r="F3898" s="4" t="str">
        <f>HYPERLINK("http://141.218.60.56/~jnz1568/getInfo.php?workbook=14_09.xlsx&amp;sheet=A0&amp;row=3898&amp;col=6&amp;number=22700000&amp;sourceID=14","22700000")</f>
        <v>22700000</v>
      </c>
      <c r="G3898" s="4" t="str">
        <f>HYPERLINK("http://141.218.60.56/~jnz1568/getInfo.php?workbook=14_09.xlsx&amp;sheet=A0&amp;row=3898&amp;col=7&amp;number=0&amp;sourceID=14","0")</f>
        <v>0</v>
      </c>
    </row>
    <row r="3899" spans="1:7">
      <c r="A3899" s="3">
        <v>14</v>
      </c>
      <c r="B3899" s="3">
        <v>9</v>
      </c>
      <c r="C3899" s="3">
        <v>187</v>
      </c>
      <c r="D3899" s="3">
        <v>125</v>
      </c>
      <c r="E3899" s="3">
        <v>-503.092</v>
      </c>
      <c r="F3899" s="4" t="str">
        <f>HYPERLINK("http://141.218.60.56/~jnz1568/getInfo.php?workbook=14_09.xlsx&amp;sheet=A0&amp;row=3899&amp;col=6&amp;number=1590000&amp;sourceID=14","1590000")</f>
        <v>1590000</v>
      </c>
      <c r="G3899" s="4" t="str">
        <f>HYPERLINK("http://141.218.60.56/~jnz1568/getInfo.php?workbook=14_09.xlsx&amp;sheet=A0&amp;row=3899&amp;col=7&amp;number=0&amp;sourceID=14","0")</f>
        <v>0</v>
      </c>
    </row>
    <row r="3900" spans="1:7">
      <c r="A3900" s="3">
        <v>14</v>
      </c>
      <c r="B3900" s="3">
        <v>9</v>
      </c>
      <c r="C3900" s="3">
        <v>188</v>
      </c>
      <c r="D3900" s="3">
        <v>125</v>
      </c>
      <c r="E3900" s="3">
        <v>-502.299</v>
      </c>
      <c r="F3900" s="4" t="str">
        <f>HYPERLINK("http://141.218.60.56/~jnz1568/getInfo.php?workbook=14_09.xlsx&amp;sheet=A0&amp;row=3900&amp;col=6&amp;number=3040000&amp;sourceID=14","3040000")</f>
        <v>3040000</v>
      </c>
      <c r="G3900" s="4" t="str">
        <f>HYPERLINK("http://141.218.60.56/~jnz1568/getInfo.php?workbook=14_09.xlsx&amp;sheet=A0&amp;row=3900&amp;col=7&amp;number=0&amp;sourceID=14","0")</f>
        <v>0</v>
      </c>
    </row>
    <row r="3901" spans="1:7">
      <c r="A3901" s="3">
        <v>14</v>
      </c>
      <c r="B3901" s="3">
        <v>9</v>
      </c>
      <c r="C3901" s="3">
        <v>189</v>
      </c>
      <c r="D3901" s="3">
        <v>125</v>
      </c>
      <c r="E3901" s="3">
        <v>-470.538</v>
      </c>
      <c r="F3901" s="4" t="str">
        <f>HYPERLINK("http://141.218.60.56/~jnz1568/getInfo.php?workbook=14_09.xlsx&amp;sheet=A0&amp;row=3901&amp;col=6&amp;number=325000000&amp;sourceID=14","325000000")</f>
        <v>325000000</v>
      </c>
      <c r="G3901" s="4" t="str">
        <f>HYPERLINK("http://141.218.60.56/~jnz1568/getInfo.php?workbook=14_09.xlsx&amp;sheet=A0&amp;row=3901&amp;col=7&amp;number=0&amp;sourceID=14","0")</f>
        <v>0</v>
      </c>
    </row>
    <row r="3902" spans="1:7">
      <c r="A3902" s="3">
        <v>14</v>
      </c>
      <c r="B3902" s="3">
        <v>9</v>
      </c>
      <c r="C3902" s="3">
        <v>127</v>
      </c>
      <c r="D3902" s="3">
        <v>126</v>
      </c>
      <c r="E3902" s="3">
        <v>-5244.673</v>
      </c>
      <c r="F3902" s="4" t="str">
        <f>HYPERLINK("http://141.218.60.56/~jnz1568/getInfo.php?workbook=14_09.xlsx&amp;sheet=A0&amp;row=3902&amp;col=6&amp;number=2320000&amp;sourceID=14","2320000")</f>
        <v>2320000</v>
      </c>
      <c r="G3902" s="4" t="str">
        <f>HYPERLINK("http://141.218.60.56/~jnz1568/getInfo.php?workbook=14_09.xlsx&amp;sheet=A0&amp;row=3902&amp;col=7&amp;number=0&amp;sourceID=14","0")</f>
        <v>0</v>
      </c>
    </row>
    <row r="3903" spans="1:7">
      <c r="A3903" s="3">
        <v>14</v>
      </c>
      <c r="B3903" s="3">
        <v>9</v>
      </c>
      <c r="C3903" s="3">
        <v>132</v>
      </c>
      <c r="D3903" s="3">
        <v>126</v>
      </c>
      <c r="E3903" s="3">
        <v>-3933.144</v>
      </c>
      <c r="F3903" s="4" t="str">
        <f>HYPERLINK("http://141.218.60.56/~jnz1568/getInfo.php?workbook=14_09.xlsx&amp;sheet=A0&amp;row=3903&amp;col=6&amp;number=12400000&amp;sourceID=14","12400000")</f>
        <v>12400000</v>
      </c>
      <c r="G3903" s="4" t="str">
        <f>HYPERLINK("http://141.218.60.56/~jnz1568/getInfo.php?workbook=14_09.xlsx&amp;sheet=A0&amp;row=3903&amp;col=7&amp;number=0&amp;sourceID=14","0")</f>
        <v>0</v>
      </c>
    </row>
    <row r="3904" spans="1:7">
      <c r="A3904" s="3">
        <v>14</v>
      </c>
      <c r="B3904" s="3">
        <v>9</v>
      </c>
      <c r="C3904" s="3">
        <v>134</v>
      </c>
      <c r="D3904" s="3">
        <v>126</v>
      </c>
      <c r="E3904" s="3">
        <v>-3841.433</v>
      </c>
      <c r="F3904" s="4" t="str">
        <f>HYPERLINK("http://141.218.60.56/~jnz1568/getInfo.php?workbook=14_09.xlsx&amp;sheet=A0&amp;row=3904&amp;col=6&amp;number=41100000&amp;sourceID=14","41100000")</f>
        <v>41100000</v>
      </c>
      <c r="G3904" s="4" t="str">
        <f>HYPERLINK("http://141.218.60.56/~jnz1568/getInfo.php?workbook=14_09.xlsx&amp;sheet=A0&amp;row=3904&amp;col=7&amp;number=0&amp;sourceID=14","0")</f>
        <v>0</v>
      </c>
    </row>
    <row r="3905" spans="1:7">
      <c r="A3905" s="3">
        <v>14</v>
      </c>
      <c r="B3905" s="3">
        <v>9</v>
      </c>
      <c r="C3905" s="3">
        <v>136</v>
      </c>
      <c r="D3905" s="3">
        <v>126</v>
      </c>
      <c r="E3905" s="3">
        <v>-3752.634</v>
      </c>
      <c r="F3905" s="4" t="str">
        <f>HYPERLINK("http://141.218.60.56/~jnz1568/getInfo.php?workbook=14_09.xlsx&amp;sheet=A0&amp;row=3905&amp;col=6&amp;number=33700000&amp;sourceID=14","33700000")</f>
        <v>33700000</v>
      </c>
      <c r="G3905" s="4" t="str">
        <f>HYPERLINK("http://141.218.60.56/~jnz1568/getInfo.php?workbook=14_09.xlsx&amp;sheet=A0&amp;row=3905&amp;col=7&amp;number=0&amp;sourceID=14","0")</f>
        <v>0</v>
      </c>
    </row>
    <row r="3906" spans="1:7">
      <c r="A3906" s="3">
        <v>14</v>
      </c>
      <c r="B3906" s="3">
        <v>9</v>
      </c>
      <c r="C3906" s="3">
        <v>137</v>
      </c>
      <c r="D3906" s="3">
        <v>126</v>
      </c>
      <c r="E3906" s="3">
        <v>-3632.672</v>
      </c>
      <c r="F3906" s="4" t="str">
        <f>HYPERLINK("http://141.218.60.56/~jnz1568/getInfo.php?workbook=14_09.xlsx&amp;sheet=A0&amp;row=3906&amp;col=6&amp;number=48000000&amp;sourceID=14","48000000")</f>
        <v>48000000</v>
      </c>
      <c r="G3906" s="4" t="str">
        <f>HYPERLINK("http://141.218.60.56/~jnz1568/getInfo.php?workbook=14_09.xlsx&amp;sheet=A0&amp;row=3906&amp;col=7&amp;number=0&amp;sourceID=14","0")</f>
        <v>0</v>
      </c>
    </row>
    <row r="3907" spans="1:7">
      <c r="A3907" s="3">
        <v>14</v>
      </c>
      <c r="B3907" s="3">
        <v>9</v>
      </c>
      <c r="C3907" s="3">
        <v>155</v>
      </c>
      <c r="D3907" s="3">
        <v>126</v>
      </c>
      <c r="E3907" s="3">
        <v>-2228.466</v>
      </c>
      <c r="F3907" s="4" t="str">
        <f>HYPERLINK("http://141.218.60.56/~jnz1568/getInfo.php?workbook=14_09.xlsx&amp;sheet=A0&amp;row=3907&amp;col=6&amp;number=196000&amp;sourceID=14","196000")</f>
        <v>196000</v>
      </c>
      <c r="G3907" s="4" t="str">
        <f>HYPERLINK("http://141.218.60.56/~jnz1568/getInfo.php?workbook=14_09.xlsx&amp;sheet=A0&amp;row=3907&amp;col=7&amp;number=0&amp;sourceID=14","0")</f>
        <v>0</v>
      </c>
    </row>
    <row r="3908" spans="1:7">
      <c r="A3908" s="3">
        <v>14</v>
      </c>
      <c r="B3908" s="3">
        <v>9</v>
      </c>
      <c r="C3908" s="3">
        <v>156</v>
      </c>
      <c r="D3908" s="3">
        <v>126</v>
      </c>
      <c r="E3908" s="3">
        <v>-2183.553</v>
      </c>
      <c r="F3908" s="4" t="str">
        <f>HYPERLINK("http://141.218.60.56/~jnz1568/getInfo.php?workbook=14_09.xlsx&amp;sheet=A0&amp;row=3908&amp;col=6&amp;number=3500000&amp;sourceID=14","3500000")</f>
        <v>3500000</v>
      </c>
      <c r="G3908" s="4" t="str">
        <f>HYPERLINK("http://141.218.60.56/~jnz1568/getInfo.php?workbook=14_09.xlsx&amp;sheet=A0&amp;row=3908&amp;col=7&amp;number=0&amp;sourceID=14","0")</f>
        <v>0</v>
      </c>
    </row>
    <row r="3909" spans="1:7">
      <c r="A3909" s="3">
        <v>14</v>
      </c>
      <c r="B3909" s="3">
        <v>9</v>
      </c>
      <c r="C3909" s="3">
        <v>157</v>
      </c>
      <c r="D3909" s="3">
        <v>126</v>
      </c>
      <c r="E3909" s="3">
        <v>-2068.042</v>
      </c>
      <c r="F3909" s="4" t="str">
        <f>HYPERLINK("http://141.218.60.56/~jnz1568/getInfo.php?workbook=14_09.xlsx&amp;sheet=A0&amp;row=3909&amp;col=6&amp;number=18700000&amp;sourceID=14","18700000")</f>
        <v>18700000</v>
      </c>
      <c r="G3909" s="4" t="str">
        <f>HYPERLINK("http://141.218.60.56/~jnz1568/getInfo.php?workbook=14_09.xlsx&amp;sheet=A0&amp;row=3909&amp;col=7&amp;number=0&amp;sourceID=14","0")</f>
        <v>0</v>
      </c>
    </row>
    <row r="3910" spans="1:7">
      <c r="A3910" s="3">
        <v>14</v>
      </c>
      <c r="B3910" s="3">
        <v>9</v>
      </c>
      <c r="C3910" s="3">
        <v>158</v>
      </c>
      <c r="D3910" s="3">
        <v>126</v>
      </c>
      <c r="E3910" s="3">
        <v>-2045.495</v>
      </c>
      <c r="F3910" s="4" t="str">
        <f>HYPERLINK("http://141.218.60.56/~jnz1568/getInfo.php?workbook=14_09.xlsx&amp;sheet=A0&amp;row=3910&amp;col=6&amp;number=13600000&amp;sourceID=14","13600000")</f>
        <v>13600000</v>
      </c>
      <c r="G3910" s="4" t="str">
        <f>HYPERLINK("http://141.218.60.56/~jnz1568/getInfo.php?workbook=14_09.xlsx&amp;sheet=A0&amp;row=3910&amp;col=7&amp;number=0&amp;sourceID=14","0")</f>
        <v>0</v>
      </c>
    </row>
    <row r="3911" spans="1:7">
      <c r="A3911" s="3">
        <v>14</v>
      </c>
      <c r="B3911" s="3">
        <v>9</v>
      </c>
      <c r="C3911" s="3">
        <v>161</v>
      </c>
      <c r="D3911" s="3">
        <v>126</v>
      </c>
      <c r="E3911" s="3">
        <v>-1171.662</v>
      </c>
      <c r="F3911" s="4" t="str">
        <f>HYPERLINK("http://141.218.60.56/~jnz1568/getInfo.php?workbook=14_09.xlsx&amp;sheet=A0&amp;row=3911&amp;col=6&amp;number=39000000&amp;sourceID=14","39000000")</f>
        <v>39000000</v>
      </c>
      <c r="G3911" s="4" t="str">
        <f>HYPERLINK("http://141.218.60.56/~jnz1568/getInfo.php?workbook=14_09.xlsx&amp;sheet=A0&amp;row=3911&amp;col=7&amp;number=0&amp;sourceID=14","0")</f>
        <v>0</v>
      </c>
    </row>
    <row r="3912" spans="1:7">
      <c r="A3912" s="3">
        <v>14</v>
      </c>
      <c r="B3912" s="3">
        <v>9</v>
      </c>
      <c r="C3912" s="3">
        <v>163</v>
      </c>
      <c r="D3912" s="3">
        <v>126</v>
      </c>
      <c r="E3912" s="3">
        <v>-1070.311</v>
      </c>
      <c r="F3912" s="4" t="str">
        <f>HYPERLINK("http://141.218.60.56/~jnz1568/getInfo.php?workbook=14_09.xlsx&amp;sheet=A0&amp;row=3912&amp;col=6&amp;number=43700000&amp;sourceID=14","43700000")</f>
        <v>43700000</v>
      </c>
      <c r="G3912" s="4" t="str">
        <f>HYPERLINK("http://141.218.60.56/~jnz1568/getInfo.php?workbook=14_09.xlsx&amp;sheet=A0&amp;row=3912&amp;col=7&amp;number=0&amp;sourceID=14","0")</f>
        <v>0</v>
      </c>
    </row>
    <row r="3913" spans="1:7">
      <c r="A3913" s="3">
        <v>14</v>
      </c>
      <c r="B3913" s="3">
        <v>9</v>
      </c>
      <c r="C3913" s="3">
        <v>185</v>
      </c>
      <c r="D3913" s="3">
        <v>126</v>
      </c>
      <c r="E3913" s="3">
        <v>-523.079</v>
      </c>
      <c r="F3913" s="4" t="str">
        <f>HYPERLINK("http://141.218.60.56/~jnz1568/getInfo.php?workbook=14_09.xlsx&amp;sheet=A0&amp;row=3913&amp;col=6&amp;number=24900000&amp;sourceID=14","24900000")</f>
        <v>24900000</v>
      </c>
      <c r="G3913" s="4" t="str">
        <f>HYPERLINK("http://141.218.60.56/~jnz1568/getInfo.php?workbook=14_09.xlsx&amp;sheet=A0&amp;row=3913&amp;col=7&amp;number=0&amp;sourceID=14","0")</f>
        <v>0</v>
      </c>
    </row>
    <row r="3914" spans="1:7">
      <c r="A3914" s="3">
        <v>14</v>
      </c>
      <c r="B3914" s="3">
        <v>9</v>
      </c>
      <c r="C3914" s="3">
        <v>187</v>
      </c>
      <c r="D3914" s="3">
        <v>126</v>
      </c>
      <c r="E3914" s="3">
        <v>-508.356</v>
      </c>
      <c r="F3914" s="4" t="str">
        <f>HYPERLINK("http://141.218.60.56/~jnz1568/getInfo.php?workbook=14_09.xlsx&amp;sheet=A0&amp;row=3914&amp;col=6&amp;number=5050000&amp;sourceID=14","5050000")</f>
        <v>5050000</v>
      </c>
      <c r="G3914" s="4" t="str">
        <f>HYPERLINK("http://141.218.60.56/~jnz1568/getInfo.php?workbook=14_09.xlsx&amp;sheet=A0&amp;row=3914&amp;col=7&amp;number=0&amp;sourceID=14","0")</f>
        <v>0</v>
      </c>
    </row>
    <row r="3915" spans="1:7">
      <c r="A3915" s="3">
        <v>14</v>
      </c>
      <c r="B3915" s="3">
        <v>9</v>
      </c>
      <c r="C3915" s="3">
        <v>188</v>
      </c>
      <c r="D3915" s="3">
        <v>126</v>
      </c>
      <c r="E3915" s="3">
        <v>-507.546</v>
      </c>
      <c r="F3915" s="4" t="str">
        <f>HYPERLINK("http://141.218.60.56/~jnz1568/getInfo.php?workbook=14_09.xlsx&amp;sheet=A0&amp;row=3915&amp;col=6&amp;number=1770000&amp;sourceID=14","1770000")</f>
        <v>1770000</v>
      </c>
      <c r="G3915" s="4" t="str">
        <f>HYPERLINK("http://141.218.60.56/~jnz1568/getInfo.php?workbook=14_09.xlsx&amp;sheet=A0&amp;row=3915&amp;col=7&amp;number=0&amp;sourceID=14","0")</f>
        <v>0</v>
      </c>
    </row>
    <row r="3916" spans="1:7">
      <c r="A3916" s="3">
        <v>14</v>
      </c>
      <c r="B3916" s="3">
        <v>9</v>
      </c>
      <c r="C3916" s="3">
        <v>189</v>
      </c>
      <c r="D3916" s="3">
        <v>126</v>
      </c>
      <c r="E3916" s="3">
        <v>-475.139</v>
      </c>
      <c r="F3916" s="4" t="str">
        <f>HYPERLINK("http://141.218.60.56/~jnz1568/getInfo.php?workbook=14_09.xlsx&amp;sheet=A0&amp;row=3916&amp;col=6&amp;number=198000000&amp;sourceID=14","198000000")</f>
        <v>198000000</v>
      </c>
      <c r="G3916" s="4" t="str">
        <f>HYPERLINK("http://141.218.60.56/~jnz1568/getInfo.php?workbook=14_09.xlsx&amp;sheet=A0&amp;row=3916&amp;col=7&amp;number=0&amp;sourceID=14","0")</f>
        <v>0</v>
      </c>
    </row>
    <row r="3917" spans="1:7">
      <c r="A3917" s="3">
        <v>14</v>
      </c>
      <c r="B3917" s="3">
        <v>9</v>
      </c>
      <c r="C3917" s="3">
        <v>138</v>
      </c>
      <c r="D3917" s="3">
        <v>127</v>
      </c>
      <c r="E3917" s="3">
        <v>-7750.15</v>
      </c>
      <c r="F3917" s="4" t="str">
        <f>HYPERLINK("http://141.218.60.56/~jnz1568/getInfo.php?workbook=14_09.xlsx&amp;sheet=A0&amp;row=3917&amp;col=6&amp;number=1880000&amp;sourceID=14","1880000")</f>
        <v>1880000</v>
      </c>
      <c r="G3917" s="4" t="str">
        <f>HYPERLINK("http://141.218.60.56/~jnz1568/getInfo.php?workbook=14_09.xlsx&amp;sheet=A0&amp;row=3917&amp;col=7&amp;number=0&amp;sourceID=14","0")</f>
        <v>0</v>
      </c>
    </row>
    <row r="3918" spans="1:7">
      <c r="A3918" s="3">
        <v>14</v>
      </c>
      <c r="B3918" s="3">
        <v>9</v>
      </c>
      <c r="C3918" s="3">
        <v>139</v>
      </c>
      <c r="D3918" s="3">
        <v>127</v>
      </c>
      <c r="E3918" s="3">
        <v>-7739.353</v>
      </c>
      <c r="F3918" s="4" t="str">
        <f>HYPERLINK("http://141.218.60.56/~jnz1568/getInfo.php?workbook=14_09.xlsx&amp;sheet=A0&amp;row=3918&amp;col=6&amp;number=1760000&amp;sourceID=14","1760000")</f>
        <v>1760000</v>
      </c>
      <c r="G3918" s="4" t="str">
        <f>HYPERLINK("http://141.218.60.56/~jnz1568/getInfo.php?workbook=14_09.xlsx&amp;sheet=A0&amp;row=3918&amp;col=7&amp;number=0&amp;sourceID=14","0")</f>
        <v>0</v>
      </c>
    </row>
    <row r="3919" spans="1:7">
      <c r="A3919" s="3">
        <v>14</v>
      </c>
      <c r="B3919" s="3">
        <v>9</v>
      </c>
      <c r="C3919" s="3">
        <v>159</v>
      </c>
      <c r="D3919" s="3">
        <v>127</v>
      </c>
      <c r="E3919" s="3">
        <v>-2819.686</v>
      </c>
      <c r="F3919" s="4" t="str">
        <f>HYPERLINK("http://141.218.60.56/~jnz1568/getInfo.php?workbook=14_09.xlsx&amp;sheet=A0&amp;row=3919&amp;col=6&amp;number=204000000&amp;sourceID=14","204000000")</f>
        <v>204000000</v>
      </c>
      <c r="G3919" s="4" t="str">
        <f>HYPERLINK("http://141.218.60.56/~jnz1568/getInfo.php?workbook=14_09.xlsx&amp;sheet=A0&amp;row=3919&amp;col=7&amp;number=0&amp;sourceID=14","0")</f>
        <v>0</v>
      </c>
    </row>
    <row r="3920" spans="1:7">
      <c r="A3920" s="3">
        <v>14</v>
      </c>
      <c r="B3920" s="3">
        <v>9</v>
      </c>
      <c r="C3920" s="3">
        <v>160</v>
      </c>
      <c r="D3920" s="3">
        <v>127</v>
      </c>
      <c r="E3920" s="3">
        <v>-2809.783</v>
      </c>
      <c r="F3920" s="4" t="str">
        <f>HYPERLINK("http://141.218.60.56/~jnz1568/getInfo.php?workbook=14_09.xlsx&amp;sheet=A0&amp;row=3920&amp;col=6&amp;number=208000000&amp;sourceID=14","208000000")</f>
        <v>208000000</v>
      </c>
      <c r="G3920" s="4" t="str">
        <f>HYPERLINK("http://141.218.60.56/~jnz1568/getInfo.php?workbook=14_09.xlsx&amp;sheet=A0&amp;row=3920&amp;col=7&amp;number=0&amp;sourceID=14","0")</f>
        <v>0</v>
      </c>
    </row>
    <row r="3921" spans="1:7">
      <c r="A3921" s="3">
        <v>14</v>
      </c>
      <c r="B3921" s="3">
        <v>9</v>
      </c>
      <c r="C3921" s="3">
        <v>166</v>
      </c>
      <c r="D3921" s="3">
        <v>127</v>
      </c>
      <c r="E3921" s="3">
        <v>-1078.146</v>
      </c>
      <c r="F3921" s="4" t="str">
        <f>HYPERLINK("http://141.218.60.56/~jnz1568/getInfo.php?workbook=14_09.xlsx&amp;sheet=A0&amp;row=3921&amp;col=6&amp;number=9090000&amp;sourceID=14","9090000")</f>
        <v>9090000</v>
      </c>
      <c r="G3921" s="4" t="str">
        <f>HYPERLINK("http://141.218.60.56/~jnz1568/getInfo.php?workbook=14_09.xlsx&amp;sheet=A0&amp;row=3921&amp;col=7&amp;number=0&amp;sourceID=14","0")</f>
        <v>0</v>
      </c>
    </row>
    <row r="3922" spans="1:7">
      <c r="A3922" s="3">
        <v>14</v>
      </c>
      <c r="B3922" s="3">
        <v>9</v>
      </c>
      <c r="C3922" s="3">
        <v>167</v>
      </c>
      <c r="D3922" s="3">
        <v>127</v>
      </c>
      <c r="E3922" s="3">
        <v>-1076.486</v>
      </c>
      <c r="F3922" s="4" t="str">
        <f>HYPERLINK("http://141.218.60.56/~jnz1568/getInfo.php?workbook=14_09.xlsx&amp;sheet=A0&amp;row=3922&amp;col=6&amp;number=6190000&amp;sourceID=14","6190000")</f>
        <v>6190000</v>
      </c>
      <c r="G3922" s="4" t="str">
        <f>HYPERLINK("http://141.218.60.56/~jnz1568/getInfo.php?workbook=14_09.xlsx&amp;sheet=A0&amp;row=3922&amp;col=7&amp;number=0&amp;sourceID=14","0")</f>
        <v>0</v>
      </c>
    </row>
    <row r="3923" spans="1:7">
      <c r="A3923" s="3">
        <v>14</v>
      </c>
      <c r="B3923" s="3">
        <v>9</v>
      </c>
      <c r="C3923" s="3">
        <v>178</v>
      </c>
      <c r="D3923" s="3">
        <v>127</v>
      </c>
      <c r="E3923" s="3">
        <v>-761.401</v>
      </c>
      <c r="F3923" s="4" t="str">
        <f>HYPERLINK("http://141.218.60.56/~jnz1568/getInfo.php?workbook=14_09.xlsx&amp;sheet=A0&amp;row=3923&amp;col=6&amp;number=513000&amp;sourceID=14","513000")</f>
        <v>513000</v>
      </c>
      <c r="G3923" s="4" t="str">
        <f>HYPERLINK("http://141.218.60.56/~jnz1568/getInfo.php?workbook=14_09.xlsx&amp;sheet=A0&amp;row=3923&amp;col=7&amp;number=0&amp;sourceID=14","0")</f>
        <v>0</v>
      </c>
    </row>
    <row r="3924" spans="1:7">
      <c r="A3924" s="3">
        <v>14</v>
      </c>
      <c r="B3924" s="3">
        <v>9</v>
      </c>
      <c r="C3924" s="3">
        <v>192</v>
      </c>
      <c r="D3924" s="3">
        <v>127</v>
      </c>
      <c r="E3924" s="3">
        <v>-354.486</v>
      </c>
      <c r="F3924" s="4" t="str">
        <f>HYPERLINK("http://141.218.60.56/~jnz1568/getInfo.php?workbook=14_09.xlsx&amp;sheet=A0&amp;row=3924&amp;col=6&amp;number=159000000&amp;sourceID=14","159000000")</f>
        <v>159000000</v>
      </c>
      <c r="G3924" s="4" t="str">
        <f>HYPERLINK("http://141.218.60.56/~jnz1568/getInfo.php?workbook=14_09.xlsx&amp;sheet=A0&amp;row=3924&amp;col=7&amp;number=0&amp;sourceID=14","0")</f>
        <v>0</v>
      </c>
    </row>
    <row r="3925" spans="1:7">
      <c r="A3925" s="3">
        <v>14</v>
      </c>
      <c r="B3925" s="3">
        <v>9</v>
      </c>
      <c r="C3925" s="3">
        <v>193</v>
      </c>
      <c r="D3925" s="3">
        <v>127</v>
      </c>
      <c r="E3925" s="3">
        <v>-354.315</v>
      </c>
      <c r="F3925" s="4" t="str">
        <f>HYPERLINK("http://141.218.60.56/~jnz1568/getInfo.php?workbook=14_09.xlsx&amp;sheet=A0&amp;row=3925&amp;col=6&amp;number=173000000&amp;sourceID=14","173000000")</f>
        <v>173000000</v>
      </c>
      <c r="G3925" s="4" t="str">
        <f>HYPERLINK("http://141.218.60.56/~jnz1568/getInfo.php?workbook=14_09.xlsx&amp;sheet=A0&amp;row=3925&amp;col=7&amp;number=0&amp;sourceID=14","0")</f>
        <v>0</v>
      </c>
    </row>
    <row r="3926" spans="1:7">
      <c r="A3926" s="3">
        <v>14</v>
      </c>
      <c r="B3926" s="3">
        <v>9</v>
      </c>
      <c r="C3926" s="3">
        <v>168</v>
      </c>
      <c r="D3926" s="3">
        <v>128</v>
      </c>
      <c r="E3926" s="3">
        <v>-877.087</v>
      </c>
      <c r="F3926" s="4" t="str">
        <f>HYPERLINK("http://141.218.60.56/~jnz1568/getInfo.php?workbook=14_09.xlsx&amp;sheet=A0&amp;row=3926&amp;col=6&amp;number=1880000000&amp;sourceID=14","1880000000")</f>
        <v>1880000000</v>
      </c>
      <c r="G3926" s="4" t="str">
        <f>HYPERLINK("http://141.218.60.56/~jnz1568/getInfo.php?workbook=14_09.xlsx&amp;sheet=A0&amp;row=3926&amp;col=7&amp;number=0&amp;sourceID=14","0")</f>
        <v>0</v>
      </c>
    </row>
    <row r="3927" spans="1:7">
      <c r="A3927" s="3">
        <v>14</v>
      </c>
      <c r="B3927" s="3">
        <v>9</v>
      </c>
      <c r="C3927" s="3">
        <v>169</v>
      </c>
      <c r="D3927" s="3">
        <v>128</v>
      </c>
      <c r="E3927" s="3">
        <v>-870.786</v>
      </c>
      <c r="F3927" s="4" t="str">
        <f>HYPERLINK("http://141.218.60.56/~jnz1568/getInfo.php?workbook=14_09.xlsx&amp;sheet=A0&amp;row=3927&amp;col=6&amp;number=1770000000&amp;sourceID=14","1770000000")</f>
        <v>1770000000</v>
      </c>
      <c r="G3927" s="4" t="str">
        <f>HYPERLINK("http://141.218.60.56/~jnz1568/getInfo.php?workbook=14_09.xlsx&amp;sheet=A0&amp;row=3927&amp;col=7&amp;number=0&amp;sourceID=14","0")</f>
        <v>0</v>
      </c>
    </row>
    <row r="3928" spans="1:7">
      <c r="A3928" s="3">
        <v>14</v>
      </c>
      <c r="B3928" s="3">
        <v>9</v>
      </c>
      <c r="C3928" s="3">
        <v>170</v>
      </c>
      <c r="D3928" s="3">
        <v>128</v>
      </c>
      <c r="E3928" s="3">
        <v>-859.655</v>
      </c>
      <c r="F3928" s="4" t="str">
        <f>HYPERLINK("http://141.218.60.56/~jnz1568/getInfo.php?workbook=14_09.xlsx&amp;sheet=A0&amp;row=3928&amp;col=6&amp;number=1580000000&amp;sourceID=14","1580000000")</f>
        <v>1580000000</v>
      </c>
      <c r="G3928" s="4" t="str">
        <f>HYPERLINK("http://141.218.60.56/~jnz1568/getInfo.php?workbook=14_09.xlsx&amp;sheet=A0&amp;row=3928&amp;col=7&amp;number=0&amp;sourceID=14","0")</f>
        <v>0</v>
      </c>
    </row>
    <row r="3929" spans="1:7">
      <c r="A3929" s="3">
        <v>14</v>
      </c>
      <c r="B3929" s="3">
        <v>9</v>
      </c>
      <c r="C3929" s="3">
        <v>173</v>
      </c>
      <c r="D3929" s="3">
        <v>128</v>
      </c>
      <c r="E3929" s="3">
        <v>-823.257</v>
      </c>
      <c r="F3929" s="4" t="str">
        <f>HYPERLINK("http://141.218.60.56/~jnz1568/getInfo.php?workbook=14_09.xlsx&amp;sheet=A0&amp;row=3929&amp;col=6&amp;number=1430000&amp;sourceID=14","1430000")</f>
        <v>1430000</v>
      </c>
      <c r="G3929" s="4" t="str">
        <f>HYPERLINK("http://141.218.60.56/~jnz1568/getInfo.php?workbook=14_09.xlsx&amp;sheet=A0&amp;row=3929&amp;col=7&amp;number=0&amp;sourceID=14","0")</f>
        <v>0</v>
      </c>
    </row>
    <row r="3930" spans="1:7">
      <c r="A3930" s="3">
        <v>14</v>
      </c>
      <c r="B3930" s="3">
        <v>9</v>
      </c>
      <c r="C3930" s="3">
        <v>176</v>
      </c>
      <c r="D3930" s="3">
        <v>128</v>
      </c>
      <c r="E3930" s="3">
        <v>-768.718</v>
      </c>
      <c r="F3930" s="4" t="str">
        <f>HYPERLINK("http://141.218.60.56/~jnz1568/getInfo.php?workbook=14_09.xlsx&amp;sheet=A0&amp;row=3930&amp;col=6&amp;number=5140000&amp;sourceID=14","5140000")</f>
        <v>5140000</v>
      </c>
      <c r="G3930" s="4" t="str">
        <f>HYPERLINK("http://141.218.60.56/~jnz1568/getInfo.php?workbook=14_09.xlsx&amp;sheet=A0&amp;row=3930&amp;col=7&amp;number=0&amp;sourceID=14","0")</f>
        <v>0</v>
      </c>
    </row>
    <row r="3931" spans="1:7">
      <c r="A3931" s="3">
        <v>14</v>
      </c>
      <c r="B3931" s="3">
        <v>9</v>
      </c>
      <c r="C3931" s="3">
        <v>178</v>
      </c>
      <c r="D3931" s="3">
        <v>128</v>
      </c>
      <c r="E3931" s="3">
        <v>-766.714</v>
      </c>
      <c r="F3931" s="4" t="str">
        <f>HYPERLINK("http://141.218.60.56/~jnz1568/getInfo.php?workbook=14_09.xlsx&amp;sheet=A0&amp;row=3931&amp;col=6&amp;number=402000&amp;sourceID=14","402000")</f>
        <v>402000</v>
      </c>
      <c r="G3931" s="4" t="str">
        <f>HYPERLINK("http://141.218.60.56/~jnz1568/getInfo.php?workbook=14_09.xlsx&amp;sheet=A0&amp;row=3931&amp;col=7&amp;number=0&amp;sourceID=14","0")</f>
        <v>0</v>
      </c>
    </row>
    <row r="3932" spans="1:7">
      <c r="A3932" s="3">
        <v>14</v>
      </c>
      <c r="B3932" s="3">
        <v>9</v>
      </c>
      <c r="C3932" s="3">
        <v>179</v>
      </c>
      <c r="D3932" s="3">
        <v>128</v>
      </c>
      <c r="E3932" s="3">
        <v>-766.526</v>
      </c>
      <c r="F3932" s="4" t="str">
        <f>HYPERLINK("http://141.218.60.56/~jnz1568/getInfo.php?workbook=14_09.xlsx&amp;sheet=A0&amp;row=3932&amp;col=6&amp;number=1900000&amp;sourceID=14","1900000")</f>
        <v>1900000</v>
      </c>
      <c r="G3932" s="4" t="str">
        <f>HYPERLINK("http://141.218.60.56/~jnz1568/getInfo.php?workbook=14_09.xlsx&amp;sheet=A0&amp;row=3932&amp;col=7&amp;number=0&amp;sourceID=14","0")</f>
        <v>0</v>
      </c>
    </row>
    <row r="3933" spans="1:7">
      <c r="A3933" s="3">
        <v>14</v>
      </c>
      <c r="B3933" s="3">
        <v>9</v>
      </c>
      <c r="C3933" s="3">
        <v>181</v>
      </c>
      <c r="D3933" s="3">
        <v>128</v>
      </c>
      <c r="E3933" s="3">
        <v>-735.923</v>
      </c>
      <c r="F3933" s="4" t="str">
        <f>HYPERLINK("http://141.218.60.56/~jnz1568/getInfo.php?workbook=14_09.xlsx&amp;sheet=A0&amp;row=3933&amp;col=6&amp;number=1820000&amp;sourceID=14","1820000")</f>
        <v>1820000</v>
      </c>
      <c r="G3933" s="4" t="str">
        <f>HYPERLINK("http://141.218.60.56/~jnz1568/getInfo.php?workbook=14_09.xlsx&amp;sheet=A0&amp;row=3933&amp;col=7&amp;number=0&amp;sourceID=14","0")</f>
        <v>0</v>
      </c>
    </row>
    <row r="3934" spans="1:7">
      <c r="A3934" s="3">
        <v>14</v>
      </c>
      <c r="B3934" s="3">
        <v>9</v>
      </c>
      <c r="C3934" s="3">
        <v>143</v>
      </c>
      <c r="D3934" s="3">
        <v>129</v>
      </c>
      <c r="E3934" s="3">
        <v>-8668.532</v>
      </c>
      <c r="F3934" s="4" t="str">
        <f>HYPERLINK("http://141.218.60.56/~jnz1568/getInfo.php?workbook=14_09.xlsx&amp;sheet=A0&amp;row=3934&amp;col=6&amp;number=9820000&amp;sourceID=14","9820000")</f>
        <v>9820000</v>
      </c>
      <c r="G3934" s="4" t="str">
        <f>HYPERLINK("http://141.218.60.56/~jnz1568/getInfo.php?workbook=14_09.xlsx&amp;sheet=A0&amp;row=3934&amp;col=7&amp;number=0&amp;sourceID=14","0")</f>
        <v>0</v>
      </c>
    </row>
    <row r="3935" spans="1:7">
      <c r="A3935" s="3">
        <v>14</v>
      </c>
      <c r="B3935" s="3">
        <v>9</v>
      </c>
      <c r="C3935" s="3">
        <v>147</v>
      </c>
      <c r="D3935" s="3">
        <v>129</v>
      </c>
      <c r="E3935" s="3">
        <v>-7838.848</v>
      </c>
      <c r="F3935" s="4" t="str">
        <f>HYPERLINK("http://141.218.60.56/~jnz1568/getInfo.php?workbook=14_09.xlsx&amp;sheet=A0&amp;row=3935&amp;col=6&amp;number=224000&amp;sourceID=14","224000")</f>
        <v>224000</v>
      </c>
      <c r="G3935" s="4" t="str">
        <f>HYPERLINK("http://141.218.60.56/~jnz1568/getInfo.php?workbook=14_09.xlsx&amp;sheet=A0&amp;row=3935&amp;col=7&amp;number=0&amp;sourceID=14","0")</f>
        <v>0</v>
      </c>
    </row>
    <row r="3936" spans="1:7">
      <c r="A3936" s="3">
        <v>14</v>
      </c>
      <c r="B3936" s="3">
        <v>9</v>
      </c>
      <c r="C3936" s="3">
        <v>149</v>
      </c>
      <c r="D3936" s="3">
        <v>129</v>
      </c>
      <c r="E3936" s="3">
        <v>-7566.027</v>
      </c>
      <c r="F3936" s="4" t="str">
        <f>HYPERLINK("http://141.218.60.56/~jnz1568/getInfo.php?workbook=14_09.xlsx&amp;sheet=A0&amp;row=3936&amp;col=6&amp;number=2490000&amp;sourceID=14","2490000")</f>
        <v>2490000</v>
      </c>
      <c r="G3936" s="4" t="str">
        <f>HYPERLINK("http://141.218.60.56/~jnz1568/getInfo.php?workbook=14_09.xlsx&amp;sheet=A0&amp;row=3936&amp;col=7&amp;number=0&amp;sourceID=14","0")</f>
        <v>0</v>
      </c>
    </row>
    <row r="3937" spans="1:7">
      <c r="A3937" s="3">
        <v>14</v>
      </c>
      <c r="B3937" s="3">
        <v>9</v>
      </c>
      <c r="C3937" s="3">
        <v>190</v>
      </c>
      <c r="D3937" s="3">
        <v>129</v>
      </c>
      <c r="E3937" s="3">
        <v>-362.965</v>
      </c>
      <c r="F3937" s="4" t="str">
        <f>HYPERLINK("http://141.218.60.56/~jnz1568/getInfo.php?workbook=14_09.xlsx&amp;sheet=A0&amp;row=3937&amp;col=6&amp;number=11400000&amp;sourceID=14","11400000")</f>
        <v>11400000</v>
      </c>
      <c r="G3937" s="4" t="str">
        <f>HYPERLINK("http://141.218.60.56/~jnz1568/getInfo.php?workbook=14_09.xlsx&amp;sheet=A0&amp;row=3937&amp;col=7&amp;number=0&amp;sourceID=14","0")</f>
        <v>0</v>
      </c>
    </row>
    <row r="3938" spans="1:7">
      <c r="A3938" s="3">
        <v>14</v>
      </c>
      <c r="B3938" s="3">
        <v>9</v>
      </c>
      <c r="C3938" s="3">
        <v>143</v>
      </c>
      <c r="D3938" s="3">
        <v>130</v>
      </c>
      <c r="E3938" s="3">
        <v>-8702.478</v>
      </c>
      <c r="F3938" s="4" t="str">
        <f>HYPERLINK("http://141.218.60.56/~jnz1568/getInfo.php?workbook=14_09.xlsx&amp;sheet=A0&amp;row=3938&amp;col=6&amp;number=225000&amp;sourceID=14","225000")</f>
        <v>225000</v>
      </c>
      <c r="G3938" s="4" t="str">
        <f>HYPERLINK("http://141.218.60.56/~jnz1568/getInfo.php?workbook=14_09.xlsx&amp;sheet=A0&amp;row=3938&amp;col=7&amp;number=0&amp;sourceID=14","0")</f>
        <v>0</v>
      </c>
    </row>
    <row r="3939" spans="1:7">
      <c r="A3939" s="3">
        <v>14</v>
      </c>
      <c r="B3939" s="3">
        <v>9</v>
      </c>
      <c r="C3939" s="3">
        <v>144</v>
      </c>
      <c r="D3939" s="3">
        <v>130</v>
      </c>
      <c r="E3939" s="3">
        <v>-8688.113</v>
      </c>
      <c r="F3939" s="4" t="str">
        <f>HYPERLINK("http://141.218.60.56/~jnz1568/getInfo.php?workbook=14_09.xlsx&amp;sheet=A0&amp;row=3939&amp;col=6&amp;number=9970000&amp;sourceID=14","9970000")</f>
        <v>9970000</v>
      </c>
      <c r="G3939" s="4" t="str">
        <f>HYPERLINK("http://141.218.60.56/~jnz1568/getInfo.php?workbook=14_09.xlsx&amp;sheet=A0&amp;row=3939&amp;col=7&amp;number=0&amp;sourceID=14","0")</f>
        <v>0</v>
      </c>
    </row>
    <row r="3940" spans="1:7">
      <c r="A3940" s="3">
        <v>14</v>
      </c>
      <c r="B3940" s="3">
        <v>9</v>
      </c>
      <c r="C3940" s="3">
        <v>146</v>
      </c>
      <c r="D3940" s="3">
        <v>130</v>
      </c>
      <c r="E3940" s="3">
        <v>-7867.835</v>
      </c>
      <c r="F3940" s="4" t="str">
        <f>HYPERLINK("http://141.218.60.56/~jnz1568/getInfo.php?workbook=14_09.xlsx&amp;sheet=A0&amp;row=3940&amp;col=6&amp;number=209000&amp;sourceID=14","209000")</f>
        <v>209000</v>
      </c>
      <c r="G3940" s="4" t="str">
        <f>HYPERLINK("http://141.218.60.56/~jnz1568/getInfo.php?workbook=14_09.xlsx&amp;sheet=A0&amp;row=3940&amp;col=7&amp;number=0&amp;sourceID=14","0")</f>
        <v>0</v>
      </c>
    </row>
    <row r="3941" spans="1:7">
      <c r="A3941" s="3">
        <v>14</v>
      </c>
      <c r="B3941" s="3">
        <v>9</v>
      </c>
      <c r="C3941" s="3">
        <v>150</v>
      </c>
      <c r="D3941" s="3">
        <v>130</v>
      </c>
      <c r="E3941" s="3">
        <v>-7580.94</v>
      </c>
      <c r="F3941" s="4" t="str">
        <f>HYPERLINK("http://141.218.60.56/~jnz1568/getInfo.php?workbook=14_09.xlsx&amp;sheet=A0&amp;row=3941&amp;col=6&amp;number=2440000&amp;sourceID=14","2440000")</f>
        <v>2440000</v>
      </c>
      <c r="G3941" s="4" t="str">
        <f>HYPERLINK("http://141.218.60.56/~jnz1568/getInfo.php?workbook=14_09.xlsx&amp;sheet=A0&amp;row=3941&amp;col=7&amp;number=0&amp;sourceID=14","0")</f>
        <v>0</v>
      </c>
    </row>
    <row r="3942" spans="1:7">
      <c r="A3942" s="3">
        <v>14</v>
      </c>
      <c r="B3942" s="3">
        <v>9</v>
      </c>
      <c r="C3942" s="3">
        <v>191</v>
      </c>
      <c r="D3942" s="3">
        <v>130</v>
      </c>
      <c r="E3942" s="3">
        <v>-362.914</v>
      </c>
      <c r="F3942" s="4" t="str">
        <f>HYPERLINK("http://141.218.60.56/~jnz1568/getInfo.php?workbook=14_09.xlsx&amp;sheet=A0&amp;row=3942&amp;col=6&amp;number=11800000&amp;sourceID=14","11800000")</f>
        <v>11800000</v>
      </c>
      <c r="G3942" s="4" t="str">
        <f>HYPERLINK("http://141.218.60.56/~jnz1568/getInfo.php?workbook=14_09.xlsx&amp;sheet=A0&amp;row=3942&amp;col=7&amp;number=0&amp;sourceID=14","0")</f>
        <v>0</v>
      </c>
    </row>
    <row r="3943" spans="1:7">
      <c r="A3943" s="3">
        <v>14</v>
      </c>
      <c r="B3943" s="3">
        <v>9</v>
      </c>
      <c r="C3943" s="3">
        <v>146</v>
      </c>
      <c r="D3943" s="3">
        <v>131</v>
      </c>
      <c r="E3943" s="3">
        <v>-10711.245</v>
      </c>
      <c r="F3943" s="4" t="str">
        <f>HYPERLINK("http://141.218.60.56/~jnz1568/getInfo.php?workbook=14_09.xlsx&amp;sheet=A0&amp;row=3943&amp;col=6&amp;number=395000&amp;sourceID=14","395000")</f>
        <v>395000</v>
      </c>
      <c r="G3943" s="4" t="str">
        <f>HYPERLINK("http://141.218.60.56/~jnz1568/getInfo.php?workbook=14_09.xlsx&amp;sheet=A0&amp;row=3943&amp;col=7&amp;number=0&amp;sourceID=14","0")</f>
        <v>0</v>
      </c>
    </row>
    <row r="3944" spans="1:7">
      <c r="A3944" s="3">
        <v>14</v>
      </c>
      <c r="B3944" s="3">
        <v>9</v>
      </c>
      <c r="C3944" s="3">
        <v>147</v>
      </c>
      <c r="D3944" s="3">
        <v>131</v>
      </c>
      <c r="E3944" s="3">
        <v>-10708.951</v>
      </c>
      <c r="F3944" s="4" t="str">
        <f>HYPERLINK("http://141.218.60.56/~jnz1568/getInfo.php?workbook=14_09.xlsx&amp;sheet=A0&amp;row=3944&amp;col=6&amp;number=1160000&amp;sourceID=14","1160000")</f>
        <v>1160000</v>
      </c>
      <c r="G3944" s="4" t="str">
        <f>HYPERLINK("http://141.218.60.56/~jnz1568/getInfo.php?workbook=14_09.xlsx&amp;sheet=A0&amp;row=3944&amp;col=7&amp;number=0&amp;sourceID=14","0")</f>
        <v>0</v>
      </c>
    </row>
    <row r="3945" spans="1:7">
      <c r="A3945" s="3">
        <v>14</v>
      </c>
      <c r="B3945" s="3">
        <v>9</v>
      </c>
      <c r="C3945" s="3">
        <v>149</v>
      </c>
      <c r="D3945" s="3">
        <v>131</v>
      </c>
      <c r="E3945" s="3">
        <v>-10206.184</v>
      </c>
      <c r="F3945" s="4" t="str">
        <f>HYPERLINK("http://141.218.60.56/~jnz1568/getInfo.php?workbook=14_09.xlsx&amp;sheet=A0&amp;row=3945&amp;col=6&amp;number=4600000&amp;sourceID=14","4600000")</f>
        <v>4600000</v>
      </c>
      <c r="G3945" s="4" t="str">
        <f>HYPERLINK("http://141.218.60.56/~jnz1568/getInfo.php?workbook=14_09.xlsx&amp;sheet=A0&amp;row=3945&amp;col=7&amp;number=0&amp;sourceID=14","0")</f>
        <v>0</v>
      </c>
    </row>
    <row r="3946" spans="1:7">
      <c r="A3946" s="3">
        <v>14</v>
      </c>
      <c r="B3946" s="3">
        <v>9</v>
      </c>
      <c r="C3946" s="3">
        <v>164</v>
      </c>
      <c r="D3946" s="3">
        <v>131</v>
      </c>
      <c r="E3946" s="3">
        <v>-1286.755</v>
      </c>
      <c r="F3946" s="4" t="str">
        <f>HYPERLINK("http://141.218.60.56/~jnz1568/getInfo.php?workbook=14_09.xlsx&amp;sheet=A0&amp;row=3946&amp;col=6&amp;number=708000&amp;sourceID=14","708000")</f>
        <v>708000</v>
      </c>
      <c r="G3946" s="4" t="str">
        <f>HYPERLINK("http://141.218.60.56/~jnz1568/getInfo.php?workbook=14_09.xlsx&amp;sheet=A0&amp;row=3946&amp;col=7&amp;number=0&amp;sourceID=14","0")</f>
        <v>0</v>
      </c>
    </row>
    <row r="3947" spans="1:7">
      <c r="A3947" s="3">
        <v>14</v>
      </c>
      <c r="B3947" s="3">
        <v>9</v>
      </c>
      <c r="C3947" s="3">
        <v>190</v>
      </c>
      <c r="D3947" s="3">
        <v>131</v>
      </c>
      <c r="E3947" s="3">
        <v>-367.526</v>
      </c>
      <c r="F3947" s="4" t="str">
        <f>HYPERLINK("http://141.218.60.56/~jnz1568/getInfo.php?workbook=14_09.xlsx&amp;sheet=A0&amp;row=3947&amp;col=6&amp;number=68900000&amp;sourceID=14","68900000")</f>
        <v>68900000</v>
      </c>
      <c r="G3947" s="4" t="str">
        <f>HYPERLINK("http://141.218.60.56/~jnz1568/getInfo.php?workbook=14_09.xlsx&amp;sheet=A0&amp;row=3947&amp;col=7&amp;number=0&amp;sourceID=14","0")</f>
        <v>0</v>
      </c>
    </row>
    <row r="3948" spans="1:7">
      <c r="A3948" s="3">
        <v>14</v>
      </c>
      <c r="B3948" s="3">
        <v>9</v>
      </c>
      <c r="C3948" s="3">
        <v>191</v>
      </c>
      <c r="D3948" s="3">
        <v>131</v>
      </c>
      <c r="E3948" s="3">
        <v>-367.413</v>
      </c>
      <c r="F3948" s="4" t="str">
        <f>HYPERLINK("http://141.218.60.56/~jnz1568/getInfo.php?workbook=14_09.xlsx&amp;sheet=A0&amp;row=3948&amp;col=6&amp;number=21800000&amp;sourceID=14","21800000")</f>
        <v>21800000</v>
      </c>
      <c r="G3948" s="4" t="str">
        <f>HYPERLINK("http://141.218.60.56/~jnz1568/getInfo.php?workbook=14_09.xlsx&amp;sheet=A0&amp;row=3948&amp;col=7&amp;number=0&amp;sourceID=14","0")</f>
        <v>0</v>
      </c>
    </row>
    <row r="3949" spans="1:7">
      <c r="A3949" s="3">
        <v>14</v>
      </c>
      <c r="B3949" s="3">
        <v>9</v>
      </c>
      <c r="C3949" s="3">
        <v>195</v>
      </c>
      <c r="D3949" s="3">
        <v>131</v>
      </c>
      <c r="E3949" s="3">
        <v>-358.651</v>
      </c>
      <c r="F3949" s="4" t="str">
        <f>HYPERLINK("http://141.218.60.56/~jnz1568/getInfo.php?workbook=14_09.xlsx&amp;sheet=A0&amp;row=3949&amp;col=6&amp;number=9900000&amp;sourceID=14","9900000")</f>
        <v>9900000</v>
      </c>
      <c r="G3949" s="4" t="str">
        <f>HYPERLINK("http://141.218.60.56/~jnz1568/getInfo.php?workbook=14_09.xlsx&amp;sheet=A0&amp;row=3949&amp;col=7&amp;number=0&amp;sourceID=14","0")</f>
        <v>0</v>
      </c>
    </row>
    <row r="3950" spans="1:7">
      <c r="A3950" s="3">
        <v>14</v>
      </c>
      <c r="B3950" s="3">
        <v>9</v>
      </c>
      <c r="C3950" s="3">
        <v>138</v>
      </c>
      <c r="D3950" s="3">
        <v>132</v>
      </c>
      <c r="E3950" s="3">
        <v>-15278.867</v>
      </c>
      <c r="F3950" s="4" t="str">
        <f>HYPERLINK("http://141.218.60.56/~jnz1568/getInfo.php?workbook=14_09.xlsx&amp;sheet=A0&amp;row=3950&amp;col=6&amp;number=270000&amp;sourceID=14","270000")</f>
        <v>270000</v>
      </c>
      <c r="G3950" s="4" t="str">
        <f>HYPERLINK("http://141.218.60.56/~jnz1568/getInfo.php?workbook=14_09.xlsx&amp;sheet=A0&amp;row=3950&amp;col=7&amp;number=0&amp;sourceID=14","0")</f>
        <v>0</v>
      </c>
    </row>
    <row r="3951" spans="1:7">
      <c r="A3951" s="3">
        <v>14</v>
      </c>
      <c r="B3951" s="3">
        <v>9</v>
      </c>
      <c r="C3951" s="3">
        <v>139</v>
      </c>
      <c r="D3951" s="3">
        <v>132</v>
      </c>
      <c r="E3951" s="3">
        <v>-15236.962</v>
      </c>
      <c r="F3951" s="4" t="str">
        <f>HYPERLINK("http://141.218.60.56/~jnz1568/getInfo.php?workbook=14_09.xlsx&amp;sheet=A0&amp;row=3951&amp;col=6&amp;number=682000&amp;sourceID=14","682000")</f>
        <v>682000</v>
      </c>
      <c r="G3951" s="4" t="str">
        <f>HYPERLINK("http://141.218.60.56/~jnz1568/getInfo.php?workbook=14_09.xlsx&amp;sheet=A0&amp;row=3951&amp;col=7&amp;number=0&amp;sourceID=14","0")</f>
        <v>0</v>
      </c>
    </row>
    <row r="3952" spans="1:7">
      <c r="A3952" s="3">
        <v>14</v>
      </c>
      <c r="B3952" s="3">
        <v>9</v>
      </c>
      <c r="C3952" s="3">
        <v>141</v>
      </c>
      <c r="D3952" s="3">
        <v>132</v>
      </c>
      <c r="E3952" s="3">
        <v>-12607.184</v>
      </c>
      <c r="F3952" s="4" t="str">
        <f>HYPERLINK("http://141.218.60.56/~jnz1568/getInfo.php?workbook=14_09.xlsx&amp;sheet=A0&amp;row=3952&amp;col=6&amp;number=1740000&amp;sourceID=14","1740000")</f>
        <v>1740000</v>
      </c>
      <c r="G3952" s="4" t="str">
        <f>HYPERLINK("http://141.218.60.56/~jnz1568/getInfo.php?workbook=14_09.xlsx&amp;sheet=A0&amp;row=3952&amp;col=7&amp;number=0&amp;sourceID=14","0")</f>
        <v>0</v>
      </c>
    </row>
    <row r="3953" spans="1:7">
      <c r="A3953" s="3">
        <v>14</v>
      </c>
      <c r="B3953" s="3">
        <v>9</v>
      </c>
      <c r="C3953" s="3">
        <v>142</v>
      </c>
      <c r="D3953" s="3">
        <v>132</v>
      </c>
      <c r="E3953" s="3">
        <v>-12589.725</v>
      </c>
      <c r="F3953" s="4" t="str">
        <f>HYPERLINK("http://141.218.60.56/~jnz1568/getInfo.php?workbook=14_09.xlsx&amp;sheet=A0&amp;row=3953&amp;col=6&amp;number=285000&amp;sourceID=14","285000")</f>
        <v>285000</v>
      </c>
      <c r="G3953" s="4" t="str">
        <f>HYPERLINK("http://141.218.60.56/~jnz1568/getInfo.php?workbook=14_09.xlsx&amp;sheet=A0&amp;row=3953&amp;col=7&amp;number=0&amp;sourceID=14","0")</f>
        <v>0</v>
      </c>
    </row>
    <row r="3954" spans="1:7">
      <c r="A3954" s="3">
        <v>14</v>
      </c>
      <c r="B3954" s="3">
        <v>9</v>
      </c>
      <c r="C3954" s="3">
        <v>166</v>
      </c>
      <c r="D3954" s="3">
        <v>132</v>
      </c>
      <c r="E3954" s="3">
        <v>-1157.49</v>
      </c>
      <c r="F3954" s="4" t="str">
        <f>HYPERLINK("http://141.218.60.56/~jnz1568/getInfo.php?workbook=14_09.xlsx&amp;sheet=A0&amp;row=3954&amp;col=6&amp;number=3090000&amp;sourceID=14","3090000")</f>
        <v>3090000</v>
      </c>
      <c r="G3954" s="4" t="str">
        <f>HYPERLINK("http://141.218.60.56/~jnz1568/getInfo.php?workbook=14_09.xlsx&amp;sheet=A0&amp;row=3954&amp;col=7&amp;number=0&amp;sourceID=14","0")</f>
        <v>0</v>
      </c>
    </row>
    <row r="3955" spans="1:7">
      <c r="A3955" s="3">
        <v>14</v>
      </c>
      <c r="B3955" s="3">
        <v>9</v>
      </c>
      <c r="C3955" s="3">
        <v>173</v>
      </c>
      <c r="D3955" s="3">
        <v>132</v>
      </c>
      <c r="E3955" s="3">
        <v>-861.914</v>
      </c>
      <c r="F3955" s="4" t="str">
        <f>HYPERLINK("http://141.218.60.56/~jnz1568/getInfo.php?workbook=14_09.xlsx&amp;sheet=A0&amp;row=3955&amp;col=6&amp;number=308000&amp;sourceID=14","308000")</f>
        <v>308000</v>
      </c>
      <c r="G3955" s="4" t="str">
        <f>HYPERLINK("http://141.218.60.56/~jnz1568/getInfo.php?workbook=14_09.xlsx&amp;sheet=A0&amp;row=3955&amp;col=7&amp;number=0&amp;sourceID=14","0")</f>
        <v>0</v>
      </c>
    </row>
    <row r="3956" spans="1:7">
      <c r="A3956" s="3">
        <v>14</v>
      </c>
      <c r="B3956" s="3">
        <v>9</v>
      </c>
      <c r="C3956" s="3">
        <v>176</v>
      </c>
      <c r="D3956" s="3">
        <v>132</v>
      </c>
      <c r="E3956" s="3">
        <v>-802.318</v>
      </c>
      <c r="F3956" s="4" t="str">
        <f>HYPERLINK("http://141.218.60.56/~jnz1568/getInfo.php?workbook=14_09.xlsx&amp;sheet=A0&amp;row=3956&amp;col=6&amp;number=346000&amp;sourceID=14","346000")</f>
        <v>346000</v>
      </c>
      <c r="G3956" s="4" t="str">
        <f>HYPERLINK("http://141.218.60.56/~jnz1568/getInfo.php?workbook=14_09.xlsx&amp;sheet=A0&amp;row=3956&amp;col=7&amp;number=0&amp;sourceID=14","0")</f>
        <v>0</v>
      </c>
    </row>
    <row r="3957" spans="1:7">
      <c r="A3957" s="3">
        <v>14</v>
      </c>
      <c r="B3957" s="3">
        <v>9</v>
      </c>
      <c r="C3957" s="3">
        <v>179</v>
      </c>
      <c r="D3957" s="3">
        <v>132</v>
      </c>
      <c r="E3957" s="3">
        <v>-799.931</v>
      </c>
      <c r="F3957" s="4" t="str">
        <f>HYPERLINK("http://141.218.60.56/~jnz1568/getInfo.php?workbook=14_09.xlsx&amp;sheet=A0&amp;row=3957&amp;col=6&amp;number=646000&amp;sourceID=14","646000")</f>
        <v>646000</v>
      </c>
      <c r="G3957" s="4" t="str">
        <f>HYPERLINK("http://141.218.60.56/~jnz1568/getInfo.php?workbook=14_09.xlsx&amp;sheet=A0&amp;row=3957&amp;col=7&amp;number=0&amp;sourceID=14","0")</f>
        <v>0</v>
      </c>
    </row>
    <row r="3958" spans="1:7">
      <c r="A3958" s="3">
        <v>14</v>
      </c>
      <c r="B3958" s="3">
        <v>9</v>
      </c>
      <c r="C3958" s="3">
        <v>180</v>
      </c>
      <c r="D3958" s="3">
        <v>132</v>
      </c>
      <c r="E3958" s="3">
        <v>-792.878</v>
      </c>
      <c r="F3958" s="4" t="str">
        <f>HYPERLINK("http://141.218.60.56/~jnz1568/getInfo.php?workbook=14_09.xlsx&amp;sheet=A0&amp;row=3958&amp;col=6&amp;number=633000&amp;sourceID=14","633000")</f>
        <v>633000</v>
      </c>
      <c r="G3958" s="4" t="str">
        <f>HYPERLINK("http://141.218.60.56/~jnz1568/getInfo.php?workbook=14_09.xlsx&amp;sheet=A0&amp;row=3958&amp;col=7&amp;number=0&amp;sourceID=14","0")</f>
        <v>0</v>
      </c>
    </row>
    <row r="3959" spans="1:7">
      <c r="A3959" s="3">
        <v>14</v>
      </c>
      <c r="B3959" s="3">
        <v>9</v>
      </c>
      <c r="C3959" s="3">
        <v>181</v>
      </c>
      <c r="D3959" s="3">
        <v>132</v>
      </c>
      <c r="E3959" s="3">
        <v>-766.661</v>
      </c>
      <c r="F3959" s="4" t="str">
        <f>HYPERLINK("http://141.218.60.56/~jnz1568/getInfo.php?workbook=14_09.xlsx&amp;sheet=A0&amp;row=3959&amp;col=6&amp;number=6080000&amp;sourceID=14","6080000")</f>
        <v>6080000</v>
      </c>
      <c r="G3959" s="4" t="str">
        <f>HYPERLINK("http://141.218.60.56/~jnz1568/getInfo.php?workbook=14_09.xlsx&amp;sheet=A0&amp;row=3959&amp;col=7&amp;number=0&amp;sourceID=14","0")</f>
        <v>0</v>
      </c>
    </row>
    <row r="3960" spans="1:7">
      <c r="A3960" s="3">
        <v>14</v>
      </c>
      <c r="B3960" s="3">
        <v>9</v>
      </c>
      <c r="C3960" s="3">
        <v>182</v>
      </c>
      <c r="D3960" s="3">
        <v>132</v>
      </c>
      <c r="E3960" s="3">
        <v>-766.091</v>
      </c>
      <c r="F3960" s="4" t="str">
        <f>HYPERLINK("http://141.218.60.56/~jnz1568/getInfo.php?workbook=14_09.xlsx&amp;sheet=A0&amp;row=3960&amp;col=6&amp;number=2300000&amp;sourceID=14","2300000")</f>
        <v>2300000</v>
      </c>
      <c r="G3960" s="4" t="str">
        <f>HYPERLINK("http://141.218.60.56/~jnz1568/getInfo.php?workbook=14_09.xlsx&amp;sheet=A0&amp;row=3960&amp;col=7&amp;number=0&amp;sourceID=14","0")</f>
        <v>0</v>
      </c>
    </row>
    <row r="3961" spans="1:7">
      <c r="A3961" s="3">
        <v>14</v>
      </c>
      <c r="B3961" s="3">
        <v>9</v>
      </c>
      <c r="C3961" s="3">
        <v>184</v>
      </c>
      <c r="D3961" s="3">
        <v>132</v>
      </c>
      <c r="E3961" s="3">
        <v>-707.215</v>
      </c>
      <c r="F3961" s="4" t="str">
        <f>HYPERLINK("http://141.218.60.56/~jnz1568/getInfo.php?workbook=14_09.xlsx&amp;sheet=A0&amp;row=3961&amp;col=6&amp;number=10100000&amp;sourceID=14","10100000")</f>
        <v>10100000</v>
      </c>
      <c r="G3961" s="4" t="str">
        <f>HYPERLINK("http://141.218.60.56/~jnz1568/getInfo.php?workbook=14_09.xlsx&amp;sheet=A0&amp;row=3961&amp;col=7&amp;number=0&amp;sourceID=14","0")</f>
        <v>0</v>
      </c>
    </row>
    <row r="3962" spans="1:7">
      <c r="A3962" s="3">
        <v>14</v>
      </c>
      <c r="B3962" s="3">
        <v>9</v>
      </c>
      <c r="C3962" s="3">
        <v>192</v>
      </c>
      <c r="D3962" s="3">
        <v>132</v>
      </c>
      <c r="E3962" s="3">
        <v>-362.66</v>
      </c>
      <c r="F3962" s="4" t="str">
        <f>HYPERLINK("http://141.218.60.56/~jnz1568/getInfo.php?workbook=14_09.xlsx&amp;sheet=A0&amp;row=3962&amp;col=6&amp;number=280000000&amp;sourceID=14","280000000")</f>
        <v>280000000</v>
      </c>
      <c r="G3962" s="4" t="str">
        <f>HYPERLINK("http://141.218.60.56/~jnz1568/getInfo.php?workbook=14_09.xlsx&amp;sheet=A0&amp;row=3962&amp;col=7&amp;number=0&amp;sourceID=14","0")</f>
        <v>0</v>
      </c>
    </row>
    <row r="3963" spans="1:7">
      <c r="A3963" s="3">
        <v>14</v>
      </c>
      <c r="B3963" s="3">
        <v>9</v>
      </c>
      <c r="C3963" s="3">
        <v>193</v>
      </c>
      <c r="D3963" s="3">
        <v>132</v>
      </c>
      <c r="E3963" s="3">
        <v>-362.481</v>
      </c>
      <c r="F3963" s="4" t="str">
        <f>HYPERLINK("http://141.218.60.56/~jnz1568/getInfo.php?workbook=14_09.xlsx&amp;sheet=A0&amp;row=3963&amp;col=6&amp;number=118000000&amp;sourceID=14","118000000")</f>
        <v>118000000</v>
      </c>
      <c r="G3963" s="4" t="str">
        <f>HYPERLINK("http://141.218.60.56/~jnz1568/getInfo.php?workbook=14_09.xlsx&amp;sheet=A0&amp;row=3963&amp;col=7&amp;number=0&amp;sourceID=14","0")</f>
        <v>0</v>
      </c>
    </row>
    <row r="3964" spans="1:7">
      <c r="A3964" s="3">
        <v>14</v>
      </c>
      <c r="B3964" s="3">
        <v>9</v>
      </c>
      <c r="C3964" s="3">
        <v>194</v>
      </c>
      <c r="D3964" s="3">
        <v>132</v>
      </c>
      <c r="E3964" s="3">
        <v>-358.79</v>
      </c>
      <c r="F3964" s="4" t="str">
        <f>HYPERLINK("http://141.218.60.56/~jnz1568/getInfo.php?workbook=14_09.xlsx&amp;sheet=A0&amp;row=3964&amp;col=6&amp;number=57100000&amp;sourceID=14","57100000")</f>
        <v>57100000</v>
      </c>
      <c r="G3964" s="4" t="str">
        <f>HYPERLINK("http://141.218.60.56/~jnz1568/getInfo.php?workbook=14_09.xlsx&amp;sheet=A0&amp;row=3964&amp;col=7&amp;number=0&amp;sourceID=14","0")</f>
        <v>0</v>
      </c>
    </row>
    <row r="3965" spans="1:7">
      <c r="A3965" s="3">
        <v>14</v>
      </c>
      <c r="B3965" s="3">
        <v>9</v>
      </c>
      <c r="C3965" s="3">
        <v>195</v>
      </c>
      <c r="D3965" s="3">
        <v>132</v>
      </c>
      <c r="E3965" s="3">
        <v>-358.703</v>
      </c>
      <c r="F3965" s="4" t="str">
        <f>HYPERLINK("http://141.218.60.56/~jnz1568/getInfo.php?workbook=14_09.xlsx&amp;sheet=A0&amp;row=3965&amp;col=6&amp;number=315000000&amp;sourceID=14","315000000")</f>
        <v>315000000</v>
      </c>
      <c r="G3965" s="4" t="str">
        <f>HYPERLINK("http://141.218.60.56/~jnz1568/getInfo.php?workbook=14_09.xlsx&amp;sheet=A0&amp;row=3965&amp;col=7&amp;number=0&amp;sourceID=14","0")</f>
        <v>0</v>
      </c>
    </row>
    <row r="3966" spans="1:7">
      <c r="A3966" s="3">
        <v>14</v>
      </c>
      <c r="B3966" s="3">
        <v>9</v>
      </c>
      <c r="C3966" s="3">
        <v>146</v>
      </c>
      <c r="D3966" s="3">
        <v>133</v>
      </c>
      <c r="E3966" s="3">
        <v>-10860.142</v>
      </c>
      <c r="F3966" s="4" t="str">
        <f>HYPERLINK("http://141.218.60.56/~jnz1568/getInfo.php?workbook=14_09.xlsx&amp;sheet=A0&amp;row=3966&amp;col=6&amp;number=1420000&amp;sourceID=14","1420000")</f>
        <v>1420000</v>
      </c>
      <c r="G3966" s="4" t="str">
        <f>HYPERLINK("http://141.218.60.56/~jnz1568/getInfo.php?workbook=14_09.xlsx&amp;sheet=A0&amp;row=3966&amp;col=7&amp;number=0&amp;sourceID=14","0")</f>
        <v>0</v>
      </c>
    </row>
    <row r="3967" spans="1:7">
      <c r="A3967" s="3">
        <v>14</v>
      </c>
      <c r="B3967" s="3">
        <v>9</v>
      </c>
      <c r="C3967" s="3">
        <v>150</v>
      </c>
      <c r="D3967" s="3">
        <v>133</v>
      </c>
      <c r="E3967" s="3">
        <v>-10321.001</v>
      </c>
      <c r="F3967" s="4" t="str">
        <f>HYPERLINK("http://141.218.60.56/~jnz1568/getInfo.php?workbook=14_09.xlsx&amp;sheet=A0&amp;row=3967&amp;col=6&amp;number=4840000&amp;sourceID=14","4840000")</f>
        <v>4840000</v>
      </c>
      <c r="G3967" s="4" t="str">
        <f>HYPERLINK("http://141.218.60.56/~jnz1568/getInfo.php?workbook=14_09.xlsx&amp;sheet=A0&amp;row=3967&amp;col=7&amp;number=0&amp;sourceID=14","0")</f>
        <v>0</v>
      </c>
    </row>
    <row r="3968" spans="1:7">
      <c r="A3968" s="3">
        <v>14</v>
      </c>
      <c r="B3968" s="3">
        <v>9</v>
      </c>
      <c r="C3968" s="3">
        <v>165</v>
      </c>
      <c r="D3968" s="3">
        <v>133</v>
      </c>
      <c r="E3968" s="3">
        <v>-1288.712</v>
      </c>
      <c r="F3968" s="4" t="str">
        <f>HYPERLINK("http://141.218.60.56/~jnz1568/getInfo.php?workbook=14_09.xlsx&amp;sheet=A0&amp;row=3968&amp;col=6&amp;number=663000&amp;sourceID=14","663000")</f>
        <v>663000</v>
      </c>
      <c r="G3968" s="4" t="str">
        <f>HYPERLINK("http://141.218.60.56/~jnz1568/getInfo.php?workbook=14_09.xlsx&amp;sheet=A0&amp;row=3968&amp;col=7&amp;number=0&amp;sourceID=14","0")</f>
        <v>0</v>
      </c>
    </row>
    <row r="3969" spans="1:7">
      <c r="A3969" s="3">
        <v>14</v>
      </c>
      <c r="B3969" s="3">
        <v>9</v>
      </c>
      <c r="C3969" s="3">
        <v>171</v>
      </c>
      <c r="D3969" s="3">
        <v>133</v>
      </c>
      <c r="E3969" s="3">
        <v>-883.98</v>
      </c>
      <c r="F3969" s="4" t="str">
        <f>HYPERLINK("http://141.218.60.56/~jnz1568/getInfo.php?workbook=14_09.xlsx&amp;sheet=A0&amp;row=3969&amp;col=6&amp;number=3000000&amp;sourceID=14","3000000")</f>
        <v>3000000</v>
      </c>
      <c r="G3969" s="4" t="str">
        <f>HYPERLINK("http://141.218.60.56/~jnz1568/getInfo.php?workbook=14_09.xlsx&amp;sheet=A0&amp;row=3969&amp;col=7&amp;number=0&amp;sourceID=14","0")</f>
        <v>0</v>
      </c>
    </row>
    <row r="3970" spans="1:7">
      <c r="A3970" s="3">
        <v>14</v>
      </c>
      <c r="B3970" s="3">
        <v>9</v>
      </c>
      <c r="C3970" s="3">
        <v>172</v>
      </c>
      <c r="D3970" s="3">
        <v>133</v>
      </c>
      <c r="E3970" s="3">
        <v>-873.006</v>
      </c>
      <c r="F3970" s="4" t="str">
        <f>HYPERLINK("http://141.218.60.56/~jnz1568/getInfo.php?workbook=14_09.xlsx&amp;sheet=A0&amp;row=3970&amp;col=6&amp;number=570000&amp;sourceID=14","570000")</f>
        <v>570000</v>
      </c>
      <c r="G3970" s="4" t="str">
        <f>HYPERLINK("http://141.218.60.56/~jnz1568/getInfo.php?workbook=14_09.xlsx&amp;sheet=A0&amp;row=3970&amp;col=7&amp;number=0&amp;sourceID=14","0")</f>
        <v>0</v>
      </c>
    </row>
    <row r="3971" spans="1:7">
      <c r="A3971" s="3">
        <v>14</v>
      </c>
      <c r="B3971" s="3">
        <v>9</v>
      </c>
      <c r="C3971" s="3">
        <v>175</v>
      </c>
      <c r="D3971" s="3">
        <v>133</v>
      </c>
      <c r="E3971" s="3">
        <v>-815.496</v>
      </c>
      <c r="F3971" s="4" t="str">
        <f>HYPERLINK("http://141.218.60.56/~jnz1568/getInfo.php?workbook=14_09.xlsx&amp;sheet=A0&amp;row=3971&amp;col=6&amp;number=601000&amp;sourceID=14","601000")</f>
        <v>601000</v>
      </c>
      <c r="G3971" s="4" t="str">
        <f>HYPERLINK("http://141.218.60.56/~jnz1568/getInfo.php?workbook=14_09.xlsx&amp;sheet=A0&amp;row=3971&amp;col=7&amp;number=0&amp;sourceID=14","0")</f>
        <v>0</v>
      </c>
    </row>
    <row r="3972" spans="1:7">
      <c r="A3972" s="3">
        <v>14</v>
      </c>
      <c r="B3972" s="3">
        <v>9</v>
      </c>
      <c r="C3972" s="3">
        <v>190</v>
      </c>
      <c r="D3972" s="3">
        <v>133</v>
      </c>
      <c r="E3972" s="3">
        <v>-367.699</v>
      </c>
      <c r="F3972" s="4" t="str">
        <f>HYPERLINK("http://141.218.60.56/~jnz1568/getInfo.php?workbook=14_09.xlsx&amp;sheet=A0&amp;row=3972&amp;col=6&amp;number=4710000&amp;sourceID=14","4710000")</f>
        <v>4710000</v>
      </c>
      <c r="G3972" s="4" t="str">
        <f>HYPERLINK("http://141.218.60.56/~jnz1568/getInfo.php?workbook=14_09.xlsx&amp;sheet=A0&amp;row=3972&amp;col=7&amp;number=0&amp;sourceID=14","0")</f>
        <v>0</v>
      </c>
    </row>
    <row r="3973" spans="1:7">
      <c r="A3973" s="3">
        <v>14</v>
      </c>
      <c r="B3973" s="3">
        <v>9</v>
      </c>
      <c r="C3973" s="3">
        <v>191</v>
      </c>
      <c r="D3973" s="3">
        <v>133</v>
      </c>
      <c r="E3973" s="3">
        <v>-367.586</v>
      </c>
      <c r="F3973" s="4" t="str">
        <f>HYPERLINK("http://141.218.60.56/~jnz1568/getInfo.php?workbook=14_09.xlsx&amp;sheet=A0&amp;row=3973&amp;col=6&amp;number=87100000&amp;sourceID=14","87100000")</f>
        <v>87100000</v>
      </c>
      <c r="G3973" s="4" t="str">
        <f>HYPERLINK("http://141.218.60.56/~jnz1568/getInfo.php?workbook=14_09.xlsx&amp;sheet=A0&amp;row=3973&amp;col=7&amp;number=0&amp;sourceID=14","0")</f>
        <v>0</v>
      </c>
    </row>
    <row r="3974" spans="1:7">
      <c r="A3974" s="3">
        <v>14</v>
      </c>
      <c r="B3974" s="3">
        <v>9</v>
      </c>
      <c r="C3974" s="3">
        <v>138</v>
      </c>
      <c r="D3974" s="3">
        <v>134</v>
      </c>
      <c r="E3974" s="3">
        <v>-16840.719</v>
      </c>
      <c r="F3974" s="4" t="str">
        <f>HYPERLINK("http://141.218.60.56/~jnz1568/getInfo.php?workbook=14_09.xlsx&amp;sheet=A0&amp;row=3974&amp;col=6&amp;number=517000&amp;sourceID=14","517000")</f>
        <v>517000</v>
      </c>
      <c r="G3974" s="4" t="str">
        <f>HYPERLINK("http://141.218.60.56/~jnz1568/getInfo.php?workbook=14_09.xlsx&amp;sheet=A0&amp;row=3974&amp;col=7&amp;number=0&amp;sourceID=14","0")</f>
        <v>0</v>
      </c>
    </row>
    <row r="3975" spans="1:7">
      <c r="A3975" s="3">
        <v>14</v>
      </c>
      <c r="B3975" s="3">
        <v>9</v>
      </c>
      <c r="C3975" s="3">
        <v>142</v>
      </c>
      <c r="D3975" s="3">
        <v>134</v>
      </c>
      <c r="E3975" s="3">
        <v>-13631.432</v>
      </c>
      <c r="F3975" s="4" t="str">
        <f>HYPERLINK("http://141.218.60.56/~jnz1568/getInfo.php?workbook=14_09.xlsx&amp;sheet=A0&amp;row=3975&amp;col=6&amp;number=1130000&amp;sourceID=14","1130000")</f>
        <v>1130000</v>
      </c>
      <c r="G3975" s="4" t="str">
        <f>HYPERLINK("http://141.218.60.56/~jnz1568/getInfo.php?workbook=14_09.xlsx&amp;sheet=A0&amp;row=3975&amp;col=7&amp;number=0&amp;sourceID=14","0")</f>
        <v>0</v>
      </c>
    </row>
    <row r="3976" spans="1:7">
      <c r="A3976" s="3">
        <v>14</v>
      </c>
      <c r="B3976" s="3">
        <v>9</v>
      </c>
      <c r="C3976" s="3">
        <v>159</v>
      </c>
      <c r="D3976" s="3">
        <v>134</v>
      </c>
      <c r="E3976" s="3">
        <v>-3508.778</v>
      </c>
      <c r="F3976" s="4" t="str">
        <f>HYPERLINK("http://141.218.60.56/~jnz1568/getInfo.php?workbook=14_09.xlsx&amp;sheet=A0&amp;row=3976&amp;col=6&amp;number=1320000&amp;sourceID=14","1320000")</f>
        <v>1320000</v>
      </c>
      <c r="G3976" s="4" t="str">
        <f>HYPERLINK("http://141.218.60.56/~jnz1568/getInfo.php?workbook=14_09.xlsx&amp;sheet=A0&amp;row=3976&amp;col=7&amp;number=0&amp;sourceID=14","0")</f>
        <v>0</v>
      </c>
    </row>
    <row r="3977" spans="1:7">
      <c r="A3977" s="3">
        <v>14</v>
      </c>
      <c r="B3977" s="3">
        <v>9</v>
      </c>
      <c r="C3977" s="3">
        <v>160</v>
      </c>
      <c r="D3977" s="3">
        <v>134</v>
      </c>
      <c r="E3977" s="3">
        <v>-3493.456</v>
      </c>
      <c r="F3977" s="4" t="str">
        <f>HYPERLINK("http://141.218.60.56/~jnz1568/getInfo.php?workbook=14_09.xlsx&amp;sheet=A0&amp;row=3977&amp;col=6&amp;number=1410000&amp;sourceID=14","1410000")</f>
        <v>1410000</v>
      </c>
      <c r="G3977" s="4" t="str">
        <f>HYPERLINK("http://141.218.60.56/~jnz1568/getInfo.php?workbook=14_09.xlsx&amp;sheet=A0&amp;row=3977&amp;col=7&amp;number=0&amp;sourceID=14","0")</f>
        <v>0</v>
      </c>
    </row>
    <row r="3978" spans="1:7">
      <c r="A3978" s="3">
        <v>14</v>
      </c>
      <c r="B3978" s="3">
        <v>9</v>
      </c>
      <c r="C3978" s="3">
        <v>167</v>
      </c>
      <c r="D3978" s="3">
        <v>134</v>
      </c>
      <c r="E3978" s="3">
        <v>-1163.74</v>
      </c>
      <c r="F3978" s="4" t="str">
        <f>HYPERLINK("http://141.218.60.56/~jnz1568/getInfo.php?workbook=14_09.xlsx&amp;sheet=A0&amp;row=3978&amp;col=6&amp;number=1870000&amp;sourceID=14","1870000")</f>
        <v>1870000</v>
      </c>
      <c r="G3978" s="4" t="str">
        <f>HYPERLINK("http://141.218.60.56/~jnz1568/getInfo.php?workbook=14_09.xlsx&amp;sheet=A0&amp;row=3978&amp;col=7&amp;number=0&amp;sourceID=14","0")</f>
        <v>0</v>
      </c>
    </row>
    <row r="3979" spans="1:7">
      <c r="A3979" s="3">
        <v>14</v>
      </c>
      <c r="B3979" s="3">
        <v>9</v>
      </c>
      <c r="C3979" s="3">
        <v>174</v>
      </c>
      <c r="D3979" s="3">
        <v>134</v>
      </c>
      <c r="E3979" s="3">
        <v>-857.642</v>
      </c>
      <c r="F3979" s="4" t="str">
        <f>HYPERLINK("http://141.218.60.56/~jnz1568/getInfo.php?workbook=14_09.xlsx&amp;sheet=A0&amp;row=3979&amp;col=6&amp;number=412000&amp;sourceID=14","412000")</f>
        <v>412000</v>
      </c>
      <c r="G3979" s="4" t="str">
        <f>HYPERLINK("http://141.218.60.56/~jnz1568/getInfo.php?workbook=14_09.xlsx&amp;sheet=A0&amp;row=3979&amp;col=7&amp;number=0&amp;sourceID=14","0")</f>
        <v>0</v>
      </c>
    </row>
    <row r="3980" spans="1:7">
      <c r="A3980" s="3">
        <v>14</v>
      </c>
      <c r="B3980" s="3">
        <v>9</v>
      </c>
      <c r="C3980" s="3">
        <v>178</v>
      </c>
      <c r="D3980" s="3">
        <v>134</v>
      </c>
      <c r="E3980" s="3">
        <v>-804.041</v>
      </c>
      <c r="F3980" s="4" t="str">
        <f>HYPERLINK("http://141.218.60.56/~jnz1568/getInfo.php?workbook=14_09.xlsx&amp;sheet=A0&amp;row=3980&amp;col=6&amp;number=720000&amp;sourceID=14","720000")</f>
        <v>720000</v>
      </c>
      <c r="G3980" s="4" t="str">
        <f>HYPERLINK("http://141.218.60.56/~jnz1568/getInfo.php?workbook=14_09.xlsx&amp;sheet=A0&amp;row=3980&amp;col=7&amp;number=0&amp;sourceID=14","0")</f>
        <v>0</v>
      </c>
    </row>
    <row r="3981" spans="1:7">
      <c r="A3981" s="3">
        <v>14</v>
      </c>
      <c r="B3981" s="3">
        <v>9</v>
      </c>
      <c r="C3981" s="3">
        <v>182</v>
      </c>
      <c r="D3981" s="3">
        <v>134</v>
      </c>
      <c r="E3981" s="3">
        <v>-769.67</v>
      </c>
      <c r="F3981" s="4" t="str">
        <f>HYPERLINK("http://141.218.60.56/~jnz1568/getInfo.php?workbook=14_09.xlsx&amp;sheet=A0&amp;row=3981&amp;col=6&amp;number=7200000&amp;sourceID=14","7200000")</f>
        <v>7200000</v>
      </c>
      <c r="G3981" s="4" t="str">
        <f>HYPERLINK("http://141.218.60.56/~jnz1568/getInfo.php?workbook=14_09.xlsx&amp;sheet=A0&amp;row=3981&amp;col=7&amp;number=0&amp;sourceID=14","0")</f>
        <v>0</v>
      </c>
    </row>
    <row r="3982" spans="1:7">
      <c r="A3982" s="3">
        <v>14</v>
      </c>
      <c r="B3982" s="3">
        <v>9</v>
      </c>
      <c r="C3982" s="3">
        <v>183</v>
      </c>
      <c r="D3982" s="3">
        <v>134</v>
      </c>
      <c r="E3982" s="3">
        <v>-722.513</v>
      </c>
      <c r="F3982" s="4" t="str">
        <f>HYPERLINK("http://141.218.60.56/~jnz1568/getInfo.php?workbook=14_09.xlsx&amp;sheet=A0&amp;row=3982&amp;col=6&amp;number=17200000&amp;sourceID=14","17200000")</f>
        <v>17200000</v>
      </c>
      <c r="G3982" s="4" t="str">
        <f>HYPERLINK("http://141.218.60.56/~jnz1568/getInfo.php?workbook=14_09.xlsx&amp;sheet=A0&amp;row=3982&amp;col=7&amp;number=0&amp;sourceID=14","0")</f>
        <v>0</v>
      </c>
    </row>
    <row r="3983" spans="1:7">
      <c r="A3983" s="3">
        <v>14</v>
      </c>
      <c r="B3983" s="3">
        <v>9</v>
      </c>
      <c r="C3983" s="3">
        <v>192</v>
      </c>
      <c r="D3983" s="3">
        <v>134</v>
      </c>
      <c r="E3983" s="3">
        <v>-363.46</v>
      </c>
      <c r="F3983" s="4" t="str">
        <f>HYPERLINK("http://141.218.60.56/~jnz1568/getInfo.php?workbook=14_09.xlsx&amp;sheet=A0&amp;row=3983&amp;col=6&amp;number=31600000&amp;sourceID=14","31600000")</f>
        <v>31600000</v>
      </c>
      <c r="G3983" s="4" t="str">
        <f>HYPERLINK("http://141.218.60.56/~jnz1568/getInfo.php?workbook=14_09.xlsx&amp;sheet=A0&amp;row=3983&amp;col=7&amp;number=0&amp;sourceID=14","0")</f>
        <v>0</v>
      </c>
    </row>
    <row r="3984" spans="1:7">
      <c r="A3984" s="3">
        <v>14</v>
      </c>
      <c r="B3984" s="3">
        <v>9</v>
      </c>
      <c r="C3984" s="3">
        <v>193</v>
      </c>
      <c r="D3984" s="3">
        <v>134</v>
      </c>
      <c r="E3984" s="3">
        <v>-363.28</v>
      </c>
      <c r="F3984" s="4" t="str">
        <f>HYPERLINK("http://141.218.60.56/~jnz1568/getInfo.php?workbook=14_09.xlsx&amp;sheet=A0&amp;row=3984&amp;col=6&amp;number=279000000&amp;sourceID=14","279000000")</f>
        <v>279000000</v>
      </c>
      <c r="G3984" s="4" t="str">
        <f>HYPERLINK("http://141.218.60.56/~jnz1568/getInfo.php?workbook=14_09.xlsx&amp;sheet=A0&amp;row=3984&amp;col=7&amp;number=0&amp;sourceID=14","0")</f>
        <v>0</v>
      </c>
    </row>
    <row r="3985" spans="1:7">
      <c r="A3985" s="3">
        <v>14</v>
      </c>
      <c r="B3985" s="3">
        <v>9</v>
      </c>
      <c r="C3985" s="3">
        <v>194</v>
      </c>
      <c r="D3985" s="3">
        <v>134</v>
      </c>
      <c r="E3985" s="3">
        <v>-359.573</v>
      </c>
      <c r="F3985" s="4" t="str">
        <f>HYPERLINK("http://141.218.60.56/~jnz1568/getInfo.php?workbook=14_09.xlsx&amp;sheet=A0&amp;row=3985&amp;col=6&amp;number=249000000&amp;sourceID=14","249000000")</f>
        <v>249000000</v>
      </c>
      <c r="G3985" s="4" t="str">
        <f>HYPERLINK("http://141.218.60.56/~jnz1568/getInfo.php?workbook=14_09.xlsx&amp;sheet=A0&amp;row=3985&amp;col=7&amp;number=0&amp;sourceID=14","0")</f>
        <v>0</v>
      </c>
    </row>
    <row r="3986" spans="1:7">
      <c r="A3986" s="3">
        <v>14</v>
      </c>
      <c r="B3986" s="3">
        <v>9</v>
      </c>
      <c r="C3986" s="3">
        <v>141</v>
      </c>
      <c r="D3986" s="3">
        <v>135</v>
      </c>
      <c r="E3986" s="3">
        <v>-13927.603</v>
      </c>
      <c r="F3986" s="4" t="str">
        <f>HYPERLINK("http://141.218.60.56/~jnz1568/getInfo.php?workbook=14_09.xlsx&amp;sheet=A0&amp;row=3986&amp;col=6&amp;number=779000&amp;sourceID=14","779000")</f>
        <v>779000</v>
      </c>
      <c r="G3986" s="4" t="str">
        <f>HYPERLINK("http://141.218.60.56/~jnz1568/getInfo.php?workbook=14_09.xlsx&amp;sheet=A0&amp;row=3986&amp;col=7&amp;number=0&amp;sourceID=14","0")</f>
        <v>0</v>
      </c>
    </row>
    <row r="3987" spans="1:7">
      <c r="A3987" s="3">
        <v>14</v>
      </c>
      <c r="B3987" s="3">
        <v>9</v>
      </c>
      <c r="C3987" s="3">
        <v>146</v>
      </c>
      <c r="D3987" s="3">
        <v>135</v>
      </c>
      <c r="E3987" s="3">
        <v>-11704.142</v>
      </c>
      <c r="F3987" s="4" t="str">
        <f>HYPERLINK("http://141.218.60.56/~jnz1568/getInfo.php?workbook=14_09.xlsx&amp;sheet=A0&amp;row=3987&amp;col=6&amp;number=2400000&amp;sourceID=14","2400000")</f>
        <v>2400000</v>
      </c>
      <c r="G3987" s="4" t="str">
        <f>HYPERLINK("http://141.218.60.56/~jnz1568/getInfo.php?workbook=14_09.xlsx&amp;sheet=A0&amp;row=3987&amp;col=7&amp;number=0&amp;sourceID=14","0")</f>
        <v>0</v>
      </c>
    </row>
    <row r="3988" spans="1:7">
      <c r="A3988" s="3">
        <v>14</v>
      </c>
      <c r="B3988" s="3">
        <v>9</v>
      </c>
      <c r="C3988" s="3">
        <v>147</v>
      </c>
      <c r="D3988" s="3">
        <v>135</v>
      </c>
      <c r="E3988" s="3">
        <v>-11701.402</v>
      </c>
      <c r="F3988" s="4" t="str">
        <f>HYPERLINK("http://141.218.60.56/~jnz1568/getInfo.php?workbook=14_09.xlsx&amp;sheet=A0&amp;row=3988&amp;col=6&amp;number=397000&amp;sourceID=14","397000")</f>
        <v>397000</v>
      </c>
      <c r="G3988" s="4" t="str">
        <f>HYPERLINK("http://141.218.60.56/~jnz1568/getInfo.php?workbook=14_09.xlsx&amp;sheet=A0&amp;row=3988&amp;col=7&amp;number=0&amp;sourceID=14","0")</f>
        <v>0</v>
      </c>
    </row>
    <row r="3989" spans="1:7">
      <c r="A3989" s="3">
        <v>14</v>
      </c>
      <c r="B3989" s="3">
        <v>9</v>
      </c>
      <c r="C3989" s="3">
        <v>159</v>
      </c>
      <c r="D3989" s="3">
        <v>135</v>
      </c>
      <c r="E3989" s="3">
        <v>-3526.721</v>
      </c>
      <c r="F3989" s="4" t="str">
        <f>HYPERLINK("http://141.218.60.56/~jnz1568/getInfo.php?workbook=14_09.xlsx&amp;sheet=A0&amp;row=3989&amp;col=6&amp;number=414000&amp;sourceID=14","414000")</f>
        <v>414000</v>
      </c>
      <c r="G3989" s="4" t="str">
        <f>HYPERLINK("http://141.218.60.56/~jnz1568/getInfo.php?workbook=14_09.xlsx&amp;sheet=A0&amp;row=3989&amp;col=7&amp;number=0&amp;sourceID=14","0")</f>
        <v>0</v>
      </c>
    </row>
    <row r="3990" spans="1:7">
      <c r="A3990" s="3">
        <v>14</v>
      </c>
      <c r="B3990" s="3">
        <v>9</v>
      </c>
      <c r="C3990" s="3">
        <v>165</v>
      </c>
      <c r="D3990" s="3">
        <v>135</v>
      </c>
      <c r="E3990" s="3">
        <v>-1299.835</v>
      </c>
      <c r="F3990" s="4" t="str">
        <f>HYPERLINK("http://141.218.60.56/~jnz1568/getInfo.php?workbook=14_09.xlsx&amp;sheet=A0&amp;row=3990&amp;col=6&amp;number=386000&amp;sourceID=14","386000")</f>
        <v>386000</v>
      </c>
      <c r="G3990" s="4" t="str">
        <f>HYPERLINK("http://141.218.60.56/~jnz1568/getInfo.php?workbook=14_09.xlsx&amp;sheet=A0&amp;row=3990&amp;col=7&amp;number=0&amp;sourceID=14","0")</f>
        <v>0</v>
      </c>
    </row>
    <row r="3991" spans="1:7">
      <c r="A3991" s="3">
        <v>14</v>
      </c>
      <c r="B3991" s="3">
        <v>9</v>
      </c>
      <c r="C3991" s="3">
        <v>166</v>
      </c>
      <c r="D3991" s="3">
        <v>135</v>
      </c>
      <c r="E3991" s="3">
        <v>-1167.654</v>
      </c>
      <c r="F3991" s="4" t="str">
        <f>HYPERLINK("http://141.218.60.56/~jnz1568/getInfo.php?workbook=14_09.xlsx&amp;sheet=A0&amp;row=3991&amp;col=6&amp;number=1620000&amp;sourceID=14","1620000")</f>
        <v>1620000</v>
      </c>
      <c r="G3991" s="4" t="str">
        <f>HYPERLINK("http://141.218.60.56/~jnz1568/getInfo.php?workbook=14_09.xlsx&amp;sheet=A0&amp;row=3991&amp;col=7&amp;number=0&amp;sourceID=14","0")</f>
        <v>0</v>
      </c>
    </row>
    <row r="3992" spans="1:7">
      <c r="A3992" s="3">
        <v>14</v>
      </c>
      <c r="B3992" s="3">
        <v>9</v>
      </c>
      <c r="C3992" s="3">
        <v>172</v>
      </c>
      <c r="D3992" s="3">
        <v>135</v>
      </c>
      <c r="E3992" s="3">
        <v>-878.096</v>
      </c>
      <c r="F3992" s="4" t="str">
        <f>HYPERLINK("http://141.218.60.56/~jnz1568/getInfo.php?workbook=14_09.xlsx&amp;sheet=A0&amp;row=3992&amp;col=6&amp;number=6340000&amp;sourceID=14","6340000")</f>
        <v>6340000</v>
      </c>
      <c r="G3992" s="4" t="str">
        <f>HYPERLINK("http://141.218.60.56/~jnz1568/getInfo.php?workbook=14_09.xlsx&amp;sheet=A0&amp;row=3992&amp;col=7&amp;number=0&amp;sourceID=14","0")</f>
        <v>0</v>
      </c>
    </row>
    <row r="3993" spans="1:7">
      <c r="A3993" s="3">
        <v>14</v>
      </c>
      <c r="B3993" s="3">
        <v>9</v>
      </c>
      <c r="C3993" s="3">
        <v>173</v>
      </c>
      <c r="D3993" s="3">
        <v>135</v>
      </c>
      <c r="E3993" s="3">
        <v>-867.538</v>
      </c>
      <c r="F3993" s="4" t="str">
        <f>HYPERLINK("http://141.218.60.56/~jnz1568/getInfo.php?workbook=14_09.xlsx&amp;sheet=A0&amp;row=3993&amp;col=6&amp;number=2110000&amp;sourceID=14","2110000")</f>
        <v>2110000</v>
      </c>
      <c r="G3993" s="4" t="str">
        <f>HYPERLINK("http://141.218.60.56/~jnz1568/getInfo.php?workbook=14_09.xlsx&amp;sheet=A0&amp;row=3993&amp;col=7&amp;number=0&amp;sourceID=14","0")</f>
        <v>0</v>
      </c>
    </row>
    <row r="3994" spans="1:7">
      <c r="A3994" s="3">
        <v>14</v>
      </c>
      <c r="B3994" s="3">
        <v>9</v>
      </c>
      <c r="C3994" s="3">
        <v>175</v>
      </c>
      <c r="D3994" s="3">
        <v>135</v>
      </c>
      <c r="E3994" s="3">
        <v>-819.936</v>
      </c>
      <c r="F3994" s="4" t="str">
        <f>HYPERLINK("http://141.218.60.56/~jnz1568/getInfo.php?workbook=14_09.xlsx&amp;sheet=A0&amp;row=3994&amp;col=6&amp;number=15900000&amp;sourceID=14","15900000")</f>
        <v>15900000</v>
      </c>
      <c r="G3994" s="4" t="str">
        <f>HYPERLINK("http://141.218.60.56/~jnz1568/getInfo.php?workbook=14_09.xlsx&amp;sheet=A0&amp;row=3994&amp;col=7&amp;number=0&amp;sourceID=14","0")</f>
        <v>0</v>
      </c>
    </row>
    <row r="3995" spans="1:7">
      <c r="A3995" s="3">
        <v>14</v>
      </c>
      <c r="B3995" s="3">
        <v>9</v>
      </c>
      <c r="C3995" s="3">
        <v>176</v>
      </c>
      <c r="D3995" s="3">
        <v>135</v>
      </c>
      <c r="E3995" s="3">
        <v>-807.189</v>
      </c>
      <c r="F3995" s="4" t="str">
        <f>HYPERLINK("http://141.218.60.56/~jnz1568/getInfo.php?workbook=14_09.xlsx&amp;sheet=A0&amp;row=3995&amp;col=6&amp;number=302000&amp;sourceID=14","302000")</f>
        <v>302000</v>
      </c>
      <c r="G3995" s="4" t="str">
        <f>HYPERLINK("http://141.218.60.56/~jnz1568/getInfo.php?workbook=14_09.xlsx&amp;sheet=A0&amp;row=3995&amp;col=7&amp;number=0&amp;sourceID=14","0")</f>
        <v>0</v>
      </c>
    </row>
    <row r="3996" spans="1:7">
      <c r="A3996" s="3">
        <v>14</v>
      </c>
      <c r="B3996" s="3">
        <v>9</v>
      </c>
      <c r="C3996" s="3">
        <v>177</v>
      </c>
      <c r="D3996" s="3">
        <v>135</v>
      </c>
      <c r="E3996" s="3">
        <v>-806.089</v>
      </c>
      <c r="F3996" s="4" t="str">
        <f>HYPERLINK("http://141.218.60.56/~jnz1568/getInfo.php?workbook=14_09.xlsx&amp;sheet=A0&amp;row=3996&amp;col=6&amp;number=14300000&amp;sourceID=14","14300000")</f>
        <v>14300000</v>
      </c>
      <c r="G3996" s="4" t="str">
        <f>HYPERLINK("http://141.218.60.56/~jnz1568/getInfo.php?workbook=14_09.xlsx&amp;sheet=A0&amp;row=3996&amp;col=7&amp;number=0&amp;sourceID=14","0")</f>
        <v>0</v>
      </c>
    </row>
    <row r="3997" spans="1:7">
      <c r="A3997" s="3">
        <v>14</v>
      </c>
      <c r="B3997" s="3">
        <v>9</v>
      </c>
      <c r="C3997" s="3">
        <v>179</v>
      </c>
      <c r="D3997" s="3">
        <v>135</v>
      </c>
      <c r="E3997" s="3">
        <v>-804.772</v>
      </c>
      <c r="F3997" s="4" t="str">
        <f>HYPERLINK("http://141.218.60.56/~jnz1568/getInfo.php?workbook=14_09.xlsx&amp;sheet=A0&amp;row=3997&amp;col=6&amp;number=715000&amp;sourceID=14","715000")</f>
        <v>715000</v>
      </c>
      <c r="G3997" s="4" t="str">
        <f>HYPERLINK("http://141.218.60.56/~jnz1568/getInfo.php?workbook=14_09.xlsx&amp;sheet=A0&amp;row=3997&amp;col=7&amp;number=0&amp;sourceID=14","0")</f>
        <v>0</v>
      </c>
    </row>
    <row r="3998" spans="1:7">
      <c r="A3998" s="3">
        <v>14</v>
      </c>
      <c r="B3998" s="3">
        <v>9</v>
      </c>
      <c r="C3998" s="3">
        <v>180</v>
      </c>
      <c r="D3998" s="3">
        <v>135</v>
      </c>
      <c r="E3998" s="3">
        <v>-797.634</v>
      </c>
      <c r="F3998" s="4" t="str">
        <f>HYPERLINK("http://141.218.60.56/~jnz1568/getInfo.php?workbook=14_09.xlsx&amp;sheet=A0&amp;row=3998&amp;col=6&amp;number=5380000&amp;sourceID=14","5380000")</f>
        <v>5380000</v>
      </c>
      <c r="G3998" s="4" t="str">
        <f>HYPERLINK("http://141.218.60.56/~jnz1568/getInfo.php?workbook=14_09.xlsx&amp;sheet=A0&amp;row=3998&amp;col=7&amp;number=0&amp;sourceID=14","0")</f>
        <v>0</v>
      </c>
    </row>
    <row r="3999" spans="1:7">
      <c r="A3999" s="3">
        <v>14</v>
      </c>
      <c r="B3999" s="3">
        <v>9</v>
      </c>
      <c r="C3999" s="3">
        <v>181</v>
      </c>
      <c r="D3999" s="3">
        <v>135</v>
      </c>
      <c r="E3999" s="3">
        <v>-771.107</v>
      </c>
      <c r="F3999" s="4" t="str">
        <f>HYPERLINK("http://141.218.60.56/~jnz1568/getInfo.php?workbook=14_09.xlsx&amp;sheet=A0&amp;row=3999&amp;col=6&amp;number=2690000&amp;sourceID=14","2690000")</f>
        <v>2690000</v>
      </c>
      <c r="G3999" s="4" t="str">
        <f>HYPERLINK("http://141.218.60.56/~jnz1568/getInfo.php?workbook=14_09.xlsx&amp;sheet=A0&amp;row=3999&amp;col=7&amp;number=0&amp;sourceID=14","0")</f>
        <v>0</v>
      </c>
    </row>
    <row r="4000" spans="1:7">
      <c r="A4000" s="3">
        <v>14</v>
      </c>
      <c r="B4000" s="3">
        <v>9</v>
      </c>
      <c r="C4000" s="3">
        <v>182</v>
      </c>
      <c r="D4000" s="3">
        <v>135</v>
      </c>
      <c r="E4000" s="3">
        <v>-770.53</v>
      </c>
      <c r="F4000" s="4" t="str">
        <f>HYPERLINK("http://141.218.60.56/~jnz1568/getInfo.php?workbook=14_09.xlsx&amp;sheet=A0&amp;row=4000&amp;col=6&amp;number=798000&amp;sourceID=14","798000")</f>
        <v>798000</v>
      </c>
      <c r="G4000" s="4" t="str">
        <f>HYPERLINK("http://141.218.60.56/~jnz1568/getInfo.php?workbook=14_09.xlsx&amp;sheet=A0&amp;row=4000&amp;col=7&amp;number=0&amp;sourceID=14","0")</f>
        <v>0</v>
      </c>
    </row>
    <row r="4001" spans="1:7">
      <c r="A4001" s="3">
        <v>14</v>
      </c>
      <c r="B4001" s="3">
        <v>9</v>
      </c>
      <c r="C4001" s="3">
        <v>190</v>
      </c>
      <c r="D4001" s="3">
        <v>135</v>
      </c>
      <c r="E4001" s="3">
        <v>-368.599</v>
      </c>
      <c r="F4001" s="4" t="str">
        <f>HYPERLINK("http://141.218.60.56/~jnz1568/getInfo.php?workbook=14_09.xlsx&amp;sheet=A0&amp;row=4001&amp;col=6&amp;number=29700000&amp;sourceID=14","29700000")</f>
        <v>29700000</v>
      </c>
      <c r="G4001" s="4" t="str">
        <f>HYPERLINK("http://141.218.60.56/~jnz1568/getInfo.php?workbook=14_09.xlsx&amp;sheet=A0&amp;row=4001&amp;col=7&amp;number=0&amp;sourceID=14","0")</f>
        <v>0</v>
      </c>
    </row>
    <row r="4002" spans="1:7">
      <c r="A4002" s="3">
        <v>14</v>
      </c>
      <c r="B4002" s="3">
        <v>9</v>
      </c>
      <c r="C4002" s="3">
        <v>191</v>
      </c>
      <c r="D4002" s="3">
        <v>135</v>
      </c>
      <c r="E4002" s="3">
        <v>-368.485</v>
      </c>
      <c r="F4002" s="4" t="str">
        <f>HYPERLINK("http://141.218.60.56/~jnz1568/getInfo.php?workbook=14_09.xlsx&amp;sheet=A0&amp;row=4002&amp;col=6&amp;number=160000000&amp;sourceID=14","160000000")</f>
        <v>160000000</v>
      </c>
      <c r="G4002" s="4" t="str">
        <f>HYPERLINK("http://141.218.60.56/~jnz1568/getInfo.php?workbook=14_09.xlsx&amp;sheet=A0&amp;row=4002&amp;col=7&amp;number=0&amp;sourceID=14","0")</f>
        <v>0</v>
      </c>
    </row>
    <row r="4003" spans="1:7">
      <c r="A4003" s="3">
        <v>14</v>
      </c>
      <c r="B4003" s="3">
        <v>9</v>
      </c>
      <c r="C4003" s="3">
        <v>192</v>
      </c>
      <c r="D4003" s="3">
        <v>135</v>
      </c>
      <c r="E4003" s="3">
        <v>-363.652</v>
      </c>
      <c r="F4003" s="4" t="str">
        <f>HYPERLINK("http://141.218.60.56/~jnz1568/getInfo.php?workbook=14_09.xlsx&amp;sheet=A0&amp;row=4003&amp;col=6&amp;number=20200000&amp;sourceID=14","20200000")</f>
        <v>20200000</v>
      </c>
      <c r="G4003" s="4" t="str">
        <f>HYPERLINK("http://141.218.60.56/~jnz1568/getInfo.php?workbook=14_09.xlsx&amp;sheet=A0&amp;row=4003&amp;col=7&amp;number=0&amp;sourceID=14","0")</f>
        <v>0</v>
      </c>
    </row>
    <row r="4004" spans="1:7">
      <c r="A4004" s="3">
        <v>14</v>
      </c>
      <c r="B4004" s="3">
        <v>9</v>
      </c>
      <c r="C4004" s="3">
        <v>194</v>
      </c>
      <c r="D4004" s="3">
        <v>135</v>
      </c>
      <c r="E4004" s="3">
        <v>-359.761</v>
      </c>
      <c r="F4004" s="4" t="str">
        <f>HYPERLINK("http://141.218.60.56/~jnz1568/getInfo.php?workbook=14_09.xlsx&amp;sheet=A0&amp;row=4004&amp;col=6&amp;number=21200000&amp;sourceID=14","21200000")</f>
        <v>21200000</v>
      </c>
      <c r="G4004" s="4" t="str">
        <f>HYPERLINK("http://141.218.60.56/~jnz1568/getInfo.php?workbook=14_09.xlsx&amp;sheet=A0&amp;row=4004&amp;col=7&amp;number=0&amp;sourceID=14","0")</f>
        <v>0</v>
      </c>
    </row>
    <row r="4005" spans="1:7">
      <c r="A4005" s="3">
        <v>14</v>
      </c>
      <c r="B4005" s="3">
        <v>9</v>
      </c>
      <c r="C4005" s="3">
        <v>195</v>
      </c>
      <c r="D4005" s="3">
        <v>135</v>
      </c>
      <c r="E4005" s="3">
        <v>-359.673</v>
      </c>
      <c r="F4005" s="4" t="str">
        <f>HYPERLINK("http://141.218.60.56/~jnz1568/getInfo.php?workbook=14_09.xlsx&amp;sheet=A0&amp;row=4005&amp;col=6&amp;number=187000000&amp;sourceID=14","187000000")</f>
        <v>187000000</v>
      </c>
      <c r="G4005" s="4" t="str">
        <f>HYPERLINK("http://141.218.60.56/~jnz1568/getInfo.php?workbook=14_09.xlsx&amp;sheet=A0&amp;row=4005&amp;col=7&amp;number=0&amp;sourceID=14","0")</f>
        <v>0</v>
      </c>
    </row>
    <row r="4006" spans="1:7">
      <c r="A4006" s="3">
        <v>14</v>
      </c>
      <c r="B4006" s="3">
        <v>9</v>
      </c>
      <c r="C4006" s="3">
        <v>142</v>
      </c>
      <c r="D4006" s="3">
        <v>136</v>
      </c>
      <c r="E4006" s="3">
        <v>-14880.979</v>
      </c>
      <c r="F4006" s="4" t="str">
        <f>HYPERLINK("http://141.218.60.56/~jnz1568/getInfo.php?workbook=14_09.xlsx&amp;sheet=A0&amp;row=4006&amp;col=6&amp;number=660000&amp;sourceID=14","660000")</f>
        <v>660000</v>
      </c>
      <c r="G4006" s="4" t="str">
        <f>HYPERLINK("http://141.218.60.56/~jnz1568/getInfo.php?workbook=14_09.xlsx&amp;sheet=A0&amp;row=4006&amp;col=7&amp;number=0&amp;sourceID=14","0")</f>
        <v>0</v>
      </c>
    </row>
    <row r="4007" spans="1:7">
      <c r="A4007" s="3">
        <v>14</v>
      </c>
      <c r="B4007" s="3">
        <v>9</v>
      </c>
      <c r="C4007" s="3">
        <v>147</v>
      </c>
      <c r="D4007" s="3">
        <v>136</v>
      </c>
      <c r="E4007" s="3">
        <v>-12383.924</v>
      </c>
      <c r="F4007" s="4" t="str">
        <f>HYPERLINK("http://141.218.60.56/~jnz1568/getInfo.php?workbook=14_09.xlsx&amp;sheet=A0&amp;row=4007&amp;col=6&amp;number=2080000&amp;sourceID=14","2080000")</f>
        <v>2080000</v>
      </c>
      <c r="G4007" s="4" t="str">
        <f>HYPERLINK("http://141.218.60.56/~jnz1568/getInfo.php?workbook=14_09.xlsx&amp;sheet=A0&amp;row=4007&amp;col=7&amp;number=0&amp;sourceID=14","0")</f>
        <v>0</v>
      </c>
    </row>
    <row r="4008" spans="1:7">
      <c r="A4008" s="3">
        <v>14</v>
      </c>
      <c r="B4008" s="3">
        <v>9</v>
      </c>
      <c r="C4008" s="3">
        <v>160</v>
      </c>
      <c r="D4008" s="3">
        <v>136</v>
      </c>
      <c r="E4008" s="3">
        <v>-3570.288</v>
      </c>
      <c r="F4008" s="4" t="str">
        <f>HYPERLINK("http://141.218.60.56/~jnz1568/getInfo.php?workbook=14_09.xlsx&amp;sheet=A0&amp;row=4008&amp;col=6&amp;number=527000&amp;sourceID=14","527000")</f>
        <v>527000</v>
      </c>
      <c r="G4008" s="4" t="str">
        <f>HYPERLINK("http://141.218.60.56/~jnz1568/getInfo.php?workbook=14_09.xlsx&amp;sheet=A0&amp;row=4008&amp;col=7&amp;number=0&amp;sourceID=14","0")</f>
        <v>0</v>
      </c>
    </row>
    <row r="4009" spans="1:7">
      <c r="A4009" s="3">
        <v>14</v>
      </c>
      <c r="B4009" s="3">
        <v>9</v>
      </c>
      <c r="C4009" s="3">
        <v>167</v>
      </c>
      <c r="D4009" s="3">
        <v>136</v>
      </c>
      <c r="E4009" s="3">
        <v>-1172.143</v>
      </c>
      <c r="F4009" s="4" t="str">
        <f>HYPERLINK("http://141.218.60.56/~jnz1568/getInfo.php?workbook=14_09.xlsx&amp;sheet=A0&amp;row=4009&amp;col=6&amp;number=1050000&amp;sourceID=14","1050000")</f>
        <v>1050000</v>
      </c>
      <c r="G4009" s="4" t="str">
        <f>HYPERLINK("http://141.218.60.56/~jnz1568/getInfo.php?workbook=14_09.xlsx&amp;sheet=A0&amp;row=4009&amp;col=7&amp;number=0&amp;sourceID=14","0")</f>
        <v>0</v>
      </c>
    </row>
    <row r="4010" spans="1:7">
      <c r="A4010" s="3">
        <v>14</v>
      </c>
      <c r="B4010" s="3">
        <v>9</v>
      </c>
      <c r="C4010" s="3">
        <v>173</v>
      </c>
      <c r="D4010" s="3">
        <v>136</v>
      </c>
      <c r="E4010" s="3">
        <v>-871.097</v>
      </c>
      <c r="F4010" s="4" t="str">
        <f>HYPERLINK("http://141.218.60.56/~jnz1568/getInfo.php?workbook=14_09.xlsx&amp;sheet=A0&amp;row=4010&amp;col=6&amp;number=3050000&amp;sourceID=14","3050000")</f>
        <v>3050000</v>
      </c>
      <c r="G4010" s="4" t="str">
        <f>HYPERLINK("http://141.218.60.56/~jnz1568/getInfo.php?workbook=14_09.xlsx&amp;sheet=A0&amp;row=4010&amp;col=7&amp;number=0&amp;sourceID=14","0")</f>
        <v>0</v>
      </c>
    </row>
    <row r="4011" spans="1:7">
      <c r="A4011" s="3">
        <v>14</v>
      </c>
      <c r="B4011" s="3">
        <v>9</v>
      </c>
      <c r="C4011" s="3">
        <v>174</v>
      </c>
      <c r="D4011" s="3">
        <v>136</v>
      </c>
      <c r="E4011" s="3">
        <v>-862.197</v>
      </c>
      <c r="F4011" s="4" t="str">
        <f>HYPERLINK("http://141.218.60.56/~jnz1568/getInfo.php?workbook=14_09.xlsx&amp;sheet=A0&amp;row=4011&amp;col=6&amp;number=1040000&amp;sourceID=14","1040000")</f>
        <v>1040000</v>
      </c>
      <c r="G4011" s="4" t="str">
        <f>HYPERLINK("http://141.218.60.56/~jnz1568/getInfo.php?workbook=14_09.xlsx&amp;sheet=A0&amp;row=4011&amp;col=7&amp;number=0&amp;sourceID=14","0")</f>
        <v>0</v>
      </c>
    </row>
    <row r="4012" spans="1:7">
      <c r="A4012" s="3">
        <v>14</v>
      </c>
      <c r="B4012" s="3">
        <v>9</v>
      </c>
      <c r="C4012" s="3">
        <v>176</v>
      </c>
      <c r="D4012" s="3">
        <v>136</v>
      </c>
      <c r="E4012" s="3">
        <v>-810.269</v>
      </c>
      <c r="F4012" s="4" t="str">
        <f>HYPERLINK("http://141.218.60.56/~jnz1568/getInfo.php?workbook=14_09.xlsx&amp;sheet=A0&amp;row=4012&amp;col=6&amp;number=3470000&amp;sourceID=14","3470000")</f>
        <v>3470000</v>
      </c>
      <c r="G4012" s="4" t="str">
        <f>HYPERLINK("http://141.218.60.56/~jnz1568/getInfo.php?workbook=14_09.xlsx&amp;sheet=A0&amp;row=4012&amp;col=7&amp;number=0&amp;sourceID=14","0")</f>
        <v>0</v>
      </c>
    </row>
    <row r="4013" spans="1:7">
      <c r="A4013" s="3">
        <v>14</v>
      </c>
      <c r="B4013" s="3">
        <v>9</v>
      </c>
      <c r="C4013" s="3">
        <v>178</v>
      </c>
      <c r="D4013" s="3">
        <v>136</v>
      </c>
      <c r="E4013" s="3">
        <v>-808.043</v>
      </c>
      <c r="F4013" s="4" t="str">
        <f>HYPERLINK("http://141.218.60.56/~jnz1568/getInfo.php?workbook=14_09.xlsx&amp;sheet=A0&amp;row=4013&amp;col=6&amp;number=677000&amp;sourceID=14","677000")</f>
        <v>677000</v>
      </c>
      <c r="G4013" s="4" t="str">
        <f>HYPERLINK("http://141.218.60.56/~jnz1568/getInfo.php?workbook=14_09.xlsx&amp;sheet=A0&amp;row=4013&amp;col=7&amp;number=0&amp;sourceID=14","0")</f>
        <v>0</v>
      </c>
    </row>
    <row r="4014" spans="1:7">
      <c r="A4014" s="3">
        <v>14</v>
      </c>
      <c r="B4014" s="3">
        <v>9</v>
      </c>
      <c r="C4014" s="3">
        <v>179</v>
      </c>
      <c r="D4014" s="3">
        <v>136</v>
      </c>
      <c r="E4014" s="3">
        <v>-807.834</v>
      </c>
      <c r="F4014" s="4" t="str">
        <f>HYPERLINK("http://141.218.60.56/~jnz1568/getInfo.php?workbook=14_09.xlsx&amp;sheet=A0&amp;row=4014&amp;col=6&amp;number=546000&amp;sourceID=14","546000")</f>
        <v>546000</v>
      </c>
      <c r="G4014" s="4" t="str">
        <f>HYPERLINK("http://141.218.60.56/~jnz1568/getInfo.php?workbook=14_09.xlsx&amp;sheet=A0&amp;row=4014&amp;col=7&amp;number=0&amp;sourceID=14","0")</f>
        <v>0</v>
      </c>
    </row>
    <row r="4015" spans="1:7">
      <c r="A4015" s="3">
        <v>14</v>
      </c>
      <c r="B4015" s="3">
        <v>9</v>
      </c>
      <c r="C4015" s="3">
        <v>180</v>
      </c>
      <c r="D4015" s="3">
        <v>136</v>
      </c>
      <c r="E4015" s="3">
        <v>-800.642</v>
      </c>
      <c r="F4015" s="4" t="str">
        <f>HYPERLINK("http://141.218.60.56/~jnz1568/getInfo.php?workbook=14_09.xlsx&amp;sheet=A0&amp;row=4015&amp;col=6&amp;number=25900000&amp;sourceID=14","25900000")</f>
        <v>25900000</v>
      </c>
      <c r="G4015" s="4" t="str">
        <f>HYPERLINK("http://141.218.60.56/~jnz1568/getInfo.php?workbook=14_09.xlsx&amp;sheet=A0&amp;row=4015&amp;col=7&amp;number=0&amp;sourceID=14","0")</f>
        <v>0</v>
      </c>
    </row>
    <row r="4016" spans="1:7">
      <c r="A4016" s="3">
        <v>14</v>
      </c>
      <c r="B4016" s="3">
        <v>9</v>
      </c>
      <c r="C4016" s="3">
        <v>181</v>
      </c>
      <c r="D4016" s="3">
        <v>136</v>
      </c>
      <c r="E4016" s="3">
        <v>-773.917</v>
      </c>
      <c r="F4016" s="4" t="str">
        <f>HYPERLINK("http://141.218.60.56/~jnz1568/getInfo.php?workbook=14_09.xlsx&amp;sheet=A0&amp;row=4016&amp;col=6&amp;number=3410000&amp;sourceID=14","3410000")</f>
        <v>3410000</v>
      </c>
      <c r="G4016" s="4" t="str">
        <f>HYPERLINK("http://141.218.60.56/~jnz1568/getInfo.php?workbook=14_09.xlsx&amp;sheet=A0&amp;row=4016&amp;col=7&amp;number=0&amp;sourceID=14","0")</f>
        <v>0</v>
      </c>
    </row>
    <row r="4017" spans="1:7">
      <c r="A4017" s="3">
        <v>14</v>
      </c>
      <c r="B4017" s="3">
        <v>9</v>
      </c>
      <c r="C4017" s="3">
        <v>182</v>
      </c>
      <c r="D4017" s="3">
        <v>136</v>
      </c>
      <c r="E4017" s="3">
        <v>-773.337</v>
      </c>
      <c r="F4017" s="4" t="str">
        <f>HYPERLINK("http://141.218.60.56/~jnz1568/getInfo.php?workbook=14_09.xlsx&amp;sheet=A0&amp;row=4017&amp;col=6&amp;number=6640000&amp;sourceID=14","6640000")</f>
        <v>6640000</v>
      </c>
      <c r="G4017" s="4" t="str">
        <f>HYPERLINK("http://141.218.60.56/~jnz1568/getInfo.php?workbook=14_09.xlsx&amp;sheet=A0&amp;row=4017&amp;col=7&amp;number=0&amp;sourceID=14","0")</f>
        <v>0</v>
      </c>
    </row>
    <row r="4018" spans="1:7">
      <c r="A4018" s="3">
        <v>14</v>
      </c>
      <c r="B4018" s="3">
        <v>9</v>
      </c>
      <c r="C4018" s="3">
        <v>183</v>
      </c>
      <c r="D4018" s="3">
        <v>136</v>
      </c>
      <c r="E4018" s="3">
        <v>-725.743</v>
      </c>
      <c r="F4018" s="4" t="str">
        <f>HYPERLINK("http://141.218.60.56/~jnz1568/getInfo.php?workbook=14_09.xlsx&amp;sheet=A0&amp;row=4018&amp;col=6&amp;number=5490000&amp;sourceID=14","5490000")</f>
        <v>5490000</v>
      </c>
      <c r="G4018" s="4" t="str">
        <f>HYPERLINK("http://141.218.60.56/~jnz1568/getInfo.php?workbook=14_09.xlsx&amp;sheet=A0&amp;row=4018&amp;col=7&amp;number=0&amp;sourceID=14","0")</f>
        <v>0</v>
      </c>
    </row>
    <row r="4019" spans="1:7">
      <c r="A4019" s="3">
        <v>14</v>
      </c>
      <c r="B4019" s="3">
        <v>9</v>
      </c>
      <c r="C4019" s="3">
        <v>190</v>
      </c>
      <c r="D4019" s="3">
        <v>136</v>
      </c>
      <c r="E4019" s="3">
        <v>-369.24</v>
      </c>
      <c r="F4019" s="4" t="str">
        <f>HYPERLINK("http://141.218.60.56/~jnz1568/getInfo.php?workbook=14_09.xlsx&amp;sheet=A0&amp;row=4019&amp;col=6&amp;number=157000000&amp;sourceID=14","157000000")</f>
        <v>157000000</v>
      </c>
      <c r="G4019" s="4" t="str">
        <f>HYPERLINK("http://141.218.60.56/~jnz1568/getInfo.php?workbook=14_09.xlsx&amp;sheet=A0&amp;row=4019&amp;col=7&amp;number=0&amp;sourceID=14","0")</f>
        <v>0</v>
      </c>
    </row>
    <row r="4020" spans="1:7">
      <c r="A4020" s="3">
        <v>14</v>
      </c>
      <c r="B4020" s="3">
        <v>9</v>
      </c>
      <c r="C4020" s="3">
        <v>192</v>
      </c>
      <c r="D4020" s="3">
        <v>136</v>
      </c>
      <c r="E4020" s="3">
        <v>-364.276</v>
      </c>
      <c r="F4020" s="4" t="str">
        <f>HYPERLINK("http://141.218.60.56/~jnz1568/getInfo.php?workbook=14_09.xlsx&amp;sheet=A0&amp;row=4020&amp;col=6&amp;number=3780000&amp;sourceID=14","3780000")</f>
        <v>3780000</v>
      </c>
      <c r="G4020" s="4" t="str">
        <f>HYPERLINK("http://141.218.60.56/~jnz1568/getInfo.php?workbook=14_09.xlsx&amp;sheet=A0&amp;row=4020&amp;col=7&amp;number=0&amp;sourceID=14","0")</f>
        <v>0</v>
      </c>
    </row>
    <row r="4021" spans="1:7">
      <c r="A4021" s="3">
        <v>14</v>
      </c>
      <c r="B4021" s="3">
        <v>9</v>
      </c>
      <c r="C4021" s="3">
        <v>193</v>
      </c>
      <c r="D4021" s="3">
        <v>136</v>
      </c>
      <c r="E4021" s="3">
        <v>-364.095</v>
      </c>
      <c r="F4021" s="4" t="str">
        <f>HYPERLINK("http://141.218.60.56/~jnz1568/getInfo.php?workbook=14_09.xlsx&amp;sheet=A0&amp;row=4021&amp;col=6&amp;number=19900000&amp;sourceID=14","19900000")</f>
        <v>19900000</v>
      </c>
      <c r="G4021" s="4" t="str">
        <f>HYPERLINK("http://141.218.60.56/~jnz1568/getInfo.php?workbook=14_09.xlsx&amp;sheet=A0&amp;row=4021&amp;col=7&amp;number=0&amp;sourceID=14","0")</f>
        <v>0</v>
      </c>
    </row>
    <row r="4022" spans="1:7">
      <c r="A4022" s="3">
        <v>14</v>
      </c>
      <c r="B4022" s="3">
        <v>9</v>
      </c>
      <c r="C4022" s="3">
        <v>194</v>
      </c>
      <c r="D4022" s="3">
        <v>136</v>
      </c>
      <c r="E4022" s="3">
        <v>-360.371</v>
      </c>
      <c r="F4022" s="4" t="str">
        <f>HYPERLINK("http://141.218.60.56/~jnz1568/getInfo.php?workbook=14_09.xlsx&amp;sheet=A0&amp;row=4022&amp;col=6&amp;number=187000000&amp;sourceID=14","187000000")</f>
        <v>187000000</v>
      </c>
      <c r="G4022" s="4" t="str">
        <f>HYPERLINK("http://141.218.60.56/~jnz1568/getInfo.php?workbook=14_09.xlsx&amp;sheet=A0&amp;row=4022&amp;col=7&amp;number=0&amp;sourceID=14","0")</f>
        <v>0</v>
      </c>
    </row>
    <row r="4023" spans="1:7">
      <c r="A4023" s="3">
        <v>14</v>
      </c>
      <c r="B4023" s="3">
        <v>9</v>
      </c>
      <c r="C4023" s="3">
        <v>195</v>
      </c>
      <c r="D4023" s="3">
        <v>136</v>
      </c>
      <c r="E4023" s="3">
        <v>-360.283</v>
      </c>
      <c r="F4023" s="4" t="str">
        <f>HYPERLINK("http://141.218.60.56/~jnz1568/getInfo.php?workbook=14_09.xlsx&amp;sheet=A0&amp;row=4023&amp;col=6&amp;number=15500000&amp;sourceID=14","15500000")</f>
        <v>15500000</v>
      </c>
      <c r="G4023" s="4" t="str">
        <f>HYPERLINK("http://141.218.60.56/~jnz1568/getInfo.php?workbook=14_09.xlsx&amp;sheet=A0&amp;row=4023&amp;col=7&amp;number=0&amp;sourceID=14","0")</f>
        <v>0</v>
      </c>
    </row>
    <row r="4024" spans="1:7">
      <c r="A4024" s="3">
        <v>14</v>
      </c>
      <c r="B4024" s="3">
        <v>9</v>
      </c>
      <c r="C4024" s="3">
        <v>139</v>
      </c>
      <c r="D4024" s="3">
        <v>137</v>
      </c>
      <c r="E4024" s="3">
        <v>-22421.566</v>
      </c>
      <c r="F4024" s="4" t="str">
        <f>HYPERLINK("http://141.218.60.56/~jnz1568/getInfo.php?workbook=14_09.xlsx&amp;sheet=A0&amp;row=4024&amp;col=6&amp;number=210000&amp;sourceID=14","210000")</f>
        <v>210000</v>
      </c>
      <c r="G4024" s="4" t="str">
        <f>HYPERLINK("http://141.218.60.56/~jnz1568/getInfo.php?workbook=14_09.xlsx&amp;sheet=A0&amp;row=4024&amp;col=7&amp;number=0&amp;sourceID=14","0")</f>
        <v>0</v>
      </c>
    </row>
    <row r="4025" spans="1:7">
      <c r="A4025" s="3">
        <v>14</v>
      </c>
      <c r="B4025" s="3">
        <v>9</v>
      </c>
      <c r="C4025" s="3">
        <v>159</v>
      </c>
      <c r="D4025" s="3">
        <v>137</v>
      </c>
      <c r="E4025" s="3">
        <v>-3703.162</v>
      </c>
      <c r="F4025" s="4" t="str">
        <f>HYPERLINK("http://141.218.60.56/~jnz1568/getInfo.php?workbook=14_09.xlsx&amp;sheet=A0&amp;row=4025&amp;col=6&amp;number=34500000&amp;sourceID=14","34500000")</f>
        <v>34500000</v>
      </c>
      <c r="G4025" s="4" t="str">
        <f>HYPERLINK("http://141.218.60.56/~jnz1568/getInfo.php?workbook=14_09.xlsx&amp;sheet=A0&amp;row=4025&amp;col=7&amp;number=0&amp;sourceID=14","0")</f>
        <v>0</v>
      </c>
    </row>
    <row r="4026" spans="1:7">
      <c r="A4026" s="3">
        <v>14</v>
      </c>
      <c r="B4026" s="3">
        <v>9</v>
      </c>
      <c r="C4026" s="3">
        <v>160</v>
      </c>
      <c r="D4026" s="3">
        <v>137</v>
      </c>
      <c r="E4026" s="3">
        <v>-3686.099</v>
      </c>
      <c r="F4026" s="4" t="str">
        <f>HYPERLINK("http://141.218.60.56/~jnz1568/getInfo.php?workbook=14_09.xlsx&amp;sheet=A0&amp;row=4026&amp;col=6&amp;number=34000000&amp;sourceID=14","34000000")</f>
        <v>34000000</v>
      </c>
      <c r="G4026" s="4" t="str">
        <f>HYPERLINK("http://141.218.60.56/~jnz1568/getInfo.php?workbook=14_09.xlsx&amp;sheet=A0&amp;row=4026&amp;col=7&amp;number=0&amp;sourceID=14","0")</f>
        <v>0</v>
      </c>
    </row>
    <row r="4027" spans="1:7">
      <c r="A4027" s="3">
        <v>14</v>
      </c>
      <c r="B4027" s="3">
        <v>9</v>
      </c>
      <c r="C4027" s="3">
        <v>178</v>
      </c>
      <c r="D4027" s="3">
        <v>137</v>
      </c>
      <c r="E4027" s="3">
        <v>-813.83</v>
      </c>
      <c r="F4027" s="4" t="str">
        <f>HYPERLINK("http://141.218.60.56/~jnz1568/getInfo.php?workbook=14_09.xlsx&amp;sheet=A0&amp;row=4027&amp;col=6&amp;number=358000&amp;sourceID=14","358000")</f>
        <v>358000</v>
      </c>
      <c r="G4027" s="4" t="str">
        <f>HYPERLINK("http://141.218.60.56/~jnz1568/getInfo.php?workbook=14_09.xlsx&amp;sheet=A0&amp;row=4027&amp;col=7&amp;number=0&amp;sourceID=14","0")</f>
        <v>0</v>
      </c>
    </row>
    <row r="4028" spans="1:7">
      <c r="A4028" s="3">
        <v>14</v>
      </c>
      <c r="B4028" s="3">
        <v>9</v>
      </c>
      <c r="C4028" s="3">
        <v>182</v>
      </c>
      <c r="D4028" s="3">
        <v>137</v>
      </c>
      <c r="E4028" s="3">
        <v>-778.636</v>
      </c>
      <c r="F4028" s="4" t="str">
        <f>HYPERLINK("http://141.218.60.56/~jnz1568/getInfo.php?workbook=14_09.xlsx&amp;sheet=A0&amp;row=4028&amp;col=6&amp;number=623000&amp;sourceID=14","623000")</f>
        <v>623000</v>
      </c>
      <c r="G4028" s="4" t="str">
        <f>HYPERLINK("http://141.218.60.56/~jnz1568/getInfo.php?workbook=14_09.xlsx&amp;sheet=A0&amp;row=4028&amp;col=7&amp;number=0&amp;sourceID=14","0")</f>
        <v>0</v>
      </c>
    </row>
    <row r="4029" spans="1:7">
      <c r="A4029" s="3">
        <v>14</v>
      </c>
      <c r="B4029" s="3">
        <v>9</v>
      </c>
      <c r="C4029" s="3">
        <v>183</v>
      </c>
      <c r="D4029" s="3">
        <v>137</v>
      </c>
      <c r="E4029" s="3">
        <v>-730.408</v>
      </c>
      <c r="F4029" s="4" t="str">
        <f>HYPERLINK("http://141.218.60.56/~jnz1568/getInfo.php?workbook=14_09.xlsx&amp;sheet=A0&amp;row=4029&amp;col=6&amp;number=35400000&amp;sourceID=14","35400000")</f>
        <v>35400000</v>
      </c>
      <c r="G4029" s="4" t="str">
        <f>HYPERLINK("http://141.218.60.56/~jnz1568/getInfo.php?workbook=14_09.xlsx&amp;sheet=A0&amp;row=4029&amp;col=7&amp;number=0&amp;sourceID=14","0")</f>
        <v>0</v>
      </c>
    </row>
    <row r="4030" spans="1:7">
      <c r="A4030" s="3">
        <v>14</v>
      </c>
      <c r="B4030" s="3">
        <v>9</v>
      </c>
      <c r="C4030" s="3">
        <v>184</v>
      </c>
      <c r="D4030" s="3">
        <v>137</v>
      </c>
      <c r="E4030" s="3">
        <v>-717.892</v>
      </c>
      <c r="F4030" s="4" t="str">
        <f>HYPERLINK("http://141.218.60.56/~jnz1568/getInfo.php?workbook=14_09.xlsx&amp;sheet=A0&amp;row=4030&amp;col=6&amp;number=38800000&amp;sourceID=14","38800000")</f>
        <v>38800000</v>
      </c>
      <c r="G4030" s="4" t="str">
        <f>HYPERLINK("http://141.218.60.56/~jnz1568/getInfo.php?workbook=14_09.xlsx&amp;sheet=A0&amp;row=4030&amp;col=7&amp;number=0&amp;sourceID=14","0")</f>
        <v>0</v>
      </c>
    </row>
    <row r="4031" spans="1:7">
      <c r="A4031" s="3">
        <v>14</v>
      </c>
      <c r="B4031" s="3">
        <v>9</v>
      </c>
      <c r="C4031" s="3">
        <v>192</v>
      </c>
      <c r="D4031" s="3">
        <v>137</v>
      </c>
      <c r="E4031" s="3">
        <v>-365.447</v>
      </c>
      <c r="F4031" s="4" t="str">
        <f>HYPERLINK("http://141.218.60.56/~jnz1568/getInfo.php?workbook=14_09.xlsx&amp;sheet=A0&amp;row=4031&amp;col=6&amp;number=210000000&amp;sourceID=14","210000000")</f>
        <v>210000000</v>
      </c>
      <c r="G4031" s="4" t="str">
        <f>HYPERLINK("http://141.218.60.56/~jnz1568/getInfo.php?workbook=14_09.xlsx&amp;sheet=A0&amp;row=4031&amp;col=7&amp;number=0&amp;sourceID=14","0")</f>
        <v>0</v>
      </c>
    </row>
    <row r="4032" spans="1:7">
      <c r="A4032" s="3">
        <v>14</v>
      </c>
      <c r="B4032" s="3">
        <v>9</v>
      </c>
      <c r="C4032" s="3">
        <v>193</v>
      </c>
      <c r="D4032" s="3">
        <v>137</v>
      </c>
      <c r="E4032" s="3">
        <v>-365.265</v>
      </c>
      <c r="F4032" s="4" t="str">
        <f>HYPERLINK("http://141.218.60.56/~jnz1568/getInfo.php?workbook=14_09.xlsx&amp;sheet=A0&amp;row=4032&amp;col=6&amp;number=121000000&amp;sourceID=14","121000000")</f>
        <v>121000000</v>
      </c>
      <c r="G4032" s="4" t="str">
        <f>HYPERLINK("http://141.218.60.56/~jnz1568/getInfo.php?workbook=14_09.xlsx&amp;sheet=A0&amp;row=4032&amp;col=7&amp;number=0&amp;sourceID=14","0")</f>
        <v>0</v>
      </c>
    </row>
    <row r="4033" spans="1:7">
      <c r="A4033" s="3">
        <v>14</v>
      </c>
      <c r="B4033" s="3">
        <v>9</v>
      </c>
      <c r="C4033" s="3">
        <v>194</v>
      </c>
      <c r="D4033" s="3">
        <v>137</v>
      </c>
      <c r="E4033" s="3">
        <v>-361.518</v>
      </c>
      <c r="F4033" s="4" t="str">
        <f>HYPERLINK("http://141.218.60.56/~jnz1568/getInfo.php?workbook=14_09.xlsx&amp;sheet=A0&amp;row=4033&amp;col=6&amp;number=4760000&amp;sourceID=14","4760000")</f>
        <v>4760000</v>
      </c>
      <c r="G4033" s="4" t="str">
        <f>HYPERLINK("http://141.218.60.56/~jnz1568/getInfo.php?workbook=14_09.xlsx&amp;sheet=A0&amp;row=4033&amp;col=7&amp;number=0&amp;sourceID=14","0")</f>
        <v>0</v>
      </c>
    </row>
    <row r="4034" spans="1:7">
      <c r="A4034" s="3">
        <v>14</v>
      </c>
      <c r="B4034" s="3">
        <v>9</v>
      </c>
      <c r="C4034" s="3">
        <v>161</v>
      </c>
      <c r="D4034" s="3">
        <v>138</v>
      </c>
      <c r="E4034" s="3">
        <v>-1873.399</v>
      </c>
      <c r="F4034" s="4" t="str">
        <f>HYPERLINK("http://141.218.60.56/~jnz1568/getInfo.php?workbook=14_09.xlsx&amp;sheet=A0&amp;row=4034&amp;col=6&amp;number=3020000&amp;sourceID=14","3020000")</f>
        <v>3020000</v>
      </c>
      <c r="G4034" s="4" t="str">
        <f>HYPERLINK("http://141.218.60.56/~jnz1568/getInfo.php?workbook=14_09.xlsx&amp;sheet=A0&amp;row=4034&amp;col=7&amp;number=0&amp;sourceID=14","0")</f>
        <v>0</v>
      </c>
    </row>
    <row r="4035" spans="1:7">
      <c r="A4035" s="3">
        <v>14</v>
      </c>
      <c r="B4035" s="3">
        <v>9</v>
      </c>
      <c r="C4035" s="3">
        <v>163</v>
      </c>
      <c r="D4035" s="3">
        <v>138</v>
      </c>
      <c r="E4035" s="3">
        <v>-1627.051</v>
      </c>
      <c r="F4035" s="4" t="str">
        <f>HYPERLINK("http://141.218.60.56/~jnz1568/getInfo.php?workbook=14_09.xlsx&amp;sheet=A0&amp;row=4035&amp;col=6&amp;number=1400000&amp;sourceID=14","1400000")</f>
        <v>1400000</v>
      </c>
      <c r="G4035" s="4" t="str">
        <f>HYPERLINK("http://141.218.60.56/~jnz1568/getInfo.php?workbook=14_09.xlsx&amp;sheet=A0&amp;row=4035&amp;col=7&amp;number=0&amp;sourceID=14","0")</f>
        <v>0</v>
      </c>
    </row>
    <row r="4036" spans="1:7">
      <c r="A4036" s="3">
        <v>14</v>
      </c>
      <c r="B4036" s="3">
        <v>9</v>
      </c>
      <c r="C4036" s="3">
        <v>185</v>
      </c>
      <c r="D4036" s="3">
        <v>138</v>
      </c>
      <c r="E4036" s="3">
        <v>-628.118</v>
      </c>
      <c r="F4036" s="4" t="str">
        <f>HYPERLINK("http://141.218.60.56/~jnz1568/getInfo.php?workbook=14_09.xlsx&amp;sheet=A0&amp;row=4036&amp;col=6&amp;number=1210000&amp;sourceID=14","1210000")</f>
        <v>1210000</v>
      </c>
      <c r="G4036" s="4" t="str">
        <f>HYPERLINK("http://141.218.60.56/~jnz1568/getInfo.php?workbook=14_09.xlsx&amp;sheet=A0&amp;row=4036&amp;col=7&amp;number=0&amp;sourceID=14","0")</f>
        <v>0</v>
      </c>
    </row>
    <row r="4037" spans="1:7">
      <c r="A4037" s="3">
        <v>14</v>
      </c>
      <c r="B4037" s="3">
        <v>9</v>
      </c>
      <c r="C4037" s="3">
        <v>187</v>
      </c>
      <c r="D4037" s="3">
        <v>138</v>
      </c>
      <c r="E4037" s="3">
        <v>-607.007</v>
      </c>
      <c r="F4037" s="4" t="str">
        <f>HYPERLINK("http://141.218.60.56/~jnz1568/getInfo.php?workbook=14_09.xlsx&amp;sheet=A0&amp;row=4037&amp;col=6&amp;number=8980000&amp;sourceID=14","8980000")</f>
        <v>8980000</v>
      </c>
      <c r="G4037" s="4" t="str">
        <f>HYPERLINK("http://141.218.60.56/~jnz1568/getInfo.php?workbook=14_09.xlsx&amp;sheet=A0&amp;row=4037&amp;col=7&amp;number=0&amp;sourceID=14","0")</f>
        <v>0</v>
      </c>
    </row>
    <row r="4038" spans="1:7">
      <c r="A4038" s="3">
        <v>14</v>
      </c>
      <c r="B4038" s="3">
        <v>9</v>
      </c>
      <c r="C4038" s="3">
        <v>188</v>
      </c>
      <c r="D4038" s="3">
        <v>138</v>
      </c>
      <c r="E4038" s="3">
        <v>-605.852</v>
      </c>
      <c r="F4038" s="4" t="str">
        <f>HYPERLINK("http://141.218.60.56/~jnz1568/getInfo.php?workbook=14_09.xlsx&amp;sheet=A0&amp;row=4038&amp;col=6&amp;number=2120000&amp;sourceID=14","2120000")</f>
        <v>2120000</v>
      </c>
      <c r="G4038" s="4" t="str">
        <f>HYPERLINK("http://141.218.60.56/~jnz1568/getInfo.php?workbook=14_09.xlsx&amp;sheet=A0&amp;row=4038&amp;col=7&amp;number=0&amp;sourceID=14","0")</f>
        <v>0</v>
      </c>
    </row>
    <row r="4039" spans="1:7">
      <c r="A4039" s="3">
        <v>14</v>
      </c>
      <c r="B4039" s="3">
        <v>9</v>
      </c>
      <c r="C4039" s="3">
        <v>189</v>
      </c>
      <c r="D4039" s="3">
        <v>138</v>
      </c>
      <c r="E4039" s="3">
        <v>-560.241</v>
      </c>
      <c r="F4039" s="4" t="str">
        <f>HYPERLINK("http://141.218.60.56/~jnz1568/getInfo.php?workbook=14_09.xlsx&amp;sheet=A0&amp;row=4039&amp;col=6&amp;number=10000000&amp;sourceID=14","10000000")</f>
        <v>10000000</v>
      </c>
      <c r="G4039" s="4" t="str">
        <f>HYPERLINK("http://141.218.60.56/~jnz1568/getInfo.php?workbook=14_09.xlsx&amp;sheet=A0&amp;row=4039&amp;col=7&amp;number=0&amp;sourceID=14","0")</f>
        <v>0</v>
      </c>
    </row>
    <row r="4040" spans="1:7">
      <c r="A4040" s="3">
        <v>14</v>
      </c>
      <c r="B4040" s="3">
        <v>9</v>
      </c>
      <c r="C4040" s="3">
        <v>161</v>
      </c>
      <c r="D4040" s="3">
        <v>139</v>
      </c>
      <c r="E4040" s="3">
        <v>-1874.031</v>
      </c>
      <c r="F4040" s="4" t="str">
        <f>HYPERLINK("http://141.218.60.56/~jnz1568/getInfo.php?workbook=14_09.xlsx&amp;sheet=A0&amp;row=4040&amp;col=6&amp;number=5910000&amp;sourceID=14","5910000")</f>
        <v>5910000</v>
      </c>
      <c r="G4040" s="4" t="str">
        <f>HYPERLINK("http://141.218.60.56/~jnz1568/getInfo.php?workbook=14_09.xlsx&amp;sheet=A0&amp;row=4040&amp;col=7&amp;number=0&amp;sourceID=14","0")</f>
        <v>0</v>
      </c>
    </row>
    <row r="4041" spans="1:7">
      <c r="A4041" s="3">
        <v>14</v>
      </c>
      <c r="B4041" s="3">
        <v>9</v>
      </c>
      <c r="C4041" s="3">
        <v>162</v>
      </c>
      <c r="D4041" s="3">
        <v>139</v>
      </c>
      <c r="E4041" s="3">
        <v>-1631.005</v>
      </c>
      <c r="F4041" s="4" t="str">
        <f>HYPERLINK("http://141.218.60.56/~jnz1568/getInfo.php?workbook=14_09.xlsx&amp;sheet=A0&amp;row=4041&amp;col=6&amp;number=1670000&amp;sourceID=14","1670000")</f>
        <v>1670000</v>
      </c>
      <c r="G4041" s="4" t="str">
        <f>HYPERLINK("http://141.218.60.56/~jnz1568/getInfo.php?workbook=14_09.xlsx&amp;sheet=A0&amp;row=4041&amp;col=7&amp;number=0&amp;sourceID=14","0")</f>
        <v>0</v>
      </c>
    </row>
    <row r="4042" spans="1:7">
      <c r="A4042" s="3">
        <v>14</v>
      </c>
      <c r="B4042" s="3">
        <v>9</v>
      </c>
      <c r="C4042" s="3">
        <v>186</v>
      </c>
      <c r="D4042" s="3">
        <v>139</v>
      </c>
      <c r="E4042" s="3">
        <v>-625.693</v>
      </c>
      <c r="F4042" s="4" t="str">
        <f>HYPERLINK("http://141.218.60.56/~jnz1568/getInfo.php?workbook=14_09.xlsx&amp;sheet=A0&amp;row=4042&amp;col=6&amp;number=1310000&amp;sourceID=14","1310000")</f>
        <v>1310000</v>
      </c>
      <c r="G4042" s="4" t="str">
        <f>HYPERLINK("http://141.218.60.56/~jnz1568/getInfo.php?workbook=14_09.xlsx&amp;sheet=A0&amp;row=4042&amp;col=7&amp;number=0&amp;sourceID=14","0")</f>
        <v>0</v>
      </c>
    </row>
    <row r="4043" spans="1:7">
      <c r="A4043" s="3">
        <v>14</v>
      </c>
      <c r="B4043" s="3">
        <v>9</v>
      </c>
      <c r="C4043" s="3">
        <v>187</v>
      </c>
      <c r="D4043" s="3">
        <v>139</v>
      </c>
      <c r="E4043" s="3">
        <v>-607.073</v>
      </c>
      <c r="F4043" s="4" t="str">
        <f>HYPERLINK("http://141.218.60.56/~jnz1568/getInfo.php?workbook=14_09.xlsx&amp;sheet=A0&amp;row=4043&amp;col=6&amp;number=4590000&amp;sourceID=14","4590000")</f>
        <v>4590000</v>
      </c>
      <c r="G4043" s="4" t="str">
        <f>HYPERLINK("http://141.218.60.56/~jnz1568/getInfo.php?workbook=14_09.xlsx&amp;sheet=A0&amp;row=4043&amp;col=7&amp;number=0&amp;sourceID=14","0")</f>
        <v>0</v>
      </c>
    </row>
    <row r="4044" spans="1:7">
      <c r="A4044" s="3">
        <v>14</v>
      </c>
      <c r="B4044" s="3">
        <v>9</v>
      </c>
      <c r="C4044" s="3">
        <v>188</v>
      </c>
      <c r="D4044" s="3">
        <v>139</v>
      </c>
      <c r="E4044" s="3">
        <v>-605.918</v>
      </c>
      <c r="F4044" s="4" t="str">
        <f>HYPERLINK("http://141.218.60.56/~jnz1568/getInfo.php?workbook=14_09.xlsx&amp;sheet=A0&amp;row=4044&amp;col=6&amp;number=11600000&amp;sourceID=14","11600000")</f>
        <v>11600000</v>
      </c>
      <c r="G4044" s="4" t="str">
        <f>HYPERLINK("http://141.218.60.56/~jnz1568/getInfo.php?workbook=14_09.xlsx&amp;sheet=A0&amp;row=4044&amp;col=7&amp;number=0&amp;sourceID=14","0")</f>
        <v>0</v>
      </c>
    </row>
    <row r="4045" spans="1:7">
      <c r="A4045" s="3">
        <v>14</v>
      </c>
      <c r="B4045" s="3">
        <v>9</v>
      </c>
      <c r="C4045" s="3">
        <v>189</v>
      </c>
      <c r="D4045" s="3">
        <v>139</v>
      </c>
      <c r="E4045" s="3">
        <v>-560.297</v>
      </c>
      <c r="F4045" s="4" t="str">
        <f>HYPERLINK("http://141.218.60.56/~jnz1568/getInfo.php?workbook=14_09.xlsx&amp;sheet=A0&amp;row=4045&amp;col=6&amp;number=20300000&amp;sourceID=14","20300000")</f>
        <v>20300000</v>
      </c>
      <c r="G4045" s="4" t="str">
        <f>HYPERLINK("http://141.218.60.56/~jnz1568/getInfo.php?workbook=14_09.xlsx&amp;sheet=A0&amp;row=4045&amp;col=7&amp;number=0&amp;sourceID=14","0")</f>
        <v>0</v>
      </c>
    </row>
    <row r="4046" spans="1:7">
      <c r="A4046" s="3">
        <v>14</v>
      </c>
      <c r="B4046" s="3">
        <v>9</v>
      </c>
      <c r="C4046" s="3">
        <v>170</v>
      </c>
      <c r="D4046" s="3">
        <v>140</v>
      </c>
      <c r="E4046" s="3">
        <v>-960.165</v>
      </c>
      <c r="F4046" s="4" t="str">
        <f>HYPERLINK("http://141.218.60.56/~jnz1568/getInfo.php?workbook=14_09.xlsx&amp;sheet=A0&amp;row=4046&amp;col=6&amp;number=33500000&amp;sourceID=14","33500000")</f>
        <v>33500000</v>
      </c>
      <c r="G4046" s="4" t="str">
        <f>HYPERLINK("http://141.218.60.56/~jnz1568/getInfo.php?workbook=14_09.xlsx&amp;sheet=A0&amp;row=4046&amp;col=7&amp;number=0&amp;sourceID=14","0")</f>
        <v>0</v>
      </c>
    </row>
    <row r="4047" spans="1:7">
      <c r="A4047" s="3">
        <v>14</v>
      </c>
      <c r="B4047" s="3">
        <v>9</v>
      </c>
      <c r="C4047" s="3">
        <v>171</v>
      </c>
      <c r="D4047" s="3">
        <v>140</v>
      </c>
      <c r="E4047" s="3">
        <v>-939.11</v>
      </c>
      <c r="F4047" s="4" t="str">
        <f>HYPERLINK("http://141.218.60.56/~jnz1568/getInfo.php?workbook=14_09.xlsx&amp;sheet=A0&amp;row=4047&amp;col=6&amp;number=2480000000&amp;sourceID=14","2480000000")</f>
        <v>2480000000</v>
      </c>
      <c r="G4047" s="4" t="str">
        <f>HYPERLINK("http://141.218.60.56/~jnz1568/getInfo.php?workbook=14_09.xlsx&amp;sheet=A0&amp;row=4047&amp;col=7&amp;number=0&amp;sourceID=14","0")</f>
        <v>0</v>
      </c>
    </row>
    <row r="4048" spans="1:7">
      <c r="A4048" s="3">
        <v>14</v>
      </c>
      <c r="B4048" s="3">
        <v>9</v>
      </c>
      <c r="C4048" s="3">
        <v>172</v>
      </c>
      <c r="D4048" s="3">
        <v>140</v>
      </c>
      <c r="E4048" s="3">
        <v>-926.734</v>
      </c>
      <c r="F4048" s="4" t="str">
        <f>HYPERLINK("http://141.218.60.56/~jnz1568/getInfo.php?workbook=14_09.xlsx&amp;sheet=A0&amp;row=4048&amp;col=6&amp;number=515000000&amp;sourceID=14","515000000")</f>
        <v>515000000</v>
      </c>
      <c r="G4048" s="4" t="str">
        <f>HYPERLINK("http://141.218.60.56/~jnz1568/getInfo.php?workbook=14_09.xlsx&amp;sheet=A0&amp;row=4048&amp;col=7&amp;number=0&amp;sourceID=14","0")</f>
        <v>0</v>
      </c>
    </row>
    <row r="4049" spans="1:7">
      <c r="A4049" s="3">
        <v>14</v>
      </c>
      <c r="B4049" s="3">
        <v>9</v>
      </c>
      <c r="C4049" s="3">
        <v>173</v>
      </c>
      <c r="D4049" s="3">
        <v>140</v>
      </c>
      <c r="E4049" s="3">
        <v>-914.982</v>
      </c>
      <c r="F4049" s="4" t="str">
        <f>HYPERLINK("http://141.218.60.56/~jnz1568/getInfo.php?workbook=14_09.xlsx&amp;sheet=A0&amp;row=4049&amp;col=6&amp;number=44500000&amp;sourceID=14","44500000")</f>
        <v>44500000</v>
      </c>
      <c r="G4049" s="4" t="str">
        <f>HYPERLINK("http://141.218.60.56/~jnz1568/getInfo.php?workbook=14_09.xlsx&amp;sheet=A0&amp;row=4049&amp;col=7&amp;number=0&amp;sourceID=14","0")</f>
        <v>0</v>
      </c>
    </row>
    <row r="4050" spans="1:7">
      <c r="A4050" s="3">
        <v>14</v>
      </c>
      <c r="B4050" s="3">
        <v>9</v>
      </c>
      <c r="C4050" s="3">
        <v>175</v>
      </c>
      <c r="D4050" s="3">
        <v>140</v>
      </c>
      <c r="E4050" s="3">
        <v>-862.189</v>
      </c>
      <c r="F4050" s="4" t="str">
        <f>HYPERLINK("http://141.218.60.56/~jnz1568/getInfo.php?workbook=14_09.xlsx&amp;sheet=A0&amp;row=4050&amp;col=6&amp;number=318000000&amp;sourceID=14","318000000")</f>
        <v>318000000</v>
      </c>
      <c r="G4050" s="4" t="str">
        <f>HYPERLINK("http://141.218.60.56/~jnz1568/getInfo.php?workbook=14_09.xlsx&amp;sheet=A0&amp;row=4050&amp;col=7&amp;number=0&amp;sourceID=14","0")</f>
        <v>0</v>
      </c>
    </row>
    <row r="4051" spans="1:7">
      <c r="A4051" s="3">
        <v>14</v>
      </c>
      <c r="B4051" s="3">
        <v>9</v>
      </c>
      <c r="C4051" s="3">
        <v>176</v>
      </c>
      <c r="D4051" s="3">
        <v>140</v>
      </c>
      <c r="E4051" s="3">
        <v>-848.106</v>
      </c>
      <c r="F4051" s="4" t="str">
        <f>HYPERLINK("http://141.218.60.56/~jnz1568/getInfo.php?workbook=14_09.xlsx&amp;sheet=A0&amp;row=4051&amp;col=6&amp;number=117000000&amp;sourceID=14","117000000")</f>
        <v>117000000</v>
      </c>
      <c r="G4051" s="4" t="str">
        <f>HYPERLINK("http://141.218.60.56/~jnz1568/getInfo.php?workbook=14_09.xlsx&amp;sheet=A0&amp;row=4051&amp;col=7&amp;number=0&amp;sourceID=14","0")</f>
        <v>0</v>
      </c>
    </row>
    <row r="4052" spans="1:7">
      <c r="A4052" s="3">
        <v>14</v>
      </c>
      <c r="B4052" s="3">
        <v>9</v>
      </c>
      <c r="C4052" s="3">
        <v>177</v>
      </c>
      <c r="D4052" s="3">
        <v>140</v>
      </c>
      <c r="E4052" s="3">
        <v>-846.892</v>
      </c>
      <c r="F4052" s="4" t="str">
        <f>HYPERLINK("http://141.218.60.56/~jnz1568/getInfo.php?workbook=14_09.xlsx&amp;sheet=A0&amp;row=4052&amp;col=6&amp;number=246000000&amp;sourceID=14","246000000")</f>
        <v>246000000</v>
      </c>
      <c r="G4052" s="4" t="str">
        <f>HYPERLINK("http://141.218.60.56/~jnz1568/getInfo.php?workbook=14_09.xlsx&amp;sheet=A0&amp;row=4052&amp;col=7&amp;number=0&amp;sourceID=14","0")</f>
        <v>0</v>
      </c>
    </row>
    <row r="4053" spans="1:7">
      <c r="A4053" s="3">
        <v>14</v>
      </c>
      <c r="B4053" s="3">
        <v>9</v>
      </c>
      <c r="C4053" s="3">
        <v>180</v>
      </c>
      <c r="D4053" s="3">
        <v>140</v>
      </c>
      <c r="E4053" s="3">
        <v>-837.565</v>
      </c>
      <c r="F4053" s="4" t="str">
        <f>HYPERLINK("http://141.218.60.56/~jnz1568/getInfo.php?workbook=14_09.xlsx&amp;sheet=A0&amp;row=4053&amp;col=6&amp;number=5390000&amp;sourceID=14","5390000")</f>
        <v>5390000</v>
      </c>
      <c r="G4053" s="4" t="str">
        <f>HYPERLINK("http://141.218.60.56/~jnz1568/getInfo.php?workbook=14_09.xlsx&amp;sheet=A0&amp;row=4053&amp;col=7&amp;number=0&amp;sourceID=14","0")</f>
        <v>0</v>
      </c>
    </row>
    <row r="4054" spans="1:7">
      <c r="A4054" s="3">
        <v>14</v>
      </c>
      <c r="B4054" s="3">
        <v>9</v>
      </c>
      <c r="C4054" s="3">
        <v>181</v>
      </c>
      <c r="D4054" s="3">
        <v>140</v>
      </c>
      <c r="E4054" s="3">
        <v>-808.363</v>
      </c>
      <c r="F4054" s="4" t="str">
        <f>HYPERLINK("http://141.218.60.56/~jnz1568/getInfo.php?workbook=14_09.xlsx&amp;sheet=A0&amp;row=4054&amp;col=6&amp;number=1680000&amp;sourceID=14","1680000")</f>
        <v>1680000</v>
      </c>
      <c r="G4054" s="4" t="str">
        <f>HYPERLINK("http://141.218.60.56/~jnz1568/getInfo.php?workbook=14_09.xlsx&amp;sheet=A0&amp;row=4054&amp;col=7&amp;number=0&amp;sourceID=14","0")</f>
        <v>0</v>
      </c>
    </row>
    <row r="4055" spans="1:7">
      <c r="A4055" s="3">
        <v>14</v>
      </c>
      <c r="B4055" s="3">
        <v>9</v>
      </c>
      <c r="C4055" s="3">
        <v>186</v>
      </c>
      <c r="D4055" s="3">
        <v>141</v>
      </c>
      <c r="E4055" s="3">
        <v>-631.099</v>
      </c>
      <c r="F4055" s="4" t="str">
        <f>HYPERLINK("http://141.218.60.56/~jnz1568/getInfo.php?workbook=14_09.xlsx&amp;sheet=A0&amp;row=4055&amp;col=6&amp;number=3180000&amp;sourceID=14","3180000")</f>
        <v>3180000</v>
      </c>
      <c r="G4055" s="4" t="str">
        <f>HYPERLINK("http://141.218.60.56/~jnz1568/getInfo.php?workbook=14_09.xlsx&amp;sheet=A0&amp;row=4055&amp;col=7&amp;number=0&amp;sourceID=14","0")</f>
        <v>0</v>
      </c>
    </row>
    <row r="4056" spans="1:7">
      <c r="A4056" s="3">
        <v>14</v>
      </c>
      <c r="B4056" s="3">
        <v>9</v>
      </c>
      <c r="C4056" s="3">
        <v>188</v>
      </c>
      <c r="D4056" s="3">
        <v>141</v>
      </c>
      <c r="E4056" s="3">
        <v>-610.987</v>
      </c>
      <c r="F4056" s="4" t="str">
        <f>HYPERLINK("http://141.218.60.56/~jnz1568/getInfo.php?workbook=14_09.xlsx&amp;sheet=A0&amp;row=4056&amp;col=6&amp;number=23400000&amp;sourceID=14","23400000")</f>
        <v>23400000</v>
      </c>
      <c r="G4056" s="4" t="str">
        <f>HYPERLINK("http://141.218.60.56/~jnz1568/getInfo.php?workbook=14_09.xlsx&amp;sheet=A0&amp;row=4056&amp;col=7&amp;number=0&amp;sourceID=14","0")</f>
        <v>0</v>
      </c>
    </row>
    <row r="4057" spans="1:7">
      <c r="A4057" s="3">
        <v>14</v>
      </c>
      <c r="B4057" s="3">
        <v>9</v>
      </c>
      <c r="C4057" s="3">
        <v>185</v>
      </c>
      <c r="D4057" s="3">
        <v>142</v>
      </c>
      <c r="E4057" s="3">
        <v>-633.683</v>
      </c>
      <c r="F4057" s="4" t="str">
        <f>HYPERLINK("http://141.218.60.56/~jnz1568/getInfo.php?workbook=14_09.xlsx&amp;sheet=A0&amp;row=4057&amp;col=6&amp;number=3370000&amp;sourceID=14","3370000")</f>
        <v>3370000</v>
      </c>
      <c r="G4057" s="4" t="str">
        <f>HYPERLINK("http://141.218.60.56/~jnz1568/getInfo.php?workbook=14_09.xlsx&amp;sheet=A0&amp;row=4057&amp;col=7&amp;number=0&amp;sourceID=14","0")</f>
        <v>0</v>
      </c>
    </row>
    <row r="4058" spans="1:7">
      <c r="A4058" s="3">
        <v>14</v>
      </c>
      <c r="B4058" s="3">
        <v>9</v>
      </c>
      <c r="C4058" s="3">
        <v>187</v>
      </c>
      <c r="D4058" s="3">
        <v>142</v>
      </c>
      <c r="E4058" s="3">
        <v>-612.202</v>
      </c>
      <c r="F4058" s="4" t="str">
        <f>HYPERLINK("http://141.218.60.56/~jnz1568/getInfo.php?workbook=14_09.xlsx&amp;sheet=A0&amp;row=4058&amp;col=6&amp;number=26300000&amp;sourceID=14","26300000")</f>
        <v>26300000</v>
      </c>
      <c r="G4058" s="4" t="str">
        <f>HYPERLINK("http://141.218.60.56/~jnz1568/getInfo.php?workbook=14_09.xlsx&amp;sheet=A0&amp;row=4058&amp;col=7&amp;number=0&amp;sourceID=14","0")</f>
        <v>0</v>
      </c>
    </row>
    <row r="4059" spans="1:7">
      <c r="A4059" s="3">
        <v>14</v>
      </c>
      <c r="B4059" s="3">
        <v>9</v>
      </c>
      <c r="C4059" s="3">
        <v>188</v>
      </c>
      <c r="D4059" s="3">
        <v>142</v>
      </c>
      <c r="E4059" s="3">
        <v>-611.028</v>
      </c>
      <c r="F4059" s="4" t="str">
        <f>HYPERLINK("http://141.218.60.56/~jnz1568/getInfo.php?workbook=14_09.xlsx&amp;sheet=A0&amp;row=4059&amp;col=6&amp;number=2190000&amp;sourceID=14","2190000")</f>
        <v>2190000</v>
      </c>
      <c r="G4059" s="4" t="str">
        <f>HYPERLINK("http://141.218.60.56/~jnz1568/getInfo.php?workbook=14_09.xlsx&amp;sheet=A0&amp;row=4059&amp;col=7&amp;number=0&amp;sourceID=14","0")</f>
        <v>0</v>
      </c>
    </row>
    <row r="4060" spans="1:7">
      <c r="A4060" s="3">
        <v>14</v>
      </c>
      <c r="B4060" s="3">
        <v>9</v>
      </c>
      <c r="C4060" s="3">
        <v>169</v>
      </c>
      <c r="D4060" s="3">
        <v>145</v>
      </c>
      <c r="E4060" s="3">
        <v>-987.607</v>
      </c>
      <c r="F4060" s="4" t="str">
        <f>HYPERLINK("http://141.218.60.56/~jnz1568/getInfo.php?workbook=14_09.xlsx&amp;sheet=A0&amp;row=4060&amp;col=6&amp;number=71200000&amp;sourceID=14","71200000")</f>
        <v>71200000</v>
      </c>
      <c r="G4060" s="4" t="str">
        <f>HYPERLINK("http://141.218.60.56/~jnz1568/getInfo.php?workbook=14_09.xlsx&amp;sheet=A0&amp;row=4060&amp;col=7&amp;number=0&amp;sourceID=14","0")</f>
        <v>0</v>
      </c>
    </row>
    <row r="4061" spans="1:7">
      <c r="A4061" s="3">
        <v>14</v>
      </c>
      <c r="B4061" s="3">
        <v>9</v>
      </c>
      <c r="C4061" s="3">
        <v>170</v>
      </c>
      <c r="D4061" s="3">
        <v>145</v>
      </c>
      <c r="E4061" s="3">
        <v>-973.314</v>
      </c>
      <c r="F4061" s="4" t="str">
        <f>HYPERLINK("http://141.218.60.56/~jnz1568/getInfo.php?workbook=14_09.xlsx&amp;sheet=A0&amp;row=4061&amp;col=6&amp;number=37100000&amp;sourceID=14","37100000")</f>
        <v>37100000</v>
      </c>
      <c r="G4061" s="4" t="str">
        <f>HYPERLINK("http://141.218.60.56/~jnz1568/getInfo.php?workbook=14_09.xlsx&amp;sheet=A0&amp;row=4061&amp;col=7&amp;number=0&amp;sourceID=14","0")</f>
        <v>0</v>
      </c>
    </row>
    <row r="4062" spans="1:7">
      <c r="A4062" s="3">
        <v>14</v>
      </c>
      <c r="B4062" s="3">
        <v>9</v>
      </c>
      <c r="C4062" s="3">
        <v>172</v>
      </c>
      <c r="D4062" s="3">
        <v>145</v>
      </c>
      <c r="E4062" s="3">
        <v>-938.978</v>
      </c>
      <c r="F4062" s="4" t="str">
        <f>HYPERLINK("http://141.218.60.56/~jnz1568/getInfo.php?workbook=14_09.xlsx&amp;sheet=A0&amp;row=4062&amp;col=6&amp;number=1990000000&amp;sourceID=14","1990000000")</f>
        <v>1990000000</v>
      </c>
      <c r="G4062" s="4" t="str">
        <f>HYPERLINK("http://141.218.60.56/~jnz1568/getInfo.php?workbook=14_09.xlsx&amp;sheet=A0&amp;row=4062&amp;col=7&amp;number=0&amp;sourceID=14","0")</f>
        <v>0</v>
      </c>
    </row>
    <row r="4063" spans="1:7">
      <c r="A4063" s="3">
        <v>14</v>
      </c>
      <c r="B4063" s="3">
        <v>9</v>
      </c>
      <c r="C4063" s="3">
        <v>173</v>
      </c>
      <c r="D4063" s="3">
        <v>145</v>
      </c>
      <c r="E4063" s="3">
        <v>-926.915</v>
      </c>
      <c r="F4063" s="4" t="str">
        <f>HYPERLINK("http://141.218.60.56/~jnz1568/getInfo.php?workbook=14_09.xlsx&amp;sheet=A0&amp;row=4063&amp;col=6&amp;number=793000000&amp;sourceID=14","793000000")</f>
        <v>793000000</v>
      </c>
      <c r="G4063" s="4" t="str">
        <f>HYPERLINK("http://141.218.60.56/~jnz1568/getInfo.php?workbook=14_09.xlsx&amp;sheet=A0&amp;row=4063&amp;col=7&amp;number=0&amp;sourceID=14","0")</f>
        <v>0</v>
      </c>
    </row>
    <row r="4064" spans="1:7">
      <c r="A4064" s="3">
        <v>14</v>
      </c>
      <c r="B4064" s="3">
        <v>9</v>
      </c>
      <c r="C4064" s="3">
        <v>174</v>
      </c>
      <c r="D4064" s="3">
        <v>145</v>
      </c>
      <c r="E4064" s="3">
        <v>-916.844</v>
      </c>
      <c r="F4064" s="4" t="str">
        <f>HYPERLINK("http://141.218.60.56/~jnz1568/getInfo.php?workbook=14_09.xlsx&amp;sheet=A0&amp;row=4064&amp;col=6&amp;number=87300000&amp;sourceID=14","87300000")</f>
        <v>87300000</v>
      </c>
      <c r="G4064" s="4" t="str">
        <f>HYPERLINK("http://141.218.60.56/~jnz1568/getInfo.php?workbook=14_09.xlsx&amp;sheet=A0&amp;row=4064&amp;col=7&amp;number=0&amp;sourceID=14","0")</f>
        <v>0</v>
      </c>
    </row>
    <row r="4065" spans="1:7">
      <c r="A4065" s="3">
        <v>14</v>
      </c>
      <c r="B4065" s="3">
        <v>9</v>
      </c>
      <c r="C4065" s="3">
        <v>175</v>
      </c>
      <c r="D4065" s="3">
        <v>145</v>
      </c>
      <c r="E4065" s="3">
        <v>-872.777</v>
      </c>
      <c r="F4065" s="4" t="str">
        <f>HYPERLINK("http://141.218.60.56/~jnz1568/getInfo.php?workbook=14_09.xlsx&amp;sheet=A0&amp;row=4065&amp;col=6&amp;number=70100000&amp;sourceID=14","70100000")</f>
        <v>70100000</v>
      </c>
      <c r="G4065" s="4" t="str">
        <f>HYPERLINK("http://141.218.60.56/~jnz1568/getInfo.php?workbook=14_09.xlsx&amp;sheet=A0&amp;row=4065&amp;col=7&amp;number=0&amp;sourceID=14","0")</f>
        <v>0</v>
      </c>
    </row>
    <row r="4066" spans="1:7">
      <c r="A4066" s="3">
        <v>14</v>
      </c>
      <c r="B4066" s="3">
        <v>9</v>
      </c>
      <c r="C4066" s="3">
        <v>176</v>
      </c>
      <c r="D4066" s="3">
        <v>145</v>
      </c>
      <c r="E4066" s="3">
        <v>-858.349</v>
      </c>
      <c r="F4066" s="4" t="str">
        <f>HYPERLINK("http://141.218.60.56/~jnz1568/getInfo.php?workbook=14_09.xlsx&amp;sheet=A0&amp;row=4066&amp;col=6&amp;number=398000000&amp;sourceID=14","398000000")</f>
        <v>398000000</v>
      </c>
      <c r="G4066" s="4" t="str">
        <f>HYPERLINK("http://141.218.60.56/~jnz1568/getInfo.php?workbook=14_09.xlsx&amp;sheet=A0&amp;row=4066&amp;col=7&amp;number=0&amp;sourceID=14","0")</f>
        <v>0</v>
      </c>
    </row>
    <row r="4067" spans="1:7">
      <c r="A4067" s="3">
        <v>14</v>
      </c>
      <c r="B4067" s="3">
        <v>9</v>
      </c>
      <c r="C4067" s="3">
        <v>177</v>
      </c>
      <c r="D4067" s="3">
        <v>145</v>
      </c>
      <c r="E4067" s="3">
        <v>-857.105</v>
      </c>
      <c r="F4067" s="4" t="str">
        <f>HYPERLINK("http://141.218.60.56/~jnz1568/getInfo.php?workbook=14_09.xlsx&amp;sheet=A0&amp;row=4067&amp;col=6&amp;number=48000000&amp;sourceID=14","48000000")</f>
        <v>48000000</v>
      </c>
      <c r="G4067" s="4" t="str">
        <f>HYPERLINK("http://141.218.60.56/~jnz1568/getInfo.php?workbook=14_09.xlsx&amp;sheet=A0&amp;row=4067&amp;col=7&amp;number=0&amp;sourceID=14","0")</f>
        <v>0</v>
      </c>
    </row>
    <row r="4068" spans="1:7">
      <c r="A4068" s="3">
        <v>14</v>
      </c>
      <c r="B4068" s="3">
        <v>9</v>
      </c>
      <c r="C4068" s="3">
        <v>179</v>
      </c>
      <c r="D4068" s="3">
        <v>145</v>
      </c>
      <c r="E4068" s="3">
        <v>-855.616</v>
      </c>
      <c r="F4068" s="4" t="str">
        <f>HYPERLINK("http://141.218.60.56/~jnz1568/getInfo.php?workbook=14_09.xlsx&amp;sheet=A0&amp;row=4068&amp;col=6&amp;number=276000000&amp;sourceID=14","276000000")</f>
        <v>276000000</v>
      </c>
      <c r="G4068" s="4" t="str">
        <f>HYPERLINK("http://141.218.60.56/~jnz1568/getInfo.php?workbook=14_09.xlsx&amp;sheet=A0&amp;row=4068&amp;col=7&amp;number=0&amp;sourceID=14","0")</f>
        <v>0</v>
      </c>
    </row>
    <row r="4069" spans="1:7">
      <c r="A4069" s="3">
        <v>14</v>
      </c>
      <c r="B4069" s="3">
        <v>9</v>
      </c>
      <c r="C4069" s="3">
        <v>180</v>
      </c>
      <c r="D4069" s="3">
        <v>145</v>
      </c>
      <c r="E4069" s="3">
        <v>-847.553</v>
      </c>
      <c r="F4069" s="4" t="str">
        <f>HYPERLINK("http://141.218.60.56/~jnz1568/getInfo.php?workbook=14_09.xlsx&amp;sheet=A0&amp;row=4069&amp;col=6&amp;number=27500000&amp;sourceID=14","27500000")</f>
        <v>27500000</v>
      </c>
      <c r="G4069" s="4" t="str">
        <f>HYPERLINK("http://141.218.60.56/~jnz1568/getInfo.php?workbook=14_09.xlsx&amp;sheet=A0&amp;row=4069&amp;col=7&amp;number=0&amp;sourceID=14","0")</f>
        <v>0</v>
      </c>
    </row>
    <row r="4070" spans="1:7">
      <c r="A4070" s="3">
        <v>14</v>
      </c>
      <c r="B4070" s="3">
        <v>9</v>
      </c>
      <c r="C4070" s="3">
        <v>186</v>
      </c>
      <c r="D4070" s="3">
        <v>146</v>
      </c>
      <c r="E4070" s="3">
        <v>-636.579</v>
      </c>
      <c r="F4070" s="4" t="str">
        <f>HYPERLINK("http://141.218.60.56/~jnz1568/getInfo.php?workbook=14_09.xlsx&amp;sheet=A0&amp;row=4070&amp;col=6&amp;number=12400000&amp;sourceID=14","12400000")</f>
        <v>12400000</v>
      </c>
      <c r="G4070" s="4" t="str">
        <f>HYPERLINK("http://141.218.60.56/~jnz1568/getInfo.php?workbook=14_09.xlsx&amp;sheet=A0&amp;row=4070&amp;col=7&amp;number=0&amp;sourceID=14","0")</f>
        <v>0</v>
      </c>
    </row>
    <row r="4071" spans="1:7">
      <c r="A4071" s="3">
        <v>14</v>
      </c>
      <c r="B4071" s="3">
        <v>9</v>
      </c>
      <c r="C4071" s="3">
        <v>185</v>
      </c>
      <c r="D4071" s="3">
        <v>147</v>
      </c>
      <c r="E4071" s="3">
        <v>-639.171</v>
      </c>
      <c r="F4071" s="4" t="str">
        <f>HYPERLINK("http://141.218.60.56/~jnz1568/getInfo.php?workbook=14_09.xlsx&amp;sheet=A0&amp;row=4071&amp;col=6&amp;number=13100000&amp;sourceID=14","13100000")</f>
        <v>13100000</v>
      </c>
      <c r="G4071" s="4" t="str">
        <f>HYPERLINK("http://141.218.60.56/~jnz1568/getInfo.php?workbook=14_09.xlsx&amp;sheet=A0&amp;row=4071&amp;col=7&amp;number=0&amp;sourceID=14","0")</f>
        <v>0</v>
      </c>
    </row>
    <row r="4072" spans="1:7">
      <c r="A4072" s="3">
        <v>14</v>
      </c>
      <c r="B4072" s="3">
        <v>9</v>
      </c>
      <c r="C4072" s="3">
        <v>168</v>
      </c>
      <c r="D4072" s="3">
        <v>148</v>
      </c>
      <c r="E4072" s="3">
        <v>-1010.174</v>
      </c>
      <c r="F4072" s="4" t="str">
        <f>HYPERLINK("http://141.218.60.56/~jnz1568/getInfo.php?workbook=14_09.xlsx&amp;sheet=A0&amp;row=4072&amp;col=6&amp;number=55600000&amp;sourceID=14","55600000")</f>
        <v>55600000</v>
      </c>
      <c r="G4072" s="4" t="str">
        <f>HYPERLINK("http://141.218.60.56/~jnz1568/getInfo.php?workbook=14_09.xlsx&amp;sheet=A0&amp;row=4072&amp;col=7&amp;number=0&amp;sourceID=14","0")</f>
        <v>0</v>
      </c>
    </row>
    <row r="4073" spans="1:7">
      <c r="A4073" s="3">
        <v>14</v>
      </c>
      <c r="B4073" s="3">
        <v>9</v>
      </c>
      <c r="C4073" s="3">
        <v>169</v>
      </c>
      <c r="D4073" s="3">
        <v>148</v>
      </c>
      <c r="E4073" s="3">
        <v>-1001.825</v>
      </c>
      <c r="F4073" s="4" t="str">
        <f>HYPERLINK("http://141.218.60.56/~jnz1568/getInfo.php?workbook=14_09.xlsx&amp;sheet=A0&amp;row=4073&amp;col=6&amp;number=823000&amp;sourceID=14","823000")</f>
        <v>823000</v>
      </c>
      <c r="G4073" s="4" t="str">
        <f>HYPERLINK("http://141.218.60.56/~jnz1568/getInfo.php?workbook=14_09.xlsx&amp;sheet=A0&amp;row=4073&amp;col=7&amp;number=0&amp;sourceID=14","0")</f>
        <v>0</v>
      </c>
    </row>
    <row r="4074" spans="1:7">
      <c r="A4074" s="3">
        <v>14</v>
      </c>
      <c r="B4074" s="3">
        <v>9</v>
      </c>
      <c r="C4074" s="3">
        <v>170</v>
      </c>
      <c r="D4074" s="3">
        <v>148</v>
      </c>
      <c r="E4074" s="3">
        <v>-987.12</v>
      </c>
      <c r="F4074" s="4" t="str">
        <f>HYPERLINK("http://141.218.60.56/~jnz1568/getInfo.php?workbook=14_09.xlsx&amp;sheet=A0&amp;row=4074&amp;col=6&amp;number=5850000&amp;sourceID=14","5850000")</f>
        <v>5850000</v>
      </c>
      <c r="G4074" s="4" t="str">
        <f>HYPERLINK("http://141.218.60.56/~jnz1568/getInfo.php?workbook=14_09.xlsx&amp;sheet=A0&amp;row=4074&amp;col=7&amp;number=0&amp;sourceID=14","0")</f>
        <v>0</v>
      </c>
    </row>
    <row r="4075" spans="1:7">
      <c r="A4075" s="3">
        <v>14</v>
      </c>
      <c r="B4075" s="3">
        <v>9</v>
      </c>
      <c r="C4075" s="3">
        <v>173</v>
      </c>
      <c r="D4075" s="3">
        <v>148</v>
      </c>
      <c r="E4075" s="3">
        <v>-939.428</v>
      </c>
      <c r="F4075" s="4" t="str">
        <f>HYPERLINK("http://141.218.60.56/~jnz1568/getInfo.php?workbook=14_09.xlsx&amp;sheet=A0&amp;row=4075&amp;col=6&amp;number=1680000000&amp;sourceID=14","1680000000")</f>
        <v>1680000000</v>
      </c>
      <c r="G4075" s="4" t="str">
        <f>HYPERLINK("http://141.218.60.56/~jnz1568/getInfo.php?workbook=14_09.xlsx&amp;sheet=A0&amp;row=4075&amp;col=7&amp;number=0&amp;sourceID=14","0")</f>
        <v>0</v>
      </c>
    </row>
    <row r="4076" spans="1:7">
      <c r="A4076" s="3">
        <v>14</v>
      </c>
      <c r="B4076" s="3">
        <v>9</v>
      </c>
      <c r="C4076" s="3">
        <v>174</v>
      </c>
      <c r="D4076" s="3">
        <v>148</v>
      </c>
      <c r="E4076" s="3">
        <v>-929.085</v>
      </c>
      <c r="F4076" s="4" t="str">
        <f>HYPERLINK("http://141.218.60.56/~jnz1568/getInfo.php?workbook=14_09.xlsx&amp;sheet=A0&amp;row=4076&amp;col=6&amp;number=856000000&amp;sourceID=14","856000000")</f>
        <v>856000000</v>
      </c>
      <c r="G4076" s="4" t="str">
        <f>HYPERLINK("http://141.218.60.56/~jnz1568/getInfo.php?workbook=14_09.xlsx&amp;sheet=A0&amp;row=4076&amp;col=7&amp;number=0&amp;sourceID=14","0")</f>
        <v>0</v>
      </c>
    </row>
    <row r="4077" spans="1:7">
      <c r="A4077" s="3">
        <v>14</v>
      </c>
      <c r="B4077" s="3">
        <v>9</v>
      </c>
      <c r="C4077" s="3">
        <v>176</v>
      </c>
      <c r="D4077" s="3">
        <v>148</v>
      </c>
      <c r="E4077" s="3">
        <v>-869.068</v>
      </c>
      <c r="F4077" s="4" t="str">
        <f>HYPERLINK("http://141.218.60.56/~jnz1568/getInfo.php?workbook=14_09.xlsx&amp;sheet=A0&amp;row=4077&amp;col=6&amp;number=214000000&amp;sourceID=14","214000000")</f>
        <v>214000000</v>
      </c>
      <c r="G4077" s="4" t="str">
        <f>HYPERLINK("http://141.218.60.56/~jnz1568/getInfo.php?workbook=14_09.xlsx&amp;sheet=A0&amp;row=4077&amp;col=7&amp;number=0&amp;sourceID=14","0")</f>
        <v>0</v>
      </c>
    </row>
    <row r="4078" spans="1:7">
      <c r="A4078" s="3">
        <v>14</v>
      </c>
      <c r="B4078" s="3">
        <v>9</v>
      </c>
      <c r="C4078" s="3">
        <v>178</v>
      </c>
      <c r="D4078" s="3">
        <v>148</v>
      </c>
      <c r="E4078" s="3">
        <v>-866.508</v>
      </c>
      <c r="F4078" s="4" t="str">
        <f>HYPERLINK("http://141.218.60.56/~jnz1568/getInfo.php?workbook=14_09.xlsx&amp;sheet=A0&amp;row=4078&amp;col=6&amp;number=519000000&amp;sourceID=14","519000000")</f>
        <v>519000000</v>
      </c>
      <c r="G4078" s="4" t="str">
        <f>HYPERLINK("http://141.218.60.56/~jnz1568/getInfo.php?workbook=14_09.xlsx&amp;sheet=A0&amp;row=4078&amp;col=7&amp;number=0&amp;sourceID=14","0")</f>
        <v>0</v>
      </c>
    </row>
    <row r="4079" spans="1:7">
      <c r="A4079" s="3">
        <v>14</v>
      </c>
      <c r="B4079" s="3">
        <v>9</v>
      </c>
      <c r="C4079" s="3">
        <v>179</v>
      </c>
      <c r="D4079" s="3">
        <v>148</v>
      </c>
      <c r="E4079" s="3">
        <v>-866.268</v>
      </c>
      <c r="F4079" s="4" t="str">
        <f>HYPERLINK("http://141.218.60.56/~jnz1568/getInfo.php?workbook=14_09.xlsx&amp;sheet=A0&amp;row=4079&amp;col=6&amp;number=372000000&amp;sourceID=14","372000000")</f>
        <v>372000000</v>
      </c>
      <c r="G4079" s="4" t="str">
        <f>HYPERLINK("http://141.218.60.56/~jnz1568/getInfo.php?workbook=14_09.xlsx&amp;sheet=A0&amp;row=4079&amp;col=7&amp;number=0&amp;sourceID=14","0")</f>
        <v>0</v>
      </c>
    </row>
    <row r="4080" spans="1:7">
      <c r="A4080" s="3">
        <v>14</v>
      </c>
      <c r="B4080" s="3">
        <v>9</v>
      </c>
      <c r="C4080" s="3">
        <v>180</v>
      </c>
      <c r="D4080" s="3">
        <v>148</v>
      </c>
      <c r="E4080" s="3">
        <v>-858.002</v>
      </c>
      <c r="F4080" s="4" t="str">
        <f>HYPERLINK("http://141.218.60.56/~jnz1568/getInfo.php?workbook=14_09.xlsx&amp;sheet=A0&amp;row=4080&amp;col=6&amp;number=13300000&amp;sourceID=14","13300000")</f>
        <v>13300000</v>
      </c>
      <c r="G4080" s="4" t="str">
        <f>HYPERLINK("http://141.218.60.56/~jnz1568/getInfo.php?workbook=14_09.xlsx&amp;sheet=A0&amp;row=4080&amp;col=7&amp;number=0&amp;sourceID=14","0")</f>
        <v>0</v>
      </c>
    </row>
    <row r="4081" spans="1:7">
      <c r="A4081" s="3">
        <v>14</v>
      </c>
      <c r="B4081" s="3">
        <v>9</v>
      </c>
      <c r="C4081" s="3">
        <v>181</v>
      </c>
      <c r="D4081" s="3">
        <v>148</v>
      </c>
      <c r="E4081" s="3">
        <v>-827.385</v>
      </c>
      <c r="F4081" s="4" t="str">
        <f>HYPERLINK("http://141.218.60.56/~jnz1568/getInfo.php?workbook=14_09.xlsx&amp;sheet=A0&amp;row=4081&amp;col=6&amp;number=485000&amp;sourceID=14","485000")</f>
        <v>485000</v>
      </c>
      <c r="G4081" s="4" t="str">
        <f>HYPERLINK("http://141.218.60.56/~jnz1568/getInfo.php?workbook=14_09.xlsx&amp;sheet=A0&amp;row=4081&amp;col=7&amp;number=0&amp;sourceID=14","0")</f>
        <v>0</v>
      </c>
    </row>
    <row r="4082" spans="1:7">
      <c r="A4082" s="3">
        <v>14</v>
      </c>
      <c r="B4082" s="3">
        <v>9</v>
      </c>
      <c r="C4082" s="3">
        <v>168</v>
      </c>
      <c r="D4082" s="3">
        <v>151</v>
      </c>
      <c r="E4082" s="3">
        <v>-1021.202</v>
      </c>
      <c r="F4082" s="4" t="str">
        <f>HYPERLINK("http://141.218.60.56/~jnz1568/getInfo.php?workbook=14_09.xlsx&amp;sheet=A0&amp;row=4082&amp;col=6&amp;number=8750000&amp;sourceID=14","8750000")</f>
        <v>8750000</v>
      </c>
      <c r="G4082" s="4" t="str">
        <f>HYPERLINK("http://141.218.60.56/~jnz1568/getInfo.php?workbook=14_09.xlsx&amp;sheet=A0&amp;row=4082&amp;col=7&amp;number=0&amp;sourceID=14","0")</f>
        <v>0</v>
      </c>
    </row>
    <row r="4083" spans="1:7">
      <c r="A4083" s="3">
        <v>14</v>
      </c>
      <c r="B4083" s="3">
        <v>9</v>
      </c>
      <c r="C4083" s="3">
        <v>169</v>
      </c>
      <c r="D4083" s="3">
        <v>151</v>
      </c>
      <c r="E4083" s="3">
        <v>-1012.67</v>
      </c>
      <c r="F4083" s="4" t="str">
        <f>HYPERLINK("http://141.218.60.56/~jnz1568/getInfo.php?workbook=14_09.xlsx&amp;sheet=A0&amp;row=4083&amp;col=6&amp;number=2160000&amp;sourceID=14","2160000")</f>
        <v>2160000</v>
      </c>
      <c r="G4083" s="4" t="str">
        <f>HYPERLINK("http://141.218.60.56/~jnz1568/getInfo.php?workbook=14_09.xlsx&amp;sheet=A0&amp;row=4083&amp;col=7&amp;number=0&amp;sourceID=14","0")</f>
        <v>0</v>
      </c>
    </row>
    <row r="4084" spans="1:7">
      <c r="A4084" s="3">
        <v>14</v>
      </c>
      <c r="B4084" s="3">
        <v>9</v>
      </c>
      <c r="C4084" s="3">
        <v>174</v>
      </c>
      <c r="D4084" s="3">
        <v>151</v>
      </c>
      <c r="E4084" s="3">
        <v>-938.405</v>
      </c>
      <c r="F4084" s="4" t="str">
        <f>HYPERLINK("http://141.218.60.56/~jnz1568/getInfo.php?workbook=14_09.xlsx&amp;sheet=A0&amp;row=4084&amp;col=6&amp;number=1580000000&amp;sourceID=14","1580000000")</f>
        <v>1580000000</v>
      </c>
      <c r="G4084" s="4" t="str">
        <f>HYPERLINK("http://141.218.60.56/~jnz1568/getInfo.php?workbook=14_09.xlsx&amp;sheet=A0&amp;row=4084&amp;col=7&amp;number=0&amp;sourceID=14","0")</f>
        <v>0</v>
      </c>
    </row>
    <row r="4085" spans="1:7">
      <c r="A4085" s="3">
        <v>14</v>
      </c>
      <c r="B4085" s="3">
        <v>9</v>
      </c>
      <c r="C4085" s="3">
        <v>178</v>
      </c>
      <c r="D4085" s="3">
        <v>151</v>
      </c>
      <c r="E4085" s="3">
        <v>-874.609</v>
      </c>
      <c r="F4085" s="4" t="str">
        <f>HYPERLINK("http://141.218.60.56/~jnz1568/getInfo.php?workbook=14_09.xlsx&amp;sheet=A0&amp;row=4085&amp;col=6&amp;number=608000000&amp;sourceID=14","608000000")</f>
        <v>608000000</v>
      </c>
      <c r="G4085" s="4" t="str">
        <f>HYPERLINK("http://141.218.60.56/~jnz1568/getInfo.php?workbook=14_09.xlsx&amp;sheet=A0&amp;row=4085&amp;col=7&amp;number=0&amp;sourceID=14","0")</f>
        <v>0</v>
      </c>
    </row>
    <row r="4086" spans="1:7">
      <c r="A4086" s="3">
        <v>14</v>
      </c>
      <c r="B4086" s="3">
        <v>9</v>
      </c>
      <c r="C4086" s="3">
        <v>179</v>
      </c>
      <c r="D4086" s="3">
        <v>151</v>
      </c>
      <c r="E4086" s="3">
        <v>-874.364</v>
      </c>
      <c r="F4086" s="4" t="str">
        <f>HYPERLINK("http://141.218.60.56/~jnz1568/getInfo.php?workbook=14_09.xlsx&amp;sheet=A0&amp;row=4086&amp;col=6&amp;number=310000000&amp;sourceID=14","310000000")</f>
        <v>310000000</v>
      </c>
      <c r="G4086" s="4" t="str">
        <f>HYPERLINK("http://141.218.60.56/~jnz1568/getInfo.php?workbook=14_09.xlsx&amp;sheet=A0&amp;row=4086&amp;col=7&amp;number=0&amp;sourceID=14","0")</f>
        <v>0</v>
      </c>
    </row>
    <row r="4087" spans="1:7">
      <c r="A4087" s="3">
        <v>14</v>
      </c>
      <c r="B4087" s="3">
        <v>9</v>
      </c>
      <c r="C4087" s="3">
        <v>165</v>
      </c>
      <c r="D4087" s="3">
        <v>152</v>
      </c>
      <c r="E4087" s="3">
        <v>-1648.373</v>
      </c>
      <c r="F4087" s="4" t="str">
        <f>HYPERLINK("http://141.218.60.56/~jnz1568/getInfo.php?workbook=14_09.xlsx&amp;sheet=A0&amp;row=4087&amp;col=6&amp;number=322000&amp;sourceID=14","322000")</f>
        <v>322000</v>
      </c>
      <c r="G4087" s="4" t="str">
        <f>HYPERLINK("http://141.218.60.56/~jnz1568/getInfo.php?workbook=14_09.xlsx&amp;sheet=A0&amp;row=4087&amp;col=7&amp;number=0&amp;sourceID=14","0")</f>
        <v>0</v>
      </c>
    </row>
    <row r="4088" spans="1:7">
      <c r="A4088" s="3">
        <v>14</v>
      </c>
      <c r="B4088" s="3">
        <v>9</v>
      </c>
      <c r="C4088" s="3">
        <v>169</v>
      </c>
      <c r="D4088" s="3">
        <v>152</v>
      </c>
      <c r="E4088" s="3">
        <v>-1082.581</v>
      </c>
      <c r="F4088" s="4" t="str">
        <f>HYPERLINK("http://141.218.60.56/~jnz1568/getInfo.php?workbook=14_09.xlsx&amp;sheet=A0&amp;row=4088&amp;col=6&amp;number=237000000&amp;sourceID=14","237000000")</f>
        <v>237000000</v>
      </c>
      <c r="G4088" s="4" t="str">
        <f>HYPERLINK("http://141.218.60.56/~jnz1568/getInfo.php?workbook=14_09.xlsx&amp;sheet=A0&amp;row=4088&amp;col=7&amp;number=0&amp;sourceID=14","0")</f>
        <v>0</v>
      </c>
    </row>
    <row r="4089" spans="1:7">
      <c r="A4089" s="3">
        <v>14</v>
      </c>
      <c r="B4089" s="3">
        <v>9</v>
      </c>
      <c r="C4089" s="3">
        <v>170</v>
      </c>
      <c r="D4089" s="3">
        <v>152</v>
      </c>
      <c r="E4089" s="3">
        <v>-1065.43</v>
      </c>
      <c r="F4089" s="4" t="str">
        <f>HYPERLINK("http://141.218.60.56/~jnz1568/getInfo.php?workbook=14_09.xlsx&amp;sheet=A0&amp;row=4089&amp;col=6&amp;number=474000000&amp;sourceID=14","474000000")</f>
        <v>474000000</v>
      </c>
      <c r="G4089" s="4" t="str">
        <f>HYPERLINK("http://141.218.60.56/~jnz1568/getInfo.php?workbook=14_09.xlsx&amp;sheet=A0&amp;row=4089&amp;col=7&amp;number=0&amp;sourceID=14","0")</f>
        <v>0</v>
      </c>
    </row>
    <row r="4090" spans="1:7">
      <c r="A4090" s="3">
        <v>14</v>
      </c>
      <c r="B4090" s="3">
        <v>9</v>
      </c>
      <c r="C4090" s="3">
        <v>173</v>
      </c>
      <c r="D4090" s="3">
        <v>152</v>
      </c>
      <c r="E4090" s="3">
        <v>-1010.082</v>
      </c>
      <c r="F4090" s="4" t="str">
        <f>HYPERLINK("http://141.218.60.56/~jnz1568/getInfo.php?workbook=14_09.xlsx&amp;sheet=A0&amp;row=4090&amp;col=6&amp;number=1210000&amp;sourceID=14","1210000")</f>
        <v>1210000</v>
      </c>
      <c r="G4090" s="4" t="str">
        <f>HYPERLINK("http://141.218.60.56/~jnz1568/getInfo.php?workbook=14_09.xlsx&amp;sheet=A0&amp;row=4090&amp;col=7&amp;number=0&amp;sourceID=14","0")</f>
        <v>0</v>
      </c>
    </row>
    <row r="4091" spans="1:7">
      <c r="A4091" s="3">
        <v>14</v>
      </c>
      <c r="B4091" s="3">
        <v>9</v>
      </c>
      <c r="C4091" s="3">
        <v>175</v>
      </c>
      <c r="D4091" s="3">
        <v>152</v>
      </c>
      <c r="E4091" s="3">
        <v>-946.129</v>
      </c>
      <c r="F4091" s="4" t="str">
        <f>HYPERLINK("http://141.218.60.56/~jnz1568/getInfo.php?workbook=14_09.xlsx&amp;sheet=A0&amp;row=4091&amp;col=6&amp;number=2000000000&amp;sourceID=14","2000000000")</f>
        <v>2000000000</v>
      </c>
      <c r="G4091" s="4" t="str">
        <f>HYPERLINK("http://141.218.60.56/~jnz1568/getInfo.php?workbook=14_09.xlsx&amp;sheet=A0&amp;row=4091&amp;col=7&amp;number=0&amp;sourceID=14","0")</f>
        <v>0</v>
      </c>
    </row>
    <row r="4092" spans="1:7">
      <c r="A4092" s="3">
        <v>14</v>
      </c>
      <c r="B4092" s="3">
        <v>9</v>
      </c>
      <c r="C4092" s="3">
        <v>176</v>
      </c>
      <c r="D4092" s="3">
        <v>152</v>
      </c>
      <c r="E4092" s="3">
        <v>-929.197</v>
      </c>
      <c r="F4092" s="4" t="str">
        <f>HYPERLINK("http://141.218.60.56/~jnz1568/getInfo.php?workbook=14_09.xlsx&amp;sheet=A0&amp;row=4092&amp;col=6&amp;number=281000000&amp;sourceID=14","281000000")</f>
        <v>281000000</v>
      </c>
      <c r="G4092" s="4" t="str">
        <f>HYPERLINK("http://141.218.60.56/~jnz1568/getInfo.php?workbook=14_09.xlsx&amp;sheet=A0&amp;row=4092&amp;col=7&amp;number=0&amp;sourceID=14","0")</f>
        <v>0</v>
      </c>
    </row>
    <row r="4093" spans="1:7">
      <c r="A4093" s="3">
        <v>14</v>
      </c>
      <c r="B4093" s="3">
        <v>9</v>
      </c>
      <c r="C4093" s="3">
        <v>177</v>
      </c>
      <c r="D4093" s="3">
        <v>152</v>
      </c>
      <c r="E4093" s="3">
        <v>-927.74</v>
      </c>
      <c r="F4093" s="4" t="str">
        <f>HYPERLINK("http://141.218.60.56/~jnz1568/getInfo.php?workbook=14_09.xlsx&amp;sheet=A0&amp;row=4093&amp;col=6&amp;number=79000000&amp;sourceID=14","79000000")</f>
        <v>79000000</v>
      </c>
      <c r="G4093" s="4" t="str">
        <f>HYPERLINK("http://141.218.60.56/~jnz1568/getInfo.php?workbook=14_09.xlsx&amp;sheet=A0&amp;row=4093&amp;col=7&amp;number=0&amp;sourceID=14","0")</f>
        <v>0</v>
      </c>
    </row>
    <row r="4094" spans="1:7">
      <c r="A4094" s="3">
        <v>14</v>
      </c>
      <c r="B4094" s="3">
        <v>9</v>
      </c>
      <c r="C4094" s="3">
        <v>179</v>
      </c>
      <c r="D4094" s="3">
        <v>152</v>
      </c>
      <c r="E4094" s="3">
        <v>-925.996</v>
      </c>
      <c r="F4094" s="4" t="str">
        <f>HYPERLINK("http://141.218.60.56/~jnz1568/getInfo.php?workbook=14_09.xlsx&amp;sheet=A0&amp;row=4094&amp;col=6&amp;number=24100000&amp;sourceID=14","24100000")</f>
        <v>24100000</v>
      </c>
      <c r="G4094" s="4" t="str">
        <f>HYPERLINK("http://141.218.60.56/~jnz1568/getInfo.php?workbook=14_09.xlsx&amp;sheet=A0&amp;row=4094&amp;col=7&amp;number=0&amp;sourceID=14","0")</f>
        <v>0</v>
      </c>
    </row>
    <row r="4095" spans="1:7">
      <c r="A4095" s="3">
        <v>14</v>
      </c>
      <c r="B4095" s="3">
        <v>9</v>
      </c>
      <c r="C4095" s="3">
        <v>180</v>
      </c>
      <c r="D4095" s="3">
        <v>152</v>
      </c>
      <c r="E4095" s="3">
        <v>-916.558</v>
      </c>
      <c r="F4095" s="4" t="str">
        <f>HYPERLINK("http://141.218.60.56/~jnz1568/getInfo.php?workbook=14_09.xlsx&amp;sheet=A0&amp;row=4095&amp;col=6&amp;number=47600000&amp;sourceID=14","47600000")</f>
        <v>47600000</v>
      </c>
      <c r="G4095" s="4" t="str">
        <f>HYPERLINK("http://141.218.60.56/~jnz1568/getInfo.php?workbook=14_09.xlsx&amp;sheet=A0&amp;row=4095&amp;col=7&amp;number=0&amp;sourceID=14","0")</f>
        <v>0</v>
      </c>
    </row>
    <row r="4096" spans="1:7">
      <c r="A4096" s="3">
        <v>14</v>
      </c>
      <c r="B4096" s="3">
        <v>9</v>
      </c>
      <c r="C4096" s="3">
        <v>181</v>
      </c>
      <c r="D4096" s="3">
        <v>152</v>
      </c>
      <c r="E4096" s="3">
        <v>-881.704</v>
      </c>
      <c r="F4096" s="4" t="str">
        <f>HYPERLINK("http://141.218.60.56/~jnz1568/getInfo.php?workbook=14_09.xlsx&amp;sheet=A0&amp;row=4096&amp;col=6&amp;number=140000000&amp;sourceID=14","140000000")</f>
        <v>140000000</v>
      </c>
      <c r="G4096" s="4" t="str">
        <f>HYPERLINK("http://141.218.60.56/~jnz1568/getInfo.php?workbook=14_09.xlsx&amp;sheet=A0&amp;row=4096&amp;col=7&amp;number=0&amp;sourceID=14","0")</f>
        <v>0</v>
      </c>
    </row>
    <row r="4097" spans="1:7">
      <c r="A4097" s="3">
        <v>14</v>
      </c>
      <c r="B4097" s="3">
        <v>9</v>
      </c>
      <c r="C4097" s="3">
        <v>182</v>
      </c>
      <c r="D4097" s="3">
        <v>152</v>
      </c>
      <c r="E4097" s="3">
        <v>-880.95</v>
      </c>
      <c r="F4097" s="4" t="str">
        <f>HYPERLINK("http://141.218.60.56/~jnz1568/getInfo.php?workbook=14_09.xlsx&amp;sheet=A0&amp;row=4097&amp;col=6&amp;number=27000000&amp;sourceID=14","27000000")</f>
        <v>27000000</v>
      </c>
      <c r="G4097" s="4" t="str">
        <f>HYPERLINK("http://141.218.60.56/~jnz1568/getInfo.php?workbook=14_09.xlsx&amp;sheet=A0&amp;row=4097&amp;col=7&amp;number=0&amp;sourceID=14","0")</f>
        <v>0</v>
      </c>
    </row>
    <row r="4098" spans="1:7">
      <c r="A4098" s="3">
        <v>14</v>
      </c>
      <c r="B4098" s="3">
        <v>9</v>
      </c>
      <c r="C4098" s="3">
        <v>165</v>
      </c>
      <c r="D4098" s="3">
        <v>153</v>
      </c>
      <c r="E4098" s="3">
        <v>-1697.335</v>
      </c>
      <c r="F4098" s="4" t="str">
        <f>HYPERLINK("http://141.218.60.56/~jnz1568/getInfo.php?workbook=14_09.xlsx&amp;sheet=A0&amp;row=4098&amp;col=6&amp;number=651000&amp;sourceID=14","651000")</f>
        <v>651000</v>
      </c>
      <c r="G4098" s="4" t="str">
        <f>HYPERLINK("http://141.218.60.56/~jnz1568/getInfo.php?workbook=14_09.xlsx&amp;sheet=A0&amp;row=4098&amp;col=7&amp;number=0&amp;sourceID=14","0")</f>
        <v>0</v>
      </c>
    </row>
    <row r="4099" spans="1:7">
      <c r="A4099" s="3">
        <v>14</v>
      </c>
      <c r="B4099" s="3">
        <v>9</v>
      </c>
      <c r="C4099" s="3">
        <v>169</v>
      </c>
      <c r="D4099" s="3">
        <v>153</v>
      </c>
      <c r="E4099" s="3">
        <v>-1103.487</v>
      </c>
      <c r="F4099" s="4" t="str">
        <f>HYPERLINK("http://141.218.60.56/~jnz1568/getInfo.php?workbook=14_09.xlsx&amp;sheet=A0&amp;row=4099&amp;col=6&amp;number=75300000&amp;sourceID=14","75300000")</f>
        <v>75300000</v>
      </c>
      <c r="G4099" s="4" t="str">
        <f>HYPERLINK("http://141.218.60.56/~jnz1568/getInfo.php?workbook=14_09.xlsx&amp;sheet=A0&amp;row=4099&amp;col=7&amp;number=0&amp;sourceID=14","0")</f>
        <v>0</v>
      </c>
    </row>
    <row r="4100" spans="1:7">
      <c r="A4100" s="3">
        <v>14</v>
      </c>
      <c r="B4100" s="3">
        <v>9</v>
      </c>
      <c r="C4100" s="3">
        <v>170</v>
      </c>
      <c r="D4100" s="3">
        <v>153</v>
      </c>
      <c r="E4100" s="3">
        <v>-1085.672</v>
      </c>
      <c r="F4100" s="4" t="str">
        <f>HYPERLINK("http://141.218.60.56/~jnz1568/getInfo.php?workbook=14_09.xlsx&amp;sheet=A0&amp;row=4100&amp;col=6&amp;number=145000000&amp;sourceID=14","145000000")</f>
        <v>145000000</v>
      </c>
      <c r="G4100" s="4" t="str">
        <f>HYPERLINK("http://141.218.60.56/~jnz1568/getInfo.php?workbook=14_09.xlsx&amp;sheet=A0&amp;row=4100&amp;col=7&amp;number=0&amp;sourceID=14","0")</f>
        <v>0</v>
      </c>
    </row>
    <row r="4101" spans="1:7">
      <c r="A4101" s="3">
        <v>14</v>
      </c>
      <c r="B4101" s="3">
        <v>9</v>
      </c>
      <c r="C4101" s="3">
        <v>172</v>
      </c>
      <c r="D4101" s="3">
        <v>153</v>
      </c>
      <c r="E4101" s="3">
        <v>-1043.125</v>
      </c>
      <c r="F4101" s="4" t="str">
        <f>HYPERLINK("http://141.218.60.56/~jnz1568/getInfo.php?workbook=14_09.xlsx&amp;sheet=A0&amp;row=4101&amp;col=6&amp;number=257000&amp;sourceID=14","257000")</f>
        <v>257000</v>
      </c>
      <c r="G4101" s="4" t="str">
        <f>HYPERLINK("http://141.218.60.56/~jnz1568/getInfo.php?workbook=14_09.xlsx&amp;sheet=A0&amp;row=4101&amp;col=7&amp;number=0&amp;sourceID=14","0")</f>
        <v>0</v>
      </c>
    </row>
    <row r="4102" spans="1:7">
      <c r="A4102" s="3">
        <v>14</v>
      </c>
      <c r="B4102" s="3">
        <v>9</v>
      </c>
      <c r="C4102" s="3">
        <v>173</v>
      </c>
      <c r="D4102" s="3">
        <v>153</v>
      </c>
      <c r="E4102" s="3">
        <v>-1028.258</v>
      </c>
      <c r="F4102" s="4" t="str">
        <f>HYPERLINK("http://141.218.60.56/~jnz1568/getInfo.php?workbook=14_09.xlsx&amp;sheet=A0&amp;row=4102&amp;col=6&amp;number=2190000&amp;sourceID=14","2190000")</f>
        <v>2190000</v>
      </c>
      <c r="G4102" s="4" t="str">
        <f>HYPERLINK("http://141.218.60.56/~jnz1568/getInfo.php?workbook=14_09.xlsx&amp;sheet=A0&amp;row=4102&amp;col=7&amp;number=0&amp;sourceID=14","0")</f>
        <v>0</v>
      </c>
    </row>
    <row r="4103" spans="1:7">
      <c r="A4103" s="3">
        <v>14</v>
      </c>
      <c r="B4103" s="3">
        <v>9</v>
      </c>
      <c r="C4103" s="3">
        <v>174</v>
      </c>
      <c r="D4103" s="3">
        <v>153</v>
      </c>
      <c r="E4103" s="3">
        <v>-1015.88</v>
      </c>
      <c r="F4103" s="4" t="str">
        <f>HYPERLINK("http://141.218.60.56/~jnz1568/getInfo.php?workbook=14_09.xlsx&amp;sheet=A0&amp;row=4103&amp;col=6&amp;number=485000&amp;sourceID=14","485000")</f>
        <v>485000</v>
      </c>
      <c r="G4103" s="4" t="str">
        <f>HYPERLINK("http://141.218.60.56/~jnz1568/getInfo.php?workbook=14_09.xlsx&amp;sheet=A0&amp;row=4103&amp;col=7&amp;number=0&amp;sourceID=14","0")</f>
        <v>0</v>
      </c>
    </row>
    <row r="4104" spans="1:7">
      <c r="A4104" s="3">
        <v>14</v>
      </c>
      <c r="B4104" s="3">
        <v>9</v>
      </c>
      <c r="C4104" s="3">
        <v>175</v>
      </c>
      <c r="D4104" s="3">
        <v>153</v>
      </c>
      <c r="E4104" s="3">
        <v>-962.058</v>
      </c>
      <c r="F4104" s="4" t="str">
        <f>HYPERLINK("http://141.218.60.56/~jnz1568/getInfo.php?workbook=14_09.xlsx&amp;sheet=A0&amp;row=4104&amp;col=6&amp;number=146000000&amp;sourceID=14","146000000")</f>
        <v>146000000</v>
      </c>
      <c r="G4104" s="4" t="str">
        <f>HYPERLINK("http://141.218.60.56/~jnz1568/getInfo.php?workbook=14_09.xlsx&amp;sheet=A0&amp;row=4104&amp;col=7&amp;number=0&amp;sourceID=14","0")</f>
        <v>0</v>
      </c>
    </row>
    <row r="4105" spans="1:7">
      <c r="A4105" s="3">
        <v>14</v>
      </c>
      <c r="B4105" s="3">
        <v>9</v>
      </c>
      <c r="C4105" s="3">
        <v>176</v>
      </c>
      <c r="D4105" s="3">
        <v>153</v>
      </c>
      <c r="E4105" s="3">
        <v>-944.556</v>
      </c>
      <c r="F4105" s="4" t="str">
        <f>HYPERLINK("http://141.218.60.56/~jnz1568/getInfo.php?workbook=14_09.xlsx&amp;sheet=A0&amp;row=4105&amp;col=6&amp;number=15800000&amp;sourceID=14","15800000")</f>
        <v>15800000</v>
      </c>
      <c r="G4105" s="4" t="str">
        <f>HYPERLINK("http://141.218.60.56/~jnz1568/getInfo.php?workbook=14_09.xlsx&amp;sheet=A0&amp;row=4105&amp;col=7&amp;number=0&amp;sourceID=14","0")</f>
        <v>0</v>
      </c>
    </row>
    <row r="4106" spans="1:7">
      <c r="A4106" s="3">
        <v>14</v>
      </c>
      <c r="B4106" s="3">
        <v>9</v>
      </c>
      <c r="C4106" s="3">
        <v>177</v>
      </c>
      <c r="D4106" s="3">
        <v>153</v>
      </c>
      <c r="E4106" s="3">
        <v>-943.051</v>
      </c>
      <c r="F4106" s="4" t="str">
        <f>HYPERLINK("http://141.218.60.56/~jnz1568/getInfo.php?workbook=14_09.xlsx&amp;sheet=A0&amp;row=4106&amp;col=6&amp;number=2190000000&amp;sourceID=14","2190000000")</f>
        <v>2190000000</v>
      </c>
      <c r="G4106" s="4" t="str">
        <f>HYPERLINK("http://141.218.60.56/~jnz1568/getInfo.php?workbook=14_09.xlsx&amp;sheet=A0&amp;row=4106&amp;col=7&amp;number=0&amp;sourceID=14","0")</f>
        <v>0</v>
      </c>
    </row>
    <row r="4107" spans="1:7">
      <c r="A4107" s="3">
        <v>14</v>
      </c>
      <c r="B4107" s="3">
        <v>9</v>
      </c>
      <c r="C4107" s="3">
        <v>179</v>
      </c>
      <c r="D4107" s="3">
        <v>153</v>
      </c>
      <c r="E4107" s="3">
        <v>-941.249</v>
      </c>
      <c r="F4107" s="4" t="str">
        <f>HYPERLINK("http://141.218.60.56/~jnz1568/getInfo.php?workbook=14_09.xlsx&amp;sheet=A0&amp;row=4107&amp;col=6&amp;number=2930000&amp;sourceID=14","2930000")</f>
        <v>2930000</v>
      </c>
      <c r="G4107" s="4" t="str">
        <f>HYPERLINK("http://141.218.60.56/~jnz1568/getInfo.php?workbook=14_09.xlsx&amp;sheet=A0&amp;row=4107&amp;col=7&amp;number=0&amp;sourceID=14","0")</f>
        <v>0</v>
      </c>
    </row>
    <row r="4108" spans="1:7">
      <c r="A4108" s="3">
        <v>14</v>
      </c>
      <c r="B4108" s="3">
        <v>9</v>
      </c>
      <c r="C4108" s="3">
        <v>180</v>
      </c>
      <c r="D4108" s="3">
        <v>153</v>
      </c>
      <c r="E4108" s="3">
        <v>-931.499</v>
      </c>
      <c r="F4108" s="4" t="str">
        <f>HYPERLINK("http://141.218.60.56/~jnz1568/getInfo.php?workbook=14_09.xlsx&amp;sheet=A0&amp;row=4108&amp;col=6&amp;number=396000000&amp;sourceID=14","396000000")</f>
        <v>396000000</v>
      </c>
      <c r="G4108" s="4" t="str">
        <f>HYPERLINK("http://141.218.60.56/~jnz1568/getInfo.php?workbook=14_09.xlsx&amp;sheet=A0&amp;row=4108&amp;col=7&amp;number=0&amp;sourceID=14","0")</f>
        <v>0</v>
      </c>
    </row>
    <row r="4109" spans="1:7">
      <c r="A4109" s="3">
        <v>14</v>
      </c>
      <c r="B4109" s="3">
        <v>9</v>
      </c>
      <c r="C4109" s="3">
        <v>181</v>
      </c>
      <c r="D4109" s="3">
        <v>153</v>
      </c>
      <c r="E4109" s="3">
        <v>-895.521</v>
      </c>
      <c r="F4109" s="4" t="str">
        <f>HYPERLINK("http://141.218.60.56/~jnz1568/getInfo.php?workbook=14_09.xlsx&amp;sheet=A0&amp;row=4109&amp;col=6&amp;number=261000000&amp;sourceID=14","261000000")</f>
        <v>261000000</v>
      </c>
      <c r="G4109" s="4" t="str">
        <f>HYPERLINK("http://141.218.60.56/~jnz1568/getInfo.php?workbook=14_09.xlsx&amp;sheet=A0&amp;row=4109&amp;col=7&amp;number=0&amp;sourceID=14","0")</f>
        <v>0</v>
      </c>
    </row>
    <row r="4110" spans="1:7">
      <c r="A4110" s="3">
        <v>14</v>
      </c>
      <c r="B4110" s="3">
        <v>9</v>
      </c>
      <c r="C4110" s="3">
        <v>182</v>
      </c>
      <c r="D4110" s="3">
        <v>153</v>
      </c>
      <c r="E4110" s="3">
        <v>-894.744</v>
      </c>
      <c r="F4110" s="4" t="str">
        <f>HYPERLINK("http://141.218.60.56/~jnz1568/getInfo.php?workbook=14_09.xlsx&amp;sheet=A0&amp;row=4110&amp;col=6&amp;number=62200000&amp;sourceID=14","62200000")</f>
        <v>62200000</v>
      </c>
      <c r="G4110" s="4" t="str">
        <f>HYPERLINK("http://141.218.60.56/~jnz1568/getInfo.php?workbook=14_09.xlsx&amp;sheet=A0&amp;row=4110&amp;col=7&amp;number=0&amp;sourceID=14","0")</f>
        <v>0</v>
      </c>
    </row>
    <row r="4111" spans="1:7">
      <c r="A4111" s="3">
        <v>14</v>
      </c>
      <c r="B4111" s="3">
        <v>9</v>
      </c>
      <c r="C4111" s="3">
        <v>184</v>
      </c>
      <c r="D4111" s="3">
        <v>153</v>
      </c>
      <c r="E4111" s="3">
        <v>-815.456</v>
      </c>
      <c r="F4111" s="4" t="str">
        <f>HYPERLINK("http://141.218.60.56/~jnz1568/getInfo.php?workbook=14_09.xlsx&amp;sheet=A0&amp;row=4111&amp;col=6&amp;number=5380000&amp;sourceID=14","5380000")</f>
        <v>5380000</v>
      </c>
      <c r="G4111" s="4" t="str">
        <f>HYPERLINK("http://141.218.60.56/~jnz1568/getInfo.php?workbook=14_09.xlsx&amp;sheet=A0&amp;row=4111&amp;col=7&amp;number=0&amp;sourceID=14","0")</f>
        <v>0</v>
      </c>
    </row>
    <row r="4112" spans="1:7">
      <c r="A4112" s="3">
        <v>14</v>
      </c>
      <c r="B4112" s="3">
        <v>9</v>
      </c>
      <c r="C4112" s="3">
        <v>191</v>
      </c>
      <c r="D4112" s="3">
        <v>153</v>
      </c>
      <c r="E4112" s="3">
        <v>-394.688</v>
      </c>
      <c r="F4112" s="4" t="str">
        <f>HYPERLINK("http://141.218.60.56/~jnz1568/getInfo.php?workbook=14_09.xlsx&amp;sheet=A0&amp;row=4112&amp;col=6&amp;number=1250000&amp;sourceID=14","1250000")</f>
        <v>1250000</v>
      </c>
      <c r="G4112" s="4" t="str">
        <f>HYPERLINK("http://141.218.60.56/~jnz1568/getInfo.php?workbook=14_09.xlsx&amp;sheet=A0&amp;row=4112&amp;col=7&amp;number=0&amp;sourceID=14","0")</f>
        <v>0</v>
      </c>
    </row>
    <row r="4113" spans="1:7">
      <c r="A4113" s="3">
        <v>14</v>
      </c>
      <c r="B4113" s="3">
        <v>9</v>
      </c>
      <c r="C4113" s="3">
        <v>195</v>
      </c>
      <c r="D4113" s="3">
        <v>153</v>
      </c>
      <c r="E4113" s="3">
        <v>-384.595</v>
      </c>
      <c r="F4113" s="4" t="str">
        <f>HYPERLINK("http://141.218.60.56/~jnz1568/getInfo.php?workbook=14_09.xlsx&amp;sheet=A0&amp;row=4113&amp;col=6&amp;number=1470000&amp;sourceID=14","1470000")</f>
        <v>1470000</v>
      </c>
      <c r="G4113" s="4" t="str">
        <f>HYPERLINK("http://141.218.60.56/~jnz1568/getInfo.php?workbook=14_09.xlsx&amp;sheet=A0&amp;row=4113&amp;col=7&amp;number=0&amp;sourceID=14","0")</f>
        <v>0</v>
      </c>
    </row>
    <row r="4114" spans="1:7">
      <c r="A4114" s="3">
        <v>14</v>
      </c>
      <c r="B4114" s="3">
        <v>9</v>
      </c>
      <c r="C4114" s="3">
        <v>168</v>
      </c>
      <c r="D4114" s="3">
        <v>154</v>
      </c>
      <c r="E4114" s="3">
        <v>-1113.91</v>
      </c>
      <c r="F4114" s="4" t="str">
        <f>HYPERLINK("http://141.218.60.56/~jnz1568/getInfo.php?workbook=14_09.xlsx&amp;sheet=A0&amp;row=4114&amp;col=6&amp;number=398000000&amp;sourceID=14","398000000")</f>
        <v>398000000</v>
      </c>
      <c r="G4114" s="4" t="str">
        <f>HYPERLINK("http://141.218.60.56/~jnz1568/getInfo.php?workbook=14_09.xlsx&amp;sheet=A0&amp;row=4114&amp;col=7&amp;number=0&amp;sourceID=14","0")</f>
        <v>0</v>
      </c>
    </row>
    <row r="4115" spans="1:7">
      <c r="A4115" s="3">
        <v>14</v>
      </c>
      <c r="B4115" s="3">
        <v>9</v>
      </c>
      <c r="C4115" s="3">
        <v>169</v>
      </c>
      <c r="D4115" s="3">
        <v>154</v>
      </c>
      <c r="E4115" s="3">
        <v>-1103.767</v>
      </c>
      <c r="F4115" s="4" t="str">
        <f>HYPERLINK("http://141.218.60.56/~jnz1568/getInfo.php?workbook=14_09.xlsx&amp;sheet=A0&amp;row=4115&amp;col=6&amp;number=83000000&amp;sourceID=14","83000000")</f>
        <v>83000000</v>
      </c>
      <c r="G4115" s="4" t="str">
        <f>HYPERLINK("http://141.218.60.56/~jnz1568/getInfo.php?workbook=14_09.xlsx&amp;sheet=A0&amp;row=4115&amp;col=7&amp;number=0&amp;sourceID=14","0")</f>
        <v>0</v>
      </c>
    </row>
    <row r="4116" spans="1:7">
      <c r="A4116" s="3">
        <v>14</v>
      </c>
      <c r="B4116" s="3">
        <v>9</v>
      </c>
      <c r="C4116" s="3">
        <v>170</v>
      </c>
      <c r="D4116" s="3">
        <v>154</v>
      </c>
      <c r="E4116" s="3">
        <v>-1085.943</v>
      </c>
      <c r="F4116" s="4" t="str">
        <f>HYPERLINK("http://141.218.60.56/~jnz1568/getInfo.php?workbook=14_09.xlsx&amp;sheet=A0&amp;row=4116&amp;col=6&amp;number=153000000&amp;sourceID=14","153000000")</f>
        <v>153000000</v>
      </c>
      <c r="G4116" s="4" t="str">
        <f>HYPERLINK("http://141.218.60.56/~jnz1568/getInfo.php?workbook=14_09.xlsx&amp;sheet=A0&amp;row=4116&amp;col=7&amp;number=0&amp;sourceID=14","0")</f>
        <v>0</v>
      </c>
    </row>
    <row r="4117" spans="1:7">
      <c r="A4117" s="3">
        <v>14</v>
      </c>
      <c r="B4117" s="3">
        <v>9</v>
      </c>
      <c r="C4117" s="3">
        <v>173</v>
      </c>
      <c r="D4117" s="3">
        <v>154</v>
      </c>
      <c r="E4117" s="3">
        <v>-1028.502</v>
      </c>
      <c r="F4117" s="4" t="str">
        <f>HYPERLINK("http://141.218.60.56/~jnz1568/getInfo.php?workbook=14_09.xlsx&amp;sheet=A0&amp;row=4117&amp;col=6&amp;number=627000&amp;sourceID=14","627000")</f>
        <v>627000</v>
      </c>
      <c r="G4117" s="4" t="str">
        <f>HYPERLINK("http://141.218.60.56/~jnz1568/getInfo.php?workbook=14_09.xlsx&amp;sheet=A0&amp;row=4117&amp;col=7&amp;number=0&amp;sourceID=14","0")</f>
        <v>0</v>
      </c>
    </row>
    <row r="4118" spans="1:7">
      <c r="A4118" s="3">
        <v>14</v>
      </c>
      <c r="B4118" s="3">
        <v>9</v>
      </c>
      <c r="C4118" s="3">
        <v>176</v>
      </c>
      <c r="D4118" s="3">
        <v>154</v>
      </c>
      <c r="E4118" s="3">
        <v>-944.762</v>
      </c>
      <c r="F4118" s="4" t="str">
        <f>HYPERLINK("http://141.218.60.56/~jnz1568/getInfo.php?workbook=14_09.xlsx&amp;sheet=A0&amp;row=4118&amp;col=6&amp;number=1450000000&amp;sourceID=14","1450000000")</f>
        <v>1450000000</v>
      </c>
      <c r="G4118" s="4" t="str">
        <f>HYPERLINK("http://141.218.60.56/~jnz1568/getInfo.php?workbook=14_09.xlsx&amp;sheet=A0&amp;row=4118&amp;col=7&amp;number=0&amp;sourceID=14","0")</f>
        <v>0</v>
      </c>
    </row>
    <row r="4119" spans="1:7">
      <c r="A4119" s="3">
        <v>14</v>
      </c>
      <c r="B4119" s="3">
        <v>9</v>
      </c>
      <c r="C4119" s="3">
        <v>178</v>
      </c>
      <c r="D4119" s="3">
        <v>154</v>
      </c>
      <c r="E4119" s="3">
        <v>-941.737</v>
      </c>
      <c r="F4119" s="4" t="str">
        <f>HYPERLINK("http://141.218.60.56/~jnz1568/getInfo.php?workbook=14_09.xlsx&amp;sheet=A0&amp;row=4119&amp;col=6&amp;number=162000000&amp;sourceID=14","162000000")</f>
        <v>162000000</v>
      </c>
      <c r="G4119" s="4" t="str">
        <f>HYPERLINK("http://141.218.60.56/~jnz1568/getInfo.php?workbook=14_09.xlsx&amp;sheet=A0&amp;row=4119&amp;col=7&amp;number=0&amp;sourceID=14","0")</f>
        <v>0</v>
      </c>
    </row>
    <row r="4120" spans="1:7">
      <c r="A4120" s="3">
        <v>14</v>
      </c>
      <c r="B4120" s="3">
        <v>9</v>
      </c>
      <c r="C4120" s="3">
        <v>179</v>
      </c>
      <c r="D4120" s="3">
        <v>154</v>
      </c>
      <c r="E4120" s="3">
        <v>-941.453</v>
      </c>
      <c r="F4120" s="4" t="str">
        <f>HYPERLINK("http://141.218.60.56/~jnz1568/getInfo.php?workbook=14_09.xlsx&amp;sheet=A0&amp;row=4120&amp;col=6&amp;number=740000000&amp;sourceID=14","740000000")</f>
        <v>740000000</v>
      </c>
      <c r="G4120" s="4" t="str">
        <f>HYPERLINK("http://141.218.60.56/~jnz1568/getInfo.php?workbook=14_09.xlsx&amp;sheet=A0&amp;row=4120&amp;col=7&amp;number=0&amp;sourceID=14","0")</f>
        <v>0</v>
      </c>
    </row>
    <row r="4121" spans="1:7">
      <c r="A4121" s="3">
        <v>14</v>
      </c>
      <c r="B4121" s="3">
        <v>9</v>
      </c>
      <c r="C4121" s="3">
        <v>180</v>
      </c>
      <c r="D4121" s="3">
        <v>154</v>
      </c>
      <c r="E4121" s="3">
        <v>-931.699</v>
      </c>
      <c r="F4121" s="4" t="str">
        <f>HYPERLINK("http://141.218.60.56/~jnz1568/getInfo.php?workbook=14_09.xlsx&amp;sheet=A0&amp;row=4121&amp;col=6&amp;number=190000000&amp;sourceID=14","190000000")</f>
        <v>190000000</v>
      </c>
      <c r="G4121" s="4" t="str">
        <f>HYPERLINK("http://141.218.60.56/~jnz1568/getInfo.php?workbook=14_09.xlsx&amp;sheet=A0&amp;row=4121&amp;col=7&amp;number=0&amp;sourceID=14","0")</f>
        <v>0</v>
      </c>
    </row>
    <row r="4122" spans="1:7">
      <c r="A4122" s="3">
        <v>14</v>
      </c>
      <c r="B4122" s="3">
        <v>9</v>
      </c>
      <c r="C4122" s="3">
        <v>181</v>
      </c>
      <c r="D4122" s="3">
        <v>154</v>
      </c>
      <c r="E4122" s="3">
        <v>-895.706</v>
      </c>
      <c r="F4122" s="4" t="str">
        <f>HYPERLINK("http://141.218.60.56/~jnz1568/getInfo.php?workbook=14_09.xlsx&amp;sheet=A0&amp;row=4122&amp;col=6&amp;number=54500000&amp;sourceID=14","54500000")</f>
        <v>54500000</v>
      </c>
      <c r="G4122" s="4" t="str">
        <f>HYPERLINK("http://141.218.60.56/~jnz1568/getInfo.php?workbook=14_09.xlsx&amp;sheet=A0&amp;row=4122&amp;col=7&amp;number=0&amp;sourceID=14","0")</f>
        <v>0</v>
      </c>
    </row>
    <row r="4123" spans="1:7">
      <c r="A4123" s="3">
        <v>14</v>
      </c>
      <c r="B4123" s="3">
        <v>9</v>
      </c>
      <c r="C4123" s="3">
        <v>182</v>
      </c>
      <c r="D4123" s="3">
        <v>154</v>
      </c>
      <c r="E4123" s="3">
        <v>-894.928</v>
      </c>
      <c r="F4123" s="4" t="str">
        <f>HYPERLINK("http://141.218.60.56/~jnz1568/getInfo.php?workbook=14_09.xlsx&amp;sheet=A0&amp;row=4123&amp;col=6&amp;number=20300000&amp;sourceID=14","20300000")</f>
        <v>20300000</v>
      </c>
      <c r="G4123" s="4" t="str">
        <f>HYPERLINK("http://141.218.60.56/~jnz1568/getInfo.php?workbook=14_09.xlsx&amp;sheet=A0&amp;row=4123&amp;col=7&amp;number=0&amp;sourceID=14","0")</f>
        <v>0</v>
      </c>
    </row>
    <row r="4124" spans="1:7">
      <c r="A4124" s="3">
        <v>14</v>
      </c>
      <c r="B4124" s="3">
        <v>9</v>
      </c>
      <c r="C4124" s="3">
        <v>183</v>
      </c>
      <c r="D4124" s="3">
        <v>154</v>
      </c>
      <c r="E4124" s="3">
        <v>-831.803</v>
      </c>
      <c r="F4124" s="4" t="str">
        <f>HYPERLINK("http://141.218.60.56/~jnz1568/getInfo.php?workbook=14_09.xlsx&amp;sheet=A0&amp;row=4124&amp;col=6&amp;number=30100000&amp;sourceID=14","30100000")</f>
        <v>30100000</v>
      </c>
      <c r="G4124" s="4" t="str">
        <f>HYPERLINK("http://141.218.60.56/~jnz1568/getInfo.php?workbook=14_09.xlsx&amp;sheet=A0&amp;row=4124&amp;col=7&amp;number=0&amp;sourceID=14","0")</f>
        <v>0</v>
      </c>
    </row>
    <row r="4125" spans="1:7">
      <c r="A4125" s="3">
        <v>14</v>
      </c>
      <c r="B4125" s="3">
        <v>9</v>
      </c>
      <c r="C4125" s="3">
        <v>184</v>
      </c>
      <c r="D4125" s="3">
        <v>154</v>
      </c>
      <c r="E4125" s="3">
        <v>-815.609</v>
      </c>
      <c r="F4125" s="4" t="str">
        <f>HYPERLINK("http://141.218.60.56/~jnz1568/getInfo.php?workbook=14_09.xlsx&amp;sheet=A0&amp;row=4125&amp;col=6&amp;number=66500000&amp;sourceID=14","66500000")</f>
        <v>66500000</v>
      </c>
      <c r="G4125" s="4" t="str">
        <f>HYPERLINK("http://141.218.60.56/~jnz1568/getInfo.php?workbook=14_09.xlsx&amp;sheet=A0&amp;row=4125&amp;col=7&amp;number=0&amp;sourceID=14","0")</f>
        <v>0</v>
      </c>
    </row>
    <row r="4126" spans="1:7">
      <c r="A4126" s="3">
        <v>14</v>
      </c>
      <c r="B4126" s="3">
        <v>9</v>
      </c>
      <c r="C4126" s="3">
        <v>192</v>
      </c>
      <c r="D4126" s="3">
        <v>154</v>
      </c>
      <c r="E4126" s="3">
        <v>-389.183</v>
      </c>
      <c r="F4126" s="4" t="str">
        <f>HYPERLINK("http://141.218.60.56/~jnz1568/getInfo.php?workbook=14_09.xlsx&amp;sheet=A0&amp;row=4126&amp;col=6&amp;number=12500000&amp;sourceID=14","12500000")</f>
        <v>12500000</v>
      </c>
      <c r="G4126" s="4" t="str">
        <f>HYPERLINK("http://141.218.60.56/~jnz1568/getInfo.php?workbook=14_09.xlsx&amp;sheet=A0&amp;row=4126&amp;col=7&amp;number=0&amp;sourceID=14","0")</f>
        <v>0</v>
      </c>
    </row>
    <row r="4127" spans="1:7">
      <c r="A4127" s="3">
        <v>14</v>
      </c>
      <c r="B4127" s="3">
        <v>9</v>
      </c>
      <c r="C4127" s="3">
        <v>193</v>
      </c>
      <c r="D4127" s="3">
        <v>154</v>
      </c>
      <c r="E4127" s="3">
        <v>-388.977</v>
      </c>
      <c r="F4127" s="4" t="str">
        <f>HYPERLINK("http://141.218.60.56/~jnz1568/getInfo.php?workbook=14_09.xlsx&amp;sheet=A0&amp;row=4127&amp;col=6&amp;number=4920000&amp;sourceID=14","4920000")</f>
        <v>4920000</v>
      </c>
      <c r="G4127" s="4" t="str">
        <f>HYPERLINK("http://141.218.60.56/~jnz1568/getInfo.php?workbook=14_09.xlsx&amp;sheet=A0&amp;row=4127&amp;col=7&amp;number=0&amp;sourceID=14","0")</f>
        <v>0</v>
      </c>
    </row>
    <row r="4128" spans="1:7">
      <c r="A4128" s="3">
        <v>14</v>
      </c>
      <c r="B4128" s="3">
        <v>9</v>
      </c>
      <c r="C4128" s="3">
        <v>168</v>
      </c>
      <c r="D4128" s="3">
        <v>155</v>
      </c>
      <c r="E4128" s="3">
        <v>-1122.122</v>
      </c>
      <c r="F4128" s="4" t="str">
        <f>HYPERLINK("http://141.218.60.56/~jnz1568/getInfo.php?workbook=14_09.xlsx&amp;sheet=A0&amp;row=4128&amp;col=6&amp;number=70200000&amp;sourceID=14","70200000")</f>
        <v>70200000</v>
      </c>
      <c r="G4128" s="4" t="str">
        <f>HYPERLINK("http://141.218.60.56/~jnz1568/getInfo.php?workbook=14_09.xlsx&amp;sheet=A0&amp;row=4128&amp;col=7&amp;number=0&amp;sourceID=14","0")</f>
        <v>0</v>
      </c>
    </row>
    <row r="4129" spans="1:7">
      <c r="A4129" s="3">
        <v>14</v>
      </c>
      <c r="B4129" s="3">
        <v>9</v>
      </c>
      <c r="C4129" s="3">
        <v>169</v>
      </c>
      <c r="D4129" s="3">
        <v>155</v>
      </c>
      <c r="E4129" s="3">
        <v>-1111.83</v>
      </c>
      <c r="F4129" s="4" t="str">
        <f>HYPERLINK("http://141.218.60.56/~jnz1568/getInfo.php?workbook=14_09.xlsx&amp;sheet=A0&amp;row=4129&amp;col=6&amp;number=197000000&amp;sourceID=14","197000000")</f>
        <v>197000000</v>
      </c>
      <c r="G4129" s="4" t="str">
        <f>HYPERLINK("http://141.218.60.56/~jnz1568/getInfo.php?workbook=14_09.xlsx&amp;sheet=A0&amp;row=4129&amp;col=7&amp;number=0&amp;sourceID=14","0")</f>
        <v>0</v>
      </c>
    </row>
    <row r="4130" spans="1:7">
      <c r="A4130" s="3">
        <v>14</v>
      </c>
      <c r="B4130" s="3">
        <v>9</v>
      </c>
      <c r="C4130" s="3">
        <v>174</v>
      </c>
      <c r="D4130" s="3">
        <v>155</v>
      </c>
      <c r="E4130" s="3">
        <v>-1022.947</v>
      </c>
      <c r="F4130" s="4" t="str">
        <f>HYPERLINK("http://141.218.60.56/~jnz1568/getInfo.php?workbook=14_09.xlsx&amp;sheet=A0&amp;row=4130&amp;col=6&amp;number=495000&amp;sourceID=14","495000")</f>
        <v>495000</v>
      </c>
      <c r="G4130" s="4" t="str">
        <f>HYPERLINK("http://141.218.60.56/~jnz1568/getInfo.php?workbook=14_09.xlsx&amp;sheet=A0&amp;row=4130&amp;col=7&amp;number=0&amp;sourceID=14","0")</f>
        <v>0</v>
      </c>
    </row>
    <row r="4131" spans="1:7">
      <c r="A4131" s="3">
        <v>14</v>
      </c>
      <c r="B4131" s="3">
        <v>9</v>
      </c>
      <c r="C4131" s="3">
        <v>178</v>
      </c>
      <c r="D4131" s="3">
        <v>155</v>
      </c>
      <c r="E4131" s="3">
        <v>-947.6</v>
      </c>
      <c r="F4131" s="4" t="str">
        <f>HYPERLINK("http://141.218.60.56/~jnz1568/getInfo.php?workbook=14_09.xlsx&amp;sheet=A0&amp;row=4131&amp;col=6&amp;number=1430000000&amp;sourceID=14","1430000000")</f>
        <v>1430000000</v>
      </c>
      <c r="G4131" s="4" t="str">
        <f>HYPERLINK("http://141.218.60.56/~jnz1568/getInfo.php?workbook=14_09.xlsx&amp;sheet=A0&amp;row=4131&amp;col=7&amp;number=0&amp;sourceID=14","0")</f>
        <v>0</v>
      </c>
    </row>
    <row r="4132" spans="1:7">
      <c r="A4132" s="3">
        <v>14</v>
      </c>
      <c r="B4132" s="3">
        <v>9</v>
      </c>
      <c r="C4132" s="3">
        <v>179</v>
      </c>
      <c r="D4132" s="3">
        <v>155</v>
      </c>
      <c r="E4132" s="3">
        <v>-947.312</v>
      </c>
      <c r="F4132" s="4" t="str">
        <f>HYPERLINK("http://141.218.60.56/~jnz1568/getInfo.php?workbook=14_09.xlsx&amp;sheet=A0&amp;row=4132&amp;col=6&amp;number=975000000&amp;sourceID=14","975000000")</f>
        <v>975000000</v>
      </c>
      <c r="G4132" s="4" t="str">
        <f>HYPERLINK("http://141.218.60.56/~jnz1568/getInfo.php?workbook=14_09.xlsx&amp;sheet=A0&amp;row=4132&amp;col=7&amp;number=0&amp;sourceID=14","0")</f>
        <v>0</v>
      </c>
    </row>
    <row r="4133" spans="1:7">
      <c r="A4133" s="3">
        <v>14</v>
      </c>
      <c r="B4133" s="3">
        <v>9</v>
      </c>
      <c r="C4133" s="3">
        <v>182</v>
      </c>
      <c r="D4133" s="3">
        <v>155</v>
      </c>
      <c r="E4133" s="3">
        <v>-900.221</v>
      </c>
      <c r="F4133" s="4" t="str">
        <f>HYPERLINK("http://141.218.60.56/~jnz1568/getInfo.php?workbook=14_09.xlsx&amp;sheet=A0&amp;row=4133&amp;col=6&amp;number=4050000&amp;sourceID=14","4050000")</f>
        <v>4050000</v>
      </c>
      <c r="G4133" s="4" t="str">
        <f>HYPERLINK("http://141.218.60.56/~jnz1568/getInfo.php?workbook=14_09.xlsx&amp;sheet=A0&amp;row=4133&amp;col=7&amp;number=0&amp;sourceID=14","0")</f>
        <v>0</v>
      </c>
    </row>
    <row r="4134" spans="1:7">
      <c r="A4134" s="3">
        <v>14</v>
      </c>
      <c r="B4134" s="3">
        <v>9</v>
      </c>
      <c r="C4134" s="3">
        <v>184</v>
      </c>
      <c r="D4134" s="3">
        <v>155</v>
      </c>
      <c r="E4134" s="3">
        <v>-820.003</v>
      </c>
      <c r="F4134" s="4" t="str">
        <f>HYPERLINK("http://141.218.60.56/~jnz1568/getInfo.php?workbook=14_09.xlsx&amp;sheet=A0&amp;row=4134&amp;col=6&amp;number=22500000&amp;sourceID=14","22500000")</f>
        <v>22500000</v>
      </c>
      <c r="G4134" s="4" t="str">
        <f>HYPERLINK("http://141.218.60.56/~jnz1568/getInfo.php?workbook=14_09.xlsx&amp;sheet=A0&amp;row=4134&amp;col=7&amp;number=0&amp;sourceID=14","0")</f>
        <v>0</v>
      </c>
    </row>
    <row r="4135" spans="1:7">
      <c r="A4135" s="3">
        <v>14</v>
      </c>
      <c r="B4135" s="3">
        <v>9</v>
      </c>
      <c r="C4135" s="3">
        <v>164</v>
      </c>
      <c r="D4135" s="3">
        <v>156</v>
      </c>
      <c r="E4135" s="3">
        <v>-1745.112</v>
      </c>
      <c r="F4135" s="4" t="str">
        <f>HYPERLINK("http://141.218.60.56/~jnz1568/getInfo.php?workbook=14_09.xlsx&amp;sheet=A0&amp;row=4135&amp;col=6&amp;number=562000&amp;sourceID=14","562000")</f>
        <v>562000</v>
      </c>
      <c r="G4135" s="4" t="str">
        <f>HYPERLINK("http://141.218.60.56/~jnz1568/getInfo.php?workbook=14_09.xlsx&amp;sheet=A0&amp;row=4135&amp;col=7&amp;number=0&amp;sourceID=14","0")</f>
        <v>0</v>
      </c>
    </row>
    <row r="4136" spans="1:7">
      <c r="A4136" s="3">
        <v>14</v>
      </c>
      <c r="B4136" s="3">
        <v>9</v>
      </c>
      <c r="C4136" s="3">
        <v>168</v>
      </c>
      <c r="D4136" s="3">
        <v>156</v>
      </c>
      <c r="E4136" s="3">
        <v>-1133.866</v>
      </c>
      <c r="F4136" s="4" t="str">
        <f>HYPERLINK("http://141.218.60.56/~jnz1568/getInfo.php?workbook=14_09.xlsx&amp;sheet=A0&amp;row=4136&amp;col=6&amp;number=14200000&amp;sourceID=14","14200000")</f>
        <v>14200000</v>
      </c>
      <c r="G4136" s="4" t="str">
        <f>HYPERLINK("http://141.218.60.56/~jnz1568/getInfo.php?workbook=14_09.xlsx&amp;sheet=A0&amp;row=4136&amp;col=7&amp;number=0&amp;sourceID=14","0")</f>
        <v>0</v>
      </c>
    </row>
    <row r="4137" spans="1:7">
      <c r="A4137" s="3">
        <v>14</v>
      </c>
      <c r="B4137" s="3">
        <v>9</v>
      </c>
      <c r="C4137" s="3">
        <v>169</v>
      </c>
      <c r="D4137" s="3">
        <v>156</v>
      </c>
      <c r="E4137" s="3">
        <v>-1123.358</v>
      </c>
      <c r="F4137" s="4" t="str">
        <f>HYPERLINK("http://141.218.60.56/~jnz1568/getInfo.php?workbook=14_09.xlsx&amp;sheet=A0&amp;row=4137&amp;col=6&amp;number=3430000&amp;sourceID=14","3430000")</f>
        <v>3430000</v>
      </c>
      <c r="G4137" s="4" t="str">
        <f>HYPERLINK("http://141.218.60.56/~jnz1568/getInfo.php?workbook=14_09.xlsx&amp;sheet=A0&amp;row=4137&amp;col=7&amp;number=0&amp;sourceID=14","0")</f>
        <v>0</v>
      </c>
    </row>
    <row r="4138" spans="1:7">
      <c r="A4138" s="3">
        <v>14</v>
      </c>
      <c r="B4138" s="3">
        <v>9</v>
      </c>
      <c r="C4138" s="3">
        <v>170</v>
      </c>
      <c r="D4138" s="3">
        <v>156</v>
      </c>
      <c r="E4138" s="3">
        <v>-1104.901</v>
      </c>
      <c r="F4138" s="4" t="str">
        <f>HYPERLINK("http://141.218.60.56/~jnz1568/getInfo.php?workbook=14_09.xlsx&amp;sheet=A0&amp;row=4138&amp;col=6&amp;number=2610000&amp;sourceID=14","2610000")</f>
        <v>2610000</v>
      </c>
      <c r="G4138" s="4" t="str">
        <f>HYPERLINK("http://141.218.60.56/~jnz1568/getInfo.php?workbook=14_09.xlsx&amp;sheet=A0&amp;row=4138&amp;col=7&amp;number=0&amp;sourceID=14","0")</f>
        <v>0</v>
      </c>
    </row>
    <row r="4139" spans="1:7">
      <c r="A4139" s="3">
        <v>14</v>
      </c>
      <c r="B4139" s="3">
        <v>9</v>
      </c>
      <c r="C4139" s="3">
        <v>174</v>
      </c>
      <c r="D4139" s="3">
        <v>156</v>
      </c>
      <c r="E4139" s="3">
        <v>-1032.697</v>
      </c>
      <c r="F4139" s="4" t="str">
        <f>HYPERLINK("http://141.218.60.56/~jnz1568/getInfo.php?workbook=14_09.xlsx&amp;sheet=A0&amp;row=4139&amp;col=6&amp;number=392000&amp;sourceID=14","392000")</f>
        <v>392000</v>
      </c>
      <c r="G4139" s="4" t="str">
        <f>HYPERLINK("http://141.218.60.56/~jnz1568/getInfo.php?workbook=14_09.xlsx&amp;sheet=A0&amp;row=4139&amp;col=7&amp;number=0&amp;sourceID=14","0")</f>
        <v>0</v>
      </c>
    </row>
    <row r="4140" spans="1:7">
      <c r="A4140" s="3">
        <v>14</v>
      </c>
      <c r="B4140" s="3">
        <v>9</v>
      </c>
      <c r="C4140" s="3">
        <v>176</v>
      </c>
      <c r="D4140" s="3">
        <v>156</v>
      </c>
      <c r="E4140" s="3">
        <v>-959.078</v>
      </c>
      <c r="F4140" s="4" t="str">
        <f>HYPERLINK("http://141.218.60.56/~jnz1568/getInfo.php?workbook=14_09.xlsx&amp;sheet=A0&amp;row=4140&amp;col=6&amp;number=221000000&amp;sourceID=14","221000000")</f>
        <v>221000000</v>
      </c>
      <c r="G4140" s="4" t="str">
        <f>HYPERLINK("http://141.218.60.56/~jnz1568/getInfo.php?workbook=14_09.xlsx&amp;sheet=A0&amp;row=4140&amp;col=7&amp;number=0&amp;sourceID=14","0")</f>
        <v>0</v>
      </c>
    </row>
    <row r="4141" spans="1:7">
      <c r="A4141" s="3">
        <v>14</v>
      </c>
      <c r="B4141" s="3">
        <v>9</v>
      </c>
      <c r="C4141" s="3">
        <v>178</v>
      </c>
      <c r="D4141" s="3">
        <v>156</v>
      </c>
      <c r="E4141" s="3">
        <v>-955.961</v>
      </c>
      <c r="F4141" s="4" t="str">
        <f>HYPERLINK("http://141.218.60.56/~jnz1568/getInfo.php?workbook=14_09.xlsx&amp;sheet=A0&amp;row=4141&amp;col=6&amp;number=11100000&amp;sourceID=14","11100000")</f>
        <v>11100000</v>
      </c>
      <c r="G4141" s="4" t="str">
        <f>HYPERLINK("http://141.218.60.56/~jnz1568/getInfo.php?workbook=14_09.xlsx&amp;sheet=A0&amp;row=4141&amp;col=7&amp;number=0&amp;sourceID=14","0")</f>
        <v>0</v>
      </c>
    </row>
    <row r="4142" spans="1:7">
      <c r="A4142" s="3">
        <v>14</v>
      </c>
      <c r="B4142" s="3">
        <v>9</v>
      </c>
      <c r="C4142" s="3">
        <v>179</v>
      </c>
      <c r="D4142" s="3">
        <v>156</v>
      </c>
      <c r="E4142" s="3">
        <v>-955.668</v>
      </c>
      <c r="F4142" s="4" t="str">
        <f>HYPERLINK("http://141.218.60.56/~jnz1568/getInfo.php?workbook=14_09.xlsx&amp;sheet=A0&amp;row=4142&amp;col=6&amp;number=13600000&amp;sourceID=14","13600000")</f>
        <v>13600000</v>
      </c>
      <c r="G4142" s="4" t="str">
        <f>HYPERLINK("http://141.218.60.56/~jnz1568/getInfo.php?workbook=14_09.xlsx&amp;sheet=A0&amp;row=4142&amp;col=7&amp;number=0&amp;sourceID=14","0")</f>
        <v>0</v>
      </c>
    </row>
    <row r="4143" spans="1:7">
      <c r="A4143" s="3">
        <v>14</v>
      </c>
      <c r="B4143" s="3">
        <v>9</v>
      </c>
      <c r="C4143" s="3">
        <v>180</v>
      </c>
      <c r="D4143" s="3">
        <v>156</v>
      </c>
      <c r="E4143" s="3">
        <v>-945.619</v>
      </c>
      <c r="F4143" s="4" t="str">
        <f>HYPERLINK("http://141.218.60.56/~jnz1568/getInfo.php?workbook=14_09.xlsx&amp;sheet=A0&amp;row=4143&amp;col=6&amp;number=1510000000&amp;sourceID=14","1510000000")</f>
        <v>1510000000</v>
      </c>
      <c r="G4143" s="4" t="str">
        <f>HYPERLINK("http://141.218.60.56/~jnz1568/getInfo.php?workbook=14_09.xlsx&amp;sheet=A0&amp;row=4143&amp;col=7&amp;number=0&amp;sourceID=14","0")</f>
        <v>0</v>
      </c>
    </row>
    <row r="4144" spans="1:7">
      <c r="A4144" s="3">
        <v>14</v>
      </c>
      <c r="B4144" s="3">
        <v>9</v>
      </c>
      <c r="C4144" s="3">
        <v>181</v>
      </c>
      <c r="D4144" s="3">
        <v>156</v>
      </c>
      <c r="E4144" s="3">
        <v>-908.564</v>
      </c>
      <c r="F4144" s="4" t="str">
        <f>HYPERLINK("http://141.218.60.56/~jnz1568/getInfo.php?workbook=14_09.xlsx&amp;sheet=A0&amp;row=4144&amp;col=6&amp;number=81900000&amp;sourceID=14","81900000")</f>
        <v>81900000</v>
      </c>
      <c r="G4144" s="4" t="str">
        <f>HYPERLINK("http://141.218.60.56/~jnz1568/getInfo.php?workbook=14_09.xlsx&amp;sheet=A0&amp;row=4144&amp;col=7&amp;number=0&amp;sourceID=14","0")</f>
        <v>0</v>
      </c>
    </row>
    <row r="4145" spans="1:7">
      <c r="A4145" s="3">
        <v>14</v>
      </c>
      <c r="B4145" s="3">
        <v>9</v>
      </c>
      <c r="C4145" s="3">
        <v>182</v>
      </c>
      <c r="D4145" s="3">
        <v>156</v>
      </c>
      <c r="E4145" s="3">
        <v>-907.764</v>
      </c>
      <c r="F4145" s="4" t="str">
        <f>HYPERLINK("http://141.218.60.56/~jnz1568/getInfo.php?workbook=14_09.xlsx&amp;sheet=A0&amp;row=4145&amp;col=6&amp;number=1180000000&amp;sourceID=14","1180000000")</f>
        <v>1180000000</v>
      </c>
      <c r="G4145" s="4" t="str">
        <f>HYPERLINK("http://141.218.60.56/~jnz1568/getInfo.php?workbook=14_09.xlsx&amp;sheet=A0&amp;row=4145&amp;col=7&amp;number=0&amp;sourceID=14","0")</f>
        <v>0</v>
      </c>
    </row>
    <row r="4146" spans="1:7">
      <c r="A4146" s="3">
        <v>14</v>
      </c>
      <c r="B4146" s="3">
        <v>9</v>
      </c>
      <c r="C4146" s="3">
        <v>183</v>
      </c>
      <c r="D4146" s="3">
        <v>156</v>
      </c>
      <c r="E4146" s="3">
        <v>-842.88</v>
      </c>
      <c r="F4146" s="4" t="str">
        <f>HYPERLINK("http://141.218.60.56/~jnz1568/getInfo.php?workbook=14_09.xlsx&amp;sheet=A0&amp;row=4146&amp;col=6&amp;number=319000000&amp;sourceID=14","319000000")</f>
        <v>319000000</v>
      </c>
      <c r="G4146" s="4" t="str">
        <f>HYPERLINK("http://141.218.60.56/~jnz1568/getInfo.php?workbook=14_09.xlsx&amp;sheet=A0&amp;row=4146&amp;col=7&amp;number=0&amp;sourceID=14","0")</f>
        <v>0</v>
      </c>
    </row>
    <row r="4147" spans="1:7">
      <c r="A4147" s="3">
        <v>14</v>
      </c>
      <c r="B4147" s="3">
        <v>9</v>
      </c>
      <c r="C4147" s="3">
        <v>184</v>
      </c>
      <c r="D4147" s="3">
        <v>156</v>
      </c>
      <c r="E4147" s="3">
        <v>-826.257</v>
      </c>
      <c r="F4147" s="4" t="str">
        <f>HYPERLINK("http://141.218.60.56/~jnz1568/getInfo.php?workbook=14_09.xlsx&amp;sheet=A0&amp;row=4147&amp;col=6&amp;number=240000000&amp;sourceID=14","240000000")</f>
        <v>240000000</v>
      </c>
      <c r="G4147" s="4" t="str">
        <f>HYPERLINK("http://141.218.60.56/~jnz1568/getInfo.php?workbook=14_09.xlsx&amp;sheet=A0&amp;row=4147&amp;col=7&amp;number=0&amp;sourceID=14","0")</f>
        <v>0</v>
      </c>
    </row>
    <row r="4148" spans="1:7">
      <c r="A4148" s="3">
        <v>14</v>
      </c>
      <c r="B4148" s="3">
        <v>9</v>
      </c>
      <c r="C4148" s="3">
        <v>190</v>
      </c>
      <c r="D4148" s="3">
        <v>156</v>
      </c>
      <c r="E4148" s="3">
        <v>-397.334</v>
      </c>
      <c r="F4148" s="4" t="str">
        <f>HYPERLINK("http://141.218.60.56/~jnz1568/getInfo.php?workbook=14_09.xlsx&amp;sheet=A0&amp;row=4148&amp;col=6&amp;number=984000&amp;sourceID=14","984000")</f>
        <v>984000</v>
      </c>
      <c r="G4148" s="4" t="str">
        <f>HYPERLINK("http://141.218.60.56/~jnz1568/getInfo.php?workbook=14_09.xlsx&amp;sheet=A0&amp;row=4148&amp;col=7&amp;number=0&amp;sourceID=14","0")</f>
        <v>0</v>
      </c>
    </row>
    <row r="4149" spans="1:7">
      <c r="A4149" s="3">
        <v>14</v>
      </c>
      <c r="B4149" s="3">
        <v>9</v>
      </c>
      <c r="C4149" s="3">
        <v>192</v>
      </c>
      <c r="D4149" s="3">
        <v>156</v>
      </c>
      <c r="E4149" s="3">
        <v>-391.591</v>
      </c>
      <c r="F4149" s="4" t="str">
        <f>HYPERLINK("http://141.218.60.56/~jnz1568/getInfo.php?workbook=14_09.xlsx&amp;sheet=A0&amp;row=4149&amp;col=6&amp;number=56700000&amp;sourceID=14","56700000")</f>
        <v>56700000</v>
      </c>
      <c r="G4149" s="4" t="str">
        <f>HYPERLINK("http://141.218.60.56/~jnz1568/getInfo.php?workbook=14_09.xlsx&amp;sheet=A0&amp;row=4149&amp;col=7&amp;number=0&amp;sourceID=14","0")</f>
        <v>0</v>
      </c>
    </row>
    <row r="4150" spans="1:7">
      <c r="A4150" s="3">
        <v>14</v>
      </c>
      <c r="B4150" s="3">
        <v>9</v>
      </c>
      <c r="C4150" s="3">
        <v>193</v>
      </c>
      <c r="D4150" s="3">
        <v>156</v>
      </c>
      <c r="E4150" s="3">
        <v>-391.382</v>
      </c>
      <c r="F4150" s="4" t="str">
        <f>HYPERLINK("http://141.218.60.56/~jnz1568/getInfo.php?workbook=14_09.xlsx&amp;sheet=A0&amp;row=4150&amp;col=6&amp;number=24800000&amp;sourceID=14","24800000")</f>
        <v>24800000</v>
      </c>
      <c r="G4150" s="4" t="str">
        <f>HYPERLINK("http://141.218.60.56/~jnz1568/getInfo.php?workbook=14_09.xlsx&amp;sheet=A0&amp;row=4150&amp;col=7&amp;number=0&amp;sourceID=14","0")</f>
        <v>0</v>
      </c>
    </row>
    <row r="4151" spans="1:7">
      <c r="A4151" s="3">
        <v>14</v>
      </c>
      <c r="B4151" s="3">
        <v>9</v>
      </c>
      <c r="C4151" s="3">
        <v>164</v>
      </c>
      <c r="D4151" s="3">
        <v>157</v>
      </c>
      <c r="E4151" s="3">
        <v>-1826.654</v>
      </c>
      <c r="F4151" s="4" t="str">
        <f>HYPERLINK("http://141.218.60.56/~jnz1568/getInfo.php?workbook=14_09.xlsx&amp;sheet=A0&amp;row=4151&amp;col=6&amp;number=458000&amp;sourceID=14","458000")</f>
        <v>458000</v>
      </c>
      <c r="G4151" s="4" t="str">
        <f>HYPERLINK("http://141.218.60.56/~jnz1568/getInfo.php?workbook=14_09.xlsx&amp;sheet=A0&amp;row=4151&amp;col=7&amp;number=0&amp;sourceID=14","0")</f>
        <v>0</v>
      </c>
    </row>
    <row r="4152" spans="1:7">
      <c r="A4152" s="3">
        <v>14</v>
      </c>
      <c r="B4152" s="3">
        <v>9</v>
      </c>
      <c r="C4152" s="3">
        <v>168</v>
      </c>
      <c r="D4152" s="3">
        <v>157</v>
      </c>
      <c r="E4152" s="3">
        <v>-1167.735</v>
      </c>
      <c r="F4152" s="4" t="str">
        <f>HYPERLINK("http://141.218.60.56/~jnz1568/getInfo.php?workbook=14_09.xlsx&amp;sheet=A0&amp;row=4152&amp;col=6&amp;number=16700000&amp;sourceID=14","16700000")</f>
        <v>16700000</v>
      </c>
      <c r="G4152" s="4" t="str">
        <f>HYPERLINK("http://141.218.60.56/~jnz1568/getInfo.php?workbook=14_09.xlsx&amp;sheet=A0&amp;row=4152&amp;col=7&amp;number=0&amp;sourceID=14","0")</f>
        <v>0</v>
      </c>
    </row>
    <row r="4153" spans="1:7">
      <c r="A4153" s="3">
        <v>14</v>
      </c>
      <c r="B4153" s="3">
        <v>9</v>
      </c>
      <c r="C4153" s="3">
        <v>169</v>
      </c>
      <c r="D4153" s="3">
        <v>157</v>
      </c>
      <c r="E4153" s="3">
        <v>-1156.593</v>
      </c>
      <c r="F4153" s="4" t="str">
        <f>HYPERLINK("http://141.218.60.56/~jnz1568/getInfo.php?workbook=14_09.xlsx&amp;sheet=A0&amp;row=4153&amp;col=6&amp;number=3550000&amp;sourceID=14","3550000")</f>
        <v>3550000</v>
      </c>
      <c r="G4153" s="4" t="str">
        <f>HYPERLINK("http://141.218.60.56/~jnz1568/getInfo.php?workbook=14_09.xlsx&amp;sheet=A0&amp;row=4153&amp;col=7&amp;number=0&amp;sourceID=14","0")</f>
        <v>0</v>
      </c>
    </row>
    <row r="4154" spans="1:7">
      <c r="A4154" s="3">
        <v>14</v>
      </c>
      <c r="B4154" s="3">
        <v>9</v>
      </c>
      <c r="C4154" s="3">
        <v>170</v>
      </c>
      <c r="D4154" s="3">
        <v>157</v>
      </c>
      <c r="E4154" s="3">
        <v>-1137.038</v>
      </c>
      <c r="F4154" s="4" t="str">
        <f>HYPERLINK("http://141.218.60.56/~jnz1568/getInfo.php?workbook=14_09.xlsx&amp;sheet=A0&amp;row=4154&amp;col=6&amp;number=3610000&amp;sourceID=14","3610000")</f>
        <v>3610000</v>
      </c>
      <c r="G4154" s="4" t="str">
        <f>HYPERLINK("http://141.218.60.56/~jnz1568/getInfo.php?workbook=14_09.xlsx&amp;sheet=A0&amp;row=4154&amp;col=7&amp;number=0&amp;sourceID=14","0")</f>
        <v>0</v>
      </c>
    </row>
    <row r="4155" spans="1:7">
      <c r="A4155" s="3">
        <v>14</v>
      </c>
      <c r="B4155" s="3">
        <v>9</v>
      </c>
      <c r="C4155" s="3">
        <v>174</v>
      </c>
      <c r="D4155" s="3">
        <v>157</v>
      </c>
      <c r="E4155" s="3">
        <v>-1060.717</v>
      </c>
      <c r="F4155" s="4" t="str">
        <f>HYPERLINK("http://141.218.60.56/~jnz1568/getInfo.php?workbook=14_09.xlsx&amp;sheet=A0&amp;row=4155&amp;col=6&amp;number=249000&amp;sourceID=14","249000")</f>
        <v>249000</v>
      </c>
      <c r="G4155" s="4" t="str">
        <f>HYPERLINK("http://141.218.60.56/~jnz1568/getInfo.php?workbook=14_09.xlsx&amp;sheet=A0&amp;row=4155&amp;col=7&amp;number=0&amp;sourceID=14","0")</f>
        <v>0</v>
      </c>
    </row>
    <row r="4156" spans="1:7">
      <c r="A4156" s="3">
        <v>14</v>
      </c>
      <c r="B4156" s="3">
        <v>9</v>
      </c>
      <c r="C4156" s="3">
        <v>178</v>
      </c>
      <c r="D4156" s="3">
        <v>157</v>
      </c>
      <c r="E4156" s="3">
        <v>-979.923</v>
      </c>
      <c r="F4156" s="4" t="str">
        <f>HYPERLINK("http://141.218.60.56/~jnz1568/getInfo.php?workbook=14_09.xlsx&amp;sheet=A0&amp;row=4156&amp;col=6&amp;number=2840000&amp;sourceID=14","2840000")</f>
        <v>2840000</v>
      </c>
      <c r="G4156" s="4" t="str">
        <f>HYPERLINK("http://141.218.60.56/~jnz1568/getInfo.php?workbook=14_09.xlsx&amp;sheet=A0&amp;row=4156&amp;col=7&amp;number=0&amp;sourceID=14","0")</f>
        <v>0</v>
      </c>
    </row>
    <row r="4157" spans="1:7">
      <c r="A4157" s="3">
        <v>14</v>
      </c>
      <c r="B4157" s="3">
        <v>9</v>
      </c>
      <c r="C4157" s="3">
        <v>179</v>
      </c>
      <c r="D4157" s="3">
        <v>157</v>
      </c>
      <c r="E4157" s="3">
        <v>-979.616</v>
      </c>
      <c r="F4157" s="4" t="str">
        <f>HYPERLINK("http://141.218.60.56/~jnz1568/getInfo.php?workbook=14_09.xlsx&amp;sheet=A0&amp;row=4157&amp;col=6&amp;number=22700000&amp;sourceID=14","22700000")</f>
        <v>22700000</v>
      </c>
      <c r="G4157" s="4" t="str">
        <f>HYPERLINK("http://141.218.60.56/~jnz1568/getInfo.php?workbook=14_09.xlsx&amp;sheet=A0&amp;row=4157&amp;col=7&amp;number=0&amp;sourceID=14","0")</f>
        <v>0</v>
      </c>
    </row>
    <row r="4158" spans="1:7">
      <c r="A4158" s="3">
        <v>14</v>
      </c>
      <c r="B4158" s="3">
        <v>9</v>
      </c>
      <c r="C4158" s="3">
        <v>180</v>
      </c>
      <c r="D4158" s="3">
        <v>157</v>
      </c>
      <c r="E4158" s="3">
        <v>-969.06</v>
      </c>
      <c r="F4158" s="4" t="str">
        <f>HYPERLINK("http://141.218.60.56/~jnz1568/getInfo.php?workbook=14_09.xlsx&amp;sheet=A0&amp;row=4158&amp;col=6&amp;number=253000000&amp;sourceID=14","253000000")</f>
        <v>253000000</v>
      </c>
      <c r="G4158" s="4" t="str">
        <f>HYPERLINK("http://141.218.60.56/~jnz1568/getInfo.php?workbook=14_09.xlsx&amp;sheet=A0&amp;row=4158&amp;col=7&amp;number=0&amp;sourceID=14","0")</f>
        <v>0</v>
      </c>
    </row>
    <row r="4159" spans="1:7">
      <c r="A4159" s="3">
        <v>14</v>
      </c>
      <c r="B4159" s="3">
        <v>9</v>
      </c>
      <c r="C4159" s="3">
        <v>181</v>
      </c>
      <c r="D4159" s="3">
        <v>157</v>
      </c>
      <c r="E4159" s="3">
        <v>-930.182</v>
      </c>
      <c r="F4159" s="4" t="str">
        <f>HYPERLINK("http://141.218.60.56/~jnz1568/getInfo.php?workbook=14_09.xlsx&amp;sheet=A0&amp;row=4159&amp;col=6&amp;number=2150000000&amp;sourceID=14","2150000000")</f>
        <v>2150000000</v>
      </c>
      <c r="G4159" s="4" t="str">
        <f>HYPERLINK("http://141.218.60.56/~jnz1568/getInfo.php?workbook=14_09.xlsx&amp;sheet=A0&amp;row=4159&amp;col=7&amp;number=0&amp;sourceID=14","0")</f>
        <v>0</v>
      </c>
    </row>
    <row r="4160" spans="1:7">
      <c r="A4160" s="3">
        <v>14</v>
      </c>
      <c r="B4160" s="3">
        <v>9</v>
      </c>
      <c r="C4160" s="3">
        <v>182</v>
      </c>
      <c r="D4160" s="3">
        <v>157</v>
      </c>
      <c r="E4160" s="3">
        <v>-929.344</v>
      </c>
      <c r="F4160" s="4" t="str">
        <f>HYPERLINK("http://141.218.60.56/~jnz1568/getInfo.php?workbook=14_09.xlsx&amp;sheet=A0&amp;row=4160&amp;col=6&amp;number=2180000&amp;sourceID=14","2180000")</f>
        <v>2180000</v>
      </c>
      <c r="G4160" s="4" t="str">
        <f>HYPERLINK("http://141.218.60.56/~jnz1568/getInfo.php?workbook=14_09.xlsx&amp;sheet=A0&amp;row=4160&amp;col=7&amp;number=0&amp;sourceID=14","0")</f>
        <v>0</v>
      </c>
    </row>
    <row r="4161" spans="1:7">
      <c r="A4161" s="3">
        <v>14</v>
      </c>
      <c r="B4161" s="3">
        <v>9</v>
      </c>
      <c r="C4161" s="3">
        <v>183</v>
      </c>
      <c r="D4161" s="3">
        <v>157</v>
      </c>
      <c r="E4161" s="3">
        <v>-861.454</v>
      </c>
      <c r="F4161" s="4" t="str">
        <f>HYPERLINK("http://141.218.60.56/~jnz1568/getInfo.php?workbook=14_09.xlsx&amp;sheet=A0&amp;row=4161&amp;col=6&amp;number=172000000&amp;sourceID=14","172000000")</f>
        <v>172000000</v>
      </c>
      <c r="G4161" s="4" t="str">
        <f>HYPERLINK("http://141.218.60.56/~jnz1568/getInfo.php?workbook=14_09.xlsx&amp;sheet=A0&amp;row=4161&amp;col=7&amp;number=0&amp;sourceID=14","0")</f>
        <v>0</v>
      </c>
    </row>
    <row r="4162" spans="1:7">
      <c r="A4162" s="3">
        <v>14</v>
      </c>
      <c r="B4162" s="3">
        <v>9</v>
      </c>
      <c r="C4162" s="3">
        <v>184</v>
      </c>
      <c r="D4162" s="3">
        <v>157</v>
      </c>
      <c r="E4162" s="3">
        <v>-844.097</v>
      </c>
      <c r="F4162" s="4" t="str">
        <f>HYPERLINK("http://141.218.60.56/~jnz1568/getInfo.php?workbook=14_09.xlsx&amp;sheet=A0&amp;row=4162&amp;col=6&amp;number=737000000&amp;sourceID=14","737000000")</f>
        <v>737000000</v>
      </c>
      <c r="G4162" s="4" t="str">
        <f>HYPERLINK("http://141.218.60.56/~jnz1568/getInfo.php?workbook=14_09.xlsx&amp;sheet=A0&amp;row=4162&amp;col=7&amp;number=0&amp;sourceID=14","0")</f>
        <v>0</v>
      </c>
    </row>
    <row r="4163" spans="1:7">
      <c r="A4163" s="3">
        <v>14</v>
      </c>
      <c r="B4163" s="3">
        <v>9</v>
      </c>
      <c r="C4163" s="3">
        <v>190</v>
      </c>
      <c r="D4163" s="3">
        <v>157</v>
      </c>
      <c r="E4163" s="3">
        <v>-401.414</v>
      </c>
      <c r="F4163" s="4" t="str">
        <f>HYPERLINK("http://141.218.60.56/~jnz1568/getInfo.php?workbook=14_09.xlsx&amp;sheet=A0&amp;row=4163&amp;col=6&amp;number=1240000&amp;sourceID=14","1240000")</f>
        <v>1240000</v>
      </c>
      <c r="G4163" s="4" t="str">
        <f>HYPERLINK("http://141.218.60.56/~jnz1568/getInfo.php?workbook=14_09.xlsx&amp;sheet=A0&amp;row=4163&amp;col=7&amp;number=0&amp;sourceID=14","0")</f>
        <v>0</v>
      </c>
    </row>
    <row r="4164" spans="1:7">
      <c r="A4164" s="3">
        <v>14</v>
      </c>
      <c r="B4164" s="3">
        <v>9</v>
      </c>
      <c r="C4164" s="3">
        <v>192</v>
      </c>
      <c r="D4164" s="3">
        <v>157</v>
      </c>
      <c r="E4164" s="3">
        <v>-395.553</v>
      </c>
      <c r="F4164" s="4" t="str">
        <f>HYPERLINK("http://141.218.60.56/~jnz1568/getInfo.php?workbook=14_09.xlsx&amp;sheet=A0&amp;row=4164&amp;col=6&amp;number=77700000&amp;sourceID=14","77700000")</f>
        <v>77700000</v>
      </c>
      <c r="G4164" s="4" t="str">
        <f>HYPERLINK("http://141.218.60.56/~jnz1568/getInfo.php?workbook=14_09.xlsx&amp;sheet=A0&amp;row=4164&amp;col=7&amp;number=0&amp;sourceID=14","0")</f>
        <v>0</v>
      </c>
    </row>
    <row r="4165" spans="1:7">
      <c r="A4165" s="3">
        <v>14</v>
      </c>
      <c r="B4165" s="3">
        <v>9</v>
      </c>
      <c r="C4165" s="3">
        <v>193</v>
      </c>
      <c r="D4165" s="3">
        <v>157</v>
      </c>
      <c r="E4165" s="3">
        <v>-395.341</v>
      </c>
      <c r="F4165" s="4" t="str">
        <f>HYPERLINK("http://141.218.60.56/~jnz1568/getInfo.php?workbook=14_09.xlsx&amp;sheet=A0&amp;row=4165&amp;col=6&amp;number=29800000&amp;sourceID=14","29800000")</f>
        <v>29800000</v>
      </c>
      <c r="G4165" s="4" t="str">
        <f>HYPERLINK("http://141.218.60.56/~jnz1568/getInfo.php?workbook=14_09.xlsx&amp;sheet=A0&amp;row=4165&amp;col=7&amp;number=0&amp;sourceID=14","0")</f>
        <v>0</v>
      </c>
    </row>
    <row r="4166" spans="1:7">
      <c r="A4166" s="3">
        <v>14</v>
      </c>
      <c r="B4166" s="3">
        <v>9</v>
      </c>
      <c r="C4166" s="3">
        <v>194</v>
      </c>
      <c r="D4166" s="3">
        <v>157</v>
      </c>
      <c r="E4166" s="3">
        <v>-390.954</v>
      </c>
      <c r="F4166" s="4" t="str">
        <f>HYPERLINK("http://141.218.60.56/~jnz1568/getInfo.php?workbook=14_09.xlsx&amp;sheet=A0&amp;row=4166&amp;col=6&amp;number=1300000&amp;sourceID=14","1300000")</f>
        <v>1300000</v>
      </c>
      <c r="G4166" s="4" t="str">
        <f>HYPERLINK("http://141.218.60.56/~jnz1568/getInfo.php?workbook=14_09.xlsx&amp;sheet=A0&amp;row=4166&amp;col=7&amp;number=0&amp;sourceID=14","0")</f>
        <v>0</v>
      </c>
    </row>
    <row r="4167" spans="1:7">
      <c r="A4167" s="3">
        <v>14</v>
      </c>
      <c r="B4167" s="3">
        <v>9</v>
      </c>
      <c r="C4167" s="3">
        <v>168</v>
      </c>
      <c r="D4167" s="3">
        <v>158</v>
      </c>
      <c r="E4167" s="3">
        <v>-1175.049</v>
      </c>
      <c r="F4167" s="4" t="str">
        <f>HYPERLINK("http://141.218.60.56/~jnz1568/getInfo.php?workbook=14_09.xlsx&amp;sheet=A0&amp;row=4167&amp;col=6&amp;number=847000&amp;sourceID=14","847000")</f>
        <v>847000</v>
      </c>
      <c r="G4167" s="4" t="str">
        <f>HYPERLINK("http://141.218.60.56/~jnz1568/getInfo.php?workbook=14_09.xlsx&amp;sheet=A0&amp;row=4167&amp;col=7&amp;number=0&amp;sourceID=14","0")</f>
        <v>0</v>
      </c>
    </row>
    <row r="4168" spans="1:7">
      <c r="A4168" s="3">
        <v>14</v>
      </c>
      <c r="B4168" s="3">
        <v>9</v>
      </c>
      <c r="C4168" s="3">
        <v>169</v>
      </c>
      <c r="D4168" s="3">
        <v>158</v>
      </c>
      <c r="E4168" s="3">
        <v>-1163.767</v>
      </c>
      <c r="F4168" s="4" t="str">
        <f>HYPERLINK("http://141.218.60.56/~jnz1568/getInfo.php?workbook=14_09.xlsx&amp;sheet=A0&amp;row=4168&amp;col=6&amp;number=1700000&amp;sourceID=14","1700000")</f>
        <v>1700000</v>
      </c>
      <c r="G4168" s="4" t="str">
        <f>HYPERLINK("http://141.218.60.56/~jnz1568/getInfo.php?workbook=14_09.xlsx&amp;sheet=A0&amp;row=4168&amp;col=7&amp;number=0&amp;sourceID=14","0")</f>
        <v>0</v>
      </c>
    </row>
    <row r="4169" spans="1:7">
      <c r="A4169" s="3">
        <v>14</v>
      </c>
      <c r="B4169" s="3">
        <v>9</v>
      </c>
      <c r="C4169" s="3">
        <v>178</v>
      </c>
      <c r="D4169" s="3">
        <v>158</v>
      </c>
      <c r="E4169" s="3">
        <v>-985.068</v>
      </c>
      <c r="F4169" s="4" t="str">
        <f>HYPERLINK("http://141.218.60.56/~jnz1568/getInfo.php?workbook=14_09.xlsx&amp;sheet=A0&amp;row=4169&amp;col=6&amp;number=12900000&amp;sourceID=14","12900000")</f>
        <v>12900000</v>
      </c>
      <c r="G4169" s="4" t="str">
        <f>HYPERLINK("http://141.218.60.56/~jnz1568/getInfo.php?workbook=14_09.xlsx&amp;sheet=A0&amp;row=4169&amp;col=7&amp;number=0&amp;sourceID=14","0")</f>
        <v>0</v>
      </c>
    </row>
    <row r="4170" spans="1:7">
      <c r="A4170" s="3">
        <v>14</v>
      </c>
      <c r="B4170" s="3">
        <v>9</v>
      </c>
      <c r="C4170" s="3">
        <v>179</v>
      </c>
      <c r="D4170" s="3">
        <v>158</v>
      </c>
      <c r="E4170" s="3">
        <v>-984.758</v>
      </c>
      <c r="F4170" s="4" t="str">
        <f>HYPERLINK("http://141.218.60.56/~jnz1568/getInfo.php?workbook=14_09.xlsx&amp;sheet=A0&amp;row=4170&amp;col=6&amp;number=1170000&amp;sourceID=14","1170000")</f>
        <v>1170000</v>
      </c>
      <c r="G4170" s="4" t="str">
        <f>HYPERLINK("http://141.218.60.56/~jnz1568/getInfo.php?workbook=14_09.xlsx&amp;sheet=A0&amp;row=4170&amp;col=7&amp;number=0&amp;sourceID=14","0")</f>
        <v>0</v>
      </c>
    </row>
    <row r="4171" spans="1:7">
      <c r="A4171" s="3">
        <v>14</v>
      </c>
      <c r="B4171" s="3">
        <v>9</v>
      </c>
      <c r="C4171" s="3">
        <v>182</v>
      </c>
      <c r="D4171" s="3">
        <v>158</v>
      </c>
      <c r="E4171" s="3">
        <v>-933.97</v>
      </c>
      <c r="F4171" s="4" t="str">
        <f>HYPERLINK("http://141.218.60.56/~jnz1568/getInfo.php?workbook=14_09.xlsx&amp;sheet=A0&amp;row=4171&amp;col=6&amp;number=1400000000&amp;sourceID=14","1400000000")</f>
        <v>1400000000</v>
      </c>
      <c r="G4171" s="4" t="str">
        <f>HYPERLINK("http://141.218.60.56/~jnz1568/getInfo.php?workbook=14_09.xlsx&amp;sheet=A0&amp;row=4171&amp;col=7&amp;number=0&amp;sourceID=14","0")</f>
        <v>0</v>
      </c>
    </row>
    <row r="4172" spans="1:7">
      <c r="A4172" s="3">
        <v>14</v>
      </c>
      <c r="B4172" s="3">
        <v>9</v>
      </c>
      <c r="C4172" s="3">
        <v>183</v>
      </c>
      <c r="D4172" s="3">
        <v>158</v>
      </c>
      <c r="E4172" s="3">
        <v>-865.428</v>
      </c>
      <c r="F4172" s="4" t="str">
        <f>HYPERLINK("http://141.218.60.56/~jnz1568/getInfo.php?workbook=14_09.xlsx&amp;sheet=A0&amp;row=4172&amp;col=6&amp;number=1070000000&amp;sourceID=14","1070000000")</f>
        <v>1070000000</v>
      </c>
      <c r="G4172" s="4" t="str">
        <f>HYPERLINK("http://141.218.60.56/~jnz1568/getInfo.php?workbook=14_09.xlsx&amp;sheet=A0&amp;row=4172&amp;col=7&amp;number=0&amp;sourceID=14","0")</f>
        <v>0</v>
      </c>
    </row>
    <row r="4173" spans="1:7">
      <c r="A4173" s="3">
        <v>14</v>
      </c>
      <c r="B4173" s="3">
        <v>9</v>
      </c>
      <c r="C4173" s="3">
        <v>184</v>
      </c>
      <c r="D4173" s="3">
        <v>158</v>
      </c>
      <c r="E4173" s="3">
        <v>-847.912</v>
      </c>
      <c r="F4173" s="4" t="str">
        <f>HYPERLINK("http://141.218.60.56/~jnz1568/getInfo.php?workbook=14_09.xlsx&amp;sheet=A0&amp;row=4173&amp;col=6&amp;number=463000000&amp;sourceID=14","463000000")</f>
        <v>463000000</v>
      </c>
      <c r="G4173" s="4" t="str">
        <f>HYPERLINK("http://141.218.60.56/~jnz1568/getInfo.php?workbook=14_09.xlsx&amp;sheet=A0&amp;row=4173&amp;col=7&amp;number=0&amp;sourceID=14","0")</f>
        <v>0</v>
      </c>
    </row>
    <row r="4174" spans="1:7">
      <c r="A4174" s="3">
        <v>14</v>
      </c>
      <c r="B4174" s="3">
        <v>9</v>
      </c>
      <c r="C4174" s="3">
        <v>192</v>
      </c>
      <c r="D4174" s="3">
        <v>158</v>
      </c>
      <c r="E4174" s="3">
        <v>-396.389</v>
      </c>
      <c r="F4174" s="4" t="str">
        <f>HYPERLINK("http://141.218.60.56/~jnz1568/getInfo.php?workbook=14_09.xlsx&amp;sheet=A0&amp;row=4174&amp;col=6&amp;number=42500000&amp;sourceID=14","42500000")</f>
        <v>42500000</v>
      </c>
      <c r="G4174" s="4" t="str">
        <f>HYPERLINK("http://141.218.60.56/~jnz1568/getInfo.php?workbook=14_09.xlsx&amp;sheet=A0&amp;row=4174&amp;col=7&amp;number=0&amp;sourceID=14","0")</f>
        <v>0</v>
      </c>
    </row>
    <row r="4175" spans="1:7">
      <c r="A4175" s="3">
        <v>14</v>
      </c>
      <c r="B4175" s="3">
        <v>9</v>
      </c>
      <c r="C4175" s="3">
        <v>193</v>
      </c>
      <c r="D4175" s="3">
        <v>158</v>
      </c>
      <c r="E4175" s="3">
        <v>-396.175</v>
      </c>
      <c r="F4175" s="4" t="str">
        <f>HYPERLINK("http://141.218.60.56/~jnz1568/getInfo.php?workbook=14_09.xlsx&amp;sheet=A0&amp;row=4175&amp;col=6&amp;number=94200000&amp;sourceID=14","94200000")</f>
        <v>94200000</v>
      </c>
      <c r="G4175" s="4" t="str">
        <f>HYPERLINK("http://141.218.60.56/~jnz1568/getInfo.php?workbook=14_09.xlsx&amp;sheet=A0&amp;row=4175&amp;col=7&amp;number=0&amp;sourceID=14","0")</f>
        <v>0</v>
      </c>
    </row>
    <row r="4176" spans="1:7">
      <c r="A4176" s="3">
        <v>14</v>
      </c>
      <c r="B4176" s="3">
        <v>9</v>
      </c>
      <c r="C4176" s="3">
        <v>161</v>
      </c>
      <c r="D4176" s="3">
        <v>159</v>
      </c>
      <c r="E4176" s="3">
        <v>-3244.968</v>
      </c>
      <c r="F4176" s="4" t="str">
        <f>HYPERLINK("http://141.218.60.56/~jnz1568/getInfo.php?workbook=14_09.xlsx&amp;sheet=A0&amp;row=4176&amp;col=6&amp;number=1120000&amp;sourceID=14","1120000")</f>
        <v>1120000</v>
      </c>
      <c r="G4176" s="4" t="str">
        <f>HYPERLINK("http://141.218.60.56/~jnz1568/getInfo.php?workbook=14_09.xlsx&amp;sheet=A0&amp;row=4176&amp;col=7&amp;number=0&amp;sourceID=14","0")</f>
        <v>0</v>
      </c>
    </row>
    <row r="4177" spans="1:7">
      <c r="A4177" s="3">
        <v>14</v>
      </c>
      <c r="B4177" s="3">
        <v>9</v>
      </c>
      <c r="C4177" s="3">
        <v>162</v>
      </c>
      <c r="D4177" s="3">
        <v>159</v>
      </c>
      <c r="E4177" s="3">
        <v>-2579.452</v>
      </c>
      <c r="F4177" s="4" t="str">
        <f>HYPERLINK("http://141.218.60.56/~jnz1568/getInfo.php?workbook=14_09.xlsx&amp;sheet=A0&amp;row=4177&amp;col=6&amp;number=491000000&amp;sourceID=14","491000000")</f>
        <v>491000000</v>
      </c>
      <c r="G4177" s="4" t="str">
        <f>HYPERLINK("http://141.218.60.56/~jnz1568/getInfo.php?workbook=14_09.xlsx&amp;sheet=A0&amp;row=4177&amp;col=7&amp;number=0&amp;sourceID=14","0")</f>
        <v>0</v>
      </c>
    </row>
    <row r="4178" spans="1:7">
      <c r="A4178" s="3">
        <v>14</v>
      </c>
      <c r="B4178" s="3">
        <v>9</v>
      </c>
      <c r="C4178" s="3">
        <v>163</v>
      </c>
      <c r="D4178" s="3">
        <v>159</v>
      </c>
      <c r="E4178" s="3">
        <v>-2570.765</v>
      </c>
      <c r="F4178" s="4" t="str">
        <f>HYPERLINK("http://141.218.60.56/~jnz1568/getInfo.php?workbook=14_09.xlsx&amp;sheet=A0&amp;row=4178&amp;col=6&amp;number=82600000&amp;sourceID=14","82600000")</f>
        <v>82600000</v>
      </c>
      <c r="G4178" s="4" t="str">
        <f>HYPERLINK("http://141.218.60.56/~jnz1568/getInfo.php?workbook=14_09.xlsx&amp;sheet=A0&amp;row=4178&amp;col=7&amp;number=0&amp;sourceID=14","0")</f>
        <v>0</v>
      </c>
    </row>
    <row r="4179" spans="1:7">
      <c r="A4179" s="3">
        <v>14</v>
      </c>
      <c r="B4179" s="3">
        <v>9</v>
      </c>
      <c r="C4179" s="3">
        <v>187</v>
      </c>
      <c r="D4179" s="3">
        <v>159</v>
      </c>
      <c r="E4179" s="3">
        <v>-703.33</v>
      </c>
      <c r="F4179" s="4" t="str">
        <f>HYPERLINK("http://141.218.60.56/~jnz1568/getInfo.php?workbook=14_09.xlsx&amp;sheet=A0&amp;row=4179&amp;col=6&amp;number=2010000&amp;sourceID=14","2010000")</f>
        <v>2010000</v>
      </c>
      <c r="G4179" s="4" t="str">
        <f>HYPERLINK("http://141.218.60.56/~jnz1568/getInfo.php?workbook=14_09.xlsx&amp;sheet=A0&amp;row=4179&amp;col=7&amp;number=0&amp;sourceID=14","0")</f>
        <v>0</v>
      </c>
    </row>
    <row r="4180" spans="1:7">
      <c r="A4180" s="3">
        <v>14</v>
      </c>
      <c r="B4180" s="3">
        <v>9</v>
      </c>
      <c r="C4180" s="3">
        <v>188</v>
      </c>
      <c r="D4180" s="3">
        <v>159</v>
      </c>
      <c r="E4180" s="3">
        <v>-701.78</v>
      </c>
      <c r="F4180" s="4" t="str">
        <f>HYPERLINK("http://141.218.60.56/~jnz1568/getInfo.php?workbook=14_09.xlsx&amp;sheet=A0&amp;row=4180&amp;col=6&amp;number=5920000&amp;sourceID=14","5920000")</f>
        <v>5920000</v>
      </c>
      <c r="G4180" s="4" t="str">
        <f>HYPERLINK("http://141.218.60.56/~jnz1568/getInfo.php?workbook=14_09.xlsx&amp;sheet=A0&amp;row=4180&amp;col=7&amp;number=0&amp;sourceID=14","0")</f>
        <v>0</v>
      </c>
    </row>
    <row r="4181" spans="1:7">
      <c r="A4181" s="3">
        <v>14</v>
      </c>
      <c r="B4181" s="3">
        <v>9</v>
      </c>
      <c r="C4181" s="3">
        <v>189</v>
      </c>
      <c r="D4181" s="3">
        <v>159</v>
      </c>
      <c r="E4181" s="3">
        <v>-641.302</v>
      </c>
      <c r="F4181" s="4" t="str">
        <f>HYPERLINK("http://141.218.60.56/~jnz1568/getInfo.php?workbook=14_09.xlsx&amp;sheet=A0&amp;row=4181&amp;col=6&amp;number=28300000&amp;sourceID=14","28300000")</f>
        <v>28300000</v>
      </c>
      <c r="G4181" s="4" t="str">
        <f>HYPERLINK("http://141.218.60.56/~jnz1568/getInfo.php?workbook=14_09.xlsx&amp;sheet=A0&amp;row=4181&amp;col=7&amp;number=0&amp;sourceID=14","0")</f>
        <v>0</v>
      </c>
    </row>
    <row r="4182" spans="1:7">
      <c r="A4182" s="3">
        <v>14</v>
      </c>
      <c r="B4182" s="3">
        <v>9</v>
      </c>
      <c r="C4182" s="3">
        <v>163</v>
      </c>
      <c r="D4182" s="3">
        <v>160</v>
      </c>
      <c r="E4182" s="3">
        <v>-2579.052</v>
      </c>
      <c r="F4182" s="4" t="str">
        <f>HYPERLINK("http://141.218.60.56/~jnz1568/getInfo.php?workbook=14_09.xlsx&amp;sheet=A0&amp;row=4182&amp;col=6&amp;number=408000000&amp;sourceID=14","408000000")</f>
        <v>408000000</v>
      </c>
      <c r="G4182" s="4" t="str">
        <f>HYPERLINK("http://141.218.60.56/~jnz1568/getInfo.php?workbook=14_09.xlsx&amp;sheet=A0&amp;row=4182&amp;col=7&amp;number=0&amp;sourceID=14","0")</f>
        <v>0</v>
      </c>
    </row>
    <row r="4183" spans="1:7">
      <c r="A4183" s="3">
        <v>14</v>
      </c>
      <c r="B4183" s="3">
        <v>9</v>
      </c>
      <c r="C4183" s="3">
        <v>187</v>
      </c>
      <c r="D4183" s="3">
        <v>160</v>
      </c>
      <c r="E4183" s="3">
        <v>-703.949</v>
      </c>
      <c r="F4183" s="4" t="str">
        <f>HYPERLINK("http://141.218.60.56/~jnz1568/getInfo.php?workbook=14_09.xlsx&amp;sheet=A0&amp;row=4183&amp;col=6&amp;number=3140000&amp;sourceID=14","3140000")</f>
        <v>3140000</v>
      </c>
      <c r="G4183" s="4" t="str">
        <f>HYPERLINK("http://141.218.60.56/~jnz1568/getInfo.php?workbook=14_09.xlsx&amp;sheet=A0&amp;row=4183&amp;col=7&amp;number=0&amp;sourceID=14","0")</f>
        <v>0</v>
      </c>
    </row>
    <row r="4184" spans="1:7">
      <c r="A4184" s="3">
        <v>14</v>
      </c>
      <c r="B4184" s="3">
        <v>9</v>
      </c>
      <c r="C4184" s="3">
        <v>189</v>
      </c>
      <c r="D4184" s="3">
        <v>160</v>
      </c>
      <c r="E4184" s="3">
        <v>-641.817</v>
      </c>
      <c r="F4184" s="4" t="str">
        <f>HYPERLINK("http://141.218.60.56/~jnz1568/getInfo.php?workbook=14_09.xlsx&amp;sheet=A0&amp;row=4184&amp;col=6&amp;number=19000000&amp;sourceID=14","19000000")</f>
        <v>19000000</v>
      </c>
      <c r="G4184" s="4" t="str">
        <f>HYPERLINK("http://141.218.60.56/~jnz1568/getInfo.php?workbook=14_09.xlsx&amp;sheet=A0&amp;row=4184&amp;col=7&amp;number=0&amp;sourceID=14","0")</f>
        <v>0</v>
      </c>
    </row>
    <row r="4185" spans="1:7">
      <c r="A4185" s="3">
        <v>14</v>
      </c>
      <c r="B4185" s="3">
        <v>9</v>
      </c>
      <c r="C4185" s="3">
        <v>166</v>
      </c>
      <c r="D4185" s="3">
        <v>161</v>
      </c>
      <c r="E4185" s="3">
        <v>-3777.869</v>
      </c>
      <c r="F4185" s="4" t="str">
        <f>HYPERLINK("http://141.218.60.56/~jnz1568/getInfo.php?workbook=14_09.xlsx&amp;sheet=A0&amp;row=4185&amp;col=6&amp;number=1070000&amp;sourceID=14","1070000")</f>
        <v>1070000</v>
      </c>
      <c r="G4185" s="4" t="str">
        <f>HYPERLINK("http://141.218.60.56/~jnz1568/getInfo.php?workbook=14_09.xlsx&amp;sheet=A0&amp;row=4185&amp;col=7&amp;number=0&amp;sourceID=14","0")</f>
        <v>0</v>
      </c>
    </row>
    <row r="4186" spans="1:7">
      <c r="A4186" s="3">
        <v>14</v>
      </c>
      <c r="B4186" s="3">
        <v>9</v>
      </c>
      <c r="C4186" s="3">
        <v>167</v>
      </c>
      <c r="D4186" s="3">
        <v>161</v>
      </c>
      <c r="E4186" s="3">
        <v>-3757.569</v>
      </c>
      <c r="F4186" s="4" t="str">
        <f>HYPERLINK("http://141.218.60.56/~jnz1568/getInfo.php?workbook=14_09.xlsx&amp;sheet=A0&amp;row=4186&amp;col=6&amp;number=1090000&amp;sourceID=14","1090000")</f>
        <v>1090000</v>
      </c>
      <c r="G4186" s="4" t="str">
        <f>HYPERLINK("http://141.218.60.56/~jnz1568/getInfo.php?workbook=14_09.xlsx&amp;sheet=A0&amp;row=4186&amp;col=7&amp;number=0&amp;sourceID=14","0")</f>
        <v>0</v>
      </c>
    </row>
    <row r="4187" spans="1:7">
      <c r="A4187" s="3">
        <v>14</v>
      </c>
      <c r="B4187" s="3">
        <v>9</v>
      </c>
      <c r="C4187" s="3">
        <v>178</v>
      </c>
      <c r="D4187" s="3">
        <v>161</v>
      </c>
      <c r="E4187" s="3">
        <v>-1537.164</v>
      </c>
      <c r="F4187" s="4" t="str">
        <f>HYPERLINK("http://141.218.60.56/~jnz1568/getInfo.php?workbook=14_09.xlsx&amp;sheet=A0&amp;row=4187&amp;col=6&amp;number=1300000&amp;sourceID=14","1300000")</f>
        <v>1300000</v>
      </c>
      <c r="G4187" s="4" t="str">
        <f>HYPERLINK("http://141.218.60.56/~jnz1568/getInfo.php?workbook=14_09.xlsx&amp;sheet=A0&amp;row=4187&amp;col=7&amp;number=0&amp;sourceID=14","0")</f>
        <v>0</v>
      </c>
    </row>
    <row r="4188" spans="1:7">
      <c r="A4188" s="3">
        <v>14</v>
      </c>
      <c r="B4188" s="3">
        <v>9</v>
      </c>
      <c r="C4188" s="3">
        <v>179</v>
      </c>
      <c r="D4188" s="3">
        <v>161</v>
      </c>
      <c r="E4188" s="3">
        <v>-1536.408</v>
      </c>
      <c r="F4188" s="4" t="str">
        <f>HYPERLINK("http://141.218.60.56/~jnz1568/getInfo.php?workbook=14_09.xlsx&amp;sheet=A0&amp;row=4188&amp;col=6&amp;number=696000&amp;sourceID=14","696000")</f>
        <v>696000</v>
      </c>
      <c r="G4188" s="4" t="str">
        <f>HYPERLINK("http://141.218.60.56/~jnz1568/getInfo.php?workbook=14_09.xlsx&amp;sheet=A0&amp;row=4188&amp;col=7&amp;number=0&amp;sourceID=14","0")</f>
        <v>0</v>
      </c>
    </row>
    <row r="4189" spans="1:7">
      <c r="A4189" s="3">
        <v>14</v>
      </c>
      <c r="B4189" s="3">
        <v>9</v>
      </c>
      <c r="C4189" s="3">
        <v>182</v>
      </c>
      <c r="D4189" s="3">
        <v>161</v>
      </c>
      <c r="E4189" s="3">
        <v>-1416.253</v>
      </c>
      <c r="F4189" s="4" t="str">
        <f>HYPERLINK("http://141.218.60.56/~jnz1568/getInfo.php?workbook=14_09.xlsx&amp;sheet=A0&amp;row=4189&amp;col=6&amp;number=4920000&amp;sourceID=14","4920000")</f>
        <v>4920000</v>
      </c>
      <c r="G4189" s="4" t="str">
        <f>HYPERLINK("http://141.218.60.56/~jnz1568/getInfo.php?workbook=14_09.xlsx&amp;sheet=A0&amp;row=4189&amp;col=7&amp;number=0&amp;sourceID=14","0")</f>
        <v>0</v>
      </c>
    </row>
    <row r="4190" spans="1:7">
      <c r="A4190" s="3">
        <v>14</v>
      </c>
      <c r="B4190" s="3">
        <v>9</v>
      </c>
      <c r="C4190" s="3">
        <v>183</v>
      </c>
      <c r="D4190" s="3">
        <v>161</v>
      </c>
      <c r="E4190" s="3">
        <v>-1264.401</v>
      </c>
      <c r="F4190" s="4" t="str">
        <f>HYPERLINK("http://141.218.60.56/~jnz1568/getInfo.php?workbook=14_09.xlsx&amp;sheet=A0&amp;row=4190&amp;col=6&amp;number=435000000&amp;sourceID=14","435000000")</f>
        <v>435000000</v>
      </c>
      <c r="G4190" s="4" t="str">
        <f>HYPERLINK("http://141.218.60.56/~jnz1568/getInfo.php?workbook=14_09.xlsx&amp;sheet=A0&amp;row=4190&amp;col=7&amp;number=0&amp;sourceID=14","0")</f>
        <v>0</v>
      </c>
    </row>
    <row r="4191" spans="1:7">
      <c r="A4191" s="3">
        <v>14</v>
      </c>
      <c r="B4191" s="3">
        <v>9</v>
      </c>
      <c r="C4191" s="3">
        <v>184</v>
      </c>
      <c r="D4191" s="3">
        <v>161</v>
      </c>
      <c r="E4191" s="3">
        <v>-1227.358</v>
      </c>
      <c r="F4191" s="4" t="str">
        <f>HYPERLINK("http://141.218.60.56/~jnz1568/getInfo.php?workbook=14_09.xlsx&amp;sheet=A0&amp;row=4191&amp;col=6&amp;number=533000000&amp;sourceID=14","533000000")</f>
        <v>533000000</v>
      </c>
      <c r="G4191" s="4" t="str">
        <f>HYPERLINK("http://141.218.60.56/~jnz1568/getInfo.php?workbook=14_09.xlsx&amp;sheet=A0&amp;row=4191&amp;col=7&amp;number=0&amp;sourceID=14","0")</f>
        <v>0</v>
      </c>
    </row>
    <row r="4192" spans="1:7">
      <c r="A4192" s="3">
        <v>14</v>
      </c>
      <c r="B4192" s="3">
        <v>9</v>
      </c>
      <c r="C4192" s="3">
        <v>192</v>
      </c>
      <c r="D4192" s="3">
        <v>161</v>
      </c>
      <c r="E4192" s="3">
        <v>-463.356</v>
      </c>
      <c r="F4192" s="4" t="str">
        <f>HYPERLINK("http://141.218.60.56/~jnz1568/getInfo.php?workbook=14_09.xlsx&amp;sheet=A0&amp;row=4192&amp;col=6&amp;number=641000000&amp;sourceID=14","641000000")</f>
        <v>641000000</v>
      </c>
      <c r="G4192" s="4" t="str">
        <f>HYPERLINK("http://141.218.60.56/~jnz1568/getInfo.php?workbook=14_09.xlsx&amp;sheet=A0&amp;row=4192&amp;col=7&amp;number=0&amp;sourceID=14","0")</f>
        <v>0</v>
      </c>
    </row>
    <row r="4193" spans="1:7">
      <c r="A4193" s="3">
        <v>14</v>
      </c>
      <c r="B4193" s="3">
        <v>9</v>
      </c>
      <c r="C4193" s="3">
        <v>193</v>
      </c>
      <c r="D4193" s="3">
        <v>161</v>
      </c>
      <c r="E4193" s="3">
        <v>-463.065</v>
      </c>
      <c r="F4193" s="4" t="str">
        <f>HYPERLINK("http://141.218.60.56/~jnz1568/getInfo.php?workbook=14_09.xlsx&amp;sheet=A0&amp;row=4193&amp;col=6&amp;number=705000000&amp;sourceID=14","705000000")</f>
        <v>705000000</v>
      </c>
      <c r="G4193" s="4" t="str">
        <f>HYPERLINK("http://141.218.60.56/~jnz1568/getInfo.php?workbook=14_09.xlsx&amp;sheet=A0&amp;row=4193&amp;col=7&amp;number=0&amp;sourceID=14","0")</f>
        <v>0</v>
      </c>
    </row>
    <row r="4194" spans="1:7">
      <c r="A4194" s="3">
        <v>14</v>
      </c>
      <c r="B4194" s="3">
        <v>9</v>
      </c>
      <c r="C4194" s="3">
        <v>164</v>
      </c>
      <c r="D4194" s="3">
        <v>162</v>
      </c>
      <c r="E4194" s="3">
        <v>-10204.101</v>
      </c>
      <c r="F4194" s="4" t="str">
        <f>HYPERLINK("http://141.218.60.56/~jnz1568/getInfo.php?workbook=14_09.xlsx&amp;sheet=A0&amp;row=4194&amp;col=6&amp;number=402000&amp;sourceID=14","402000")</f>
        <v>402000</v>
      </c>
      <c r="G4194" s="4" t="str">
        <f>HYPERLINK("http://141.218.60.56/~jnz1568/getInfo.php?workbook=14_09.xlsx&amp;sheet=A0&amp;row=4194&amp;col=7&amp;number=0&amp;sourceID=14","0")</f>
        <v>0</v>
      </c>
    </row>
    <row r="4195" spans="1:7">
      <c r="A4195" s="3">
        <v>14</v>
      </c>
      <c r="B4195" s="3">
        <v>9</v>
      </c>
      <c r="C4195" s="3">
        <v>165</v>
      </c>
      <c r="D4195" s="3">
        <v>162</v>
      </c>
      <c r="E4195" s="3">
        <v>-10193.698</v>
      </c>
      <c r="F4195" s="4" t="str">
        <f>HYPERLINK("http://141.218.60.56/~jnz1568/getInfo.php?workbook=14_09.xlsx&amp;sheet=A0&amp;row=4195&amp;col=6&amp;number=6040000&amp;sourceID=14","6040000")</f>
        <v>6040000</v>
      </c>
      <c r="G4195" s="4" t="str">
        <f>HYPERLINK("http://141.218.60.56/~jnz1568/getInfo.php?workbook=14_09.xlsx&amp;sheet=A0&amp;row=4195&amp;col=7&amp;number=0&amp;sourceID=14","0")</f>
        <v>0</v>
      </c>
    </row>
    <row r="4196" spans="1:7">
      <c r="A4196" s="3">
        <v>14</v>
      </c>
      <c r="B4196" s="3">
        <v>9</v>
      </c>
      <c r="C4196" s="3">
        <v>177</v>
      </c>
      <c r="D4196" s="3">
        <v>162</v>
      </c>
      <c r="E4196" s="3">
        <v>-1756.454</v>
      </c>
      <c r="F4196" s="4" t="str">
        <f>HYPERLINK("http://141.218.60.56/~jnz1568/getInfo.php?workbook=14_09.xlsx&amp;sheet=A0&amp;row=4196&amp;col=6&amp;number=327000&amp;sourceID=14","327000")</f>
        <v>327000</v>
      </c>
      <c r="G4196" s="4" t="str">
        <f>HYPERLINK("http://141.218.60.56/~jnz1568/getInfo.php?workbook=14_09.xlsx&amp;sheet=A0&amp;row=4196&amp;col=7&amp;number=0&amp;sourceID=14","0")</f>
        <v>0</v>
      </c>
    </row>
    <row r="4197" spans="1:7">
      <c r="A4197" s="3">
        <v>14</v>
      </c>
      <c r="B4197" s="3">
        <v>9</v>
      </c>
      <c r="C4197" s="3">
        <v>190</v>
      </c>
      <c r="D4197" s="3">
        <v>162</v>
      </c>
      <c r="E4197" s="3">
        <v>-489.777</v>
      </c>
      <c r="F4197" s="4" t="str">
        <f>HYPERLINK("http://141.218.60.56/~jnz1568/getInfo.php?workbook=14_09.xlsx&amp;sheet=A0&amp;row=4197&amp;col=6&amp;number=10600000&amp;sourceID=14","10600000")</f>
        <v>10600000</v>
      </c>
      <c r="G4197" s="4" t="str">
        <f>HYPERLINK("http://141.218.60.56/~jnz1568/getInfo.php?workbook=14_09.xlsx&amp;sheet=A0&amp;row=4197&amp;col=7&amp;number=0&amp;sourceID=14","0")</f>
        <v>0</v>
      </c>
    </row>
    <row r="4198" spans="1:7">
      <c r="A4198" s="3">
        <v>14</v>
      </c>
      <c r="B4198" s="3">
        <v>9</v>
      </c>
      <c r="C4198" s="3">
        <v>191</v>
      </c>
      <c r="D4198" s="3">
        <v>162</v>
      </c>
      <c r="E4198" s="3">
        <v>-489.575</v>
      </c>
      <c r="F4198" s="4" t="str">
        <f>HYPERLINK("http://141.218.60.56/~jnz1568/getInfo.php?workbook=14_09.xlsx&amp;sheet=A0&amp;row=4198&amp;col=6&amp;number=158000000&amp;sourceID=14","158000000")</f>
        <v>158000000</v>
      </c>
      <c r="G4198" s="4" t="str">
        <f>HYPERLINK("http://141.218.60.56/~jnz1568/getInfo.php?workbook=14_09.xlsx&amp;sheet=A0&amp;row=4198&amp;col=7&amp;number=0&amp;sourceID=14","0")</f>
        <v>0</v>
      </c>
    </row>
    <row r="4199" spans="1:7">
      <c r="A4199" s="3">
        <v>14</v>
      </c>
      <c r="B4199" s="3">
        <v>9</v>
      </c>
      <c r="C4199" s="3">
        <v>192</v>
      </c>
      <c r="D4199" s="3">
        <v>162</v>
      </c>
      <c r="E4199" s="3">
        <v>-481.08</v>
      </c>
      <c r="F4199" s="4" t="str">
        <f>HYPERLINK("http://141.218.60.56/~jnz1568/getInfo.php?workbook=14_09.xlsx&amp;sheet=A0&amp;row=4199&amp;col=6&amp;number=16200000&amp;sourceID=14","16200000")</f>
        <v>16200000</v>
      </c>
      <c r="G4199" s="4" t="str">
        <f>HYPERLINK("http://141.218.60.56/~jnz1568/getInfo.php?workbook=14_09.xlsx&amp;sheet=A0&amp;row=4199&amp;col=7&amp;number=0&amp;sourceID=14","0")</f>
        <v>0</v>
      </c>
    </row>
    <row r="4200" spans="1:7">
      <c r="A4200" s="3">
        <v>14</v>
      </c>
      <c r="B4200" s="3">
        <v>9</v>
      </c>
      <c r="C4200" s="3">
        <v>195</v>
      </c>
      <c r="D4200" s="3">
        <v>162</v>
      </c>
      <c r="E4200" s="3">
        <v>-474.141</v>
      </c>
      <c r="F4200" s="4" t="str">
        <f>HYPERLINK("http://141.218.60.56/~jnz1568/getInfo.php?workbook=14_09.xlsx&amp;sheet=A0&amp;row=4200&amp;col=6&amp;number=2730000&amp;sourceID=14","2730000")</f>
        <v>2730000</v>
      </c>
      <c r="G4200" s="4" t="str">
        <f>HYPERLINK("http://141.218.60.56/~jnz1568/getInfo.php?workbook=14_09.xlsx&amp;sheet=A0&amp;row=4200&amp;col=7&amp;number=0&amp;sourceID=14","0")</f>
        <v>0</v>
      </c>
    </row>
    <row r="4201" spans="1:7">
      <c r="A4201" s="3">
        <v>14</v>
      </c>
      <c r="B4201" s="3">
        <v>9</v>
      </c>
      <c r="C4201" s="3">
        <v>164</v>
      </c>
      <c r="D4201" s="3">
        <v>163</v>
      </c>
      <c r="E4201" s="3">
        <v>-10342.35</v>
      </c>
      <c r="F4201" s="4" t="str">
        <f>HYPERLINK("http://141.218.60.56/~jnz1568/getInfo.php?workbook=14_09.xlsx&amp;sheet=A0&amp;row=4201&amp;col=6&amp;number=5390000&amp;sourceID=14","5390000")</f>
        <v>5390000</v>
      </c>
      <c r="G4201" s="4" t="str">
        <f>HYPERLINK("http://141.218.60.56/~jnz1568/getInfo.php?workbook=14_09.xlsx&amp;sheet=A0&amp;row=4201&amp;col=7&amp;number=0&amp;sourceID=14","0")</f>
        <v>0</v>
      </c>
    </row>
    <row r="4202" spans="1:7">
      <c r="A4202" s="3">
        <v>14</v>
      </c>
      <c r="B4202" s="3">
        <v>9</v>
      </c>
      <c r="C4202" s="3">
        <v>180</v>
      </c>
      <c r="D4202" s="3">
        <v>163</v>
      </c>
      <c r="E4202" s="3">
        <v>-1720.67</v>
      </c>
      <c r="F4202" s="4" t="str">
        <f>HYPERLINK("http://141.218.60.56/~jnz1568/getInfo.php?workbook=14_09.xlsx&amp;sheet=A0&amp;row=4202&amp;col=6&amp;number=382000&amp;sourceID=14","382000")</f>
        <v>382000</v>
      </c>
      <c r="G4202" s="4" t="str">
        <f>HYPERLINK("http://141.218.60.56/~jnz1568/getInfo.php?workbook=14_09.xlsx&amp;sheet=A0&amp;row=4202&amp;col=7&amp;number=0&amp;sourceID=14","0")</f>
        <v>0</v>
      </c>
    </row>
    <row r="4203" spans="1:7">
      <c r="A4203" s="3">
        <v>14</v>
      </c>
      <c r="B4203" s="3">
        <v>9</v>
      </c>
      <c r="C4203" s="3">
        <v>190</v>
      </c>
      <c r="D4203" s="3">
        <v>163</v>
      </c>
      <c r="E4203" s="3">
        <v>-490.091</v>
      </c>
      <c r="F4203" s="4" t="str">
        <f>HYPERLINK("http://141.218.60.56/~jnz1568/getInfo.php?workbook=14_09.xlsx&amp;sheet=A0&amp;row=4203&amp;col=6&amp;number=148000000&amp;sourceID=14","148000000")</f>
        <v>148000000</v>
      </c>
      <c r="G4203" s="4" t="str">
        <f>HYPERLINK("http://141.218.60.56/~jnz1568/getInfo.php?workbook=14_09.xlsx&amp;sheet=A0&amp;row=4203&amp;col=7&amp;number=0&amp;sourceID=14","0")</f>
        <v>0</v>
      </c>
    </row>
    <row r="4204" spans="1:7">
      <c r="A4204" s="3">
        <v>14</v>
      </c>
      <c r="B4204" s="3">
        <v>9</v>
      </c>
      <c r="C4204" s="3">
        <v>193</v>
      </c>
      <c r="D4204" s="3">
        <v>163</v>
      </c>
      <c r="E4204" s="3">
        <v>-481.068</v>
      </c>
      <c r="F4204" s="4" t="str">
        <f>HYPERLINK("http://141.218.60.56/~jnz1568/getInfo.php?workbook=14_09.xlsx&amp;sheet=A0&amp;row=4204&amp;col=6&amp;number=18800000&amp;sourceID=14","18800000")</f>
        <v>18800000</v>
      </c>
      <c r="G4204" s="4" t="str">
        <f>HYPERLINK("http://141.218.60.56/~jnz1568/getInfo.php?workbook=14_09.xlsx&amp;sheet=A0&amp;row=4204&amp;col=7&amp;number=0&amp;sourceID=14","0")</f>
        <v>0</v>
      </c>
    </row>
    <row r="4205" spans="1:7">
      <c r="A4205" s="3">
        <v>14</v>
      </c>
      <c r="B4205" s="3">
        <v>9</v>
      </c>
      <c r="C4205" s="3">
        <v>194</v>
      </c>
      <c r="D4205" s="3">
        <v>163</v>
      </c>
      <c r="E4205" s="3">
        <v>-474.589</v>
      </c>
      <c r="F4205" s="4" t="str">
        <f>HYPERLINK("http://141.218.60.56/~jnz1568/getInfo.php?workbook=14_09.xlsx&amp;sheet=A0&amp;row=4205&amp;col=6&amp;number=2930000&amp;sourceID=14","2930000")</f>
        <v>2930000</v>
      </c>
      <c r="G4205" s="4" t="str">
        <f>HYPERLINK("http://141.218.60.56/~jnz1568/getInfo.php?workbook=14_09.xlsx&amp;sheet=A0&amp;row=4205&amp;col=7&amp;number=0&amp;sourceID=14","0")</f>
        <v>0</v>
      </c>
    </row>
    <row r="4206" spans="1:7">
      <c r="A4206" s="3">
        <v>14</v>
      </c>
      <c r="B4206" s="3">
        <v>9</v>
      </c>
      <c r="C4206" s="3">
        <v>185</v>
      </c>
      <c r="D4206" s="3">
        <v>164</v>
      </c>
      <c r="E4206" s="3">
        <v>-1135.385</v>
      </c>
      <c r="F4206" s="4" t="str">
        <f>HYPERLINK("http://141.218.60.56/~jnz1568/getInfo.php?workbook=14_09.xlsx&amp;sheet=A0&amp;row=4206&amp;col=6&amp;number=5430000&amp;sourceID=14","5430000")</f>
        <v>5430000</v>
      </c>
      <c r="G4206" s="4" t="str">
        <f>HYPERLINK("http://141.218.60.56/~jnz1568/getInfo.php?workbook=14_09.xlsx&amp;sheet=A0&amp;row=4206&amp;col=7&amp;number=0&amp;sourceID=14","0")</f>
        <v>0</v>
      </c>
    </row>
    <row r="4207" spans="1:7">
      <c r="A4207" s="3">
        <v>14</v>
      </c>
      <c r="B4207" s="3">
        <v>9</v>
      </c>
      <c r="C4207" s="3">
        <v>186</v>
      </c>
      <c r="D4207" s="3">
        <v>165</v>
      </c>
      <c r="E4207" s="3">
        <v>-1127.385</v>
      </c>
      <c r="F4207" s="4" t="str">
        <f>HYPERLINK("http://141.218.60.56/~jnz1568/getInfo.php?workbook=14_09.xlsx&amp;sheet=A0&amp;row=4207&amp;col=6&amp;number=5160000&amp;sourceID=14","5160000")</f>
        <v>5160000</v>
      </c>
      <c r="G4207" s="4" t="str">
        <f>HYPERLINK("http://141.218.60.56/~jnz1568/getInfo.php?workbook=14_09.xlsx&amp;sheet=A0&amp;row=4207&amp;col=7&amp;number=0&amp;sourceID=14","0")</f>
        <v>0</v>
      </c>
    </row>
    <row r="4208" spans="1:7">
      <c r="A4208" s="3">
        <v>14</v>
      </c>
      <c r="B4208" s="3">
        <v>9</v>
      </c>
      <c r="C4208" s="3">
        <v>185</v>
      </c>
      <c r="D4208" s="3">
        <v>166</v>
      </c>
      <c r="E4208" s="3">
        <v>-1260.131</v>
      </c>
      <c r="F4208" s="4" t="str">
        <f>HYPERLINK("http://141.218.60.56/~jnz1568/getInfo.php?workbook=14_09.xlsx&amp;sheet=A0&amp;row=4208&amp;col=6&amp;number=184000000&amp;sourceID=14","184000000")</f>
        <v>184000000</v>
      </c>
      <c r="G4208" s="4" t="str">
        <f>HYPERLINK("http://141.218.60.56/~jnz1568/getInfo.php?workbook=14_09.xlsx&amp;sheet=A0&amp;row=4208&amp;col=7&amp;number=0&amp;sourceID=14","0")</f>
        <v>0</v>
      </c>
    </row>
    <row r="4209" spans="1:7">
      <c r="A4209" s="3">
        <v>14</v>
      </c>
      <c r="B4209" s="3">
        <v>9</v>
      </c>
      <c r="C4209" s="3">
        <v>186</v>
      </c>
      <c r="D4209" s="3">
        <v>166</v>
      </c>
      <c r="E4209" s="3">
        <v>-1250.127</v>
      </c>
      <c r="F4209" s="4" t="str">
        <f>HYPERLINK("http://141.218.60.56/~jnz1568/getInfo.php?workbook=14_09.xlsx&amp;sheet=A0&amp;row=4209&amp;col=6&amp;number=919000000&amp;sourceID=14","919000000")</f>
        <v>919000000</v>
      </c>
      <c r="G4209" s="4" t="str">
        <f>HYPERLINK("http://141.218.60.56/~jnz1568/getInfo.php?workbook=14_09.xlsx&amp;sheet=A0&amp;row=4209&amp;col=7&amp;number=0&amp;sourceID=14","0")</f>
        <v>0</v>
      </c>
    </row>
    <row r="4210" spans="1:7">
      <c r="A4210" s="3">
        <v>14</v>
      </c>
      <c r="B4210" s="3">
        <v>9</v>
      </c>
      <c r="C4210" s="3">
        <v>187</v>
      </c>
      <c r="D4210" s="3">
        <v>166</v>
      </c>
      <c r="E4210" s="3">
        <v>-1177.942</v>
      </c>
      <c r="F4210" s="4" t="str">
        <f>HYPERLINK("http://141.218.60.56/~jnz1568/getInfo.php?workbook=14_09.xlsx&amp;sheet=A0&amp;row=4210&amp;col=6&amp;number=330000000&amp;sourceID=14","330000000")</f>
        <v>330000000</v>
      </c>
      <c r="G4210" s="4" t="str">
        <f>HYPERLINK("http://141.218.60.56/~jnz1568/getInfo.php?workbook=14_09.xlsx&amp;sheet=A0&amp;row=4210&amp;col=7&amp;number=0&amp;sourceID=14","0")</f>
        <v>0</v>
      </c>
    </row>
    <row r="4211" spans="1:7">
      <c r="A4211" s="3">
        <v>14</v>
      </c>
      <c r="B4211" s="3">
        <v>9</v>
      </c>
      <c r="C4211" s="3">
        <v>188</v>
      </c>
      <c r="D4211" s="3">
        <v>166</v>
      </c>
      <c r="E4211" s="3">
        <v>-1173.601</v>
      </c>
      <c r="F4211" s="4" t="str">
        <f>HYPERLINK("http://141.218.60.56/~jnz1568/getInfo.php?workbook=14_09.xlsx&amp;sheet=A0&amp;row=4211&amp;col=6&amp;number=808000000&amp;sourceID=14","808000000")</f>
        <v>808000000</v>
      </c>
      <c r="G4211" s="4" t="str">
        <f>HYPERLINK("http://141.218.60.56/~jnz1568/getInfo.php?workbook=14_09.xlsx&amp;sheet=A0&amp;row=4211&amp;col=7&amp;number=0&amp;sourceID=14","0")</f>
        <v>0</v>
      </c>
    </row>
    <row r="4212" spans="1:7">
      <c r="A4212" s="3">
        <v>14</v>
      </c>
      <c r="B4212" s="3">
        <v>9</v>
      </c>
      <c r="C4212" s="3">
        <v>189</v>
      </c>
      <c r="D4212" s="3">
        <v>166</v>
      </c>
      <c r="E4212" s="3">
        <v>-1013.728</v>
      </c>
      <c r="F4212" s="4" t="str">
        <f>HYPERLINK("http://141.218.60.56/~jnz1568/getInfo.php?workbook=14_09.xlsx&amp;sheet=A0&amp;row=4212&amp;col=6&amp;number=1190000000&amp;sourceID=14","1190000000")</f>
        <v>1190000000</v>
      </c>
      <c r="G4212" s="4" t="str">
        <f>HYPERLINK("http://141.218.60.56/~jnz1568/getInfo.php?workbook=14_09.xlsx&amp;sheet=A0&amp;row=4212&amp;col=7&amp;number=0&amp;sourceID=14","0")</f>
        <v>0</v>
      </c>
    </row>
    <row r="4213" spans="1:7">
      <c r="A4213" s="3">
        <v>14</v>
      </c>
      <c r="B4213" s="3">
        <v>9</v>
      </c>
      <c r="C4213" s="3">
        <v>185</v>
      </c>
      <c r="D4213" s="3">
        <v>167</v>
      </c>
      <c r="E4213" s="3">
        <v>-1262.405</v>
      </c>
      <c r="F4213" s="4" t="str">
        <f>HYPERLINK("http://141.218.60.56/~jnz1568/getInfo.php?workbook=14_09.xlsx&amp;sheet=A0&amp;row=4213&amp;col=6&amp;number=709000000&amp;sourceID=14","709000000")</f>
        <v>709000000</v>
      </c>
      <c r="G4213" s="4" t="str">
        <f>HYPERLINK("http://141.218.60.56/~jnz1568/getInfo.php?workbook=14_09.xlsx&amp;sheet=A0&amp;row=4213&amp;col=7&amp;number=0&amp;sourceID=14","0")</f>
        <v>0</v>
      </c>
    </row>
    <row r="4214" spans="1:7">
      <c r="A4214" s="3">
        <v>14</v>
      </c>
      <c r="B4214" s="3">
        <v>9</v>
      </c>
      <c r="C4214" s="3">
        <v>187</v>
      </c>
      <c r="D4214" s="3">
        <v>167</v>
      </c>
      <c r="E4214" s="3">
        <v>-1179.929</v>
      </c>
      <c r="F4214" s="4" t="str">
        <f>HYPERLINK("http://141.218.60.56/~jnz1568/getInfo.php?workbook=14_09.xlsx&amp;sheet=A0&amp;row=4214&amp;col=6&amp;number=676000000&amp;sourceID=14","676000000")</f>
        <v>676000000</v>
      </c>
      <c r="G4214" s="4" t="str">
        <f>HYPERLINK("http://141.218.60.56/~jnz1568/getInfo.php?workbook=14_09.xlsx&amp;sheet=A0&amp;row=4214&amp;col=7&amp;number=0&amp;sourceID=14","0")</f>
        <v>0</v>
      </c>
    </row>
    <row r="4215" spans="1:7">
      <c r="A4215" s="3">
        <v>14</v>
      </c>
      <c r="B4215" s="3">
        <v>9</v>
      </c>
      <c r="C4215" s="3">
        <v>188</v>
      </c>
      <c r="D4215" s="3">
        <v>167</v>
      </c>
      <c r="E4215" s="3">
        <v>-1175.574</v>
      </c>
      <c r="F4215" s="4" t="str">
        <f>HYPERLINK("http://141.218.60.56/~jnz1568/getInfo.php?workbook=14_09.xlsx&amp;sheet=A0&amp;row=4215&amp;col=6&amp;number=212000000&amp;sourceID=14","212000000")</f>
        <v>212000000</v>
      </c>
      <c r="G4215" s="4" t="str">
        <f>HYPERLINK("http://141.218.60.56/~jnz1568/getInfo.php?workbook=14_09.xlsx&amp;sheet=A0&amp;row=4215&amp;col=7&amp;number=0&amp;sourceID=14","0")</f>
        <v>0</v>
      </c>
    </row>
    <row r="4216" spans="1:7">
      <c r="A4216" s="3">
        <v>14</v>
      </c>
      <c r="B4216" s="3">
        <v>9</v>
      </c>
      <c r="C4216" s="3">
        <v>189</v>
      </c>
      <c r="D4216" s="3">
        <v>167</v>
      </c>
      <c r="E4216" s="3">
        <v>-1015.199</v>
      </c>
      <c r="F4216" s="4" t="str">
        <f>HYPERLINK("http://141.218.60.56/~jnz1568/getInfo.php?workbook=14_09.xlsx&amp;sheet=A0&amp;row=4216&amp;col=6&amp;number=574000000&amp;sourceID=14","574000000")</f>
        <v>574000000</v>
      </c>
      <c r="G4216" s="4" t="str">
        <f>HYPERLINK("http://141.218.60.56/~jnz1568/getInfo.php?workbook=14_09.xlsx&amp;sheet=A0&amp;row=4216&amp;col=7&amp;number=0&amp;sourceID=14","0")</f>
        <v>0</v>
      </c>
    </row>
    <row r="4217" spans="1:7">
      <c r="A4217" s="3">
        <v>14</v>
      </c>
      <c r="B4217" s="3">
        <v>9</v>
      </c>
      <c r="C4217" s="3">
        <v>189</v>
      </c>
      <c r="D4217" s="3">
        <v>183</v>
      </c>
      <c r="E4217" s="3">
        <v>-2172.642</v>
      </c>
      <c r="F4217" s="4" t="str">
        <f>HYPERLINK("http://141.218.60.56/~jnz1568/getInfo.php?workbook=14_09.xlsx&amp;sheet=A0&amp;row=4217&amp;col=6&amp;number=2670000&amp;sourceID=14","2670000")</f>
        <v>2670000</v>
      </c>
      <c r="G4217" s="4" t="str">
        <f>HYPERLINK("http://141.218.60.56/~jnz1568/getInfo.php?workbook=14_09.xlsx&amp;sheet=A0&amp;row=4217&amp;col=7&amp;number=0&amp;sourceID=14","0")</f>
        <v>0</v>
      </c>
    </row>
    <row r="4218" spans="1:7">
      <c r="A4218" s="3">
        <v>14</v>
      </c>
      <c r="B4218" s="3">
        <v>9</v>
      </c>
      <c r="C4218" s="3">
        <v>189</v>
      </c>
      <c r="D4218" s="3">
        <v>184</v>
      </c>
      <c r="E4218" s="3">
        <v>-2291.48</v>
      </c>
      <c r="F4218" s="4" t="str">
        <f>HYPERLINK("http://141.218.60.56/~jnz1568/getInfo.php?workbook=14_09.xlsx&amp;sheet=A0&amp;row=4218&amp;col=6&amp;number=4570000&amp;sourceID=14","4570000")</f>
        <v>4570000</v>
      </c>
      <c r="G4218" s="4" t="str">
        <f>HYPERLINK("http://141.218.60.56/~jnz1568/getInfo.php?workbook=14_09.xlsx&amp;sheet=A0&amp;row=4218&amp;col=7&amp;number=0&amp;sourceID=14","0")</f>
        <v>0</v>
      </c>
    </row>
    <row r="4219" spans="1:7">
      <c r="A4219" s="3">
        <v>14</v>
      </c>
      <c r="B4219" s="3">
        <v>9</v>
      </c>
      <c r="C4219" s="3">
        <v>190</v>
      </c>
      <c r="D4219" s="3">
        <v>185</v>
      </c>
      <c r="E4219" s="3">
        <v>-940.744</v>
      </c>
      <c r="F4219" s="4" t="str">
        <f>HYPERLINK("http://141.218.60.56/~jnz1568/getInfo.php?workbook=14_09.xlsx&amp;sheet=A0&amp;row=4219&amp;col=6&amp;number=2380000000&amp;sourceID=14","2380000000")</f>
        <v>2380000000</v>
      </c>
      <c r="G4219" s="4" t="str">
        <f>HYPERLINK("http://141.218.60.56/~jnz1568/getInfo.php?workbook=14_09.xlsx&amp;sheet=A0&amp;row=4219&amp;col=7&amp;number=0&amp;sourceID=14","0")</f>
        <v>0</v>
      </c>
    </row>
    <row r="4220" spans="1:7">
      <c r="A4220" s="3">
        <v>14</v>
      </c>
      <c r="B4220" s="3">
        <v>9</v>
      </c>
      <c r="C4220" s="3">
        <v>193</v>
      </c>
      <c r="D4220" s="3">
        <v>185</v>
      </c>
      <c r="E4220" s="3">
        <v>-908.052</v>
      </c>
      <c r="F4220" s="4" t="str">
        <f>HYPERLINK("http://141.218.60.56/~jnz1568/getInfo.php?workbook=14_09.xlsx&amp;sheet=A0&amp;row=4220&amp;col=6&amp;number=98700000&amp;sourceID=14","98700000")</f>
        <v>98700000</v>
      </c>
      <c r="G4220" s="4" t="str">
        <f>HYPERLINK("http://141.218.60.56/~jnz1568/getInfo.php?workbook=14_09.xlsx&amp;sheet=A0&amp;row=4220&amp;col=7&amp;number=0&amp;sourceID=14","0")</f>
        <v>0</v>
      </c>
    </row>
    <row r="4221" spans="1:7">
      <c r="A4221" s="3">
        <v>14</v>
      </c>
      <c r="B4221" s="3">
        <v>9</v>
      </c>
      <c r="C4221" s="3">
        <v>194</v>
      </c>
      <c r="D4221" s="3">
        <v>185</v>
      </c>
      <c r="E4221" s="3">
        <v>-885.239</v>
      </c>
      <c r="F4221" s="4" t="str">
        <f>HYPERLINK("http://141.218.60.56/~jnz1568/getInfo.php?workbook=14_09.xlsx&amp;sheet=A0&amp;row=4221&amp;col=6&amp;number=706000000&amp;sourceID=14","706000000")</f>
        <v>706000000</v>
      </c>
      <c r="G4221" s="4" t="str">
        <f>HYPERLINK("http://141.218.60.56/~jnz1568/getInfo.php?workbook=14_09.xlsx&amp;sheet=A0&amp;row=4221&amp;col=7&amp;number=0&amp;sourceID=14","0")</f>
        <v>0</v>
      </c>
    </row>
    <row r="4222" spans="1:7">
      <c r="A4222" s="3">
        <v>14</v>
      </c>
      <c r="B4222" s="3">
        <v>9</v>
      </c>
      <c r="C4222" s="3">
        <v>195</v>
      </c>
      <c r="D4222" s="3">
        <v>185</v>
      </c>
      <c r="E4222" s="3">
        <v>-884.707</v>
      </c>
      <c r="F4222" s="4" t="str">
        <f>HYPERLINK("http://141.218.60.56/~jnz1568/getInfo.php?workbook=14_09.xlsx&amp;sheet=A0&amp;row=4222&amp;col=6&amp;number=26400000&amp;sourceID=14","26400000")</f>
        <v>26400000</v>
      </c>
      <c r="G4222" s="4" t="str">
        <f>HYPERLINK("http://141.218.60.56/~jnz1568/getInfo.php?workbook=14_09.xlsx&amp;sheet=A0&amp;row=4222&amp;col=7&amp;number=0&amp;sourceID=14","0")</f>
        <v>0</v>
      </c>
    </row>
    <row r="4223" spans="1:7">
      <c r="A4223" s="3">
        <v>14</v>
      </c>
      <c r="B4223" s="3">
        <v>9</v>
      </c>
      <c r="C4223" s="3">
        <v>190</v>
      </c>
      <c r="D4223" s="3">
        <v>186</v>
      </c>
      <c r="E4223" s="3">
        <v>-946.398</v>
      </c>
      <c r="F4223" s="4" t="str">
        <f>HYPERLINK("http://141.218.60.56/~jnz1568/getInfo.php?workbook=14_09.xlsx&amp;sheet=A0&amp;row=4223&amp;col=6&amp;number=175000000&amp;sourceID=14","175000000")</f>
        <v>175000000</v>
      </c>
      <c r="G4223" s="4" t="str">
        <f>HYPERLINK("http://141.218.60.56/~jnz1568/getInfo.php?workbook=14_09.xlsx&amp;sheet=A0&amp;row=4223&amp;col=7&amp;number=0&amp;sourceID=14","0")</f>
        <v>0</v>
      </c>
    </row>
    <row r="4224" spans="1:7">
      <c r="A4224" s="3">
        <v>14</v>
      </c>
      <c r="B4224" s="3">
        <v>9</v>
      </c>
      <c r="C4224" s="3">
        <v>191</v>
      </c>
      <c r="D4224" s="3">
        <v>186</v>
      </c>
      <c r="E4224" s="3">
        <v>-945.646</v>
      </c>
      <c r="F4224" s="4" t="str">
        <f>HYPERLINK("http://141.218.60.56/~jnz1568/getInfo.php?workbook=14_09.xlsx&amp;sheet=A0&amp;row=4224&amp;col=6&amp;number=2530000000&amp;sourceID=14","2530000000")</f>
        <v>2530000000</v>
      </c>
      <c r="G4224" s="4" t="str">
        <f>HYPERLINK("http://141.218.60.56/~jnz1568/getInfo.php?workbook=14_09.xlsx&amp;sheet=A0&amp;row=4224&amp;col=7&amp;number=0&amp;sourceID=14","0")</f>
        <v>0</v>
      </c>
    </row>
    <row r="4225" spans="1:7">
      <c r="A4225" s="3">
        <v>14</v>
      </c>
      <c r="B4225" s="3">
        <v>9</v>
      </c>
      <c r="C4225" s="3">
        <v>192</v>
      </c>
      <c r="D4225" s="3">
        <v>186</v>
      </c>
      <c r="E4225" s="3">
        <v>-914.455</v>
      </c>
      <c r="F4225" s="4" t="str">
        <f>HYPERLINK("http://141.218.60.56/~jnz1568/getInfo.php?workbook=14_09.xlsx&amp;sheet=A0&amp;row=4225&amp;col=6&amp;number=66600000&amp;sourceID=14","66600000")</f>
        <v>66600000</v>
      </c>
      <c r="G4225" s="4" t="str">
        <f>HYPERLINK("http://141.218.60.56/~jnz1568/getInfo.php?workbook=14_09.xlsx&amp;sheet=A0&amp;row=4225&amp;col=7&amp;number=0&amp;sourceID=14","0")</f>
        <v>0</v>
      </c>
    </row>
    <row r="4226" spans="1:7">
      <c r="A4226" s="3">
        <v>14</v>
      </c>
      <c r="B4226" s="3">
        <v>9</v>
      </c>
      <c r="C4226" s="3">
        <v>194</v>
      </c>
      <c r="D4226" s="3">
        <v>186</v>
      </c>
      <c r="E4226" s="3">
        <v>-890.244</v>
      </c>
      <c r="F4226" s="4" t="str">
        <f>HYPERLINK("http://141.218.60.56/~jnz1568/getInfo.php?workbook=14_09.xlsx&amp;sheet=A0&amp;row=4226&amp;col=6&amp;number=74200000&amp;sourceID=14","74200000")</f>
        <v>74200000</v>
      </c>
      <c r="G4226" s="4" t="str">
        <f>HYPERLINK("http://141.218.60.56/~jnz1568/getInfo.php?workbook=14_09.xlsx&amp;sheet=A0&amp;row=4226&amp;col=7&amp;number=0&amp;sourceID=14","0")</f>
        <v>0</v>
      </c>
    </row>
    <row r="4227" spans="1:7">
      <c r="A4227" s="3">
        <v>14</v>
      </c>
      <c r="B4227" s="3">
        <v>9</v>
      </c>
      <c r="C4227" s="3">
        <v>195</v>
      </c>
      <c r="D4227" s="3">
        <v>186</v>
      </c>
      <c r="E4227" s="3">
        <v>-889.705</v>
      </c>
      <c r="F4227" s="4" t="str">
        <f>HYPERLINK("http://141.218.60.56/~jnz1568/getInfo.php?workbook=14_09.xlsx&amp;sheet=A0&amp;row=4227&amp;col=6&amp;number=661000000&amp;sourceID=14","661000000")</f>
        <v>661000000</v>
      </c>
      <c r="G4227" s="4" t="str">
        <f>HYPERLINK("http://141.218.60.56/~jnz1568/getInfo.php?workbook=14_09.xlsx&amp;sheet=A0&amp;row=4227&amp;col=7&amp;number=0&amp;sourceID=14","0")</f>
        <v>0</v>
      </c>
    </row>
    <row r="4228" spans="1:7">
      <c r="A4228" s="3">
        <v>14</v>
      </c>
      <c r="B4228" s="3">
        <v>9</v>
      </c>
      <c r="C4228" s="3">
        <v>192</v>
      </c>
      <c r="D4228" s="3">
        <v>187</v>
      </c>
      <c r="E4228" s="3">
        <v>-957.37</v>
      </c>
      <c r="F4228" s="4" t="str">
        <f>HYPERLINK("http://141.218.60.56/~jnz1568/getInfo.php?workbook=14_09.xlsx&amp;sheet=A0&amp;row=4228&amp;col=6&amp;number=210000000&amp;sourceID=14","210000000")</f>
        <v>210000000</v>
      </c>
      <c r="G4228" s="4" t="str">
        <f>HYPERLINK("http://141.218.60.56/~jnz1568/getInfo.php?workbook=14_09.xlsx&amp;sheet=A0&amp;row=4228&amp;col=7&amp;number=0&amp;sourceID=14","0")</f>
        <v>0</v>
      </c>
    </row>
    <row r="4229" spans="1:7">
      <c r="A4229" s="3">
        <v>14</v>
      </c>
      <c r="B4229" s="3">
        <v>9</v>
      </c>
      <c r="C4229" s="3">
        <v>193</v>
      </c>
      <c r="D4229" s="3">
        <v>187</v>
      </c>
      <c r="E4229" s="3">
        <v>-956.125</v>
      </c>
      <c r="F4229" s="4" t="str">
        <f>HYPERLINK("http://141.218.60.56/~jnz1568/getInfo.php?workbook=14_09.xlsx&amp;sheet=A0&amp;row=4229&amp;col=6&amp;number=728000000&amp;sourceID=14","728000000")</f>
        <v>728000000</v>
      </c>
      <c r="G4229" s="4" t="str">
        <f>HYPERLINK("http://141.218.60.56/~jnz1568/getInfo.php?workbook=14_09.xlsx&amp;sheet=A0&amp;row=4229&amp;col=7&amp;number=0&amp;sourceID=14","0")</f>
        <v>0</v>
      </c>
    </row>
    <row r="4230" spans="1:7">
      <c r="A4230" s="3">
        <v>14</v>
      </c>
      <c r="B4230" s="3">
        <v>9</v>
      </c>
      <c r="C4230" s="3">
        <v>194</v>
      </c>
      <c r="D4230" s="3">
        <v>187</v>
      </c>
      <c r="E4230" s="3">
        <v>-930.866</v>
      </c>
      <c r="F4230" s="4" t="str">
        <f>HYPERLINK("http://141.218.60.56/~jnz1568/getInfo.php?workbook=14_09.xlsx&amp;sheet=A0&amp;row=4230&amp;col=6&amp;number=1610000000&amp;sourceID=14","1610000000")</f>
        <v>1610000000</v>
      </c>
      <c r="G4230" s="4" t="str">
        <f>HYPERLINK("http://141.218.60.56/~jnz1568/getInfo.php?workbook=14_09.xlsx&amp;sheet=A0&amp;row=4230&amp;col=7&amp;number=0&amp;sourceID=14","0")</f>
        <v>0</v>
      </c>
    </row>
    <row r="4231" spans="1:7">
      <c r="A4231" s="3">
        <v>14</v>
      </c>
      <c r="B4231" s="3">
        <v>9</v>
      </c>
      <c r="C4231" s="3">
        <v>190</v>
      </c>
      <c r="D4231" s="3">
        <v>188</v>
      </c>
      <c r="E4231" s="3">
        <v>-995.542</v>
      </c>
      <c r="F4231" s="4" t="str">
        <f>HYPERLINK("http://141.218.60.56/~jnz1568/getInfo.php?workbook=14_09.xlsx&amp;sheet=A0&amp;row=4231&amp;col=6&amp;number=3410000&amp;sourceID=14","3410000")</f>
        <v>3410000</v>
      </c>
      <c r="G4231" s="4" t="str">
        <f>HYPERLINK("http://141.218.60.56/~jnz1568/getInfo.php?workbook=14_09.xlsx&amp;sheet=A0&amp;row=4231&amp;col=7&amp;number=0&amp;sourceID=14","0")</f>
        <v>0</v>
      </c>
    </row>
    <row r="4232" spans="1:7">
      <c r="A4232" s="3">
        <v>14</v>
      </c>
      <c r="B4232" s="3">
        <v>9</v>
      </c>
      <c r="C4232" s="3">
        <v>192</v>
      </c>
      <c r="D4232" s="3">
        <v>188</v>
      </c>
      <c r="E4232" s="3">
        <v>-960.257</v>
      </c>
      <c r="F4232" s="4" t="str">
        <f>HYPERLINK("http://141.218.60.56/~jnz1568/getInfo.php?workbook=14_09.xlsx&amp;sheet=A0&amp;row=4232&amp;col=6&amp;number=901000000&amp;sourceID=14","901000000")</f>
        <v>901000000</v>
      </c>
      <c r="G4232" s="4" t="str">
        <f>HYPERLINK("http://141.218.60.56/~jnz1568/getInfo.php?workbook=14_09.xlsx&amp;sheet=A0&amp;row=4232&amp;col=7&amp;number=0&amp;sourceID=14","0")</f>
        <v>0</v>
      </c>
    </row>
    <row r="4233" spans="1:7">
      <c r="A4233" s="3">
        <v>14</v>
      </c>
      <c r="B4233" s="3">
        <v>9</v>
      </c>
      <c r="C4233" s="3">
        <v>193</v>
      </c>
      <c r="D4233" s="3">
        <v>188</v>
      </c>
      <c r="E4233" s="3">
        <v>-959.004</v>
      </c>
      <c r="F4233" s="4" t="str">
        <f>HYPERLINK("http://141.218.60.56/~jnz1568/getInfo.php?workbook=14_09.xlsx&amp;sheet=A0&amp;row=4233&amp;col=6&amp;number=350000000&amp;sourceID=14","350000000")</f>
        <v>350000000</v>
      </c>
      <c r="G4233" s="4" t="str">
        <f>HYPERLINK("http://141.218.60.56/~jnz1568/getInfo.php?workbook=14_09.xlsx&amp;sheet=A0&amp;row=4233&amp;col=7&amp;number=0&amp;sourceID=14","0")</f>
        <v>0</v>
      </c>
    </row>
    <row r="4234" spans="1:7">
      <c r="A4234" s="3">
        <v>14</v>
      </c>
      <c r="B4234" s="3">
        <v>9</v>
      </c>
      <c r="C4234" s="3">
        <v>194</v>
      </c>
      <c r="D4234" s="3">
        <v>188</v>
      </c>
      <c r="E4234" s="3">
        <v>-933.595</v>
      </c>
      <c r="F4234" s="4" t="str">
        <f>HYPERLINK("http://141.218.60.56/~jnz1568/getInfo.php?workbook=14_09.xlsx&amp;sheet=A0&amp;row=4234&amp;col=6&amp;number=299000000&amp;sourceID=14","299000000")</f>
        <v>299000000</v>
      </c>
      <c r="G4234" s="4" t="str">
        <f>HYPERLINK("http://141.218.60.56/~jnz1568/getInfo.php?workbook=14_09.xlsx&amp;sheet=A0&amp;row=4234&amp;col=7&amp;number=0&amp;sourceID=14","0")</f>
        <v>0</v>
      </c>
    </row>
    <row r="4235" spans="1:7">
      <c r="A4235" s="3">
        <v>14</v>
      </c>
      <c r="B4235" s="3">
        <v>9</v>
      </c>
      <c r="C4235" s="3">
        <v>195</v>
      </c>
      <c r="D4235" s="3">
        <v>188</v>
      </c>
      <c r="E4235" s="3">
        <v>-933.003</v>
      </c>
      <c r="F4235" s="4" t="str">
        <f>HYPERLINK("http://141.218.60.56/~jnz1568/getInfo.php?workbook=14_09.xlsx&amp;sheet=A0&amp;row=4235&amp;col=6&amp;number=1970000000&amp;sourceID=14","1970000000")</f>
        <v>1970000000</v>
      </c>
      <c r="G4235" s="4" t="str">
        <f>HYPERLINK("http://141.218.60.56/~jnz1568/getInfo.php?workbook=14_09.xlsx&amp;sheet=A0&amp;row=4235&amp;col=7&amp;number=0&amp;sourceID=14","0")</f>
        <v>0</v>
      </c>
    </row>
    <row r="4236" spans="1:7">
      <c r="A4236" s="3">
        <v>14</v>
      </c>
      <c r="B4236" s="3">
        <v>9</v>
      </c>
      <c r="C4236" s="3">
        <v>192</v>
      </c>
      <c r="D4236" s="3">
        <v>189</v>
      </c>
      <c r="E4236" s="3">
        <v>-1102.526</v>
      </c>
      <c r="F4236" s="4" t="str">
        <f>HYPERLINK("http://141.218.60.56/~jnz1568/getInfo.php?workbook=14_09.xlsx&amp;sheet=A0&amp;row=4236&amp;col=6&amp;number=784000000&amp;sourceID=14","784000000")</f>
        <v>784000000</v>
      </c>
      <c r="G4236" s="4" t="str">
        <f>HYPERLINK("http://141.218.60.56/~jnz1568/getInfo.php?workbook=14_09.xlsx&amp;sheet=A0&amp;row=4236&amp;col=7&amp;number=0&amp;sourceID=14","0")</f>
        <v>0</v>
      </c>
    </row>
    <row r="4237" spans="1:7">
      <c r="A4237" s="3">
        <v>14</v>
      </c>
      <c r="B4237" s="3">
        <v>9</v>
      </c>
      <c r="C4237" s="3">
        <v>193</v>
      </c>
      <c r="D4237" s="3">
        <v>189</v>
      </c>
      <c r="E4237" s="3">
        <v>-1100.875</v>
      </c>
      <c r="F4237" s="4" t="str">
        <f>HYPERLINK("http://141.218.60.56/~jnz1568/getInfo.php?workbook=14_09.xlsx&amp;sheet=A0&amp;row=4237&amp;col=6&amp;number=797000000&amp;sourceID=14","797000000")</f>
        <v>797000000</v>
      </c>
      <c r="G4237" s="4" t="str">
        <f>HYPERLINK("http://141.218.60.56/~jnz1568/getInfo.php?workbook=14_09.xlsx&amp;sheet=A0&amp;row=4237&amp;col=7&amp;number=0&amp;sourceID=14","0")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7743"/>
  <sheetViews>
    <sheetView workbookViewId="0"/>
  </sheetViews>
  <sheetFormatPr defaultRowHeight="15"/>
  <cols>
    <col min="1" max="1" width="3.7109375" customWidth="1"/>
    <col min="2" max="2" width="2.7109375" customWidth="1"/>
    <col min="3" max="3" width="2.7109375" customWidth="1"/>
    <col min="4" max="4" width="4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57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53</v>
      </c>
      <c r="D3" s="2" t="s">
        <v>4</v>
      </c>
      <c r="E3" s="2" t="s">
        <v>58</v>
      </c>
      <c r="F3" s="2" t="s">
        <v>59</v>
      </c>
      <c r="G3" s="2" t="s">
        <v>60</v>
      </c>
    </row>
    <row r="4" spans="1:7">
      <c r="A4" s="3">
        <v>14</v>
      </c>
      <c r="B4" s="3">
        <v>9</v>
      </c>
      <c r="C4" s="3">
        <v>1</v>
      </c>
      <c r="D4" s="3">
        <v>2</v>
      </c>
      <c r="E4" s="3">
        <v>1</v>
      </c>
      <c r="F4" s="4" t="str">
        <f>HYPERLINK("http://141.218.60.56/~jnz1568/getInfo.php?workbook=14_09.xlsx&amp;sheet=U0&amp;row=4&amp;col=6&amp;number=3&amp;sourceID=14","3")</f>
        <v>3</v>
      </c>
      <c r="G4" s="4" t="str">
        <f>HYPERLINK("http://141.218.60.56/~jnz1568/getInfo.php?workbook=14_09.xlsx&amp;sheet=U0&amp;row=4&amp;col=7&amp;number=0.184&amp;sourceID=14","0.184")</f>
        <v>0.184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HYPERLINK("http://141.218.60.56/~jnz1568/getInfo.php?workbook=14_09.xlsx&amp;sheet=U0&amp;row=5&amp;col=6&amp;number=3.1&amp;sourceID=14","3.1")</f>
        <v>3.1</v>
      </c>
      <c r="G5" s="4" t="str">
        <f>HYPERLINK("http://141.218.60.56/~jnz1568/getInfo.php?workbook=14_09.xlsx&amp;sheet=U0&amp;row=5&amp;col=7&amp;number=0.186&amp;sourceID=14","0.186")</f>
        <v>0.186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HYPERLINK("http://141.218.60.56/~jnz1568/getInfo.php?workbook=14_09.xlsx&amp;sheet=U0&amp;row=6&amp;col=6&amp;number=3.2&amp;sourceID=14","3.2")</f>
        <v>3.2</v>
      </c>
      <c r="G6" s="4" t="str">
        <f>HYPERLINK("http://141.218.60.56/~jnz1568/getInfo.php?workbook=14_09.xlsx&amp;sheet=U0&amp;row=6&amp;col=7&amp;number=0.188&amp;sourceID=14","0.188")</f>
        <v>0.188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HYPERLINK("http://141.218.60.56/~jnz1568/getInfo.php?workbook=14_09.xlsx&amp;sheet=U0&amp;row=7&amp;col=6&amp;number=3.3&amp;sourceID=14","3.3")</f>
        <v>3.3</v>
      </c>
      <c r="G7" s="4" t="str">
        <f>HYPERLINK("http://141.218.60.56/~jnz1568/getInfo.php?workbook=14_09.xlsx&amp;sheet=U0&amp;row=7&amp;col=7&amp;number=0.19&amp;sourceID=14","0.19")</f>
        <v>0.19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HYPERLINK("http://141.218.60.56/~jnz1568/getInfo.php?workbook=14_09.xlsx&amp;sheet=U0&amp;row=8&amp;col=6&amp;number=3.4&amp;sourceID=14","3.4")</f>
        <v>3.4</v>
      </c>
      <c r="G8" s="4" t="str">
        <f>HYPERLINK("http://141.218.60.56/~jnz1568/getInfo.php?workbook=14_09.xlsx&amp;sheet=U0&amp;row=8&amp;col=7&amp;number=0.193&amp;sourceID=14","0.193")</f>
        <v>0.193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HYPERLINK("http://141.218.60.56/~jnz1568/getInfo.php?workbook=14_09.xlsx&amp;sheet=U0&amp;row=9&amp;col=6&amp;number=3.5&amp;sourceID=14","3.5")</f>
        <v>3.5</v>
      </c>
      <c r="G9" s="4" t="str">
        <f>HYPERLINK("http://141.218.60.56/~jnz1568/getInfo.php?workbook=14_09.xlsx&amp;sheet=U0&amp;row=9&amp;col=7&amp;number=0.197&amp;sourceID=14","0.197")</f>
        <v>0.197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HYPERLINK("http://141.218.60.56/~jnz1568/getInfo.php?workbook=14_09.xlsx&amp;sheet=U0&amp;row=10&amp;col=6&amp;number=3.6&amp;sourceID=14","3.6")</f>
        <v>3.6</v>
      </c>
      <c r="G10" s="4" t="str">
        <f>HYPERLINK("http://141.218.60.56/~jnz1568/getInfo.php?workbook=14_09.xlsx&amp;sheet=U0&amp;row=10&amp;col=7&amp;number=0.202&amp;sourceID=14","0.202")</f>
        <v>0.202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HYPERLINK("http://141.218.60.56/~jnz1568/getInfo.php?workbook=14_09.xlsx&amp;sheet=U0&amp;row=11&amp;col=6&amp;number=3.7&amp;sourceID=14","3.7")</f>
        <v>3.7</v>
      </c>
      <c r="G11" s="4" t="str">
        <f>HYPERLINK("http://141.218.60.56/~jnz1568/getInfo.php?workbook=14_09.xlsx&amp;sheet=U0&amp;row=11&amp;col=7&amp;number=0.208&amp;sourceID=14","0.208")</f>
        <v>0.208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HYPERLINK("http://141.218.60.56/~jnz1568/getInfo.php?workbook=14_09.xlsx&amp;sheet=U0&amp;row=12&amp;col=6&amp;number=3.8&amp;sourceID=14","3.8")</f>
        <v>3.8</v>
      </c>
      <c r="G12" s="4" t="str">
        <f>HYPERLINK("http://141.218.60.56/~jnz1568/getInfo.php?workbook=14_09.xlsx&amp;sheet=U0&amp;row=12&amp;col=7&amp;number=0.215&amp;sourceID=14","0.215")</f>
        <v>0.215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HYPERLINK("http://141.218.60.56/~jnz1568/getInfo.php?workbook=14_09.xlsx&amp;sheet=U0&amp;row=13&amp;col=6&amp;number=3.9&amp;sourceID=14","3.9")</f>
        <v>3.9</v>
      </c>
      <c r="G13" s="4" t="str">
        <f>HYPERLINK("http://141.218.60.56/~jnz1568/getInfo.php?workbook=14_09.xlsx&amp;sheet=U0&amp;row=13&amp;col=7&amp;number=0.225&amp;sourceID=14","0.225")</f>
        <v>0.225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HYPERLINK("http://141.218.60.56/~jnz1568/getInfo.php?workbook=14_09.xlsx&amp;sheet=U0&amp;row=14&amp;col=6&amp;number=4&amp;sourceID=14","4")</f>
        <v>4</v>
      </c>
      <c r="G14" s="4" t="str">
        <f>HYPERLINK("http://141.218.60.56/~jnz1568/getInfo.php?workbook=14_09.xlsx&amp;sheet=U0&amp;row=14&amp;col=7&amp;number=0.236&amp;sourceID=14","0.236")</f>
        <v>0.236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HYPERLINK("http://141.218.60.56/~jnz1568/getInfo.php?workbook=14_09.xlsx&amp;sheet=U0&amp;row=15&amp;col=6&amp;number=4.1&amp;sourceID=14","4.1")</f>
        <v>4.1</v>
      </c>
      <c r="G15" s="4" t="str">
        <f>HYPERLINK("http://141.218.60.56/~jnz1568/getInfo.php?workbook=14_09.xlsx&amp;sheet=U0&amp;row=15&amp;col=7&amp;number=0.25&amp;sourceID=14","0.25")</f>
        <v>0.25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HYPERLINK("http://141.218.60.56/~jnz1568/getInfo.php?workbook=14_09.xlsx&amp;sheet=U0&amp;row=16&amp;col=6&amp;number=4.2&amp;sourceID=14","4.2")</f>
        <v>4.2</v>
      </c>
      <c r="G16" s="4" t="str">
        <f>HYPERLINK("http://141.218.60.56/~jnz1568/getInfo.php?workbook=14_09.xlsx&amp;sheet=U0&amp;row=16&amp;col=7&amp;number=0.268&amp;sourceID=14","0.268")</f>
        <v>0.268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HYPERLINK("http://141.218.60.56/~jnz1568/getInfo.php?workbook=14_09.xlsx&amp;sheet=U0&amp;row=17&amp;col=6&amp;number=4.3&amp;sourceID=14","4.3")</f>
        <v>4.3</v>
      </c>
      <c r="G17" s="4" t="str">
        <f>HYPERLINK("http://141.218.60.56/~jnz1568/getInfo.php?workbook=14_09.xlsx&amp;sheet=U0&amp;row=17&amp;col=7&amp;number=0.289&amp;sourceID=14","0.289")</f>
        <v>0.289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HYPERLINK("http://141.218.60.56/~jnz1568/getInfo.php?workbook=14_09.xlsx&amp;sheet=U0&amp;row=18&amp;col=6&amp;number=4.4&amp;sourceID=14","4.4")</f>
        <v>4.4</v>
      </c>
      <c r="G18" s="4" t="str">
        <f>HYPERLINK("http://141.218.60.56/~jnz1568/getInfo.php?workbook=14_09.xlsx&amp;sheet=U0&amp;row=18&amp;col=7&amp;number=0.314&amp;sourceID=14","0.314")</f>
        <v>0.314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HYPERLINK("http://141.218.60.56/~jnz1568/getInfo.php?workbook=14_09.xlsx&amp;sheet=U0&amp;row=19&amp;col=6&amp;number=4.5&amp;sourceID=14","4.5")</f>
        <v>4.5</v>
      </c>
      <c r="G19" s="4" t="str">
        <f>HYPERLINK("http://141.218.60.56/~jnz1568/getInfo.php?workbook=14_09.xlsx&amp;sheet=U0&amp;row=19&amp;col=7&amp;number=0.342&amp;sourceID=14","0.342")</f>
        <v>0.342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HYPERLINK("http://141.218.60.56/~jnz1568/getInfo.php?workbook=14_09.xlsx&amp;sheet=U0&amp;row=20&amp;col=6&amp;number=4.6&amp;sourceID=14","4.6")</f>
        <v>4.6</v>
      </c>
      <c r="G20" s="4" t="str">
        <f>HYPERLINK("http://141.218.60.56/~jnz1568/getInfo.php?workbook=14_09.xlsx&amp;sheet=U0&amp;row=20&amp;col=7&amp;number=0.373&amp;sourceID=14","0.373")</f>
        <v>0.373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HYPERLINK("http://141.218.60.56/~jnz1568/getInfo.php?workbook=14_09.xlsx&amp;sheet=U0&amp;row=21&amp;col=6&amp;number=4.7&amp;sourceID=14","4.7")</f>
        <v>4.7</v>
      </c>
      <c r="G21" s="4" t="str">
        <f>HYPERLINK("http://141.218.60.56/~jnz1568/getInfo.php?workbook=14_09.xlsx&amp;sheet=U0&amp;row=21&amp;col=7&amp;number=0.405&amp;sourceID=14","0.405")</f>
        <v>0.405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HYPERLINK("http://141.218.60.56/~jnz1568/getInfo.php?workbook=14_09.xlsx&amp;sheet=U0&amp;row=22&amp;col=6&amp;number=4.8&amp;sourceID=14","4.8")</f>
        <v>4.8</v>
      </c>
      <c r="G22" s="4" t="str">
        <f>HYPERLINK("http://141.218.60.56/~jnz1568/getInfo.php?workbook=14_09.xlsx&amp;sheet=U0&amp;row=22&amp;col=7&amp;number=0.433&amp;sourceID=14","0.433")</f>
        <v>0.433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HYPERLINK("http://141.218.60.56/~jnz1568/getInfo.php?workbook=14_09.xlsx&amp;sheet=U0&amp;row=23&amp;col=6&amp;number=4.9&amp;sourceID=14","4.9")</f>
        <v>4.9</v>
      </c>
      <c r="G23" s="4" t="str">
        <f>HYPERLINK("http://141.218.60.56/~jnz1568/getInfo.php?workbook=14_09.xlsx&amp;sheet=U0&amp;row=23&amp;col=7&amp;number=0.452&amp;sourceID=14","0.452")</f>
        <v>0.452</v>
      </c>
    </row>
    <row r="24" spans="1:7">
      <c r="A24" s="3">
        <v>14</v>
      </c>
      <c r="B24" s="3">
        <v>9</v>
      </c>
      <c r="C24" s="3">
        <v>1</v>
      </c>
      <c r="D24" s="3">
        <v>3</v>
      </c>
      <c r="E24" s="3">
        <v>1</v>
      </c>
      <c r="F24" s="4" t="str">
        <f>HYPERLINK("http://141.218.60.56/~jnz1568/getInfo.php?workbook=14_09.xlsx&amp;sheet=U0&amp;row=24&amp;col=6&amp;number=3&amp;sourceID=14","3")</f>
        <v>3</v>
      </c>
      <c r="G24" s="4" t="str">
        <f>HYPERLINK("http://141.218.60.56/~jnz1568/getInfo.php?workbook=14_09.xlsx&amp;sheet=U0&amp;row=24&amp;col=7&amp;number=0.769&amp;sourceID=14","0.769")</f>
        <v>0.769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HYPERLINK("http://141.218.60.56/~jnz1568/getInfo.php?workbook=14_09.xlsx&amp;sheet=U0&amp;row=25&amp;col=6&amp;number=3.1&amp;sourceID=14","3.1")</f>
        <v>3.1</v>
      </c>
      <c r="G25" s="4" t="str">
        <f>HYPERLINK("http://141.218.60.56/~jnz1568/getInfo.php?workbook=14_09.xlsx&amp;sheet=U0&amp;row=25&amp;col=7&amp;number=0.769&amp;sourceID=14","0.769")</f>
        <v>0.769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HYPERLINK("http://141.218.60.56/~jnz1568/getInfo.php?workbook=14_09.xlsx&amp;sheet=U0&amp;row=26&amp;col=6&amp;number=3.2&amp;sourceID=14","3.2")</f>
        <v>3.2</v>
      </c>
      <c r="G26" s="4" t="str">
        <f>HYPERLINK("http://141.218.60.56/~jnz1568/getInfo.php?workbook=14_09.xlsx&amp;sheet=U0&amp;row=26&amp;col=7&amp;number=0.77&amp;sourceID=14","0.77")</f>
        <v>0.77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HYPERLINK("http://141.218.60.56/~jnz1568/getInfo.php?workbook=14_09.xlsx&amp;sheet=U0&amp;row=27&amp;col=6&amp;number=3.3&amp;sourceID=14","3.3")</f>
        <v>3.3</v>
      </c>
      <c r="G27" s="4" t="str">
        <f>HYPERLINK("http://141.218.60.56/~jnz1568/getInfo.php?workbook=14_09.xlsx&amp;sheet=U0&amp;row=27&amp;col=7&amp;number=0.77&amp;sourceID=14","0.77")</f>
        <v>0.77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HYPERLINK("http://141.218.60.56/~jnz1568/getInfo.php?workbook=14_09.xlsx&amp;sheet=U0&amp;row=28&amp;col=6&amp;number=3.4&amp;sourceID=14","3.4")</f>
        <v>3.4</v>
      </c>
      <c r="G28" s="4" t="str">
        <f>HYPERLINK("http://141.218.60.56/~jnz1568/getInfo.php?workbook=14_09.xlsx&amp;sheet=U0&amp;row=28&amp;col=7&amp;number=0.771&amp;sourceID=14","0.771")</f>
        <v>0.771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HYPERLINK("http://141.218.60.56/~jnz1568/getInfo.php?workbook=14_09.xlsx&amp;sheet=U0&amp;row=29&amp;col=6&amp;number=3.5&amp;sourceID=14","3.5")</f>
        <v>3.5</v>
      </c>
      <c r="G29" s="4" t="str">
        <f>HYPERLINK("http://141.218.60.56/~jnz1568/getInfo.php?workbook=14_09.xlsx&amp;sheet=U0&amp;row=29&amp;col=7&amp;number=0.771&amp;sourceID=14","0.771")</f>
        <v>0.771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HYPERLINK("http://141.218.60.56/~jnz1568/getInfo.php?workbook=14_09.xlsx&amp;sheet=U0&amp;row=30&amp;col=6&amp;number=3.6&amp;sourceID=14","3.6")</f>
        <v>3.6</v>
      </c>
      <c r="G30" s="4" t="str">
        <f>HYPERLINK("http://141.218.60.56/~jnz1568/getInfo.php?workbook=14_09.xlsx&amp;sheet=U0&amp;row=30&amp;col=7&amp;number=0.772&amp;sourceID=14","0.772")</f>
        <v>0.772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HYPERLINK("http://141.218.60.56/~jnz1568/getInfo.php?workbook=14_09.xlsx&amp;sheet=U0&amp;row=31&amp;col=6&amp;number=3.7&amp;sourceID=14","3.7")</f>
        <v>3.7</v>
      </c>
      <c r="G31" s="4" t="str">
        <f>HYPERLINK("http://141.218.60.56/~jnz1568/getInfo.php?workbook=14_09.xlsx&amp;sheet=U0&amp;row=31&amp;col=7&amp;number=0.773&amp;sourceID=14","0.773")</f>
        <v>0.773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HYPERLINK("http://141.218.60.56/~jnz1568/getInfo.php?workbook=14_09.xlsx&amp;sheet=U0&amp;row=32&amp;col=6&amp;number=3.8&amp;sourceID=14","3.8")</f>
        <v>3.8</v>
      </c>
      <c r="G32" s="4" t="str">
        <f>HYPERLINK("http://141.218.60.56/~jnz1568/getInfo.php?workbook=14_09.xlsx&amp;sheet=U0&amp;row=32&amp;col=7&amp;number=0.775&amp;sourceID=14","0.775")</f>
        <v>0.775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HYPERLINK("http://141.218.60.56/~jnz1568/getInfo.php?workbook=14_09.xlsx&amp;sheet=U0&amp;row=33&amp;col=6&amp;number=3.9&amp;sourceID=14","3.9")</f>
        <v>3.9</v>
      </c>
      <c r="G33" s="4" t="str">
        <f>HYPERLINK("http://141.218.60.56/~jnz1568/getInfo.php?workbook=14_09.xlsx&amp;sheet=U0&amp;row=33&amp;col=7&amp;number=0.776&amp;sourceID=14","0.776")</f>
        <v>0.776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HYPERLINK("http://141.218.60.56/~jnz1568/getInfo.php?workbook=14_09.xlsx&amp;sheet=U0&amp;row=34&amp;col=6&amp;number=4&amp;sourceID=14","4")</f>
        <v>4</v>
      </c>
      <c r="G34" s="4" t="str">
        <f>HYPERLINK("http://141.218.60.56/~jnz1568/getInfo.php?workbook=14_09.xlsx&amp;sheet=U0&amp;row=34&amp;col=7&amp;number=0.778&amp;sourceID=14","0.778")</f>
        <v>0.778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HYPERLINK("http://141.218.60.56/~jnz1568/getInfo.php?workbook=14_09.xlsx&amp;sheet=U0&amp;row=35&amp;col=6&amp;number=4.1&amp;sourceID=14","4.1")</f>
        <v>4.1</v>
      </c>
      <c r="G35" s="4" t="str">
        <f>HYPERLINK("http://141.218.60.56/~jnz1568/getInfo.php?workbook=14_09.xlsx&amp;sheet=U0&amp;row=35&amp;col=7&amp;number=0.781&amp;sourceID=14","0.781")</f>
        <v>0.781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HYPERLINK("http://141.218.60.56/~jnz1568/getInfo.php?workbook=14_09.xlsx&amp;sheet=U0&amp;row=36&amp;col=6&amp;number=4.2&amp;sourceID=14","4.2")</f>
        <v>4.2</v>
      </c>
      <c r="G36" s="4" t="str">
        <f>HYPERLINK("http://141.218.60.56/~jnz1568/getInfo.php?workbook=14_09.xlsx&amp;sheet=U0&amp;row=36&amp;col=7&amp;number=0.784&amp;sourceID=14","0.784")</f>
        <v>0.784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HYPERLINK("http://141.218.60.56/~jnz1568/getInfo.php?workbook=14_09.xlsx&amp;sheet=U0&amp;row=37&amp;col=6&amp;number=4.3&amp;sourceID=14","4.3")</f>
        <v>4.3</v>
      </c>
      <c r="G37" s="4" t="str">
        <f>HYPERLINK("http://141.218.60.56/~jnz1568/getInfo.php?workbook=14_09.xlsx&amp;sheet=U0&amp;row=37&amp;col=7&amp;number=0.788&amp;sourceID=14","0.788")</f>
        <v>0.788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HYPERLINK("http://141.218.60.56/~jnz1568/getInfo.php?workbook=14_09.xlsx&amp;sheet=U0&amp;row=38&amp;col=6&amp;number=4.4&amp;sourceID=14","4.4")</f>
        <v>4.4</v>
      </c>
      <c r="G38" s="4" t="str">
        <f>HYPERLINK("http://141.218.60.56/~jnz1568/getInfo.php?workbook=14_09.xlsx&amp;sheet=U0&amp;row=38&amp;col=7&amp;number=0.792&amp;sourceID=14","0.792")</f>
        <v>0.792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HYPERLINK("http://141.218.60.56/~jnz1568/getInfo.php?workbook=14_09.xlsx&amp;sheet=U0&amp;row=39&amp;col=6&amp;number=4.5&amp;sourceID=14","4.5")</f>
        <v>4.5</v>
      </c>
      <c r="G39" s="4" t="str">
        <f>HYPERLINK("http://141.218.60.56/~jnz1568/getInfo.php?workbook=14_09.xlsx&amp;sheet=U0&amp;row=39&amp;col=7&amp;number=0.798&amp;sourceID=14","0.798")</f>
        <v>0.798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HYPERLINK("http://141.218.60.56/~jnz1568/getInfo.php?workbook=14_09.xlsx&amp;sheet=U0&amp;row=40&amp;col=6&amp;number=4.6&amp;sourceID=14","4.6")</f>
        <v>4.6</v>
      </c>
      <c r="G40" s="4" t="str">
        <f>HYPERLINK("http://141.218.60.56/~jnz1568/getInfo.php?workbook=14_09.xlsx&amp;sheet=U0&amp;row=40&amp;col=7&amp;number=0.804&amp;sourceID=14","0.804")</f>
        <v>0.804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HYPERLINK("http://141.218.60.56/~jnz1568/getInfo.php?workbook=14_09.xlsx&amp;sheet=U0&amp;row=41&amp;col=6&amp;number=4.7&amp;sourceID=14","4.7")</f>
        <v>4.7</v>
      </c>
      <c r="G41" s="4" t="str">
        <f>HYPERLINK("http://141.218.60.56/~jnz1568/getInfo.php?workbook=14_09.xlsx&amp;sheet=U0&amp;row=41&amp;col=7&amp;number=0.811&amp;sourceID=14","0.811")</f>
        <v>0.811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HYPERLINK("http://141.218.60.56/~jnz1568/getInfo.php?workbook=14_09.xlsx&amp;sheet=U0&amp;row=42&amp;col=6&amp;number=4.8&amp;sourceID=14","4.8")</f>
        <v>4.8</v>
      </c>
      <c r="G42" s="4" t="str">
        <f>HYPERLINK("http://141.218.60.56/~jnz1568/getInfo.php?workbook=14_09.xlsx&amp;sheet=U0&amp;row=42&amp;col=7&amp;number=0.817&amp;sourceID=14","0.817")</f>
        <v>0.817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HYPERLINK("http://141.218.60.56/~jnz1568/getInfo.php?workbook=14_09.xlsx&amp;sheet=U0&amp;row=43&amp;col=6&amp;number=4.9&amp;sourceID=14","4.9")</f>
        <v>4.9</v>
      </c>
      <c r="G43" s="4" t="str">
        <f>HYPERLINK("http://141.218.60.56/~jnz1568/getInfo.php?workbook=14_09.xlsx&amp;sheet=U0&amp;row=43&amp;col=7&amp;number=0.823&amp;sourceID=14","0.823")</f>
        <v>0.823</v>
      </c>
    </row>
    <row r="44" spans="1:7">
      <c r="A44" s="3">
        <v>14</v>
      </c>
      <c r="B44" s="3">
        <v>9</v>
      </c>
      <c r="C44" s="3">
        <v>1</v>
      </c>
      <c r="D44" s="3">
        <v>4</v>
      </c>
      <c r="E44" s="3">
        <v>1</v>
      </c>
      <c r="F44" s="4" t="str">
        <f>HYPERLINK("http://141.218.60.56/~jnz1568/getInfo.php?workbook=14_09.xlsx&amp;sheet=U0&amp;row=44&amp;col=6&amp;number=3&amp;sourceID=14","3")</f>
        <v>3</v>
      </c>
      <c r="G44" s="4" t="str">
        <f>HYPERLINK("http://141.218.60.56/~jnz1568/getInfo.php?workbook=14_09.xlsx&amp;sheet=U0&amp;row=44&amp;col=7&amp;number=0.703&amp;sourceID=14","0.703")</f>
        <v>0.703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HYPERLINK("http://141.218.60.56/~jnz1568/getInfo.php?workbook=14_09.xlsx&amp;sheet=U0&amp;row=45&amp;col=6&amp;number=3.1&amp;sourceID=14","3.1")</f>
        <v>3.1</v>
      </c>
      <c r="G45" s="4" t="str">
        <f>HYPERLINK("http://141.218.60.56/~jnz1568/getInfo.php?workbook=14_09.xlsx&amp;sheet=U0&amp;row=45&amp;col=7&amp;number=0.701&amp;sourceID=14","0.701")</f>
        <v>0.701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HYPERLINK("http://141.218.60.56/~jnz1568/getInfo.php?workbook=14_09.xlsx&amp;sheet=U0&amp;row=46&amp;col=6&amp;number=3.2&amp;sourceID=14","3.2")</f>
        <v>3.2</v>
      </c>
      <c r="G46" s="4" t="str">
        <f>HYPERLINK("http://141.218.60.56/~jnz1568/getInfo.php?workbook=14_09.xlsx&amp;sheet=U0&amp;row=46&amp;col=7&amp;number=0.7&amp;sourceID=14","0.7")</f>
        <v>0.7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HYPERLINK("http://141.218.60.56/~jnz1568/getInfo.php?workbook=14_09.xlsx&amp;sheet=U0&amp;row=47&amp;col=6&amp;number=3.3&amp;sourceID=14","3.3")</f>
        <v>3.3</v>
      </c>
      <c r="G47" s="4" t="str">
        <f>HYPERLINK("http://141.218.60.56/~jnz1568/getInfo.php?workbook=14_09.xlsx&amp;sheet=U0&amp;row=47&amp;col=7&amp;number=0.698&amp;sourceID=14","0.698")</f>
        <v>0.698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HYPERLINK("http://141.218.60.56/~jnz1568/getInfo.php?workbook=14_09.xlsx&amp;sheet=U0&amp;row=48&amp;col=6&amp;number=3.4&amp;sourceID=14","3.4")</f>
        <v>3.4</v>
      </c>
      <c r="G48" s="4" t="str">
        <f>HYPERLINK("http://141.218.60.56/~jnz1568/getInfo.php?workbook=14_09.xlsx&amp;sheet=U0&amp;row=48&amp;col=7&amp;number=0.695&amp;sourceID=14","0.695")</f>
        <v>0.695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HYPERLINK("http://141.218.60.56/~jnz1568/getInfo.php?workbook=14_09.xlsx&amp;sheet=U0&amp;row=49&amp;col=6&amp;number=3.5&amp;sourceID=14","3.5")</f>
        <v>3.5</v>
      </c>
      <c r="G49" s="4" t="str">
        <f>HYPERLINK("http://141.218.60.56/~jnz1568/getInfo.php?workbook=14_09.xlsx&amp;sheet=U0&amp;row=49&amp;col=7&amp;number=0.691&amp;sourceID=14","0.691")</f>
        <v>0.691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HYPERLINK("http://141.218.60.56/~jnz1568/getInfo.php?workbook=14_09.xlsx&amp;sheet=U0&amp;row=50&amp;col=6&amp;number=3.6&amp;sourceID=14","3.6")</f>
        <v>3.6</v>
      </c>
      <c r="G50" s="4" t="str">
        <f>HYPERLINK("http://141.218.60.56/~jnz1568/getInfo.php?workbook=14_09.xlsx&amp;sheet=U0&amp;row=50&amp;col=7&amp;number=0.687&amp;sourceID=14","0.687")</f>
        <v>0.687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HYPERLINK("http://141.218.60.56/~jnz1568/getInfo.php?workbook=14_09.xlsx&amp;sheet=U0&amp;row=51&amp;col=6&amp;number=3.7&amp;sourceID=14","3.7")</f>
        <v>3.7</v>
      </c>
      <c r="G51" s="4" t="str">
        <f>HYPERLINK("http://141.218.60.56/~jnz1568/getInfo.php?workbook=14_09.xlsx&amp;sheet=U0&amp;row=51&amp;col=7&amp;number=0.682&amp;sourceID=14","0.682")</f>
        <v>0.682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HYPERLINK("http://141.218.60.56/~jnz1568/getInfo.php?workbook=14_09.xlsx&amp;sheet=U0&amp;row=52&amp;col=6&amp;number=3.8&amp;sourceID=14","3.8")</f>
        <v>3.8</v>
      </c>
      <c r="G52" s="4" t="str">
        <f>HYPERLINK("http://141.218.60.56/~jnz1568/getInfo.php?workbook=14_09.xlsx&amp;sheet=U0&amp;row=52&amp;col=7&amp;number=0.675&amp;sourceID=14","0.675")</f>
        <v>0.675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HYPERLINK("http://141.218.60.56/~jnz1568/getInfo.php?workbook=14_09.xlsx&amp;sheet=U0&amp;row=53&amp;col=6&amp;number=3.9&amp;sourceID=14","3.9")</f>
        <v>3.9</v>
      </c>
      <c r="G53" s="4" t="str">
        <f>HYPERLINK("http://141.218.60.56/~jnz1568/getInfo.php?workbook=14_09.xlsx&amp;sheet=U0&amp;row=53&amp;col=7&amp;number=0.667&amp;sourceID=14","0.667")</f>
        <v>0.667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HYPERLINK("http://141.218.60.56/~jnz1568/getInfo.php?workbook=14_09.xlsx&amp;sheet=U0&amp;row=54&amp;col=6&amp;number=4&amp;sourceID=14","4")</f>
        <v>4</v>
      </c>
      <c r="G54" s="4" t="str">
        <f>HYPERLINK("http://141.218.60.56/~jnz1568/getInfo.php?workbook=14_09.xlsx&amp;sheet=U0&amp;row=54&amp;col=7&amp;number=0.656&amp;sourceID=14","0.656")</f>
        <v>0.656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HYPERLINK("http://141.218.60.56/~jnz1568/getInfo.php?workbook=14_09.xlsx&amp;sheet=U0&amp;row=55&amp;col=6&amp;number=4.1&amp;sourceID=14","4.1")</f>
        <v>4.1</v>
      </c>
      <c r="G55" s="4" t="str">
        <f>HYPERLINK("http://141.218.60.56/~jnz1568/getInfo.php?workbook=14_09.xlsx&amp;sheet=U0&amp;row=55&amp;col=7&amp;number=0.643&amp;sourceID=14","0.643")</f>
        <v>0.643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HYPERLINK("http://141.218.60.56/~jnz1568/getInfo.php?workbook=14_09.xlsx&amp;sheet=U0&amp;row=56&amp;col=6&amp;number=4.2&amp;sourceID=14","4.2")</f>
        <v>4.2</v>
      </c>
      <c r="G56" s="4" t="str">
        <f>HYPERLINK("http://141.218.60.56/~jnz1568/getInfo.php?workbook=14_09.xlsx&amp;sheet=U0&amp;row=56&amp;col=7&amp;number=0.628&amp;sourceID=14","0.628")</f>
        <v>0.628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HYPERLINK("http://141.218.60.56/~jnz1568/getInfo.php?workbook=14_09.xlsx&amp;sheet=U0&amp;row=57&amp;col=6&amp;number=4.3&amp;sourceID=14","4.3")</f>
        <v>4.3</v>
      </c>
      <c r="G57" s="4" t="str">
        <f>HYPERLINK("http://141.218.60.56/~jnz1568/getInfo.php?workbook=14_09.xlsx&amp;sheet=U0&amp;row=57&amp;col=7&amp;number=0.608&amp;sourceID=14","0.608")</f>
        <v>0.608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HYPERLINK("http://141.218.60.56/~jnz1568/getInfo.php?workbook=14_09.xlsx&amp;sheet=U0&amp;row=58&amp;col=6&amp;number=4.4&amp;sourceID=14","4.4")</f>
        <v>4.4</v>
      </c>
      <c r="G58" s="4" t="str">
        <f>HYPERLINK("http://141.218.60.56/~jnz1568/getInfo.php?workbook=14_09.xlsx&amp;sheet=U0&amp;row=58&amp;col=7&amp;number=0.585&amp;sourceID=14","0.585")</f>
        <v>0.585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HYPERLINK("http://141.218.60.56/~jnz1568/getInfo.php?workbook=14_09.xlsx&amp;sheet=U0&amp;row=59&amp;col=6&amp;number=4.5&amp;sourceID=14","4.5")</f>
        <v>4.5</v>
      </c>
      <c r="G59" s="4" t="str">
        <f>HYPERLINK("http://141.218.60.56/~jnz1568/getInfo.php?workbook=14_09.xlsx&amp;sheet=U0&amp;row=59&amp;col=7&amp;number=0.557&amp;sourceID=14","0.557")</f>
        <v>0.557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HYPERLINK("http://141.218.60.56/~jnz1568/getInfo.php?workbook=14_09.xlsx&amp;sheet=U0&amp;row=60&amp;col=6&amp;number=4.6&amp;sourceID=14","4.6")</f>
        <v>4.6</v>
      </c>
      <c r="G60" s="4" t="str">
        <f>HYPERLINK("http://141.218.60.56/~jnz1568/getInfo.php?workbook=14_09.xlsx&amp;sheet=U0&amp;row=60&amp;col=7&amp;number=0.525&amp;sourceID=14","0.525")</f>
        <v>0.525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HYPERLINK("http://141.218.60.56/~jnz1568/getInfo.php?workbook=14_09.xlsx&amp;sheet=U0&amp;row=61&amp;col=6&amp;number=4.7&amp;sourceID=14","4.7")</f>
        <v>4.7</v>
      </c>
      <c r="G61" s="4" t="str">
        <f>HYPERLINK("http://141.218.60.56/~jnz1568/getInfo.php?workbook=14_09.xlsx&amp;sheet=U0&amp;row=61&amp;col=7&amp;number=0.487&amp;sourceID=14","0.487")</f>
        <v>0.487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HYPERLINK("http://141.218.60.56/~jnz1568/getInfo.php?workbook=14_09.xlsx&amp;sheet=U0&amp;row=62&amp;col=6&amp;number=4.8&amp;sourceID=14","4.8")</f>
        <v>4.8</v>
      </c>
      <c r="G62" s="4" t="str">
        <f>HYPERLINK("http://141.218.60.56/~jnz1568/getInfo.php?workbook=14_09.xlsx&amp;sheet=U0&amp;row=62&amp;col=7&amp;number=0.446&amp;sourceID=14","0.446")</f>
        <v>0.446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HYPERLINK("http://141.218.60.56/~jnz1568/getInfo.php?workbook=14_09.xlsx&amp;sheet=U0&amp;row=63&amp;col=6&amp;number=4.9&amp;sourceID=14","4.9")</f>
        <v>4.9</v>
      </c>
      <c r="G63" s="4" t="str">
        <f>HYPERLINK("http://141.218.60.56/~jnz1568/getInfo.php?workbook=14_09.xlsx&amp;sheet=U0&amp;row=63&amp;col=7&amp;number=0.401&amp;sourceID=14","0.401")</f>
        <v>0.401</v>
      </c>
    </row>
    <row r="64" spans="1:7">
      <c r="A64" s="3">
        <v>14</v>
      </c>
      <c r="B64" s="3">
        <v>9</v>
      </c>
      <c r="C64" s="3">
        <v>1</v>
      </c>
      <c r="D64" s="3">
        <v>5</v>
      </c>
      <c r="E64" s="3">
        <v>1</v>
      </c>
      <c r="F64" s="4" t="str">
        <f>HYPERLINK("http://141.218.60.56/~jnz1568/getInfo.php?workbook=14_09.xlsx&amp;sheet=U0&amp;row=64&amp;col=6&amp;number=3&amp;sourceID=14","3")</f>
        <v>3</v>
      </c>
      <c r="G64" s="4" t="str">
        <f>HYPERLINK("http://141.218.60.56/~jnz1568/getInfo.php?workbook=14_09.xlsx&amp;sheet=U0&amp;row=64&amp;col=7&amp;number=0.336&amp;sourceID=14","0.336")</f>
        <v>0.336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HYPERLINK("http://141.218.60.56/~jnz1568/getInfo.php?workbook=14_09.xlsx&amp;sheet=U0&amp;row=65&amp;col=6&amp;number=3.1&amp;sourceID=14","3.1")</f>
        <v>3.1</v>
      </c>
      <c r="G65" s="4" t="str">
        <f>HYPERLINK("http://141.218.60.56/~jnz1568/getInfo.php?workbook=14_09.xlsx&amp;sheet=U0&amp;row=65&amp;col=7&amp;number=0.336&amp;sourceID=14","0.336")</f>
        <v>0.336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HYPERLINK("http://141.218.60.56/~jnz1568/getInfo.php?workbook=14_09.xlsx&amp;sheet=U0&amp;row=66&amp;col=6&amp;number=3.2&amp;sourceID=14","3.2")</f>
        <v>3.2</v>
      </c>
      <c r="G66" s="4" t="str">
        <f>HYPERLINK("http://141.218.60.56/~jnz1568/getInfo.php?workbook=14_09.xlsx&amp;sheet=U0&amp;row=66&amp;col=7&amp;number=0.335&amp;sourceID=14","0.335")</f>
        <v>0.335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HYPERLINK("http://141.218.60.56/~jnz1568/getInfo.php?workbook=14_09.xlsx&amp;sheet=U0&amp;row=67&amp;col=6&amp;number=3.3&amp;sourceID=14","3.3")</f>
        <v>3.3</v>
      </c>
      <c r="G67" s="4" t="str">
        <f>HYPERLINK("http://141.218.60.56/~jnz1568/getInfo.php?workbook=14_09.xlsx&amp;sheet=U0&amp;row=67&amp;col=7&amp;number=0.335&amp;sourceID=14","0.335")</f>
        <v>0.335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HYPERLINK("http://141.218.60.56/~jnz1568/getInfo.php?workbook=14_09.xlsx&amp;sheet=U0&amp;row=68&amp;col=6&amp;number=3.4&amp;sourceID=14","3.4")</f>
        <v>3.4</v>
      </c>
      <c r="G68" s="4" t="str">
        <f>HYPERLINK("http://141.218.60.56/~jnz1568/getInfo.php?workbook=14_09.xlsx&amp;sheet=U0&amp;row=68&amp;col=7&amp;number=0.334&amp;sourceID=14","0.334")</f>
        <v>0.334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HYPERLINK("http://141.218.60.56/~jnz1568/getInfo.php?workbook=14_09.xlsx&amp;sheet=U0&amp;row=69&amp;col=6&amp;number=3.5&amp;sourceID=14","3.5")</f>
        <v>3.5</v>
      </c>
      <c r="G69" s="4" t="str">
        <f>HYPERLINK("http://141.218.60.56/~jnz1568/getInfo.php?workbook=14_09.xlsx&amp;sheet=U0&amp;row=69&amp;col=7&amp;number=0.333&amp;sourceID=14","0.333")</f>
        <v>0.333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HYPERLINK("http://141.218.60.56/~jnz1568/getInfo.php?workbook=14_09.xlsx&amp;sheet=U0&amp;row=70&amp;col=6&amp;number=3.6&amp;sourceID=14","3.6")</f>
        <v>3.6</v>
      </c>
      <c r="G70" s="4" t="str">
        <f>HYPERLINK("http://141.218.60.56/~jnz1568/getInfo.php?workbook=14_09.xlsx&amp;sheet=U0&amp;row=70&amp;col=7&amp;number=0.332&amp;sourceID=14","0.332")</f>
        <v>0.332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HYPERLINK("http://141.218.60.56/~jnz1568/getInfo.php?workbook=14_09.xlsx&amp;sheet=U0&amp;row=71&amp;col=6&amp;number=3.7&amp;sourceID=14","3.7")</f>
        <v>3.7</v>
      </c>
      <c r="G71" s="4" t="str">
        <f>HYPERLINK("http://141.218.60.56/~jnz1568/getInfo.php?workbook=14_09.xlsx&amp;sheet=U0&amp;row=71&amp;col=7&amp;number=0.331&amp;sourceID=14","0.331")</f>
        <v>0.331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HYPERLINK("http://141.218.60.56/~jnz1568/getInfo.php?workbook=14_09.xlsx&amp;sheet=U0&amp;row=72&amp;col=6&amp;number=3.8&amp;sourceID=14","3.8")</f>
        <v>3.8</v>
      </c>
      <c r="G72" s="4" t="str">
        <f>HYPERLINK("http://141.218.60.56/~jnz1568/getInfo.php?workbook=14_09.xlsx&amp;sheet=U0&amp;row=72&amp;col=7&amp;number=0.329&amp;sourceID=14","0.329")</f>
        <v>0.329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HYPERLINK("http://141.218.60.56/~jnz1568/getInfo.php?workbook=14_09.xlsx&amp;sheet=U0&amp;row=73&amp;col=6&amp;number=3.9&amp;sourceID=14","3.9")</f>
        <v>3.9</v>
      </c>
      <c r="G73" s="4" t="str">
        <f>HYPERLINK("http://141.218.60.56/~jnz1568/getInfo.php?workbook=14_09.xlsx&amp;sheet=U0&amp;row=73&amp;col=7&amp;number=0.327&amp;sourceID=14","0.327")</f>
        <v>0.327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HYPERLINK("http://141.218.60.56/~jnz1568/getInfo.php?workbook=14_09.xlsx&amp;sheet=U0&amp;row=74&amp;col=6&amp;number=4&amp;sourceID=14","4")</f>
        <v>4</v>
      </c>
      <c r="G74" s="4" t="str">
        <f>HYPERLINK("http://141.218.60.56/~jnz1568/getInfo.php?workbook=14_09.xlsx&amp;sheet=U0&amp;row=74&amp;col=7&amp;number=0.324&amp;sourceID=14","0.324")</f>
        <v>0.324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HYPERLINK("http://141.218.60.56/~jnz1568/getInfo.php?workbook=14_09.xlsx&amp;sheet=U0&amp;row=75&amp;col=6&amp;number=4.1&amp;sourceID=14","4.1")</f>
        <v>4.1</v>
      </c>
      <c r="G75" s="4" t="str">
        <f>HYPERLINK("http://141.218.60.56/~jnz1568/getInfo.php?workbook=14_09.xlsx&amp;sheet=U0&amp;row=75&amp;col=7&amp;number=0.321&amp;sourceID=14","0.321")</f>
        <v>0.321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HYPERLINK("http://141.218.60.56/~jnz1568/getInfo.php?workbook=14_09.xlsx&amp;sheet=U0&amp;row=76&amp;col=6&amp;number=4.2&amp;sourceID=14","4.2")</f>
        <v>4.2</v>
      </c>
      <c r="G76" s="4" t="str">
        <f>HYPERLINK("http://141.218.60.56/~jnz1568/getInfo.php?workbook=14_09.xlsx&amp;sheet=U0&amp;row=76&amp;col=7&amp;number=0.316&amp;sourceID=14","0.316")</f>
        <v>0.316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HYPERLINK("http://141.218.60.56/~jnz1568/getInfo.php?workbook=14_09.xlsx&amp;sheet=U0&amp;row=77&amp;col=6&amp;number=4.3&amp;sourceID=14","4.3")</f>
        <v>4.3</v>
      </c>
      <c r="G77" s="4" t="str">
        <f>HYPERLINK("http://141.218.60.56/~jnz1568/getInfo.php?workbook=14_09.xlsx&amp;sheet=U0&amp;row=77&amp;col=7&amp;number=0.311&amp;sourceID=14","0.311")</f>
        <v>0.311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HYPERLINK("http://141.218.60.56/~jnz1568/getInfo.php?workbook=14_09.xlsx&amp;sheet=U0&amp;row=78&amp;col=6&amp;number=4.4&amp;sourceID=14","4.4")</f>
        <v>4.4</v>
      </c>
      <c r="G78" s="4" t="str">
        <f>HYPERLINK("http://141.218.60.56/~jnz1568/getInfo.php?workbook=14_09.xlsx&amp;sheet=U0&amp;row=78&amp;col=7&amp;number=0.304&amp;sourceID=14","0.304")</f>
        <v>0.304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HYPERLINK("http://141.218.60.56/~jnz1568/getInfo.php?workbook=14_09.xlsx&amp;sheet=U0&amp;row=79&amp;col=6&amp;number=4.5&amp;sourceID=14","4.5")</f>
        <v>4.5</v>
      </c>
      <c r="G79" s="4" t="str">
        <f>HYPERLINK("http://141.218.60.56/~jnz1568/getInfo.php?workbook=14_09.xlsx&amp;sheet=U0&amp;row=79&amp;col=7&amp;number=0.296&amp;sourceID=14","0.296")</f>
        <v>0.296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HYPERLINK("http://141.218.60.56/~jnz1568/getInfo.php?workbook=14_09.xlsx&amp;sheet=U0&amp;row=80&amp;col=6&amp;number=4.6&amp;sourceID=14","4.6")</f>
        <v>4.6</v>
      </c>
      <c r="G80" s="4" t="str">
        <f>HYPERLINK("http://141.218.60.56/~jnz1568/getInfo.php?workbook=14_09.xlsx&amp;sheet=U0&amp;row=80&amp;col=7&amp;number=0.286&amp;sourceID=14","0.286")</f>
        <v>0.286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HYPERLINK("http://141.218.60.56/~jnz1568/getInfo.php?workbook=14_09.xlsx&amp;sheet=U0&amp;row=81&amp;col=6&amp;number=4.7&amp;sourceID=14","4.7")</f>
        <v>4.7</v>
      </c>
      <c r="G81" s="4" t="str">
        <f>HYPERLINK("http://141.218.60.56/~jnz1568/getInfo.php?workbook=14_09.xlsx&amp;sheet=U0&amp;row=81&amp;col=7&amp;number=0.273&amp;sourceID=14","0.273")</f>
        <v>0.273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HYPERLINK("http://141.218.60.56/~jnz1568/getInfo.php?workbook=14_09.xlsx&amp;sheet=U0&amp;row=82&amp;col=6&amp;number=4.8&amp;sourceID=14","4.8")</f>
        <v>4.8</v>
      </c>
      <c r="G82" s="4" t="str">
        <f>HYPERLINK("http://141.218.60.56/~jnz1568/getInfo.php?workbook=14_09.xlsx&amp;sheet=U0&amp;row=82&amp;col=7&amp;number=0.256&amp;sourceID=14","0.256")</f>
        <v>0.256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HYPERLINK("http://141.218.60.56/~jnz1568/getInfo.php?workbook=14_09.xlsx&amp;sheet=U0&amp;row=83&amp;col=6&amp;number=4.9&amp;sourceID=14","4.9")</f>
        <v>4.9</v>
      </c>
      <c r="G83" s="4" t="str">
        <f>HYPERLINK("http://141.218.60.56/~jnz1568/getInfo.php?workbook=14_09.xlsx&amp;sheet=U0&amp;row=83&amp;col=7&amp;number=0.236&amp;sourceID=14","0.236")</f>
        <v>0.236</v>
      </c>
    </row>
    <row r="84" spans="1:7">
      <c r="A84" s="3">
        <v>14</v>
      </c>
      <c r="B84" s="3">
        <v>9</v>
      </c>
      <c r="C84" s="3">
        <v>1</v>
      </c>
      <c r="D84" s="3">
        <v>6</v>
      </c>
      <c r="E84" s="3">
        <v>1</v>
      </c>
      <c r="F84" s="4" t="str">
        <f>HYPERLINK("http://141.218.60.56/~jnz1568/getInfo.php?workbook=14_09.xlsx&amp;sheet=U0&amp;row=84&amp;col=6&amp;number=3&amp;sourceID=14","3")</f>
        <v>3</v>
      </c>
      <c r="G84" s="4" t="str">
        <f>HYPERLINK("http://141.218.60.56/~jnz1568/getInfo.php?workbook=14_09.xlsx&amp;sheet=U0&amp;row=84&amp;col=7&amp;number=0.168&amp;sourceID=14","0.168")</f>
        <v>0.168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HYPERLINK("http://141.218.60.56/~jnz1568/getInfo.php?workbook=14_09.xlsx&amp;sheet=U0&amp;row=85&amp;col=6&amp;number=3.1&amp;sourceID=14","3.1")</f>
        <v>3.1</v>
      </c>
      <c r="G85" s="4" t="str">
        <f>HYPERLINK("http://141.218.60.56/~jnz1568/getInfo.php?workbook=14_09.xlsx&amp;sheet=U0&amp;row=85&amp;col=7&amp;number=0.168&amp;sourceID=14","0.168")</f>
        <v>0.168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HYPERLINK("http://141.218.60.56/~jnz1568/getInfo.php?workbook=14_09.xlsx&amp;sheet=U0&amp;row=86&amp;col=6&amp;number=3.2&amp;sourceID=14","3.2")</f>
        <v>3.2</v>
      </c>
      <c r="G86" s="4" t="str">
        <f>HYPERLINK("http://141.218.60.56/~jnz1568/getInfo.php?workbook=14_09.xlsx&amp;sheet=U0&amp;row=86&amp;col=7&amp;number=0.168&amp;sourceID=14","0.168")</f>
        <v>0.168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HYPERLINK("http://141.218.60.56/~jnz1568/getInfo.php?workbook=14_09.xlsx&amp;sheet=U0&amp;row=87&amp;col=6&amp;number=3.3&amp;sourceID=14","3.3")</f>
        <v>3.3</v>
      </c>
      <c r="G87" s="4" t="str">
        <f>HYPERLINK("http://141.218.60.56/~jnz1568/getInfo.php?workbook=14_09.xlsx&amp;sheet=U0&amp;row=87&amp;col=7&amp;number=0.168&amp;sourceID=14","0.168")</f>
        <v>0.168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HYPERLINK("http://141.218.60.56/~jnz1568/getInfo.php?workbook=14_09.xlsx&amp;sheet=U0&amp;row=88&amp;col=6&amp;number=3.4&amp;sourceID=14","3.4")</f>
        <v>3.4</v>
      </c>
      <c r="G88" s="4" t="str">
        <f>HYPERLINK("http://141.218.60.56/~jnz1568/getInfo.php?workbook=14_09.xlsx&amp;sheet=U0&amp;row=88&amp;col=7&amp;number=0.167&amp;sourceID=14","0.167")</f>
        <v>0.167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HYPERLINK("http://141.218.60.56/~jnz1568/getInfo.php?workbook=14_09.xlsx&amp;sheet=U0&amp;row=89&amp;col=6&amp;number=3.5&amp;sourceID=14","3.5")</f>
        <v>3.5</v>
      </c>
      <c r="G89" s="4" t="str">
        <f>HYPERLINK("http://141.218.60.56/~jnz1568/getInfo.php?workbook=14_09.xlsx&amp;sheet=U0&amp;row=89&amp;col=7&amp;number=0.167&amp;sourceID=14","0.167")</f>
        <v>0.167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HYPERLINK("http://141.218.60.56/~jnz1568/getInfo.php?workbook=14_09.xlsx&amp;sheet=U0&amp;row=90&amp;col=6&amp;number=3.6&amp;sourceID=14","3.6")</f>
        <v>3.6</v>
      </c>
      <c r="G90" s="4" t="str">
        <f>HYPERLINK("http://141.218.60.56/~jnz1568/getInfo.php?workbook=14_09.xlsx&amp;sheet=U0&amp;row=90&amp;col=7&amp;number=0.167&amp;sourceID=14","0.167")</f>
        <v>0.167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HYPERLINK("http://141.218.60.56/~jnz1568/getInfo.php?workbook=14_09.xlsx&amp;sheet=U0&amp;row=91&amp;col=6&amp;number=3.7&amp;sourceID=14","3.7")</f>
        <v>3.7</v>
      </c>
      <c r="G91" s="4" t="str">
        <f>HYPERLINK("http://141.218.60.56/~jnz1568/getInfo.php?workbook=14_09.xlsx&amp;sheet=U0&amp;row=91&amp;col=7&amp;number=0.166&amp;sourceID=14","0.166")</f>
        <v>0.166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HYPERLINK("http://141.218.60.56/~jnz1568/getInfo.php?workbook=14_09.xlsx&amp;sheet=U0&amp;row=92&amp;col=6&amp;number=3.8&amp;sourceID=14","3.8")</f>
        <v>3.8</v>
      </c>
      <c r="G92" s="4" t="str">
        <f>HYPERLINK("http://141.218.60.56/~jnz1568/getInfo.php?workbook=14_09.xlsx&amp;sheet=U0&amp;row=92&amp;col=7&amp;number=0.166&amp;sourceID=14","0.166")</f>
        <v>0.166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HYPERLINK("http://141.218.60.56/~jnz1568/getInfo.php?workbook=14_09.xlsx&amp;sheet=U0&amp;row=93&amp;col=6&amp;number=3.9&amp;sourceID=14","3.9")</f>
        <v>3.9</v>
      </c>
      <c r="G93" s="4" t="str">
        <f>HYPERLINK("http://141.218.60.56/~jnz1568/getInfo.php?workbook=14_09.xlsx&amp;sheet=U0&amp;row=93&amp;col=7&amp;number=0.165&amp;sourceID=14","0.165")</f>
        <v>0.165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HYPERLINK("http://141.218.60.56/~jnz1568/getInfo.php?workbook=14_09.xlsx&amp;sheet=U0&amp;row=94&amp;col=6&amp;number=4&amp;sourceID=14","4")</f>
        <v>4</v>
      </c>
      <c r="G94" s="4" t="str">
        <f>HYPERLINK("http://141.218.60.56/~jnz1568/getInfo.php?workbook=14_09.xlsx&amp;sheet=U0&amp;row=94&amp;col=7&amp;number=0.164&amp;sourceID=14","0.164")</f>
        <v>0.164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HYPERLINK("http://141.218.60.56/~jnz1568/getInfo.php?workbook=14_09.xlsx&amp;sheet=U0&amp;row=95&amp;col=6&amp;number=4.1&amp;sourceID=14","4.1")</f>
        <v>4.1</v>
      </c>
      <c r="G95" s="4" t="str">
        <f>HYPERLINK("http://141.218.60.56/~jnz1568/getInfo.php?workbook=14_09.xlsx&amp;sheet=U0&amp;row=95&amp;col=7&amp;number=0.162&amp;sourceID=14","0.162")</f>
        <v>0.162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HYPERLINK("http://141.218.60.56/~jnz1568/getInfo.php?workbook=14_09.xlsx&amp;sheet=U0&amp;row=96&amp;col=6&amp;number=4.2&amp;sourceID=14","4.2")</f>
        <v>4.2</v>
      </c>
      <c r="G96" s="4" t="str">
        <f>HYPERLINK("http://141.218.60.56/~jnz1568/getInfo.php?workbook=14_09.xlsx&amp;sheet=U0&amp;row=96&amp;col=7&amp;number=0.16&amp;sourceID=14","0.16")</f>
        <v>0.16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HYPERLINK("http://141.218.60.56/~jnz1568/getInfo.php?workbook=14_09.xlsx&amp;sheet=U0&amp;row=97&amp;col=6&amp;number=4.3&amp;sourceID=14","4.3")</f>
        <v>4.3</v>
      </c>
      <c r="G97" s="4" t="str">
        <f>HYPERLINK("http://141.218.60.56/~jnz1568/getInfo.php?workbook=14_09.xlsx&amp;sheet=U0&amp;row=97&amp;col=7&amp;number=0.158&amp;sourceID=14","0.158")</f>
        <v>0.158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HYPERLINK("http://141.218.60.56/~jnz1568/getInfo.php?workbook=14_09.xlsx&amp;sheet=U0&amp;row=98&amp;col=6&amp;number=4.4&amp;sourceID=14","4.4")</f>
        <v>4.4</v>
      </c>
      <c r="G98" s="4" t="str">
        <f>HYPERLINK("http://141.218.60.56/~jnz1568/getInfo.php?workbook=14_09.xlsx&amp;sheet=U0&amp;row=98&amp;col=7&amp;number=0.155&amp;sourceID=14","0.155")</f>
        <v>0.155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HYPERLINK("http://141.218.60.56/~jnz1568/getInfo.php?workbook=14_09.xlsx&amp;sheet=U0&amp;row=99&amp;col=6&amp;number=4.5&amp;sourceID=14","4.5")</f>
        <v>4.5</v>
      </c>
      <c r="G99" s="4" t="str">
        <f>HYPERLINK("http://141.218.60.56/~jnz1568/getInfo.php?workbook=14_09.xlsx&amp;sheet=U0&amp;row=99&amp;col=7&amp;number=0.151&amp;sourceID=14","0.151")</f>
        <v>0.151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HYPERLINK("http://141.218.60.56/~jnz1568/getInfo.php?workbook=14_09.xlsx&amp;sheet=U0&amp;row=100&amp;col=6&amp;number=4.6&amp;sourceID=14","4.6")</f>
        <v>4.6</v>
      </c>
      <c r="G100" s="4" t="str">
        <f>HYPERLINK("http://141.218.60.56/~jnz1568/getInfo.php?workbook=14_09.xlsx&amp;sheet=U0&amp;row=100&amp;col=7&amp;number=0.145&amp;sourceID=14","0.145")</f>
        <v>0.145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HYPERLINK("http://141.218.60.56/~jnz1568/getInfo.php?workbook=14_09.xlsx&amp;sheet=U0&amp;row=101&amp;col=6&amp;number=4.7&amp;sourceID=14","4.7")</f>
        <v>4.7</v>
      </c>
      <c r="G101" s="4" t="str">
        <f>HYPERLINK("http://141.218.60.56/~jnz1568/getInfo.php?workbook=14_09.xlsx&amp;sheet=U0&amp;row=101&amp;col=7&amp;number=0.137&amp;sourceID=14","0.137")</f>
        <v>0.137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HYPERLINK("http://141.218.60.56/~jnz1568/getInfo.php?workbook=14_09.xlsx&amp;sheet=U0&amp;row=102&amp;col=6&amp;number=4.8&amp;sourceID=14","4.8")</f>
        <v>4.8</v>
      </c>
      <c r="G102" s="4" t="str">
        <f>HYPERLINK("http://141.218.60.56/~jnz1568/getInfo.php?workbook=14_09.xlsx&amp;sheet=U0&amp;row=102&amp;col=7&amp;number=0.126&amp;sourceID=14","0.126")</f>
        <v>0.126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HYPERLINK("http://141.218.60.56/~jnz1568/getInfo.php?workbook=14_09.xlsx&amp;sheet=U0&amp;row=103&amp;col=6&amp;number=4.9&amp;sourceID=14","4.9")</f>
        <v>4.9</v>
      </c>
      <c r="G103" s="4" t="str">
        <f>HYPERLINK("http://141.218.60.56/~jnz1568/getInfo.php?workbook=14_09.xlsx&amp;sheet=U0&amp;row=103&amp;col=7&amp;number=0.113&amp;sourceID=14","0.113")</f>
        <v>0.113</v>
      </c>
    </row>
    <row r="104" spans="1:7">
      <c r="A104" s="3">
        <v>14</v>
      </c>
      <c r="B104" s="3">
        <v>9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HYPERLINK("http://141.218.60.56/~jnz1568/getInfo.php?workbook=14_09.xlsx&amp;sheet=U0&amp;row=104&amp;col=6&amp;number=3&amp;sourceID=14","3")</f>
        <v>3</v>
      </c>
      <c r="G104" s="4" t="str">
        <f>HYPERLINK("http://141.218.60.56/~jnz1568/getInfo.php?workbook=14_09.xlsx&amp;sheet=U0&amp;row=104&amp;col=7&amp;number=0.881&amp;sourceID=14","0.881")</f>
        <v>0.881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HYPERLINK("http://141.218.60.56/~jnz1568/getInfo.php?workbook=14_09.xlsx&amp;sheet=U0&amp;row=105&amp;col=6&amp;number=3.1&amp;sourceID=14","3.1")</f>
        <v>3.1</v>
      </c>
      <c r="G105" s="4" t="str">
        <f>HYPERLINK("http://141.218.60.56/~jnz1568/getInfo.php?workbook=14_09.xlsx&amp;sheet=U0&amp;row=105&amp;col=7&amp;number=0.879&amp;sourceID=14","0.879")</f>
        <v>0.879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HYPERLINK("http://141.218.60.56/~jnz1568/getInfo.php?workbook=14_09.xlsx&amp;sheet=U0&amp;row=106&amp;col=6&amp;number=3.2&amp;sourceID=14","3.2")</f>
        <v>3.2</v>
      </c>
      <c r="G106" s="4" t="str">
        <f>HYPERLINK("http://141.218.60.56/~jnz1568/getInfo.php?workbook=14_09.xlsx&amp;sheet=U0&amp;row=106&amp;col=7&amp;number=0.876&amp;sourceID=14","0.876")</f>
        <v>0.876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HYPERLINK("http://141.218.60.56/~jnz1568/getInfo.php?workbook=14_09.xlsx&amp;sheet=U0&amp;row=107&amp;col=6&amp;number=3.3&amp;sourceID=14","3.3")</f>
        <v>3.3</v>
      </c>
      <c r="G107" s="4" t="str">
        <f>HYPERLINK("http://141.218.60.56/~jnz1568/getInfo.php?workbook=14_09.xlsx&amp;sheet=U0&amp;row=107&amp;col=7&amp;number=0.873&amp;sourceID=14","0.873")</f>
        <v>0.873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HYPERLINK("http://141.218.60.56/~jnz1568/getInfo.php?workbook=14_09.xlsx&amp;sheet=U0&amp;row=108&amp;col=6&amp;number=3.4&amp;sourceID=14","3.4")</f>
        <v>3.4</v>
      </c>
      <c r="G108" s="4" t="str">
        <f>HYPERLINK("http://141.218.60.56/~jnz1568/getInfo.php?workbook=14_09.xlsx&amp;sheet=U0&amp;row=108&amp;col=7&amp;number=0.869&amp;sourceID=14","0.869")</f>
        <v>0.869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HYPERLINK("http://141.218.60.56/~jnz1568/getInfo.php?workbook=14_09.xlsx&amp;sheet=U0&amp;row=109&amp;col=6&amp;number=3.5&amp;sourceID=14","3.5")</f>
        <v>3.5</v>
      </c>
      <c r="G109" s="4" t="str">
        <f>HYPERLINK("http://141.218.60.56/~jnz1568/getInfo.php?workbook=14_09.xlsx&amp;sheet=U0&amp;row=109&amp;col=7&amp;number=0.864&amp;sourceID=14","0.864")</f>
        <v>0.864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HYPERLINK("http://141.218.60.56/~jnz1568/getInfo.php?workbook=14_09.xlsx&amp;sheet=U0&amp;row=110&amp;col=6&amp;number=3.6&amp;sourceID=14","3.6")</f>
        <v>3.6</v>
      </c>
      <c r="G110" s="4" t="str">
        <f>HYPERLINK("http://141.218.60.56/~jnz1568/getInfo.php?workbook=14_09.xlsx&amp;sheet=U0&amp;row=110&amp;col=7&amp;number=0.858&amp;sourceID=14","0.858")</f>
        <v>0.858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HYPERLINK("http://141.218.60.56/~jnz1568/getInfo.php?workbook=14_09.xlsx&amp;sheet=U0&amp;row=111&amp;col=6&amp;number=3.7&amp;sourceID=14","3.7")</f>
        <v>3.7</v>
      </c>
      <c r="G111" s="4" t="str">
        <f>HYPERLINK("http://141.218.60.56/~jnz1568/getInfo.php?workbook=14_09.xlsx&amp;sheet=U0&amp;row=111&amp;col=7&amp;number=0.85&amp;sourceID=14","0.85")</f>
        <v>0.85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HYPERLINK("http://141.218.60.56/~jnz1568/getInfo.php?workbook=14_09.xlsx&amp;sheet=U0&amp;row=112&amp;col=6&amp;number=3.8&amp;sourceID=14","3.8")</f>
        <v>3.8</v>
      </c>
      <c r="G112" s="4" t="str">
        <f>HYPERLINK("http://141.218.60.56/~jnz1568/getInfo.php?workbook=14_09.xlsx&amp;sheet=U0&amp;row=112&amp;col=7&amp;number=0.841&amp;sourceID=14","0.841")</f>
        <v>0.841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HYPERLINK("http://141.218.60.56/~jnz1568/getInfo.php?workbook=14_09.xlsx&amp;sheet=U0&amp;row=113&amp;col=6&amp;number=3.9&amp;sourceID=14","3.9")</f>
        <v>3.9</v>
      </c>
      <c r="G113" s="4" t="str">
        <f>HYPERLINK("http://141.218.60.56/~jnz1568/getInfo.php?workbook=14_09.xlsx&amp;sheet=U0&amp;row=113&amp;col=7&amp;number=0.828&amp;sourceID=14","0.828")</f>
        <v>0.828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HYPERLINK("http://141.218.60.56/~jnz1568/getInfo.php?workbook=14_09.xlsx&amp;sheet=U0&amp;row=114&amp;col=6&amp;number=4&amp;sourceID=14","4")</f>
        <v>4</v>
      </c>
      <c r="G114" s="4" t="str">
        <f>HYPERLINK("http://141.218.60.56/~jnz1568/getInfo.php?workbook=14_09.xlsx&amp;sheet=U0&amp;row=114&amp;col=7&amp;number=0.813&amp;sourceID=14","0.813")</f>
        <v>0.813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HYPERLINK("http://141.218.60.56/~jnz1568/getInfo.php?workbook=14_09.xlsx&amp;sheet=U0&amp;row=115&amp;col=6&amp;number=4.1&amp;sourceID=14","4.1")</f>
        <v>4.1</v>
      </c>
      <c r="G115" s="4" t="str">
        <f>HYPERLINK("http://141.218.60.56/~jnz1568/getInfo.php?workbook=14_09.xlsx&amp;sheet=U0&amp;row=115&amp;col=7&amp;number=0.795&amp;sourceID=14","0.795")</f>
        <v>0.795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HYPERLINK("http://141.218.60.56/~jnz1568/getInfo.php?workbook=14_09.xlsx&amp;sheet=U0&amp;row=116&amp;col=6&amp;number=4.2&amp;sourceID=14","4.2")</f>
        <v>4.2</v>
      </c>
      <c r="G116" s="4" t="str">
        <f>HYPERLINK("http://141.218.60.56/~jnz1568/getInfo.php?workbook=14_09.xlsx&amp;sheet=U0&amp;row=116&amp;col=7&amp;number=0.771&amp;sourceID=14","0.771")</f>
        <v>0.771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HYPERLINK("http://141.218.60.56/~jnz1568/getInfo.php?workbook=14_09.xlsx&amp;sheet=U0&amp;row=117&amp;col=6&amp;number=4.3&amp;sourceID=14","4.3")</f>
        <v>4.3</v>
      </c>
      <c r="G117" s="4" t="str">
        <f>HYPERLINK("http://141.218.60.56/~jnz1568/getInfo.php?workbook=14_09.xlsx&amp;sheet=U0&amp;row=117&amp;col=7&amp;number=0.743&amp;sourceID=14","0.743")</f>
        <v>0.743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HYPERLINK("http://141.218.60.56/~jnz1568/getInfo.php?workbook=14_09.xlsx&amp;sheet=U0&amp;row=118&amp;col=6&amp;number=4.4&amp;sourceID=14","4.4")</f>
        <v>4.4</v>
      </c>
      <c r="G118" s="4" t="str">
        <f>HYPERLINK("http://141.218.60.56/~jnz1568/getInfo.php?workbook=14_09.xlsx&amp;sheet=U0&amp;row=118&amp;col=7&amp;number=0.708&amp;sourceID=14","0.708")</f>
        <v>0.708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HYPERLINK("http://141.218.60.56/~jnz1568/getInfo.php?workbook=14_09.xlsx&amp;sheet=U0&amp;row=119&amp;col=6&amp;number=4.5&amp;sourceID=14","4.5")</f>
        <v>4.5</v>
      </c>
      <c r="G119" s="4" t="str">
        <f>HYPERLINK("http://141.218.60.56/~jnz1568/getInfo.php?workbook=14_09.xlsx&amp;sheet=U0&amp;row=119&amp;col=7&amp;number=0.667&amp;sourceID=14","0.667")</f>
        <v>0.667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HYPERLINK("http://141.218.60.56/~jnz1568/getInfo.php?workbook=14_09.xlsx&amp;sheet=U0&amp;row=120&amp;col=6&amp;number=4.6&amp;sourceID=14","4.6")</f>
        <v>4.6</v>
      </c>
      <c r="G120" s="4" t="str">
        <f>HYPERLINK("http://141.218.60.56/~jnz1568/getInfo.php?workbook=14_09.xlsx&amp;sheet=U0&amp;row=120&amp;col=7&amp;number=0.619&amp;sourceID=14","0.619")</f>
        <v>0.619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HYPERLINK("http://141.218.60.56/~jnz1568/getInfo.php?workbook=14_09.xlsx&amp;sheet=U0&amp;row=121&amp;col=6&amp;number=4.7&amp;sourceID=14","4.7")</f>
        <v>4.7</v>
      </c>
      <c r="G121" s="4" t="str">
        <f>HYPERLINK("http://141.218.60.56/~jnz1568/getInfo.php?workbook=14_09.xlsx&amp;sheet=U0&amp;row=121&amp;col=7&amp;number=0.565&amp;sourceID=14","0.565")</f>
        <v>0.565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HYPERLINK("http://141.218.60.56/~jnz1568/getInfo.php?workbook=14_09.xlsx&amp;sheet=U0&amp;row=122&amp;col=6&amp;number=4.8&amp;sourceID=14","4.8")</f>
        <v>4.8</v>
      </c>
      <c r="G122" s="4" t="str">
        <f>HYPERLINK("http://141.218.60.56/~jnz1568/getInfo.php?workbook=14_09.xlsx&amp;sheet=U0&amp;row=122&amp;col=7&amp;number=0.507&amp;sourceID=14","0.507")</f>
        <v>0.507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HYPERLINK("http://141.218.60.56/~jnz1568/getInfo.php?workbook=14_09.xlsx&amp;sheet=U0&amp;row=123&amp;col=6&amp;number=4.9&amp;sourceID=14","4.9")</f>
        <v>4.9</v>
      </c>
      <c r="G123" s="4" t="str">
        <f>HYPERLINK("http://141.218.60.56/~jnz1568/getInfo.php?workbook=14_09.xlsx&amp;sheet=U0&amp;row=123&amp;col=7&amp;number=0.451&amp;sourceID=14","0.451")</f>
        <v>0.451</v>
      </c>
    </row>
    <row r="124" spans="1:7">
      <c r="A124" s="3">
        <v>14</v>
      </c>
      <c r="B124" s="3">
        <v>9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HYPERLINK("http://141.218.60.56/~jnz1568/getInfo.php?workbook=14_09.xlsx&amp;sheet=U0&amp;row=124&amp;col=6&amp;number=3&amp;sourceID=14","3")</f>
        <v>3</v>
      </c>
      <c r="G124" s="4" t="str">
        <f>HYPERLINK("http://141.218.60.56/~jnz1568/getInfo.php?workbook=14_09.xlsx&amp;sheet=U0&amp;row=124&amp;col=7&amp;number=0.478&amp;sourceID=14","0.478")</f>
        <v>0.478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HYPERLINK("http://141.218.60.56/~jnz1568/getInfo.php?workbook=14_09.xlsx&amp;sheet=U0&amp;row=125&amp;col=6&amp;number=3.1&amp;sourceID=14","3.1")</f>
        <v>3.1</v>
      </c>
      <c r="G125" s="4" t="str">
        <f>HYPERLINK("http://141.218.60.56/~jnz1568/getInfo.php?workbook=14_09.xlsx&amp;sheet=U0&amp;row=125&amp;col=7&amp;number=0.477&amp;sourceID=14","0.477")</f>
        <v>0.477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HYPERLINK("http://141.218.60.56/~jnz1568/getInfo.php?workbook=14_09.xlsx&amp;sheet=U0&amp;row=126&amp;col=6&amp;number=3.2&amp;sourceID=14","3.2")</f>
        <v>3.2</v>
      </c>
      <c r="G126" s="4" t="str">
        <f>HYPERLINK("http://141.218.60.56/~jnz1568/getInfo.php?workbook=14_09.xlsx&amp;sheet=U0&amp;row=126&amp;col=7&amp;number=0.476&amp;sourceID=14","0.476")</f>
        <v>0.476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HYPERLINK("http://141.218.60.56/~jnz1568/getInfo.php?workbook=14_09.xlsx&amp;sheet=U0&amp;row=127&amp;col=6&amp;number=3.3&amp;sourceID=14","3.3")</f>
        <v>3.3</v>
      </c>
      <c r="G127" s="4" t="str">
        <f>HYPERLINK("http://141.218.60.56/~jnz1568/getInfo.php?workbook=14_09.xlsx&amp;sheet=U0&amp;row=127&amp;col=7&amp;number=0.474&amp;sourceID=14","0.474")</f>
        <v>0.474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HYPERLINK("http://141.218.60.56/~jnz1568/getInfo.php?workbook=14_09.xlsx&amp;sheet=U0&amp;row=128&amp;col=6&amp;number=3.4&amp;sourceID=14","3.4")</f>
        <v>3.4</v>
      </c>
      <c r="G128" s="4" t="str">
        <f>HYPERLINK("http://141.218.60.56/~jnz1568/getInfo.php?workbook=14_09.xlsx&amp;sheet=U0&amp;row=128&amp;col=7&amp;number=0.471&amp;sourceID=14","0.471")</f>
        <v>0.471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HYPERLINK("http://141.218.60.56/~jnz1568/getInfo.php?workbook=14_09.xlsx&amp;sheet=U0&amp;row=129&amp;col=6&amp;number=3.5&amp;sourceID=14","3.5")</f>
        <v>3.5</v>
      </c>
      <c r="G129" s="4" t="str">
        <f>HYPERLINK("http://141.218.60.56/~jnz1568/getInfo.php?workbook=14_09.xlsx&amp;sheet=U0&amp;row=129&amp;col=7&amp;number=0.468&amp;sourceID=14","0.468")</f>
        <v>0.468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HYPERLINK("http://141.218.60.56/~jnz1568/getInfo.php?workbook=14_09.xlsx&amp;sheet=U0&amp;row=130&amp;col=6&amp;number=3.6&amp;sourceID=14","3.6")</f>
        <v>3.6</v>
      </c>
      <c r="G130" s="4" t="str">
        <f>HYPERLINK("http://141.218.60.56/~jnz1568/getInfo.php?workbook=14_09.xlsx&amp;sheet=U0&amp;row=130&amp;col=7&amp;number=0.464&amp;sourceID=14","0.464")</f>
        <v>0.464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HYPERLINK("http://141.218.60.56/~jnz1568/getInfo.php?workbook=14_09.xlsx&amp;sheet=U0&amp;row=131&amp;col=6&amp;number=3.7&amp;sourceID=14","3.7")</f>
        <v>3.7</v>
      </c>
      <c r="G131" s="4" t="str">
        <f>HYPERLINK("http://141.218.60.56/~jnz1568/getInfo.php?workbook=14_09.xlsx&amp;sheet=U0&amp;row=131&amp;col=7&amp;number=0.459&amp;sourceID=14","0.459")</f>
        <v>0.459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HYPERLINK("http://141.218.60.56/~jnz1568/getInfo.php?workbook=14_09.xlsx&amp;sheet=U0&amp;row=132&amp;col=6&amp;number=3.8&amp;sourceID=14","3.8")</f>
        <v>3.8</v>
      </c>
      <c r="G132" s="4" t="str">
        <f>HYPERLINK("http://141.218.60.56/~jnz1568/getInfo.php?workbook=14_09.xlsx&amp;sheet=U0&amp;row=132&amp;col=7&amp;number=0.453&amp;sourceID=14","0.453")</f>
        <v>0.453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HYPERLINK("http://141.218.60.56/~jnz1568/getInfo.php?workbook=14_09.xlsx&amp;sheet=U0&amp;row=133&amp;col=6&amp;number=3.9&amp;sourceID=14","3.9")</f>
        <v>3.9</v>
      </c>
      <c r="G133" s="4" t="str">
        <f>HYPERLINK("http://141.218.60.56/~jnz1568/getInfo.php?workbook=14_09.xlsx&amp;sheet=U0&amp;row=133&amp;col=7&amp;number=0.445&amp;sourceID=14","0.445")</f>
        <v>0.445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HYPERLINK("http://141.218.60.56/~jnz1568/getInfo.php?workbook=14_09.xlsx&amp;sheet=U0&amp;row=134&amp;col=6&amp;number=4&amp;sourceID=14","4")</f>
        <v>4</v>
      </c>
      <c r="G134" s="4" t="str">
        <f>HYPERLINK("http://141.218.60.56/~jnz1568/getInfo.php?workbook=14_09.xlsx&amp;sheet=U0&amp;row=134&amp;col=7&amp;number=0.435&amp;sourceID=14","0.435")</f>
        <v>0.435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HYPERLINK("http://141.218.60.56/~jnz1568/getInfo.php?workbook=14_09.xlsx&amp;sheet=U0&amp;row=135&amp;col=6&amp;number=4.1&amp;sourceID=14","4.1")</f>
        <v>4.1</v>
      </c>
      <c r="G135" s="4" t="str">
        <f>HYPERLINK("http://141.218.60.56/~jnz1568/getInfo.php?workbook=14_09.xlsx&amp;sheet=U0&amp;row=135&amp;col=7&amp;number=0.423&amp;sourceID=14","0.423")</f>
        <v>0.423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HYPERLINK("http://141.218.60.56/~jnz1568/getInfo.php?workbook=14_09.xlsx&amp;sheet=U0&amp;row=136&amp;col=6&amp;number=4.2&amp;sourceID=14","4.2")</f>
        <v>4.2</v>
      </c>
      <c r="G136" s="4" t="str">
        <f>HYPERLINK("http://141.218.60.56/~jnz1568/getInfo.php?workbook=14_09.xlsx&amp;sheet=U0&amp;row=136&amp;col=7&amp;number=0.408&amp;sourceID=14","0.408")</f>
        <v>0.408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HYPERLINK("http://141.218.60.56/~jnz1568/getInfo.php?workbook=14_09.xlsx&amp;sheet=U0&amp;row=137&amp;col=6&amp;number=4.3&amp;sourceID=14","4.3")</f>
        <v>4.3</v>
      </c>
      <c r="G137" s="4" t="str">
        <f>HYPERLINK("http://141.218.60.56/~jnz1568/getInfo.php?workbook=14_09.xlsx&amp;sheet=U0&amp;row=137&amp;col=7&amp;number=0.39&amp;sourceID=14","0.39")</f>
        <v>0.39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HYPERLINK("http://141.218.60.56/~jnz1568/getInfo.php?workbook=14_09.xlsx&amp;sheet=U0&amp;row=138&amp;col=6&amp;number=4.4&amp;sourceID=14","4.4")</f>
        <v>4.4</v>
      </c>
      <c r="G138" s="4" t="str">
        <f>HYPERLINK("http://141.218.60.56/~jnz1568/getInfo.php?workbook=14_09.xlsx&amp;sheet=U0&amp;row=138&amp;col=7&amp;number=0.368&amp;sourceID=14","0.368")</f>
        <v>0.368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HYPERLINK("http://141.218.60.56/~jnz1568/getInfo.php?workbook=14_09.xlsx&amp;sheet=U0&amp;row=139&amp;col=6&amp;number=4.5&amp;sourceID=14","4.5")</f>
        <v>4.5</v>
      </c>
      <c r="G139" s="4" t="str">
        <f>HYPERLINK("http://141.218.60.56/~jnz1568/getInfo.php?workbook=14_09.xlsx&amp;sheet=U0&amp;row=139&amp;col=7&amp;number=0.342&amp;sourceID=14","0.342")</f>
        <v>0.342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HYPERLINK("http://141.218.60.56/~jnz1568/getInfo.php?workbook=14_09.xlsx&amp;sheet=U0&amp;row=140&amp;col=6&amp;number=4.6&amp;sourceID=14","4.6")</f>
        <v>4.6</v>
      </c>
      <c r="G140" s="4" t="str">
        <f>HYPERLINK("http://141.218.60.56/~jnz1568/getInfo.php?workbook=14_09.xlsx&amp;sheet=U0&amp;row=140&amp;col=7&amp;number=0.312&amp;sourceID=14","0.312")</f>
        <v>0.312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HYPERLINK("http://141.218.60.56/~jnz1568/getInfo.php?workbook=14_09.xlsx&amp;sheet=U0&amp;row=141&amp;col=6&amp;number=4.7&amp;sourceID=14","4.7")</f>
        <v>4.7</v>
      </c>
      <c r="G141" s="4" t="str">
        <f>HYPERLINK("http://141.218.60.56/~jnz1568/getInfo.php?workbook=14_09.xlsx&amp;sheet=U0&amp;row=141&amp;col=7&amp;number=0.278&amp;sourceID=14","0.278")</f>
        <v>0.278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HYPERLINK("http://141.218.60.56/~jnz1568/getInfo.php?workbook=14_09.xlsx&amp;sheet=U0&amp;row=142&amp;col=6&amp;number=4.8&amp;sourceID=14","4.8")</f>
        <v>4.8</v>
      </c>
      <c r="G142" s="4" t="str">
        <f>HYPERLINK("http://141.218.60.56/~jnz1568/getInfo.php?workbook=14_09.xlsx&amp;sheet=U0&amp;row=142&amp;col=7&amp;number=0.242&amp;sourceID=14","0.242")</f>
        <v>0.242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HYPERLINK("http://141.218.60.56/~jnz1568/getInfo.php?workbook=14_09.xlsx&amp;sheet=U0&amp;row=143&amp;col=6&amp;number=4.9&amp;sourceID=14","4.9")</f>
        <v>4.9</v>
      </c>
      <c r="G143" s="4" t="str">
        <f>HYPERLINK("http://141.218.60.56/~jnz1568/getInfo.php?workbook=14_09.xlsx&amp;sheet=U0&amp;row=143&amp;col=7&amp;number=0.209&amp;sourceID=14","0.209")</f>
        <v>0.209</v>
      </c>
    </row>
    <row r="144" spans="1:7">
      <c r="A144" s="3">
        <v>14</v>
      </c>
      <c r="B144" s="3">
        <v>9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HYPERLINK("http://141.218.60.56/~jnz1568/getInfo.php?workbook=14_09.xlsx&amp;sheet=U0&amp;row=144&amp;col=6&amp;number=3&amp;sourceID=14","3")</f>
        <v>3</v>
      </c>
      <c r="G144" s="4" t="str">
        <f>HYPERLINK("http://141.218.60.56/~jnz1568/getInfo.php?workbook=14_09.xlsx&amp;sheet=U0&amp;row=144&amp;col=7&amp;number=0.583&amp;sourceID=14","0.583")</f>
        <v>0.583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HYPERLINK("http://141.218.60.56/~jnz1568/getInfo.php?workbook=14_09.xlsx&amp;sheet=U0&amp;row=145&amp;col=6&amp;number=3.1&amp;sourceID=14","3.1")</f>
        <v>3.1</v>
      </c>
      <c r="G145" s="4" t="str">
        <f>HYPERLINK("http://141.218.60.56/~jnz1568/getInfo.php?workbook=14_09.xlsx&amp;sheet=U0&amp;row=145&amp;col=7&amp;number=0.582&amp;sourceID=14","0.582")</f>
        <v>0.582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HYPERLINK("http://141.218.60.56/~jnz1568/getInfo.php?workbook=14_09.xlsx&amp;sheet=U0&amp;row=146&amp;col=6&amp;number=3.2&amp;sourceID=14","3.2")</f>
        <v>3.2</v>
      </c>
      <c r="G146" s="4" t="str">
        <f>HYPERLINK("http://141.218.60.56/~jnz1568/getInfo.php?workbook=14_09.xlsx&amp;sheet=U0&amp;row=146&amp;col=7&amp;number=0.581&amp;sourceID=14","0.581")</f>
        <v>0.581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HYPERLINK("http://141.218.60.56/~jnz1568/getInfo.php?workbook=14_09.xlsx&amp;sheet=U0&amp;row=147&amp;col=6&amp;number=3.3&amp;sourceID=14","3.3")</f>
        <v>3.3</v>
      </c>
      <c r="G147" s="4" t="str">
        <f>HYPERLINK("http://141.218.60.56/~jnz1568/getInfo.php?workbook=14_09.xlsx&amp;sheet=U0&amp;row=147&amp;col=7&amp;number=0.58&amp;sourceID=14","0.58")</f>
        <v>0.58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HYPERLINK("http://141.218.60.56/~jnz1568/getInfo.php?workbook=14_09.xlsx&amp;sheet=U0&amp;row=148&amp;col=6&amp;number=3.4&amp;sourceID=14","3.4")</f>
        <v>3.4</v>
      </c>
      <c r="G148" s="4" t="str">
        <f>HYPERLINK("http://141.218.60.56/~jnz1568/getInfo.php?workbook=14_09.xlsx&amp;sheet=U0&amp;row=148&amp;col=7&amp;number=0.578&amp;sourceID=14","0.578")</f>
        <v>0.578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HYPERLINK("http://141.218.60.56/~jnz1568/getInfo.php?workbook=14_09.xlsx&amp;sheet=U0&amp;row=149&amp;col=6&amp;number=3.5&amp;sourceID=14","3.5")</f>
        <v>3.5</v>
      </c>
      <c r="G149" s="4" t="str">
        <f>HYPERLINK("http://141.218.60.56/~jnz1568/getInfo.php?workbook=14_09.xlsx&amp;sheet=U0&amp;row=149&amp;col=7&amp;number=0.576&amp;sourceID=14","0.576")</f>
        <v>0.576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HYPERLINK("http://141.218.60.56/~jnz1568/getInfo.php?workbook=14_09.xlsx&amp;sheet=U0&amp;row=150&amp;col=6&amp;number=3.6&amp;sourceID=14","3.6")</f>
        <v>3.6</v>
      </c>
      <c r="G150" s="4" t="str">
        <f>HYPERLINK("http://141.218.60.56/~jnz1568/getInfo.php?workbook=14_09.xlsx&amp;sheet=U0&amp;row=150&amp;col=7&amp;number=0.574&amp;sourceID=14","0.574")</f>
        <v>0.574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HYPERLINK("http://141.218.60.56/~jnz1568/getInfo.php?workbook=14_09.xlsx&amp;sheet=U0&amp;row=151&amp;col=6&amp;number=3.7&amp;sourceID=14","3.7")</f>
        <v>3.7</v>
      </c>
      <c r="G151" s="4" t="str">
        <f>HYPERLINK("http://141.218.60.56/~jnz1568/getInfo.php?workbook=14_09.xlsx&amp;sheet=U0&amp;row=151&amp;col=7&amp;number=0.57&amp;sourceID=14","0.57")</f>
        <v>0.57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HYPERLINK("http://141.218.60.56/~jnz1568/getInfo.php?workbook=14_09.xlsx&amp;sheet=U0&amp;row=152&amp;col=6&amp;number=3.8&amp;sourceID=14","3.8")</f>
        <v>3.8</v>
      </c>
      <c r="G152" s="4" t="str">
        <f>HYPERLINK("http://141.218.60.56/~jnz1568/getInfo.php?workbook=14_09.xlsx&amp;sheet=U0&amp;row=152&amp;col=7&amp;number=0.566&amp;sourceID=14","0.566")</f>
        <v>0.566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HYPERLINK("http://141.218.60.56/~jnz1568/getInfo.php?workbook=14_09.xlsx&amp;sheet=U0&amp;row=153&amp;col=6&amp;number=3.9&amp;sourceID=14","3.9")</f>
        <v>3.9</v>
      </c>
      <c r="G153" s="4" t="str">
        <f>HYPERLINK("http://141.218.60.56/~jnz1568/getInfo.php?workbook=14_09.xlsx&amp;sheet=U0&amp;row=153&amp;col=7&amp;number=0.561&amp;sourceID=14","0.561")</f>
        <v>0.561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HYPERLINK("http://141.218.60.56/~jnz1568/getInfo.php?workbook=14_09.xlsx&amp;sheet=U0&amp;row=154&amp;col=6&amp;number=4&amp;sourceID=14","4")</f>
        <v>4</v>
      </c>
      <c r="G154" s="4" t="str">
        <f>HYPERLINK("http://141.218.60.56/~jnz1568/getInfo.php?workbook=14_09.xlsx&amp;sheet=U0&amp;row=154&amp;col=7&amp;number=0.555&amp;sourceID=14","0.555")</f>
        <v>0.555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HYPERLINK("http://141.218.60.56/~jnz1568/getInfo.php?workbook=14_09.xlsx&amp;sheet=U0&amp;row=155&amp;col=6&amp;number=4.1&amp;sourceID=14","4.1")</f>
        <v>4.1</v>
      </c>
      <c r="G155" s="4" t="str">
        <f>HYPERLINK("http://141.218.60.56/~jnz1568/getInfo.php?workbook=14_09.xlsx&amp;sheet=U0&amp;row=155&amp;col=7&amp;number=0.547&amp;sourceID=14","0.547")</f>
        <v>0.547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HYPERLINK("http://141.218.60.56/~jnz1568/getInfo.php?workbook=14_09.xlsx&amp;sheet=U0&amp;row=156&amp;col=6&amp;number=4.2&amp;sourceID=14","4.2")</f>
        <v>4.2</v>
      </c>
      <c r="G156" s="4" t="str">
        <f>HYPERLINK("http://141.218.60.56/~jnz1568/getInfo.php?workbook=14_09.xlsx&amp;sheet=U0&amp;row=156&amp;col=7&amp;number=0.537&amp;sourceID=14","0.537")</f>
        <v>0.537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HYPERLINK("http://141.218.60.56/~jnz1568/getInfo.php?workbook=14_09.xlsx&amp;sheet=U0&amp;row=157&amp;col=6&amp;number=4.3&amp;sourceID=14","4.3")</f>
        <v>4.3</v>
      </c>
      <c r="G157" s="4" t="str">
        <f>HYPERLINK("http://141.218.60.56/~jnz1568/getInfo.php?workbook=14_09.xlsx&amp;sheet=U0&amp;row=157&amp;col=7&amp;number=0.525&amp;sourceID=14","0.525")</f>
        <v>0.525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HYPERLINK("http://141.218.60.56/~jnz1568/getInfo.php?workbook=14_09.xlsx&amp;sheet=U0&amp;row=158&amp;col=6&amp;number=4.4&amp;sourceID=14","4.4")</f>
        <v>4.4</v>
      </c>
      <c r="G158" s="4" t="str">
        <f>HYPERLINK("http://141.218.60.56/~jnz1568/getInfo.php?workbook=14_09.xlsx&amp;sheet=U0&amp;row=158&amp;col=7&amp;number=0.51&amp;sourceID=14","0.51")</f>
        <v>0.51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HYPERLINK("http://141.218.60.56/~jnz1568/getInfo.php?workbook=14_09.xlsx&amp;sheet=U0&amp;row=159&amp;col=6&amp;number=4.5&amp;sourceID=14","4.5")</f>
        <v>4.5</v>
      </c>
      <c r="G159" s="4" t="str">
        <f>HYPERLINK("http://141.218.60.56/~jnz1568/getInfo.php?workbook=14_09.xlsx&amp;sheet=U0&amp;row=159&amp;col=7&amp;number=0.491&amp;sourceID=14","0.491")</f>
        <v>0.491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HYPERLINK("http://141.218.60.56/~jnz1568/getInfo.php?workbook=14_09.xlsx&amp;sheet=U0&amp;row=160&amp;col=6&amp;number=4.6&amp;sourceID=14","4.6")</f>
        <v>4.6</v>
      </c>
      <c r="G160" s="4" t="str">
        <f>HYPERLINK("http://141.218.60.56/~jnz1568/getInfo.php?workbook=14_09.xlsx&amp;sheet=U0&amp;row=160&amp;col=7&amp;number=0.469&amp;sourceID=14","0.469")</f>
        <v>0.469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HYPERLINK("http://141.218.60.56/~jnz1568/getInfo.php?workbook=14_09.xlsx&amp;sheet=U0&amp;row=161&amp;col=6&amp;number=4.7&amp;sourceID=14","4.7")</f>
        <v>4.7</v>
      </c>
      <c r="G161" s="4" t="str">
        <f>HYPERLINK("http://141.218.60.56/~jnz1568/getInfo.php?workbook=14_09.xlsx&amp;sheet=U0&amp;row=161&amp;col=7&amp;number=0.442&amp;sourceID=14","0.442")</f>
        <v>0.442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HYPERLINK("http://141.218.60.56/~jnz1568/getInfo.php?workbook=14_09.xlsx&amp;sheet=U0&amp;row=162&amp;col=6&amp;number=4.8&amp;sourceID=14","4.8")</f>
        <v>4.8</v>
      </c>
      <c r="G162" s="4" t="str">
        <f>HYPERLINK("http://141.218.60.56/~jnz1568/getInfo.php?workbook=14_09.xlsx&amp;sheet=U0&amp;row=162&amp;col=7&amp;number=0.411&amp;sourceID=14","0.411")</f>
        <v>0.411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HYPERLINK("http://141.218.60.56/~jnz1568/getInfo.php?workbook=14_09.xlsx&amp;sheet=U0&amp;row=163&amp;col=6&amp;number=4.9&amp;sourceID=14","4.9")</f>
        <v>4.9</v>
      </c>
      <c r="G163" s="4" t="str">
        <f>HYPERLINK("http://141.218.60.56/~jnz1568/getInfo.php?workbook=14_09.xlsx&amp;sheet=U0&amp;row=163&amp;col=7&amp;number=0.376&amp;sourceID=14","0.376")</f>
        <v>0.376</v>
      </c>
    </row>
    <row r="164" spans="1:7">
      <c r="A164" s="3">
        <v>14</v>
      </c>
      <c r="B164" s="3">
        <v>9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HYPERLINK("http://141.218.60.56/~jnz1568/getInfo.php?workbook=14_09.xlsx&amp;sheet=U0&amp;row=164&amp;col=6&amp;number=3&amp;sourceID=14","3")</f>
        <v>3</v>
      </c>
      <c r="G164" s="4" t="str">
        <f>HYPERLINK("http://141.218.60.56/~jnz1568/getInfo.php?workbook=14_09.xlsx&amp;sheet=U0&amp;row=164&amp;col=7&amp;number=0.313&amp;sourceID=14","0.313")</f>
        <v>0.313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HYPERLINK("http://141.218.60.56/~jnz1568/getInfo.php?workbook=14_09.xlsx&amp;sheet=U0&amp;row=165&amp;col=6&amp;number=3.1&amp;sourceID=14","3.1")</f>
        <v>3.1</v>
      </c>
      <c r="G165" s="4" t="str">
        <f>HYPERLINK("http://141.218.60.56/~jnz1568/getInfo.php?workbook=14_09.xlsx&amp;sheet=U0&amp;row=165&amp;col=7&amp;number=0.313&amp;sourceID=14","0.313")</f>
        <v>0.313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HYPERLINK("http://141.218.60.56/~jnz1568/getInfo.php?workbook=14_09.xlsx&amp;sheet=U0&amp;row=166&amp;col=6&amp;number=3.2&amp;sourceID=14","3.2")</f>
        <v>3.2</v>
      </c>
      <c r="G166" s="4" t="str">
        <f>HYPERLINK("http://141.218.60.56/~jnz1568/getInfo.php?workbook=14_09.xlsx&amp;sheet=U0&amp;row=166&amp;col=7&amp;number=0.312&amp;sourceID=14","0.312")</f>
        <v>0.312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HYPERLINK("http://141.218.60.56/~jnz1568/getInfo.php?workbook=14_09.xlsx&amp;sheet=U0&amp;row=167&amp;col=6&amp;number=3.3&amp;sourceID=14","3.3")</f>
        <v>3.3</v>
      </c>
      <c r="G167" s="4" t="str">
        <f>HYPERLINK("http://141.218.60.56/~jnz1568/getInfo.php?workbook=14_09.xlsx&amp;sheet=U0&amp;row=167&amp;col=7&amp;number=0.311&amp;sourceID=14","0.311")</f>
        <v>0.311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HYPERLINK("http://141.218.60.56/~jnz1568/getInfo.php?workbook=14_09.xlsx&amp;sheet=U0&amp;row=168&amp;col=6&amp;number=3.4&amp;sourceID=14","3.4")</f>
        <v>3.4</v>
      </c>
      <c r="G168" s="4" t="str">
        <f>HYPERLINK("http://141.218.60.56/~jnz1568/getInfo.php?workbook=14_09.xlsx&amp;sheet=U0&amp;row=168&amp;col=7&amp;number=0.31&amp;sourceID=14","0.31")</f>
        <v>0.31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HYPERLINK("http://141.218.60.56/~jnz1568/getInfo.php?workbook=14_09.xlsx&amp;sheet=U0&amp;row=169&amp;col=6&amp;number=3.5&amp;sourceID=14","3.5")</f>
        <v>3.5</v>
      </c>
      <c r="G169" s="4" t="str">
        <f>HYPERLINK("http://141.218.60.56/~jnz1568/getInfo.php?workbook=14_09.xlsx&amp;sheet=U0&amp;row=169&amp;col=7&amp;number=0.309&amp;sourceID=14","0.309")</f>
        <v>0.309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HYPERLINK("http://141.218.60.56/~jnz1568/getInfo.php?workbook=14_09.xlsx&amp;sheet=U0&amp;row=170&amp;col=6&amp;number=3.6&amp;sourceID=14","3.6")</f>
        <v>3.6</v>
      </c>
      <c r="G170" s="4" t="str">
        <f>HYPERLINK("http://141.218.60.56/~jnz1568/getInfo.php?workbook=14_09.xlsx&amp;sheet=U0&amp;row=170&amp;col=7&amp;number=0.308&amp;sourceID=14","0.308")</f>
        <v>0.308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HYPERLINK("http://141.218.60.56/~jnz1568/getInfo.php?workbook=14_09.xlsx&amp;sheet=U0&amp;row=171&amp;col=6&amp;number=3.7&amp;sourceID=14","3.7")</f>
        <v>3.7</v>
      </c>
      <c r="G171" s="4" t="str">
        <f>HYPERLINK("http://141.218.60.56/~jnz1568/getInfo.php?workbook=14_09.xlsx&amp;sheet=U0&amp;row=171&amp;col=7&amp;number=0.306&amp;sourceID=14","0.306")</f>
        <v>0.306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HYPERLINK("http://141.218.60.56/~jnz1568/getInfo.php?workbook=14_09.xlsx&amp;sheet=U0&amp;row=172&amp;col=6&amp;number=3.8&amp;sourceID=14","3.8")</f>
        <v>3.8</v>
      </c>
      <c r="G172" s="4" t="str">
        <f>HYPERLINK("http://141.218.60.56/~jnz1568/getInfo.php?workbook=14_09.xlsx&amp;sheet=U0&amp;row=172&amp;col=7&amp;number=0.304&amp;sourceID=14","0.304")</f>
        <v>0.304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HYPERLINK("http://141.218.60.56/~jnz1568/getInfo.php?workbook=14_09.xlsx&amp;sheet=U0&amp;row=173&amp;col=6&amp;number=3.9&amp;sourceID=14","3.9")</f>
        <v>3.9</v>
      </c>
      <c r="G173" s="4" t="str">
        <f>HYPERLINK("http://141.218.60.56/~jnz1568/getInfo.php?workbook=14_09.xlsx&amp;sheet=U0&amp;row=173&amp;col=7&amp;number=0.301&amp;sourceID=14","0.301")</f>
        <v>0.301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HYPERLINK("http://141.218.60.56/~jnz1568/getInfo.php?workbook=14_09.xlsx&amp;sheet=U0&amp;row=174&amp;col=6&amp;number=4&amp;sourceID=14","4")</f>
        <v>4</v>
      </c>
      <c r="G174" s="4" t="str">
        <f>HYPERLINK("http://141.218.60.56/~jnz1568/getInfo.php?workbook=14_09.xlsx&amp;sheet=U0&amp;row=174&amp;col=7&amp;number=0.297&amp;sourceID=14","0.297")</f>
        <v>0.297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HYPERLINK("http://141.218.60.56/~jnz1568/getInfo.php?workbook=14_09.xlsx&amp;sheet=U0&amp;row=175&amp;col=6&amp;number=4.1&amp;sourceID=14","4.1")</f>
        <v>4.1</v>
      </c>
      <c r="G175" s="4" t="str">
        <f>HYPERLINK("http://141.218.60.56/~jnz1568/getInfo.php?workbook=14_09.xlsx&amp;sheet=U0&amp;row=175&amp;col=7&amp;number=0.292&amp;sourceID=14","0.292")</f>
        <v>0.292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HYPERLINK("http://141.218.60.56/~jnz1568/getInfo.php?workbook=14_09.xlsx&amp;sheet=U0&amp;row=176&amp;col=6&amp;number=4.2&amp;sourceID=14","4.2")</f>
        <v>4.2</v>
      </c>
      <c r="G176" s="4" t="str">
        <f>HYPERLINK("http://141.218.60.56/~jnz1568/getInfo.php?workbook=14_09.xlsx&amp;sheet=U0&amp;row=176&amp;col=7&amp;number=0.287&amp;sourceID=14","0.287")</f>
        <v>0.287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HYPERLINK("http://141.218.60.56/~jnz1568/getInfo.php?workbook=14_09.xlsx&amp;sheet=U0&amp;row=177&amp;col=6&amp;number=4.3&amp;sourceID=14","4.3")</f>
        <v>4.3</v>
      </c>
      <c r="G177" s="4" t="str">
        <f>HYPERLINK("http://141.218.60.56/~jnz1568/getInfo.php?workbook=14_09.xlsx&amp;sheet=U0&amp;row=177&amp;col=7&amp;number=0.28&amp;sourceID=14","0.28")</f>
        <v>0.28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HYPERLINK("http://141.218.60.56/~jnz1568/getInfo.php?workbook=14_09.xlsx&amp;sheet=U0&amp;row=178&amp;col=6&amp;number=4.4&amp;sourceID=14","4.4")</f>
        <v>4.4</v>
      </c>
      <c r="G178" s="4" t="str">
        <f>HYPERLINK("http://141.218.60.56/~jnz1568/getInfo.php?workbook=14_09.xlsx&amp;sheet=U0&amp;row=178&amp;col=7&amp;number=0.271&amp;sourceID=14","0.271")</f>
        <v>0.271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HYPERLINK("http://141.218.60.56/~jnz1568/getInfo.php?workbook=14_09.xlsx&amp;sheet=U0&amp;row=179&amp;col=6&amp;number=4.5&amp;sourceID=14","4.5")</f>
        <v>4.5</v>
      </c>
      <c r="G179" s="4" t="str">
        <f>HYPERLINK("http://141.218.60.56/~jnz1568/getInfo.php?workbook=14_09.xlsx&amp;sheet=U0&amp;row=179&amp;col=7&amp;number=0.261&amp;sourceID=14","0.261")</f>
        <v>0.261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HYPERLINK("http://141.218.60.56/~jnz1568/getInfo.php?workbook=14_09.xlsx&amp;sheet=U0&amp;row=180&amp;col=6&amp;number=4.6&amp;sourceID=14","4.6")</f>
        <v>4.6</v>
      </c>
      <c r="G180" s="4" t="str">
        <f>HYPERLINK("http://141.218.60.56/~jnz1568/getInfo.php?workbook=14_09.xlsx&amp;sheet=U0&amp;row=180&amp;col=7&amp;number=0.248&amp;sourceID=14","0.248")</f>
        <v>0.248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HYPERLINK("http://141.218.60.56/~jnz1568/getInfo.php?workbook=14_09.xlsx&amp;sheet=U0&amp;row=181&amp;col=6&amp;number=4.7&amp;sourceID=14","4.7")</f>
        <v>4.7</v>
      </c>
      <c r="G181" s="4" t="str">
        <f>HYPERLINK("http://141.218.60.56/~jnz1568/getInfo.php?workbook=14_09.xlsx&amp;sheet=U0&amp;row=181&amp;col=7&amp;number=0.234&amp;sourceID=14","0.234")</f>
        <v>0.234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HYPERLINK("http://141.218.60.56/~jnz1568/getInfo.php?workbook=14_09.xlsx&amp;sheet=U0&amp;row=182&amp;col=6&amp;number=4.8&amp;sourceID=14","4.8")</f>
        <v>4.8</v>
      </c>
      <c r="G182" s="4" t="str">
        <f>HYPERLINK("http://141.218.60.56/~jnz1568/getInfo.php?workbook=14_09.xlsx&amp;sheet=U0&amp;row=182&amp;col=7&amp;number=0.217&amp;sourceID=14","0.217")</f>
        <v>0.217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HYPERLINK("http://141.218.60.56/~jnz1568/getInfo.php?workbook=14_09.xlsx&amp;sheet=U0&amp;row=183&amp;col=6&amp;number=4.9&amp;sourceID=14","4.9")</f>
        <v>4.9</v>
      </c>
      <c r="G183" s="4" t="str">
        <f>HYPERLINK("http://141.218.60.56/~jnz1568/getInfo.php?workbook=14_09.xlsx&amp;sheet=U0&amp;row=183&amp;col=7&amp;number=0.198&amp;sourceID=14","0.198")</f>
        <v>0.198</v>
      </c>
    </row>
    <row r="184" spans="1:7">
      <c r="A184" s="3">
        <v>14</v>
      </c>
      <c r="B184" s="3">
        <v>9</v>
      </c>
      <c r="C184" s="3">
        <v>1</v>
      </c>
      <c r="D184" s="3">
        <v>11</v>
      </c>
      <c r="E184" s="3">
        <v>1</v>
      </c>
      <c r="F184" s="4" t="str">
        <f>HYPERLINK("http://141.218.60.56/~jnz1568/getInfo.php?workbook=14_09.xlsx&amp;sheet=U0&amp;row=184&amp;col=6&amp;number=3&amp;sourceID=14","3")</f>
        <v>3</v>
      </c>
      <c r="G184" s="4" t="str">
        <f>HYPERLINK("http://141.218.60.56/~jnz1568/getInfo.php?workbook=14_09.xlsx&amp;sheet=U0&amp;row=184&amp;col=7&amp;number=0.232&amp;sourceID=14","0.232")</f>
        <v>0.232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HYPERLINK("http://141.218.60.56/~jnz1568/getInfo.php?workbook=14_09.xlsx&amp;sheet=U0&amp;row=185&amp;col=6&amp;number=3.1&amp;sourceID=14","3.1")</f>
        <v>3.1</v>
      </c>
      <c r="G185" s="4" t="str">
        <f>HYPERLINK("http://141.218.60.56/~jnz1568/getInfo.php?workbook=14_09.xlsx&amp;sheet=U0&amp;row=185&amp;col=7&amp;number=0.231&amp;sourceID=14","0.231")</f>
        <v>0.231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HYPERLINK("http://141.218.60.56/~jnz1568/getInfo.php?workbook=14_09.xlsx&amp;sheet=U0&amp;row=186&amp;col=6&amp;number=3.2&amp;sourceID=14","3.2")</f>
        <v>3.2</v>
      </c>
      <c r="G186" s="4" t="str">
        <f>HYPERLINK("http://141.218.60.56/~jnz1568/getInfo.php?workbook=14_09.xlsx&amp;sheet=U0&amp;row=186&amp;col=7&amp;number=0.231&amp;sourceID=14","0.231")</f>
        <v>0.231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HYPERLINK("http://141.218.60.56/~jnz1568/getInfo.php?workbook=14_09.xlsx&amp;sheet=U0&amp;row=187&amp;col=6&amp;number=3.3&amp;sourceID=14","3.3")</f>
        <v>3.3</v>
      </c>
      <c r="G187" s="4" t="str">
        <f>HYPERLINK("http://141.218.60.56/~jnz1568/getInfo.php?workbook=14_09.xlsx&amp;sheet=U0&amp;row=187&amp;col=7&amp;number=0.23&amp;sourceID=14","0.23")</f>
        <v>0.23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HYPERLINK("http://141.218.60.56/~jnz1568/getInfo.php?workbook=14_09.xlsx&amp;sheet=U0&amp;row=188&amp;col=6&amp;number=3.4&amp;sourceID=14","3.4")</f>
        <v>3.4</v>
      </c>
      <c r="G188" s="4" t="str">
        <f>HYPERLINK("http://141.218.60.56/~jnz1568/getInfo.php?workbook=14_09.xlsx&amp;sheet=U0&amp;row=188&amp;col=7&amp;number=0.229&amp;sourceID=14","0.229")</f>
        <v>0.229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HYPERLINK("http://141.218.60.56/~jnz1568/getInfo.php?workbook=14_09.xlsx&amp;sheet=U0&amp;row=189&amp;col=6&amp;number=3.5&amp;sourceID=14","3.5")</f>
        <v>3.5</v>
      </c>
      <c r="G189" s="4" t="str">
        <f>HYPERLINK("http://141.218.60.56/~jnz1568/getInfo.php?workbook=14_09.xlsx&amp;sheet=U0&amp;row=189&amp;col=7&amp;number=0.228&amp;sourceID=14","0.228")</f>
        <v>0.228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HYPERLINK("http://141.218.60.56/~jnz1568/getInfo.php?workbook=14_09.xlsx&amp;sheet=U0&amp;row=190&amp;col=6&amp;number=3.6&amp;sourceID=14","3.6")</f>
        <v>3.6</v>
      </c>
      <c r="G190" s="4" t="str">
        <f>HYPERLINK("http://141.218.60.56/~jnz1568/getInfo.php?workbook=14_09.xlsx&amp;sheet=U0&amp;row=190&amp;col=7&amp;number=0.227&amp;sourceID=14","0.227")</f>
        <v>0.227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HYPERLINK("http://141.218.60.56/~jnz1568/getInfo.php?workbook=14_09.xlsx&amp;sheet=U0&amp;row=191&amp;col=6&amp;number=3.7&amp;sourceID=14","3.7")</f>
        <v>3.7</v>
      </c>
      <c r="G191" s="4" t="str">
        <f>HYPERLINK("http://141.218.60.56/~jnz1568/getInfo.php?workbook=14_09.xlsx&amp;sheet=U0&amp;row=191&amp;col=7&amp;number=0.225&amp;sourceID=14","0.225")</f>
        <v>0.225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HYPERLINK("http://141.218.60.56/~jnz1568/getInfo.php?workbook=14_09.xlsx&amp;sheet=U0&amp;row=192&amp;col=6&amp;number=3.8&amp;sourceID=14","3.8")</f>
        <v>3.8</v>
      </c>
      <c r="G192" s="4" t="str">
        <f>HYPERLINK("http://141.218.60.56/~jnz1568/getInfo.php?workbook=14_09.xlsx&amp;sheet=U0&amp;row=192&amp;col=7&amp;number=0.223&amp;sourceID=14","0.223")</f>
        <v>0.223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HYPERLINK("http://141.218.60.56/~jnz1568/getInfo.php?workbook=14_09.xlsx&amp;sheet=U0&amp;row=193&amp;col=6&amp;number=3.9&amp;sourceID=14","3.9")</f>
        <v>3.9</v>
      </c>
      <c r="G193" s="4" t="str">
        <f>HYPERLINK("http://141.218.60.56/~jnz1568/getInfo.php?workbook=14_09.xlsx&amp;sheet=U0&amp;row=193&amp;col=7&amp;number=0.22&amp;sourceID=14","0.22")</f>
        <v>0.22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HYPERLINK("http://141.218.60.56/~jnz1568/getInfo.php?workbook=14_09.xlsx&amp;sheet=U0&amp;row=194&amp;col=6&amp;number=4&amp;sourceID=14","4")</f>
        <v>4</v>
      </c>
      <c r="G194" s="4" t="str">
        <f>HYPERLINK("http://141.218.60.56/~jnz1568/getInfo.php?workbook=14_09.xlsx&amp;sheet=U0&amp;row=194&amp;col=7&amp;number=0.217&amp;sourceID=14","0.217")</f>
        <v>0.217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HYPERLINK("http://141.218.60.56/~jnz1568/getInfo.php?workbook=14_09.xlsx&amp;sheet=U0&amp;row=195&amp;col=6&amp;number=4.1&amp;sourceID=14","4.1")</f>
        <v>4.1</v>
      </c>
      <c r="G195" s="4" t="str">
        <f>HYPERLINK("http://141.218.60.56/~jnz1568/getInfo.php?workbook=14_09.xlsx&amp;sheet=U0&amp;row=195&amp;col=7&amp;number=0.213&amp;sourceID=14","0.213")</f>
        <v>0.213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HYPERLINK("http://141.218.60.56/~jnz1568/getInfo.php?workbook=14_09.xlsx&amp;sheet=U0&amp;row=196&amp;col=6&amp;number=4.2&amp;sourceID=14","4.2")</f>
        <v>4.2</v>
      </c>
      <c r="G196" s="4" t="str">
        <f>HYPERLINK("http://141.218.60.56/~jnz1568/getInfo.php?workbook=14_09.xlsx&amp;sheet=U0&amp;row=196&amp;col=7&amp;number=0.208&amp;sourceID=14","0.208")</f>
        <v>0.208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HYPERLINK("http://141.218.60.56/~jnz1568/getInfo.php?workbook=14_09.xlsx&amp;sheet=U0&amp;row=197&amp;col=6&amp;number=4.3&amp;sourceID=14","4.3")</f>
        <v>4.3</v>
      </c>
      <c r="G197" s="4" t="str">
        <f>HYPERLINK("http://141.218.60.56/~jnz1568/getInfo.php?workbook=14_09.xlsx&amp;sheet=U0&amp;row=197&amp;col=7&amp;number=0.202&amp;sourceID=14","0.202")</f>
        <v>0.202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HYPERLINK("http://141.218.60.56/~jnz1568/getInfo.php?workbook=14_09.xlsx&amp;sheet=U0&amp;row=198&amp;col=6&amp;number=4.4&amp;sourceID=14","4.4")</f>
        <v>4.4</v>
      </c>
      <c r="G198" s="4" t="str">
        <f>HYPERLINK("http://141.218.60.56/~jnz1568/getInfo.php?workbook=14_09.xlsx&amp;sheet=U0&amp;row=198&amp;col=7&amp;number=0.195&amp;sourceID=14","0.195")</f>
        <v>0.195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HYPERLINK("http://141.218.60.56/~jnz1568/getInfo.php?workbook=14_09.xlsx&amp;sheet=U0&amp;row=199&amp;col=6&amp;number=4.5&amp;sourceID=14","4.5")</f>
        <v>4.5</v>
      </c>
      <c r="G199" s="4" t="str">
        <f>HYPERLINK("http://141.218.60.56/~jnz1568/getInfo.php?workbook=14_09.xlsx&amp;sheet=U0&amp;row=199&amp;col=7&amp;number=0.186&amp;sourceID=14","0.186")</f>
        <v>0.186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HYPERLINK("http://141.218.60.56/~jnz1568/getInfo.php?workbook=14_09.xlsx&amp;sheet=U0&amp;row=200&amp;col=6&amp;number=4.6&amp;sourceID=14","4.6")</f>
        <v>4.6</v>
      </c>
      <c r="G200" s="4" t="str">
        <f>HYPERLINK("http://141.218.60.56/~jnz1568/getInfo.php?workbook=14_09.xlsx&amp;sheet=U0&amp;row=200&amp;col=7&amp;number=0.177&amp;sourceID=14","0.177")</f>
        <v>0.177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HYPERLINK("http://141.218.60.56/~jnz1568/getInfo.php?workbook=14_09.xlsx&amp;sheet=U0&amp;row=201&amp;col=6&amp;number=4.7&amp;sourceID=14","4.7")</f>
        <v>4.7</v>
      </c>
      <c r="G201" s="4" t="str">
        <f>HYPERLINK("http://141.218.60.56/~jnz1568/getInfo.php?workbook=14_09.xlsx&amp;sheet=U0&amp;row=201&amp;col=7&amp;number=0.166&amp;sourceID=14","0.166")</f>
        <v>0.166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HYPERLINK("http://141.218.60.56/~jnz1568/getInfo.php?workbook=14_09.xlsx&amp;sheet=U0&amp;row=202&amp;col=6&amp;number=4.8&amp;sourceID=14","4.8")</f>
        <v>4.8</v>
      </c>
      <c r="G202" s="4" t="str">
        <f>HYPERLINK("http://141.218.60.56/~jnz1568/getInfo.php?workbook=14_09.xlsx&amp;sheet=U0&amp;row=202&amp;col=7&amp;number=0.156&amp;sourceID=14","0.156")</f>
        <v>0.156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HYPERLINK("http://141.218.60.56/~jnz1568/getInfo.php?workbook=14_09.xlsx&amp;sheet=U0&amp;row=203&amp;col=6&amp;number=4.9&amp;sourceID=14","4.9")</f>
        <v>4.9</v>
      </c>
      <c r="G203" s="4" t="str">
        <f>HYPERLINK("http://141.218.60.56/~jnz1568/getInfo.php?workbook=14_09.xlsx&amp;sheet=U0&amp;row=203&amp;col=7&amp;number=0.146&amp;sourceID=14","0.146")</f>
        <v>0.146</v>
      </c>
    </row>
    <row r="204" spans="1:7">
      <c r="A204" s="3">
        <v>14</v>
      </c>
      <c r="B204" s="3">
        <v>9</v>
      </c>
      <c r="C204" s="3">
        <v>1</v>
      </c>
      <c r="D204" s="3">
        <v>12</v>
      </c>
      <c r="E204" s="3">
        <v>1</v>
      </c>
      <c r="F204" s="4" t="str">
        <f>HYPERLINK("http://141.218.60.56/~jnz1568/getInfo.php?workbook=14_09.xlsx&amp;sheet=U0&amp;row=204&amp;col=6&amp;number=3&amp;sourceID=14","3")</f>
        <v>3</v>
      </c>
      <c r="G204" s="4" t="str">
        <f>HYPERLINK("http://141.218.60.56/~jnz1568/getInfo.php?workbook=14_09.xlsx&amp;sheet=U0&amp;row=204&amp;col=7&amp;number=0.155&amp;sourceID=14","0.155")</f>
        <v>0.155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HYPERLINK("http://141.218.60.56/~jnz1568/getInfo.php?workbook=14_09.xlsx&amp;sheet=U0&amp;row=205&amp;col=6&amp;number=3.1&amp;sourceID=14","3.1")</f>
        <v>3.1</v>
      </c>
      <c r="G205" s="4" t="str">
        <f>HYPERLINK("http://141.218.60.56/~jnz1568/getInfo.php?workbook=14_09.xlsx&amp;sheet=U0&amp;row=205&amp;col=7&amp;number=0.155&amp;sourceID=14","0.155")</f>
        <v>0.155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HYPERLINK("http://141.218.60.56/~jnz1568/getInfo.php?workbook=14_09.xlsx&amp;sheet=U0&amp;row=206&amp;col=6&amp;number=3.2&amp;sourceID=14","3.2")</f>
        <v>3.2</v>
      </c>
      <c r="G206" s="4" t="str">
        <f>HYPERLINK("http://141.218.60.56/~jnz1568/getInfo.php?workbook=14_09.xlsx&amp;sheet=U0&amp;row=206&amp;col=7&amp;number=0.154&amp;sourceID=14","0.154")</f>
        <v>0.154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HYPERLINK("http://141.218.60.56/~jnz1568/getInfo.php?workbook=14_09.xlsx&amp;sheet=U0&amp;row=207&amp;col=6&amp;number=3.3&amp;sourceID=14","3.3")</f>
        <v>3.3</v>
      </c>
      <c r="G207" s="4" t="str">
        <f>HYPERLINK("http://141.218.60.56/~jnz1568/getInfo.php?workbook=14_09.xlsx&amp;sheet=U0&amp;row=207&amp;col=7&amp;number=0.154&amp;sourceID=14","0.154")</f>
        <v>0.154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HYPERLINK("http://141.218.60.56/~jnz1568/getInfo.php?workbook=14_09.xlsx&amp;sheet=U0&amp;row=208&amp;col=6&amp;number=3.4&amp;sourceID=14","3.4")</f>
        <v>3.4</v>
      </c>
      <c r="G208" s="4" t="str">
        <f>HYPERLINK("http://141.218.60.56/~jnz1568/getInfo.php?workbook=14_09.xlsx&amp;sheet=U0&amp;row=208&amp;col=7&amp;number=0.153&amp;sourceID=14","0.153")</f>
        <v>0.153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HYPERLINK("http://141.218.60.56/~jnz1568/getInfo.php?workbook=14_09.xlsx&amp;sheet=U0&amp;row=209&amp;col=6&amp;number=3.5&amp;sourceID=14","3.5")</f>
        <v>3.5</v>
      </c>
      <c r="G209" s="4" t="str">
        <f>HYPERLINK("http://141.218.60.56/~jnz1568/getInfo.php?workbook=14_09.xlsx&amp;sheet=U0&amp;row=209&amp;col=7&amp;number=0.152&amp;sourceID=14","0.152")</f>
        <v>0.152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HYPERLINK("http://141.218.60.56/~jnz1568/getInfo.php?workbook=14_09.xlsx&amp;sheet=U0&amp;row=210&amp;col=6&amp;number=3.6&amp;sourceID=14","3.6")</f>
        <v>3.6</v>
      </c>
      <c r="G210" s="4" t="str">
        <f>HYPERLINK("http://141.218.60.56/~jnz1568/getInfo.php?workbook=14_09.xlsx&amp;sheet=U0&amp;row=210&amp;col=7&amp;number=0.151&amp;sourceID=14","0.151")</f>
        <v>0.151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HYPERLINK("http://141.218.60.56/~jnz1568/getInfo.php?workbook=14_09.xlsx&amp;sheet=U0&amp;row=211&amp;col=6&amp;number=3.7&amp;sourceID=14","3.7")</f>
        <v>3.7</v>
      </c>
      <c r="G211" s="4" t="str">
        <f>HYPERLINK("http://141.218.60.56/~jnz1568/getInfo.php?workbook=14_09.xlsx&amp;sheet=U0&amp;row=211&amp;col=7&amp;number=0.149&amp;sourceID=14","0.149")</f>
        <v>0.149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HYPERLINK("http://141.218.60.56/~jnz1568/getInfo.php?workbook=14_09.xlsx&amp;sheet=U0&amp;row=212&amp;col=6&amp;number=3.8&amp;sourceID=14","3.8")</f>
        <v>3.8</v>
      </c>
      <c r="G212" s="4" t="str">
        <f>HYPERLINK("http://141.218.60.56/~jnz1568/getInfo.php?workbook=14_09.xlsx&amp;sheet=U0&amp;row=212&amp;col=7&amp;number=0.147&amp;sourceID=14","0.147")</f>
        <v>0.147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HYPERLINK("http://141.218.60.56/~jnz1568/getInfo.php?workbook=14_09.xlsx&amp;sheet=U0&amp;row=213&amp;col=6&amp;number=3.9&amp;sourceID=14","3.9")</f>
        <v>3.9</v>
      </c>
      <c r="G213" s="4" t="str">
        <f>HYPERLINK("http://141.218.60.56/~jnz1568/getInfo.php?workbook=14_09.xlsx&amp;sheet=U0&amp;row=213&amp;col=7&amp;number=0.145&amp;sourceID=14","0.145")</f>
        <v>0.145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HYPERLINK("http://141.218.60.56/~jnz1568/getInfo.php?workbook=14_09.xlsx&amp;sheet=U0&amp;row=214&amp;col=6&amp;number=4&amp;sourceID=14","4")</f>
        <v>4</v>
      </c>
      <c r="G214" s="4" t="str">
        <f>HYPERLINK("http://141.218.60.56/~jnz1568/getInfo.php?workbook=14_09.xlsx&amp;sheet=U0&amp;row=214&amp;col=7&amp;number=0.142&amp;sourceID=14","0.142")</f>
        <v>0.142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HYPERLINK("http://141.218.60.56/~jnz1568/getInfo.php?workbook=14_09.xlsx&amp;sheet=U0&amp;row=215&amp;col=6&amp;number=4.1&amp;sourceID=14","4.1")</f>
        <v>4.1</v>
      </c>
      <c r="G215" s="4" t="str">
        <f>HYPERLINK("http://141.218.60.56/~jnz1568/getInfo.php?workbook=14_09.xlsx&amp;sheet=U0&amp;row=215&amp;col=7&amp;number=0.139&amp;sourceID=14","0.139")</f>
        <v>0.139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HYPERLINK("http://141.218.60.56/~jnz1568/getInfo.php?workbook=14_09.xlsx&amp;sheet=U0&amp;row=216&amp;col=6&amp;number=4.2&amp;sourceID=14","4.2")</f>
        <v>4.2</v>
      </c>
      <c r="G216" s="4" t="str">
        <f>HYPERLINK("http://141.218.60.56/~jnz1568/getInfo.php?workbook=14_09.xlsx&amp;sheet=U0&amp;row=216&amp;col=7&amp;number=0.135&amp;sourceID=14","0.135")</f>
        <v>0.135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HYPERLINK("http://141.218.60.56/~jnz1568/getInfo.php?workbook=14_09.xlsx&amp;sheet=U0&amp;row=217&amp;col=6&amp;number=4.3&amp;sourceID=14","4.3")</f>
        <v>4.3</v>
      </c>
      <c r="G217" s="4" t="str">
        <f>HYPERLINK("http://141.218.60.56/~jnz1568/getInfo.php?workbook=14_09.xlsx&amp;sheet=U0&amp;row=217&amp;col=7&amp;number=0.13&amp;sourceID=14","0.13")</f>
        <v>0.13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HYPERLINK("http://141.218.60.56/~jnz1568/getInfo.php?workbook=14_09.xlsx&amp;sheet=U0&amp;row=218&amp;col=6&amp;number=4.4&amp;sourceID=14","4.4")</f>
        <v>4.4</v>
      </c>
      <c r="G218" s="4" t="str">
        <f>HYPERLINK("http://141.218.60.56/~jnz1568/getInfo.php?workbook=14_09.xlsx&amp;sheet=U0&amp;row=218&amp;col=7&amp;number=0.124&amp;sourceID=14","0.124")</f>
        <v>0.124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HYPERLINK("http://141.218.60.56/~jnz1568/getInfo.php?workbook=14_09.xlsx&amp;sheet=U0&amp;row=219&amp;col=6&amp;number=4.5&amp;sourceID=14","4.5")</f>
        <v>4.5</v>
      </c>
      <c r="G219" s="4" t="str">
        <f>HYPERLINK("http://141.218.60.56/~jnz1568/getInfo.php?workbook=14_09.xlsx&amp;sheet=U0&amp;row=219&amp;col=7&amp;number=0.117&amp;sourceID=14","0.117")</f>
        <v>0.117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HYPERLINK("http://141.218.60.56/~jnz1568/getInfo.php?workbook=14_09.xlsx&amp;sheet=U0&amp;row=220&amp;col=6&amp;number=4.6&amp;sourceID=14","4.6")</f>
        <v>4.6</v>
      </c>
      <c r="G220" s="4" t="str">
        <f>HYPERLINK("http://141.218.60.56/~jnz1568/getInfo.php?workbook=14_09.xlsx&amp;sheet=U0&amp;row=220&amp;col=7&amp;number=0.109&amp;sourceID=14","0.109")</f>
        <v>0.109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HYPERLINK("http://141.218.60.56/~jnz1568/getInfo.php?workbook=14_09.xlsx&amp;sheet=U0&amp;row=221&amp;col=6&amp;number=4.7&amp;sourceID=14","4.7")</f>
        <v>4.7</v>
      </c>
      <c r="G221" s="4" t="str">
        <f>HYPERLINK("http://141.218.60.56/~jnz1568/getInfo.php?workbook=14_09.xlsx&amp;sheet=U0&amp;row=221&amp;col=7&amp;number=0.1&amp;sourceID=14","0.1")</f>
        <v>0.1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HYPERLINK("http://141.218.60.56/~jnz1568/getInfo.php?workbook=14_09.xlsx&amp;sheet=U0&amp;row=222&amp;col=6&amp;number=4.8&amp;sourceID=14","4.8")</f>
        <v>4.8</v>
      </c>
      <c r="G222" s="4" t="str">
        <f>HYPERLINK("http://141.218.60.56/~jnz1568/getInfo.php?workbook=14_09.xlsx&amp;sheet=U0&amp;row=222&amp;col=7&amp;number=0.0925&amp;sourceID=14","0.0925")</f>
        <v>0.0925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HYPERLINK("http://141.218.60.56/~jnz1568/getInfo.php?workbook=14_09.xlsx&amp;sheet=U0&amp;row=223&amp;col=6&amp;number=4.9&amp;sourceID=14","4.9")</f>
        <v>4.9</v>
      </c>
      <c r="G223" s="4" t="str">
        <f>HYPERLINK("http://141.218.60.56/~jnz1568/getInfo.php?workbook=14_09.xlsx&amp;sheet=U0&amp;row=223&amp;col=7&amp;number=0.0859&amp;sourceID=14","0.0859")</f>
        <v>0.0859</v>
      </c>
    </row>
    <row r="224" spans="1:7">
      <c r="A224" s="3">
        <v>14</v>
      </c>
      <c r="B224" s="3">
        <v>9</v>
      </c>
      <c r="C224" s="3">
        <v>1</v>
      </c>
      <c r="D224" s="3">
        <v>13</v>
      </c>
      <c r="E224" s="3">
        <v>1</v>
      </c>
      <c r="F224" s="4" t="str">
        <f>HYPERLINK("http://141.218.60.56/~jnz1568/getInfo.php?workbook=14_09.xlsx&amp;sheet=U0&amp;row=224&amp;col=6&amp;number=3&amp;sourceID=14","3")</f>
        <v>3</v>
      </c>
      <c r="G224" s="4" t="str">
        <f>HYPERLINK("http://141.218.60.56/~jnz1568/getInfo.php?workbook=14_09.xlsx&amp;sheet=U0&amp;row=224&amp;col=7&amp;number=0.0629&amp;sourceID=14","0.0629")</f>
        <v>0.0629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HYPERLINK("http://141.218.60.56/~jnz1568/getInfo.php?workbook=14_09.xlsx&amp;sheet=U0&amp;row=225&amp;col=6&amp;number=3.1&amp;sourceID=14","3.1")</f>
        <v>3.1</v>
      </c>
      <c r="G225" s="4" t="str">
        <f>HYPERLINK("http://141.218.60.56/~jnz1568/getInfo.php?workbook=14_09.xlsx&amp;sheet=U0&amp;row=225&amp;col=7&amp;number=0.0628&amp;sourceID=14","0.0628")</f>
        <v>0.0628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HYPERLINK("http://141.218.60.56/~jnz1568/getInfo.php?workbook=14_09.xlsx&amp;sheet=U0&amp;row=226&amp;col=6&amp;number=3.2&amp;sourceID=14","3.2")</f>
        <v>3.2</v>
      </c>
      <c r="G226" s="4" t="str">
        <f>HYPERLINK("http://141.218.60.56/~jnz1568/getInfo.php?workbook=14_09.xlsx&amp;sheet=U0&amp;row=226&amp;col=7&amp;number=0.0626&amp;sourceID=14","0.0626")</f>
        <v>0.0626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HYPERLINK("http://141.218.60.56/~jnz1568/getInfo.php?workbook=14_09.xlsx&amp;sheet=U0&amp;row=227&amp;col=6&amp;number=3.3&amp;sourceID=14","3.3")</f>
        <v>3.3</v>
      </c>
      <c r="G227" s="4" t="str">
        <f>HYPERLINK("http://141.218.60.56/~jnz1568/getInfo.php?workbook=14_09.xlsx&amp;sheet=U0&amp;row=227&amp;col=7&amp;number=0.0623&amp;sourceID=14","0.0623")</f>
        <v>0.0623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HYPERLINK("http://141.218.60.56/~jnz1568/getInfo.php?workbook=14_09.xlsx&amp;sheet=U0&amp;row=228&amp;col=6&amp;number=3.4&amp;sourceID=14","3.4")</f>
        <v>3.4</v>
      </c>
      <c r="G228" s="4" t="str">
        <f>HYPERLINK("http://141.218.60.56/~jnz1568/getInfo.php?workbook=14_09.xlsx&amp;sheet=U0&amp;row=228&amp;col=7&amp;number=0.062&amp;sourceID=14","0.062")</f>
        <v>0.062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HYPERLINK("http://141.218.60.56/~jnz1568/getInfo.php?workbook=14_09.xlsx&amp;sheet=U0&amp;row=229&amp;col=6&amp;number=3.5&amp;sourceID=14","3.5")</f>
        <v>3.5</v>
      </c>
      <c r="G229" s="4" t="str">
        <f>HYPERLINK("http://141.218.60.56/~jnz1568/getInfo.php?workbook=14_09.xlsx&amp;sheet=U0&amp;row=229&amp;col=7&amp;number=0.0616&amp;sourceID=14","0.0616")</f>
        <v>0.0616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HYPERLINK("http://141.218.60.56/~jnz1568/getInfo.php?workbook=14_09.xlsx&amp;sheet=U0&amp;row=230&amp;col=6&amp;number=3.6&amp;sourceID=14","3.6")</f>
        <v>3.6</v>
      </c>
      <c r="G230" s="4" t="str">
        <f>HYPERLINK("http://141.218.60.56/~jnz1568/getInfo.php?workbook=14_09.xlsx&amp;sheet=U0&amp;row=230&amp;col=7&amp;number=0.0611&amp;sourceID=14","0.0611")</f>
        <v>0.0611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HYPERLINK("http://141.218.60.56/~jnz1568/getInfo.php?workbook=14_09.xlsx&amp;sheet=U0&amp;row=231&amp;col=6&amp;number=3.7&amp;sourceID=14","3.7")</f>
        <v>3.7</v>
      </c>
      <c r="G231" s="4" t="str">
        <f>HYPERLINK("http://141.218.60.56/~jnz1568/getInfo.php?workbook=14_09.xlsx&amp;sheet=U0&amp;row=231&amp;col=7&amp;number=0.0605&amp;sourceID=14","0.0605")</f>
        <v>0.0605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HYPERLINK("http://141.218.60.56/~jnz1568/getInfo.php?workbook=14_09.xlsx&amp;sheet=U0&amp;row=232&amp;col=6&amp;number=3.8&amp;sourceID=14","3.8")</f>
        <v>3.8</v>
      </c>
      <c r="G232" s="4" t="str">
        <f>HYPERLINK("http://141.218.60.56/~jnz1568/getInfo.php?workbook=14_09.xlsx&amp;sheet=U0&amp;row=232&amp;col=7&amp;number=0.0598&amp;sourceID=14","0.0598")</f>
        <v>0.0598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HYPERLINK("http://141.218.60.56/~jnz1568/getInfo.php?workbook=14_09.xlsx&amp;sheet=U0&amp;row=233&amp;col=6&amp;number=3.9&amp;sourceID=14","3.9")</f>
        <v>3.9</v>
      </c>
      <c r="G233" s="4" t="str">
        <f>HYPERLINK("http://141.218.60.56/~jnz1568/getInfo.php?workbook=14_09.xlsx&amp;sheet=U0&amp;row=233&amp;col=7&amp;number=0.0588&amp;sourceID=14","0.0588")</f>
        <v>0.0588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HYPERLINK("http://141.218.60.56/~jnz1568/getInfo.php?workbook=14_09.xlsx&amp;sheet=U0&amp;row=234&amp;col=6&amp;number=4&amp;sourceID=14","4")</f>
        <v>4</v>
      </c>
      <c r="G234" s="4" t="str">
        <f>HYPERLINK("http://141.218.60.56/~jnz1568/getInfo.php?workbook=14_09.xlsx&amp;sheet=U0&amp;row=234&amp;col=7&amp;number=0.0576&amp;sourceID=14","0.0576")</f>
        <v>0.0576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HYPERLINK("http://141.218.60.56/~jnz1568/getInfo.php?workbook=14_09.xlsx&amp;sheet=U0&amp;row=235&amp;col=6&amp;number=4.1&amp;sourceID=14","4.1")</f>
        <v>4.1</v>
      </c>
      <c r="G235" s="4" t="str">
        <f>HYPERLINK("http://141.218.60.56/~jnz1568/getInfo.php?workbook=14_09.xlsx&amp;sheet=U0&amp;row=235&amp;col=7&amp;number=0.0562&amp;sourceID=14","0.0562")</f>
        <v>0.0562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HYPERLINK("http://141.218.60.56/~jnz1568/getInfo.php?workbook=14_09.xlsx&amp;sheet=U0&amp;row=236&amp;col=6&amp;number=4.2&amp;sourceID=14","4.2")</f>
        <v>4.2</v>
      </c>
      <c r="G236" s="4" t="str">
        <f>HYPERLINK("http://141.218.60.56/~jnz1568/getInfo.php?workbook=14_09.xlsx&amp;sheet=U0&amp;row=236&amp;col=7&amp;number=0.0544&amp;sourceID=14","0.0544")</f>
        <v>0.0544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HYPERLINK("http://141.218.60.56/~jnz1568/getInfo.php?workbook=14_09.xlsx&amp;sheet=U0&amp;row=237&amp;col=6&amp;number=4.3&amp;sourceID=14","4.3")</f>
        <v>4.3</v>
      </c>
      <c r="G237" s="4" t="str">
        <f>HYPERLINK("http://141.218.60.56/~jnz1568/getInfo.php?workbook=14_09.xlsx&amp;sheet=U0&amp;row=237&amp;col=7&amp;number=0.0522&amp;sourceID=14","0.0522")</f>
        <v>0.0522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HYPERLINK("http://141.218.60.56/~jnz1568/getInfo.php?workbook=14_09.xlsx&amp;sheet=U0&amp;row=238&amp;col=6&amp;number=4.4&amp;sourceID=14","4.4")</f>
        <v>4.4</v>
      </c>
      <c r="G238" s="4" t="str">
        <f>HYPERLINK("http://141.218.60.56/~jnz1568/getInfo.php?workbook=14_09.xlsx&amp;sheet=U0&amp;row=238&amp;col=7&amp;number=0.0496&amp;sourceID=14","0.0496")</f>
        <v>0.0496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HYPERLINK("http://141.218.60.56/~jnz1568/getInfo.php?workbook=14_09.xlsx&amp;sheet=U0&amp;row=239&amp;col=6&amp;number=4.5&amp;sourceID=14","4.5")</f>
        <v>4.5</v>
      </c>
      <c r="G239" s="4" t="str">
        <f>HYPERLINK("http://141.218.60.56/~jnz1568/getInfo.php?workbook=14_09.xlsx&amp;sheet=U0&amp;row=239&amp;col=7&amp;number=0.0466&amp;sourceID=14","0.0466")</f>
        <v>0.0466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HYPERLINK("http://141.218.60.56/~jnz1568/getInfo.php?workbook=14_09.xlsx&amp;sheet=U0&amp;row=240&amp;col=6&amp;number=4.6&amp;sourceID=14","4.6")</f>
        <v>4.6</v>
      </c>
      <c r="G240" s="4" t="str">
        <f>HYPERLINK("http://141.218.60.56/~jnz1568/getInfo.php?workbook=14_09.xlsx&amp;sheet=U0&amp;row=240&amp;col=7&amp;number=0.0433&amp;sourceID=14","0.0433")</f>
        <v>0.0433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HYPERLINK("http://141.218.60.56/~jnz1568/getInfo.php?workbook=14_09.xlsx&amp;sheet=U0&amp;row=241&amp;col=6&amp;number=4.7&amp;sourceID=14","4.7")</f>
        <v>4.7</v>
      </c>
      <c r="G241" s="4" t="str">
        <f>HYPERLINK("http://141.218.60.56/~jnz1568/getInfo.php?workbook=14_09.xlsx&amp;sheet=U0&amp;row=241&amp;col=7&amp;number=0.0398&amp;sourceID=14","0.0398")</f>
        <v>0.0398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HYPERLINK("http://141.218.60.56/~jnz1568/getInfo.php?workbook=14_09.xlsx&amp;sheet=U0&amp;row=242&amp;col=6&amp;number=4.8&amp;sourceID=14","4.8")</f>
        <v>4.8</v>
      </c>
      <c r="G242" s="4" t="str">
        <f>HYPERLINK("http://141.218.60.56/~jnz1568/getInfo.php?workbook=14_09.xlsx&amp;sheet=U0&amp;row=242&amp;col=7&amp;number=0.0365&amp;sourceID=14","0.0365")</f>
        <v>0.0365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HYPERLINK("http://141.218.60.56/~jnz1568/getInfo.php?workbook=14_09.xlsx&amp;sheet=U0&amp;row=243&amp;col=6&amp;number=4.9&amp;sourceID=14","4.9")</f>
        <v>4.9</v>
      </c>
      <c r="G243" s="4" t="str">
        <f>HYPERLINK("http://141.218.60.56/~jnz1568/getInfo.php?workbook=14_09.xlsx&amp;sheet=U0&amp;row=243&amp;col=7&amp;number=0.0338&amp;sourceID=14","0.0338")</f>
        <v>0.0338</v>
      </c>
    </row>
    <row r="244" spans="1:7">
      <c r="A244" s="3">
        <v>14</v>
      </c>
      <c r="B244" s="3">
        <v>9</v>
      </c>
      <c r="C244" s="3">
        <v>1</v>
      </c>
      <c r="D244" s="3">
        <v>14</v>
      </c>
      <c r="E244" s="3">
        <v>1</v>
      </c>
      <c r="F244" s="4" t="str">
        <f>HYPERLINK("http://141.218.60.56/~jnz1568/getInfo.php?workbook=14_09.xlsx&amp;sheet=U0&amp;row=244&amp;col=6&amp;number=3&amp;sourceID=14","3")</f>
        <v>3</v>
      </c>
      <c r="G244" s="4" t="str">
        <f>HYPERLINK("http://141.218.60.56/~jnz1568/getInfo.php?workbook=14_09.xlsx&amp;sheet=U0&amp;row=244&amp;col=7&amp;number=0.148&amp;sourceID=14","0.148")</f>
        <v>0.148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HYPERLINK("http://141.218.60.56/~jnz1568/getInfo.php?workbook=14_09.xlsx&amp;sheet=U0&amp;row=245&amp;col=6&amp;number=3.1&amp;sourceID=14","3.1")</f>
        <v>3.1</v>
      </c>
      <c r="G245" s="4" t="str">
        <f>HYPERLINK("http://141.218.60.56/~jnz1568/getInfo.php?workbook=14_09.xlsx&amp;sheet=U0&amp;row=245&amp;col=7&amp;number=0.148&amp;sourceID=14","0.148")</f>
        <v>0.148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HYPERLINK("http://141.218.60.56/~jnz1568/getInfo.php?workbook=14_09.xlsx&amp;sheet=U0&amp;row=246&amp;col=6&amp;number=3.2&amp;sourceID=14","3.2")</f>
        <v>3.2</v>
      </c>
      <c r="G246" s="4" t="str">
        <f>HYPERLINK("http://141.218.60.56/~jnz1568/getInfo.php?workbook=14_09.xlsx&amp;sheet=U0&amp;row=246&amp;col=7&amp;number=0.148&amp;sourceID=14","0.148")</f>
        <v>0.148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HYPERLINK("http://141.218.60.56/~jnz1568/getInfo.php?workbook=14_09.xlsx&amp;sheet=U0&amp;row=247&amp;col=6&amp;number=3.3&amp;sourceID=14","3.3")</f>
        <v>3.3</v>
      </c>
      <c r="G247" s="4" t="str">
        <f>HYPERLINK("http://141.218.60.56/~jnz1568/getInfo.php?workbook=14_09.xlsx&amp;sheet=U0&amp;row=247&amp;col=7&amp;number=0.147&amp;sourceID=14","0.147")</f>
        <v>0.147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HYPERLINK("http://141.218.60.56/~jnz1568/getInfo.php?workbook=14_09.xlsx&amp;sheet=U0&amp;row=248&amp;col=6&amp;number=3.4&amp;sourceID=14","3.4")</f>
        <v>3.4</v>
      </c>
      <c r="G248" s="4" t="str">
        <f>HYPERLINK("http://141.218.60.56/~jnz1568/getInfo.php?workbook=14_09.xlsx&amp;sheet=U0&amp;row=248&amp;col=7&amp;number=0.147&amp;sourceID=14","0.147")</f>
        <v>0.147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HYPERLINK("http://141.218.60.56/~jnz1568/getInfo.php?workbook=14_09.xlsx&amp;sheet=U0&amp;row=249&amp;col=6&amp;number=3.5&amp;sourceID=14","3.5")</f>
        <v>3.5</v>
      </c>
      <c r="G249" s="4" t="str">
        <f>HYPERLINK("http://141.218.60.56/~jnz1568/getInfo.php?workbook=14_09.xlsx&amp;sheet=U0&amp;row=249&amp;col=7&amp;number=0.147&amp;sourceID=14","0.147")</f>
        <v>0.147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HYPERLINK("http://141.218.60.56/~jnz1568/getInfo.php?workbook=14_09.xlsx&amp;sheet=U0&amp;row=250&amp;col=6&amp;number=3.6&amp;sourceID=14","3.6")</f>
        <v>3.6</v>
      </c>
      <c r="G250" s="4" t="str">
        <f>HYPERLINK("http://141.218.60.56/~jnz1568/getInfo.php?workbook=14_09.xlsx&amp;sheet=U0&amp;row=250&amp;col=7&amp;number=0.147&amp;sourceID=14","0.147")</f>
        <v>0.147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HYPERLINK("http://141.218.60.56/~jnz1568/getInfo.php?workbook=14_09.xlsx&amp;sheet=U0&amp;row=251&amp;col=6&amp;number=3.7&amp;sourceID=14","3.7")</f>
        <v>3.7</v>
      </c>
      <c r="G251" s="4" t="str">
        <f>HYPERLINK("http://141.218.60.56/~jnz1568/getInfo.php?workbook=14_09.xlsx&amp;sheet=U0&amp;row=251&amp;col=7&amp;number=0.146&amp;sourceID=14","0.146")</f>
        <v>0.146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HYPERLINK("http://141.218.60.56/~jnz1568/getInfo.php?workbook=14_09.xlsx&amp;sheet=U0&amp;row=252&amp;col=6&amp;number=3.8&amp;sourceID=14","3.8")</f>
        <v>3.8</v>
      </c>
      <c r="G252" s="4" t="str">
        <f>HYPERLINK("http://141.218.60.56/~jnz1568/getInfo.php?workbook=14_09.xlsx&amp;sheet=U0&amp;row=252&amp;col=7&amp;number=0.146&amp;sourceID=14","0.146")</f>
        <v>0.146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HYPERLINK("http://141.218.60.56/~jnz1568/getInfo.php?workbook=14_09.xlsx&amp;sheet=U0&amp;row=253&amp;col=6&amp;number=3.9&amp;sourceID=14","3.9")</f>
        <v>3.9</v>
      </c>
      <c r="G253" s="4" t="str">
        <f>HYPERLINK("http://141.218.60.56/~jnz1568/getInfo.php?workbook=14_09.xlsx&amp;sheet=U0&amp;row=253&amp;col=7&amp;number=0.145&amp;sourceID=14","0.145")</f>
        <v>0.145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HYPERLINK("http://141.218.60.56/~jnz1568/getInfo.php?workbook=14_09.xlsx&amp;sheet=U0&amp;row=254&amp;col=6&amp;number=4&amp;sourceID=14","4")</f>
        <v>4</v>
      </c>
      <c r="G254" s="4" t="str">
        <f>HYPERLINK("http://141.218.60.56/~jnz1568/getInfo.php?workbook=14_09.xlsx&amp;sheet=U0&amp;row=254&amp;col=7&amp;number=0.145&amp;sourceID=14","0.145")</f>
        <v>0.145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HYPERLINK("http://141.218.60.56/~jnz1568/getInfo.php?workbook=14_09.xlsx&amp;sheet=U0&amp;row=255&amp;col=6&amp;number=4.1&amp;sourceID=14","4.1")</f>
        <v>4.1</v>
      </c>
      <c r="G255" s="4" t="str">
        <f>HYPERLINK("http://141.218.60.56/~jnz1568/getInfo.php?workbook=14_09.xlsx&amp;sheet=U0&amp;row=255&amp;col=7&amp;number=0.144&amp;sourceID=14","0.144")</f>
        <v>0.144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HYPERLINK("http://141.218.60.56/~jnz1568/getInfo.php?workbook=14_09.xlsx&amp;sheet=U0&amp;row=256&amp;col=6&amp;number=4.2&amp;sourceID=14","4.2")</f>
        <v>4.2</v>
      </c>
      <c r="G256" s="4" t="str">
        <f>HYPERLINK("http://141.218.60.56/~jnz1568/getInfo.php?workbook=14_09.xlsx&amp;sheet=U0&amp;row=256&amp;col=7&amp;number=0.143&amp;sourceID=14","0.143")</f>
        <v>0.143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HYPERLINK("http://141.218.60.56/~jnz1568/getInfo.php?workbook=14_09.xlsx&amp;sheet=U0&amp;row=257&amp;col=6&amp;number=4.3&amp;sourceID=14","4.3")</f>
        <v>4.3</v>
      </c>
      <c r="G257" s="4" t="str">
        <f>HYPERLINK("http://141.218.60.56/~jnz1568/getInfo.php?workbook=14_09.xlsx&amp;sheet=U0&amp;row=257&amp;col=7&amp;number=0.141&amp;sourceID=14","0.141")</f>
        <v>0.141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HYPERLINK("http://141.218.60.56/~jnz1568/getInfo.php?workbook=14_09.xlsx&amp;sheet=U0&amp;row=258&amp;col=6&amp;number=4.4&amp;sourceID=14","4.4")</f>
        <v>4.4</v>
      </c>
      <c r="G258" s="4" t="str">
        <f>HYPERLINK("http://141.218.60.56/~jnz1568/getInfo.php?workbook=14_09.xlsx&amp;sheet=U0&amp;row=258&amp;col=7&amp;number=0.14&amp;sourceID=14","0.14")</f>
        <v>0.14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HYPERLINK("http://141.218.60.56/~jnz1568/getInfo.php?workbook=14_09.xlsx&amp;sheet=U0&amp;row=259&amp;col=6&amp;number=4.5&amp;sourceID=14","4.5")</f>
        <v>4.5</v>
      </c>
      <c r="G259" s="4" t="str">
        <f>HYPERLINK("http://141.218.60.56/~jnz1568/getInfo.php?workbook=14_09.xlsx&amp;sheet=U0&amp;row=259&amp;col=7&amp;number=0.138&amp;sourceID=14","0.138")</f>
        <v>0.138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HYPERLINK("http://141.218.60.56/~jnz1568/getInfo.php?workbook=14_09.xlsx&amp;sheet=U0&amp;row=260&amp;col=6&amp;number=4.6&amp;sourceID=14","4.6")</f>
        <v>4.6</v>
      </c>
      <c r="G260" s="4" t="str">
        <f>HYPERLINK("http://141.218.60.56/~jnz1568/getInfo.php?workbook=14_09.xlsx&amp;sheet=U0&amp;row=260&amp;col=7&amp;number=0.135&amp;sourceID=14","0.135")</f>
        <v>0.135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HYPERLINK("http://141.218.60.56/~jnz1568/getInfo.php?workbook=14_09.xlsx&amp;sheet=U0&amp;row=261&amp;col=6&amp;number=4.7&amp;sourceID=14","4.7")</f>
        <v>4.7</v>
      </c>
      <c r="G261" s="4" t="str">
        <f>HYPERLINK("http://141.218.60.56/~jnz1568/getInfo.php?workbook=14_09.xlsx&amp;sheet=U0&amp;row=261&amp;col=7&amp;number=0.132&amp;sourceID=14","0.132")</f>
        <v>0.132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HYPERLINK("http://141.218.60.56/~jnz1568/getInfo.php?workbook=14_09.xlsx&amp;sheet=U0&amp;row=262&amp;col=6&amp;number=4.8&amp;sourceID=14","4.8")</f>
        <v>4.8</v>
      </c>
      <c r="G262" s="4" t="str">
        <f>HYPERLINK("http://141.218.60.56/~jnz1568/getInfo.php?workbook=14_09.xlsx&amp;sheet=U0&amp;row=262&amp;col=7&amp;number=0.128&amp;sourceID=14","0.128")</f>
        <v>0.128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HYPERLINK("http://141.218.60.56/~jnz1568/getInfo.php?workbook=14_09.xlsx&amp;sheet=U0&amp;row=263&amp;col=6&amp;number=4.9&amp;sourceID=14","4.9")</f>
        <v>4.9</v>
      </c>
      <c r="G263" s="4" t="str">
        <f>HYPERLINK("http://141.218.60.56/~jnz1568/getInfo.php?workbook=14_09.xlsx&amp;sheet=U0&amp;row=263&amp;col=7&amp;number=0.123&amp;sourceID=14","0.123")</f>
        <v>0.123</v>
      </c>
    </row>
    <row r="264" spans="1:7">
      <c r="A264" s="3">
        <v>14</v>
      </c>
      <c r="B264" s="3">
        <v>9</v>
      </c>
      <c r="C264" s="3">
        <v>1</v>
      </c>
      <c r="D264" s="3">
        <v>15</v>
      </c>
      <c r="E264" s="3">
        <v>1</v>
      </c>
      <c r="F264" s="4" t="str">
        <f>HYPERLINK("http://141.218.60.56/~jnz1568/getInfo.php?workbook=14_09.xlsx&amp;sheet=U0&amp;row=264&amp;col=6&amp;number=3&amp;sourceID=14","3")</f>
        <v>3</v>
      </c>
      <c r="G264" s="4" t="str">
        <f>HYPERLINK("http://141.218.60.56/~jnz1568/getInfo.php?workbook=14_09.xlsx&amp;sheet=U0&amp;row=264&amp;col=7&amp;number=0.114&amp;sourceID=14","0.114")</f>
        <v>0.114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HYPERLINK("http://141.218.60.56/~jnz1568/getInfo.php?workbook=14_09.xlsx&amp;sheet=U0&amp;row=265&amp;col=6&amp;number=3.1&amp;sourceID=14","3.1")</f>
        <v>3.1</v>
      </c>
      <c r="G265" s="4" t="str">
        <f>HYPERLINK("http://141.218.60.56/~jnz1568/getInfo.php?workbook=14_09.xlsx&amp;sheet=U0&amp;row=265&amp;col=7&amp;number=0.113&amp;sourceID=14","0.113")</f>
        <v>0.113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HYPERLINK("http://141.218.60.56/~jnz1568/getInfo.php?workbook=14_09.xlsx&amp;sheet=U0&amp;row=266&amp;col=6&amp;number=3.2&amp;sourceID=14","3.2")</f>
        <v>3.2</v>
      </c>
      <c r="G266" s="4" t="str">
        <f>HYPERLINK("http://141.218.60.56/~jnz1568/getInfo.php?workbook=14_09.xlsx&amp;sheet=U0&amp;row=266&amp;col=7&amp;number=0.113&amp;sourceID=14","0.113")</f>
        <v>0.113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HYPERLINK("http://141.218.60.56/~jnz1568/getInfo.php?workbook=14_09.xlsx&amp;sheet=U0&amp;row=267&amp;col=6&amp;number=3.3&amp;sourceID=14","3.3")</f>
        <v>3.3</v>
      </c>
      <c r="G267" s="4" t="str">
        <f>HYPERLINK("http://141.218.60.56/~jnz1568/getInfo.php?workbook=14_09.xlsx&amp;sheet=U0&amp;row=267&amp;col=7&amp;number=0.113&amp;sourceID=14","0.113")</f>
        <v>0.113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HYPERLINK("http://141.218.60.56/~jnz1568/getInfo.php?workbook=14_09.xlsx&amp;sheet=U0&amp;row=268&amp;col=6&amp;number=3.4&amp;sourceID=14","3.4")</f>
        <v>3.4</v>
      </c>
      <c r="G268" s="4" t="str">
        <f>HYPERLINK("http://141.218.60.56/~jnz1568/getInfo.php?workbook=14_09.xlsx&amp;sheet=U0&amp;row=268&amp;col=7&amp;number=0.113&amp;sourceID=14","0.113")</f>
        <v>0.113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HYPERLINK("http://141.218.60.56/~jnz1568/getInfo.php?workbook=14_09.xlsx&amp;sheet=U0&amp;row=269&amp;col=6&amp;number=3.5&amp;sourceID=14","3.5")</f>
        <v>3.5</v>
      </c>
      <c r="G269" s="4" t="str">
        <f>HYPERLINK("http://141.218.60.56/~jnz1568/getInfo.php?workbook=14_09.xlsx&amp;sheet=U0&amp;row=269&amp;col=7&amp;number=0.112&amp;sourceID=14","0.112")</f>
        <v>0.112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HYPERLINK("http://141.218.60.56/~jnz1568/getInfo.php?workbook=14_09.xlsx&amp;sheet=U0&amp;row=270&amp;col=6&amp;number=3.6&amp;sourceID=14","3.6")</f>
        <v>3.6</v>
      </c>
      <c r="G270" s="4" t="str">
        <f>HYPERLINK("http://141.218.60.56/~jnz1568/getInfo.php?workbook=14_09.xlsx&amp;sheet=U0&amp;row=270&amp;col=7&amp;number=0.112&amp;sourceID=14","0.112")</f>
        <v>0.112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HYPERLINK("http://141.218.60.56/~jnz1568/getInfo.php?workbook=14_09.xlsx&amp;sheet=U0&amp;row=271&amp;col=6&amp;number=3.7&amp;sourceID=14","3.7")</f>
        <v>3.7</v>
      </c>
      <c r="G271" s="4" t="str">
        <f>HYPERLINK("http://141.218.60.56/~jnz1568/getInfo.php?workbook=14_09.xlsx&amp;sheet=U0&amp;row=271&amp;col=7&amp;number=0.111&amp;sourceID=14","0.111")</f>
        <v>0.111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HYPERLINK("http://141.218.60.56/~jnz1568/getInfo.php?workbook=14_09.xlsx&amp;sheet=U0&amp;row=272&amp;col=6&amp;number=3.8&amp;sourceID=14","3.8")</f>
        <v>3.8</v>
      </c>
      <c r="G272" s="4" t="str">
        <f>HYPERLINK("http://141.218.60.56/~jnz1568/getInfo.php?workbook=14_09.xlsx&amp;sheet=U0&amp;row=272&amp;col=7&amp;number=0.11&amp;sourceID=14","0.11")</f>
        <v>0.11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HYPERLINK("http://141.218.60.56/~jnz1568/getInfo.php?workbook=14_09.xlsx&amp;sheet=U0&amp;row=273&amp;col=6&amp;number=3.9&amp;sourceID=14","3.9")</f>
        <v>3.9</v>
      </c>
      <c r="G273" s="4" t="str">
        <f>HYPERLINK("http://141.218.60.56/~jnz1568/getInfo.php?workbook=14_09.xlsx&amp;sheet=U0&amp;row=273&amp;col=7&amp;number=0.11&amp;sourceID=14","0.11")</f>
        <v>0.11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HYPERLINK("http://141.218.60.56/~jnz1568/getInfo.php?workbook=14_09.xlsx&amp;sheet=U0&amp;row=274&amp;col=6&amp;number=4&amp;sourceID=14","4")</f>
        <v>4</v>
      </c>
      <c r="G274" s="4" t="str">
        <f>HYPERLINK("http://141.218.60.56/~jnz1568/getInfo.php?workbook=14_09.xlsx&amp;sheet=U0&amp;row=274&amp;col=7&amp;number=0.108&amp;sourceID=14","0.108")</f>
        <v>0.108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HYPERLINK("http://141.218.60.56/~jnz1568/getInfo.php?workbook=14_09.xlsx&amp;sheet=U0&amp;row=275&amp;col=6&amp;number=4.1&amp;sourceID=14","4.1")</f>
        <v>4.1</v>
      </c>
      <c r="G275" s="4" t="str">
        <f>HYPERLINK("http://141.218.60.56/~jnz1568/getInfo.php?workbook=14_09.xlsx&amp;sheet=U0&amp;row=275&amp;col=7&amp;number=0.107&amp;sourceID=14","0.107")</f>
        <v>0.107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HYPERLINK("http://141.218.60.56/~jnz1568/getInfo.php?workbook=14_09.xlsx&amp;sheet=U0&amp;row=276&amp;col=6&amp;number=4.2&amp;sourceID=14","4.2")</f>
        <v>4.2</v>
      </c>
      <c r="G276" s="4" t="str">
        <f>HYPERLINK("http://141.218.60.56/~jnz1568/getInfo.php?workbook=14_09.xlsx&amp;sheet=U0&amp;row=276&amp;col=7&amp;number=0.105&amp;sourceID=14","0.105")</f>
        <v>0.105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HYPERLINK("http://141.218.60.56/~jnz1568/getInfo.php?workbook=14_09.xlsx&amp;sheet=U0&amp;row=277&amp;col=6&amp;number=4.3&amp;sourceID=14","4.3")</f>
        <v>4.3</v>
      </c>
      <c r="G277" s="4" t="str">
        <f>HYPERLINK("http://141.218.60.56/~jnz1568/getInfo.php?workbook=14_09.xlsx&amp;sheet=U0&amp;row=277&amp;col=7&amp;number=0.103&amp;sourceID=14","0.103")</f>
        <v>0.103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HYPERLINK("http://141.218.60.56/~jnz1568/getInfo.php?workbook=14_09.xlsx&amp;sheet=U0&amp;row=278&amp;col=6&amp;number=4.4&amp;sourceID=14","4.4")</f>
        <v>4.4</v>
      </c>
      <c r="G278" s="4" t="str">
        <f>HYPERLINK("http://141.218.60.56/~jnz1568/getInfo.php?workbook=14_09.xlsx&amp;sheet=U0&amp;row=278&amp;col=7&amp;number=0.101&amp;sourceID=14","0.101")</f>
        <v>0.101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HYPERLINK("http://141.218.60.56/~jnz1568/getInfo.php?workbook=14_09.xlsx&amp;sheet=U0&amp;row=279&amp;col=6&amp;number=4.5&amp;sourceID=14","4.5")</f>
        <v>4.5</v>
      </c>
      <c r="G279" s="4" t="str">
        <f>HYPERLINK("http://141.218.60.56/~jnz1568/getInfo.php?workbook=14_09.xlsx&amp;sheet=U0&amp;row=279&amp;col=7&amp;number=0.0982&amp;sourceID=14","0.0982")</f>
        <v>0.0982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HYPERLINK("http://141.218.60.56/~jnz1568/getInfo.php?workbook=14_09.xlsx&amp;sheet=U0&amp;row=280&amp;col=6&amp;number=4.6&amp;sourceID=14","4.6")</f>
        <v>4.6</v>
      </c>
      <c r="G280" s="4" t="str">
        <f>HYPERLINK("http://141.218.60.56/~jnz1568/getInfo.php?workbook=14_09.xlsx&amp;sheet=U0&amp;row=280&amp;col=7&amp;number=0.0951&amp;sourceID=14","0.0951")</f>
        <v>0.0951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HYPERLINK("http://141.218.60.56/~jnz1568/getInfo.php?workbook=14_09.xlsx&amp;sheet=U0&amp;row=281&amp;col=6&amp;number=4.7&amp;sourceID=14","4.7")</f>
        <v>4.7</v>
      </c>
      <c r="G281" s="4" t="str">
        <f>HYPERLINK("http://141.218.60.56/~jnz1568/getInfo.php?workbook=14_09.xlsx&amp;sheet=U0&amp;row=281&amp;col=7&amp;number=0.092&amp;sourceID=14","0.092")</f>
        <v>0.092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HYPERLINK("http://141.218.60.56/~jnz1568/getInfo.php?workbook=14_09.xlsx&amp;sheet=U0&amp;row=282&amp;col=6&amp;number=4.8&amp;sourceID=14","4.8")</f>
        <v>4.8</v>
      </c>
      <c r="G282" s="4" t="str">
        <f>HYPERLINK("http://141.218.60.56/~jnz1568/getInfo.php?workbook=14_09.xlsx&amp;sheet=U0&amp;row=282&amp;col=7&amp;number=0.0889&amp;sourceID=14","0.0889")</f>
        <v>0.0889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HYPERLINK("http://141.218.60.56/~jnz1568/getInfo.php?workbook=14_09.xlsx&amp;sheet=U0&amp;row=283&amp;col=6&amp;number=4.9&amp;sourceID=14","4.9")</f>
        <v>4.9</v>
      </c>
      <c r="G283" s="4" t="str">
        <f>HYPERLINK("http://141.218.60.56/~jnz1568/getInfo.php?workbook=14_09.xlsx&amp;sheet=U0&amp;row=283&amp;col=7&amp;number=0.0857&amp;sourceID=14","0.0857")</f>
        <v>0.0857</v>
      </c>
    </row>
    <row r="284" spans="1:7">
      <c r="A284" s="3">
        <v>14</v>
      </c>
      <c r="B284" s="3">
        <v>9</v>
      </c>
      <c r="C284" s="3">
        <v>1</v>
      </c>
      <c r="D284" s="3">
        <v>16</v>
      </c>
      <c r="E284" s="3">
        <v>1</v>
      </c>
      <c r="F284" s="4" t="str">
        <f>HYPERLINK("http://141.218.60.56/~jnz1568/getInfo.php?workbook=14_09.xlsx&amp;sheet=U0&amp;row=284&amp;col=6&amp;number=3&amp;sourceID=14","3")</f>
        <v>3</v>
      </c>
      <c r="G284" s="4" t="str">
        <f>HYPERLINK("http://141.218.60.56/~jnz1568/getInfo.php?workbook=14_09.xlsx&amp;sheet=U0&amp;row=284&amp;col=7&amp;number=0.0735&amp;sourceID=14","0.0735")</f>
        <v>0.0735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HYPERLINK("http://141.218.60.56/~jnz1568/getInfo.php?workbook=14_09.xlsx&amp;sheet=U0&amp;row=285&amp;col=6&amp;number=3.1&amp;sourceID=14","3.1")</f>
        <v>3.1</v>
      </c>
      <c r="G285" s="4" t="str">
        <f>HYPERLINK("http://141.218.60.56/~jnz1568/getInfo.php?workbook=14_09.xlsx&amp;sheet=U0&amp;row=285&amp;col=7&amp;number=0.0734&amp;sourceID=14","0.0734")</f>
        <v>0.0734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HYPERLINK("http://141.218.60.56/~jnz1568/getInfo.php?workbook=14_09.xlsx&amp;sheet=U0&amp;row=286&amp;col=6&amp;number=3.2&amp;sourceID=14","3.2")</f>
        <v>3.2</v>
      </c>
      <c r="G286" s="4" t="str">
        <f>HYPERLINK("http://141.218.60.56/~jnz1568/getInfo.php?workbook=14_09.xlsx&amp;sheet=U0&amp;row=286&amp;col=7&amp;number=0.0733&amp;sourceID=14","0.0733")</f>
        <v>0.0733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HYPERLINK("http://141.218.60.56/~jnz1568/getInfo.php?workbook=14_09.xlsx&amp;sheet=U0&amp;row=287&amp;col=6&amp;number=3.3&amp;sourceID=14","3.3")</f>
        <v>3.3</v>
      </c>
      <c r="G287" s="4" t="str">
        <f>HYPERLINK("http://141.218.60.56/~jnz1568/getInfo.php?workbook=14_09.xlsx&amp;sheet=U0&amp;row=287&amp;col=7&amp;number=0.0731&amp;sourceID=14","0.0731")</f>
        <v>0.0731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HYPERLINK("http://141.218.60.56/~jnz1568/getInfo.php?workbook=14_09.xlsx&amp;sheet=U0&amp;row=288&amp;col=6&amp;number=3.4&amp;sourceID=14","3.4")</f>
        <v>3.4</v>
      </c>
      <c r="G288" s="4" t="str">
        <f>HYPERLINK("http://141.218.60.56/~jnz1568/getInfo.php?workbook=14_09.xlsx&amp;sheet=U0&amp;row=288&amp;col=7&amp;number=0.0729&amp;sourceID=14","0.0729")</f>
        <v>0.0729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HYPERLINK("http://141.218.60.56/~jnz1568/getInfo.php?workbook=14_09.xlsx&amp;sheet=U0&amp;row=289&amp;col=6&amp;number=3.5&amp;sourceID=14","3.5")</f>
        <v>3.5</v>
      </c>
      <c r="G289" s="4" t="str">
        <f>HYPERLINK("http://141.218.60.56/~jnz1568/getInfo.php?workbook=14_09.xlsx&amp;sheet=U0&amp;row=289&amp;col=7&amp;number=0.0726&amp;sourceID=14","0.0726")</f>
        <v>0.0726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HYPERLINK("http://141.218.60.56/~jnz1568/getInfo.php?workbook=14_09.xlsx&amp;sheet=U0&amp;row=290&amp;col=6&amp;number=3.6&amp;sourceID=14","3.6")</f>
        <v>3.6</v>
      </c>
      <c r="G290" s="4" t="str">
        <f>HYPERLINK("http://141.218.60.56/~jnz1568/getInfo.php?workbook=14_09.xlsx&amp;sheet=U0&amp;row=290&amp;col=7&amp;number=0.0723&amp;sourceID=14","0.0723")</f>
        <v>0.0723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HYPERLINK("http://141.218.60.56/~jnz1568/getInfo.php?workbook=14_09.xlsx&amp;sheet=U0&amp;row=291&amp;col=6&amp;number=3.7&amp;sourceID=14","3.7")</f>
        <v>3.7</v>
      </c>
      <c r="G291" s="4" t="str">
        <f>HYPERLINK("http://141.218.60.56/~jnz1568/getInfo.php?workbook=14_09.xlsx&amp;sheet=U0&amp;row=291&amp;col=7&amp;number=0.0719&amp;sourceID=14","0.0719")</f>
        <v>0.0719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HYPERLINK("http://141.218.60.56/~jnz1568/getInfo.php?workbook=14_09.xlsx&amp;sheet=U0&amp;row=292&amp;col=6&amp;number=3.8&amp;sourceID=14","3.8")</f>
        <v>3.8</v>
      </c>
      <c r="G292" s="4" t="str">
        <f>HYPERLINK("http://141.218.60.56/~jnz1568/getInfo.php?workbook=14_09.xlsx&amp;sheet=U0&amp;row=292&amp;col=7&amp;number=0.0714&amp;sourceID=14","0.0714")</f>
        <v>0.0714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HYPERLINK("http://141.218.60.56/~jnz1568/getInfo.php?workbook=14_09.xlsx&amp;sheet=U0&amp;row=293&amp;col=6&amp;number=3.9&amp;sourceID=14","3.9")</f>
        <v>3.9</v>
      </c>
      <c r="G293" s="4" t="str">
        <f>HYPERLINK("http://141.218.60.56/~jnz1568/getInfo.php?workbook=14_09.xlsx&amp;sheet=U0&amp;row=293&amp;col=7&amp;number=0.0708&amp;sourceID=14","0.0708")</f>
        <v>0.0708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HYPERLINK("http://141.218.60.56/~jnz1568/getInfo.php?workbook=14_09.xlsx&amp;sheet=U0&amp;row=294&amp;col=6&amp;number=4&amp;sourceID=14","4")</f>
        <v>4</v>
      </c>
      <c r="G294" s="4" t="str">
        <f>HYPERLINK("http://141.218.60.56/~jnz1568/getInfo.php?workbook=14_09.xlsx&amp;sheet=U0&amp;row=294&amp;col=7&amp;number=0.07&amp;sourceID=14","0.07")</f>
        <v>0.07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HYPERLINK("http://141.218.60.56/~jnz1568/getInfo.php?workbook=14_09.xlsx&amp;sheet=U0&amp;row=295&amp;col=6&amp;number=4.1&amp;sourceID=14","4.1")</f>
        <v>4.1</v>
      </c>
      <c r="G295" s="4" t="str">
        <f>HYPERLINK("http://141.218.60.56/~jnz1568/getInfo.php?workbook=14_09.xlsx&amp;sheet=U0&amp;row=295&amp;col=7&amp;number=0.0691&amp;sourceID=14","0.0691")</f>
        <v>0.0691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HYPERLINK("http://141.218.60.56/~jnz1568/getInfo.php?workbook=14_09.xlsx&amp;sheet=U0&amp;row=296&amp;col=6&amp;number=4.2&amp;sourceID=14","4.2")</f>
        <v>4.2</v>
      </c>
      <c r="G296" s="4" t="str">
        <f>HYPERLINK("http://141.218.60.56/~jnz1568/getInfo.php?workbook=14_09.xlsx&amp;sheet=U0&amp;row=296&amp;col=7&amp;number=0.0679&amp;sourceID=14","0.0679")</f>
        <v>0.0679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HYPERLINK("http://141.218.60.56/~jnz1568/getInfo.php?workbook=14_09.xlsx&amp;sheet=U0&amp;row=297&amp;col=6&amp;number=4.3&amp;sourceID=14","4.3")</f>
        <v>4.3</v>
      </c>
      <c r="G297" s="4" t="str">
        <f>HYPERLINK("http://141.218.60.56/~jnz1568/getInfo.php?workbook=14_09.xlsx&amp;sheet=U0&amp;row=297&amp;col=7&amp;number=0.0664&amp;sourceID=14","0.0664")</f>
        <v>0.0664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HYPERLINK("http://141.218.60.56/~jnz1568/getInfo.php?workbook=14_09.xlsx&amp;sheet=U0&amp;row=298&amp;col=6&amp;number=4.4&amp;sourceID=14","4.4")</f>
        <v>4.4</v>
      </c>
      <c r="G298" s="4" t="str">
        <f>HYPERLINK("http://141.218.60.56/~jnz1568/getInfo.php?workbook=14_09.xlsx&amp;sheet=U0&amp;row=298&amp;col=7&amp;number=0.0646&amp;sourceID=14","0.0646")</f>
        <v>0.0646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HYPERLINK("http://141.218.60.56/~jnz1568/getInfo.php?workbook=14_09.xlsx&amp;sheet=U0&amp;row=299&amp;col=6&amp;number=4.5&amp;sourceID=14","4.5")</f>
        <v>4.5</v>
      </c>
      <c r="G299" s="4" t="str">
        <f>HYPERLINK("http://141.218.60.56/~jnz1568/getInfo.php?workbook=14_09.xlsx&amp;sheet=U0&amp;row=299&amp;col=7&amp;number=0.0625&amp;sourceID=14","0.0625")</f>
        <v>0.0625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HYPERLINK("http://141.218.60.56/~jnz1568/getInfo.php?workbook=14_09.xlsx&amp;sheet=U0&amp;row=300&amp;col=6&amp;number=4.6&amp;sourceID=14","4.6")</f>
        <v>4.6</v>
      </c>
      <c r="G300" s="4" t="str">
        <f>HYPERLINK("http://141.218.60.56/~jnz1568/getInfo.php?workbook=14_09.xlsx&amp;sheet=U0&amp;row=300&amp;col=7&amp;number=0.06&amp;sourceID=14","0.06")</f>
        <v>0.06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HYPERLINK("http://141.218.60.56/~jnz1568/getInfo.php?workbook=14_09.xlsx&amp;sheet=U0&amp;row=301&amp;col=6&amp;number=4.7&amp;sourceID=14","4.7")</f>
        <v>4.7</v>
      </c>
      <c r="G301" s="4" t="str">
        <f>HYPERLINK("http://141.218.60.56/~jnz1568/getInfo.php?workbook=14_09.xlsx&amp;sheet=U0&amp;row=301&amp;col=7&amp;number=0.0571&amp;sourceID=14","0.0571")</f>
        <v>0.0571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HYPERLINK("http://141.218.60.56/~jnz1568/getInfo.php?workbook=14_09.xlsx&amp;sheet=U0&amp;row=302&amp;col=6&amp;number=4.8&amp;sourceID=14","4.8")</f>
        <v>4.8</v>
      </c>
      <c r="G302" s="4" t="str">
        <f>HYPERLINK("http://141.218.60.56/~jnz1568/getInfo.php?workbook=14_09.xlsx&amp;sheet=U0&amp;row=302&amp;col=7&amp;number=0.0541&amp;sourceID=14","0.0541")</f>
        <v>0.0541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HYPERLINK("http://141.218.60.56/~jnz1568/getInfo.php?workbook=14_09.xlsx&amp;sheet=U0&amp;row=303&amp;col=6&amp;number=4.9&amp;sourceID=14","4.9")</f>
        <v>4.9</v>
      </c>
      <c r="G303" s="4" t="str">
        <f>HYPERLINK("http://141.218.60.56/~jnz1568/getInfo.php?workbook=14_09.xlsx&amp;sheet=U0&amp;row=303&amp;col=7&amp;number=0.051&amp;sourceID=14","0.051")</f>
        <v>0.051</v>
      </c>
    </row>
    <row r="304" spans="1:7">
      <c r="A304" s="3">
        <v>14</v>
      </c>
      <c r="B304" s="3">
        <v>9</v>
      </c>
      <c r="C304" s="3">
        <v>1</v>
      </c>
      <c r="D304" s="3">
        <v>17</v>
      </c>
      <c r="E304" s="3">
        <v>1</v>
      </c>
      <c r="F304" s="4" t="str">
        <f>HYPERLINK("http://141.218.60.56/~jnz1568/getInfo.php?workbook=14_09.xlsx&amp;sheet=U0&amp;row=304&amp;col=6&amp;number=3&amp;sourceID=14","3")</f>
        <v>3</v>
      </c>
      <c r="G304" s="4" t="str">
        <f>HYPERLINK("http://141.218.60.56/~jnz1568/getInfo.php?workbook=14_09.xlsx&amp;sheet=U0&amp;row=304&amp;col=7&amp;number=0.0305&amp;sourceID=14","0.0305")</f>
        <v>0.0305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HYPERLINK("http://141.218.60.56/~jnz1568/getInfo.php?workbook=14_09.xlsx&amp;sheet=U0&amp;row=305&amp;col=6&amp;number=3.1&amp;sourceID=14","3.1")</f>
        <v>3.1</v>
      </c>
      <c r="G305" s="4" t="str">
        <f>HYPERLINK("http://141.218.60.56/~jnz1568/getInfo.php?workbook=14_09.xlsx&amp;sheet=U0&amp;row=305&amp;col=7&amp;number=0.0305&amp;sourceID=14","0.0305")</f>
        <v>0.0305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HYPERLINK("http://141.218.60.56/~jnz1568/getInfo.php?workbook=14_09.xlsx&amp;sheet=U0&amp;row=306&amp;col=6&amp;number=3.2&amp;sourceID=14","3.2")</f>
        <v>3.2</v>
      </c>
      <c r="G306" s="4" t="str">
        <f>HYPERLINK("http://141.218.60.56/~jnz1568/getInfo.php?workbook=14_09.xlsx&amp;sheet=U0&amp;row=306&amp;col=7&amp;number=0.0304&amp;sourceID=14","0.0304")</f>
        <v>0.0304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HYPERLINK("http://141.218.60.56/~jnz1568/getInfo.php?workbook=14_09.xlsx&amp;sheet=U0&amp;row=307&amp;col=6&amp;number=3.3&amp;sourceID=14","3.3")</f>
        <v>3.3</v>
      </c>
      <c r="G307" s="4" t="str">
        <f>HYPERLINK("http://141.218.60.56/~jnz1568/getInfo.php?workbook=14_09.xlsx&amp;sheet=U0&amp;row=307&amp;col=7&amp;number=0.0304&amp;sourceID=14","0.0304")</f>
        <v>0.0304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HYPERLINK("http://141.218.60.56/~jnz1568/getInfo.php?workbook=14_09.xlsx&amp;sheet=U0&amp;row=308&amp;col=6&amp;number=3.4&amp;sourceID=14","3.4")</f>
        <v>3.4</v>
      </c>
      <c r="G308" s="4" t="str">
        <f>HYPERLINK("http://141.218.60.56/~jnz1568/getInfo.php?workbook=14_09.xlsx&amp;sheet=U0&amp;row=308&amp;col=7&amp;number=0.0303&amp;sourceID=14","0.0303")</f>
        <v>0.0303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HYPERLINK("http://141.218.60.56/~jnz1568/getInfo.php?workbook=14_09.xlsx&amp;sheet=U0&amp;row=309&amp;col=6&amp;number=3.5&amp;sourceID=14","3.5")</f>
        <v>3.5</v>
      </c>
      <c r="G309" s="4" t="str">
        <f>HYPERLINK("http://141.218.60.56/~jnz1568/getInfo.php?workbook=14_09.xlsx&amp;sheet=U0&amp;row=309&amp;col=7&amp;number=0.0302&amp;sourceID=14","0.0302")</f>
        <v>0.0302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HYPERLINK("http://141.218.60.56/~jnz1568/getInfo.php?workbook=14_09.xlsx&amp;sheet=U0&amp;row=310&amp;col=6&amp;number=3.6&amp;sourceID=14","3.6")</f>
        <v>3.6</v>
      </c>
      <c r="G310" s="4" t="str">
        <f>HYPERLINK("http://141.218.60.56/~jnz1568/getInfo.php?workbook=14_09.xlsx&amp;sheet=U0&amp;row=310&amp;col=7&amp;number=0.0301&amp;sourceID=14","0.0301")</f>
        <v>0.0301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HYPERLINK("http://141.218.60.56/~jnz1568/getInfo.php?workbook=14_09.xlsx&amp;sheet=U0&amp;row=311&amp;col=6&amp;number=3.7&amp;sourceID=14","3.7")</f>
        <v>3.7</v>
      </c>
      <c r="G311" s="4" t="str">
        <f>HYPERLINK("http://141.218.60.56/~jnz1568/getInfo.php?workbook=14_09.xlsx&amp;sheet=U0&amp;row=311&amp;col=7&amp;number=0.0299&amp;sourceID=14","0.0299")</f>
        <v>0.0299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HYPERLINK("http://141.218.60.56/~jnz1568/getInfo.php?workbook=14_09.xlsx&amp;sheet=U0&amp;row=312&amp;col=6&amp;number=3.8&amp;sourceID=14","3.8")</f>
        <v>3.8</v>
      </c>
      <c r="G312" s="4" t="str">
        <f>HYPERLINK("http://141.218.60.56/~jnz1568/getInfo.php?workbook=14_09.xlsx&amp;sheet=U0&amp;row=312&amp;col=7&amp;number=0.0297&amp;sourceID=14","0.0297")</f>
        <v>0.0297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HYPERLINK("http://141.218.60.56/~jnz1568/getInfo.php?workbook=14_09.xlsx&amp;sheet=U0&amp;row=313&amp;col=6&amp;number=3.9&amp;sourceID=14","3.9")</f>
        <v>3.9</v>
      </c>
      <c r="G313" s="4" t="str">
        <f>HYPERLINK("http://141.218.60.56/~jnz1568/getInfo.php?workbook=14_09.xlsx&amp;sheet=U0&amp;row=313&amp;col=7&amp;number=0.0295&amp;sourceID=14","0.0295")</f>
        <v>0.0295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HYPERLINK("http://141.218.60.56/~jnz1568/getInfo.php?workbook=14_09.xlsx&amp;sheet=U0&amp;row=314&amp;col=6&amp;number=4&amp;sourceID=14","4")</f>
        <v>4</v>
      </c>
      <c r="G314" s="4" t="str">
        <f>HYPERLINK("http://141.218.60.56/~jnz1568/getInfo.php?workbook=14_09.xlsx&amp;sheet=U0&amp;row=314&amp;col=7&amp;number=0.0292&amp;sourceID=14","0.0292")</f>
        <v>0.0292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HYPERLINK("http://141.218.60.56/~jnz1568/getInfo.php?workbook=14_09.xlsx&amp;sheet=U0&amp;row=315&amp;col=6&amp;number=4.1&amp;sourceID=14","4.1")</f>
        <v>4.1</v>
      </c>
      <c r="G315" s="4" t="str">
        <f>HYPERLINK("http://141.218.60.56/~jnz1568/getInfo.php?workbook=14_09.xlsx&amp;sheet=U0&amp;row=315&amp;col=7&amp;number=0.0288&amp;sourceID=14","0.0288")</f>
        <v>0.0288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HYPERLINK("http://141.218.60.56/~jnz1568/getInfo.php?workbook=14_09.xlsx&amp;sheet=U0&amp;row=316&amp;col=6&amp;number=4.2&amp;sourceID=14","4.2")</f>
        <v>4.2</v>
      </c>
      <c r="G316" s="4" t="str">
        <f>HYPERLINK("http://141.218.60.56/~jnz1568/getInfo.php?workbook=14_09.xlsx&amp;sheet=U0&amp;row=316&amp;col=7&amp;number=0.0283&amp;sourceID=14","0.0283")</f>
        <v>0.0283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HYPERLINK("http://141.218.60.56/~jnz1568/getInfo.php?workbook=14_09.xlsx&amp;sheet=U0&amp;row=317&amp;col=6&amp;number=4.3&amp;sourceID=14","4.3")</f>
        <v>4.3</v>
      </c>
      <c r="G317" s="4" t="str">
        <f>HYPERLINK("http://141.218.60.56/~jnz1568/getInfo.php?workbook=14_09.xlsx&amp;sheet=U0&amp;row=317&amp;col=7&amp;number=0.0278&amp;sourceID=14","0.0278")</f>
        <v>0.0278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HYPERLINK("http://141.218.60.56/~jnz1568/getInfo.php?workbook=14_09.xlsx&amp;sheet=U0&amp;row=318&amp;col=6&amp;number=4.4&amp;sourceID=14","4.4")</f>
        <v>4.4</v>
      </c>
      <c r="G318" s="4" t="str">
        <f>HYPERLINK("http://141.218.60.56/~jnz1568/getInfo.php?workbook=14_09.xlsx&amp;sheet=U0&amp;row=318&amp;col=7&amp;number=0.0271&amp;sourceID=14","0.0271")</f>
        <v>0.0271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HYPERLINK("http://141.218.60.56/~jnz1568/getInfo.php?workbook=14_09.xlsx&amp;sheet=U0&amp;row=319&amp;col=6&amp;number=4.5&amp;sourceID=14","4.5")</f>
        <v>4.5</v>
      </c>
      <c r="G319" s="4" t="str">
        <f>HYPERLINK("http://141.218.60.56/~jnz1568/getInfo.php?workbook=14_09.xlsx&amp;sheet=U0&amp;row=319&amp;col=7&amp;number=0.0262&amp;sourceID=14","0.0262")</f>
        <v>0.0262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HYPERLINK("http://141.218.60.56/~jnz1568/getInfo.php?workbook=14_09.xlsx&amp;sheet=U0&amp;row=320&amp;col=6&amp;number=4.6&amp;sourceID=14","4.6")</f>
        <v>4.6</v>
      </c>
      <c r="G320" s="4" t="str">
        <f>HYPERLINK("http://141.218.60.56/~jnz1568/getInfo.php?workbook=14_09.xlsx&amp;sheet=U0&amp;row=320&amp;col=7&amp;number=0.0253&amp;sourceID=14","0.0253")</f>
        <v>0.0253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HYPERLINK("http://141.218.60.56/~jnz1568/getInfo.php?workbook=14_09.xlsx&amp;sheet=U0&amp;row=321&amp;col=6&amp;number=4.7&amp;sourceID=14","4.7")</f>
        <v>4.7</v>
      </c>
      <c r="G321" s="4" t="str">
        <f>HYPERLINK("http://141.218.60.56/~jnz1568/getInfo.php?workbook=14_09.xlsx&amp;sheet=U0&amp;row=321&amp;col=7&amp;number=0.0241&amp;sourceID=14","0.0241")</f>
        <v>0.0241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HYPERLINK("http://141.218.60.56/~jnz1568/getInfo.php?workbook=14_09.xlsx&amp;sheet=U0&amp;row=322&amp;col=6&amp;number=4.8&amp;sourceID=14","4.8")</f>
        <v>4.8</v>
      </c>
      <c r="G322" s="4" t="str">
        <f>HYPERLINK("http://141.218.60.56/~jnz1568/getInfo.php?workbook=14_09.xlsx&amp;sheet=U0&amp;row=322&amp;col=7&amp;number=0.0229&amp;sourceID=14","0.0229")</f>
        <v>0.0229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HYPERLINK("http://141.218.60.56/~jnz1568/getInfo.php?workbook=14_09.xlsx&amp;sheet=U0&amp;row=323&amp;col=6&amp;number=4.9&amp;sourceID=14","4.9")</f>
        <v>4.9</v>
      </c>
      <c r="G323" s="4" t="str">
        <f>HYPERLINK("http://141.218.60.56/~jnz1568/getInfo.php?workbook=14_09.xlsx&amp;sheet=U0&amp;row=323&amp;col=7&amp;number=0.0217&amp;sourceID=14","0.0217")</f>
        <v>0.0217</v>
      </c>
    </row>
    <row r="324" spans="1:7">
      <c r="A324" s="3">
        <v>14</v>
      </c>
      <c r="B324" s="3">
        <v>9</v>
      </c>
      <c r="C324" s="3">
        <v>1</v>
      </c>
      <c r="D324" s="3">
        <v>18</v>
      </c>
      <c r="E324" s="3">
        <v>1</v>
      </c>
      <c r="F324" s="4" t="str">
        <f>HYPERLINK("http://141.218.60.56/~jnz1568/getInfo.php?workbook=14_09.xlsx&amp;sheet=U0&amp;row=324&amp;col=6&amp;number=3&amp;sourceID=14","3")</f>
        <v>3</v>
      </c>
      <c r="G324" s="4" t="str">
        <f>HYPERLINK("http://141.218.60.56/~jnz1568/getInfo.php?workbook=14_09.xlsx&amp;sheet=U0&amp;row=324&amp;col=7&amp;number=0.193&amp;sourceID=14","0.193")</f>
        <v>0.193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HYPERLINK("http://141.218.60.56/~jnz1568/getInfo.php?workbook=14_09.xlsx&amp;sheet=U0&amp;row=325&amp;col=6&amp;number=3.1&amp;sourceID=14","3.1")</f>
        <v>3.1</v>
      </c>
      <c r="G325" s="4" t="str">
        <f>HYPERLINK("http://141.218.60.56/~jnz1568/getInfo.php?workbook=14_09.xlsx&amp;sheet=U0&amp;row=325&amp;col=7&amp;number=0.193&amp;sourceID=14","0.193")</f>
        <v>0.193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HYPERLINK("http://141.218.60.56/~jnz1568/getInfo.php?workbook=14_09.xlsx&amp;sheet=U0&amp;row=326&amp;col=6&amp;number=3.2&amp;sourceID=14","3.2")</f>
        <v>3.2</v>
      </c>
      <c r="G326" s="4" t="str">
        <f>HYPERLINK("http://141.218.60.56/~jnz1568/getInfo.php?workbook=14_09.xlsx&amp;sheet=U0&amp;row=326&amp;col=7&amp;number=0.193&amp;sourceID=14","0.193")</f>
        <v>0.193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HYPERLINK("http://141.218.60.56/~jnz1568/getInfo.php?workbook=14_09.xlsx&amp;sheet=U0&amp;row=327&amp;col=6&amp;number=3.3&amp;sourceID=14","3.3")</f>
        <v>3.3</v>
      </c>
      <c r="G327" s="4" t="str">
        <f>HYPERLINK("http://141.218.60.56/~jnz1568/getInfo.php?workbook=14_09.xlsx&amp;sheet=U0&amp;row=327&amp;col=7&amp;number=0.192&amp;sourceID=14","0.192")</f>
        <v>0.192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HYPERLINK("http://141.218.60.56/~jnz1568/getInfo.php?workbook=14_09.xlsx&amp;sheet=U0&amp;row=328&amp;col=6&amp;number=3.4&amp;sourceID=14","3.4")</f>
        <v>3.4</v>
      </c>
      <c r="G328" s="4" t="str">
        <f>HYPERLINK("http://141.218.60.56/~jnz1568/getInfo.php?workbook=14_09.xlsx&amp;sheet=U0&amp;row=328&amp;col=7&amp;number=0.192&amp;sourceID=14","0.192")</f>
        <v>0.192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HYPERLINK("http://141.218.60.56/~jnz1568/getInfo.php?workbook=14_09.xlsx&amp;sheet=U0&amp;row=329&amp;col=6&amp;number=3.5&amp;sourceID=14","3.5")</f>
        <v>3.5</v>
      </c>
      <c r="G329" s="4" t="str">
        <f>HYPERLINK("http://141.218.60.56/~jnz1568/getInfo.php?workbook=14_09.xlsx&amp;sheet=U0&amp;row=329&amp;col=7&amp;number=0.191&amp;sourceID=14","0.191")</f>
        <v>0.191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HYPERLINK("http://141.218.60.56/~jnz1568/getInfo.php?workbook=14_09.xlsx&amp;sheet=U0&amp;row=330&amp;col=6&amp;number=3.6&amp;sourceID=14","3.6")</f>
        <v>3.6</v>
      </c>
      <c r="G330" s="4" t="str">
        <f>HYPERLINK("http://141.218.60.56/~jnz1568/getInfo.php?workbook=14_09.xlsx&amp;sheet=U0&amp;row=330&amp;col=7&amp;number=0.19&amp;sourceID=14","0.19")</f>
        <v>0.19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HYPERLINK("http://141.218.60.56/~jnz1568/getInfo.php?workbook=14_09.xlsx&amp;sheet=U0&amp;row=331&amp;col=6&amp;number=3.7&amp;sourceID=14","3.7")</f>
        <v>3.7</v>
      </c>
      <c r="G331" s="4" t="str">
        <f>HYPERLINK("http://141.218.60.56/~jnz1568/getInfo.php?workbook=14_09.xlsx&amp;sheet=U0&amp;row=331&amp;col=7&amp;number=0.19&amp;sourceID=14","0.19")</f>
        <v>0.19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HYPERLINK("http://141.218.60.56/~jnz1568/getInfo.php?workbook=14_09.xlsx&amp;sheet=U0&amp;row=332&amp;col=6&amp;number=3.8&amp;sourceID=14","3.8")</f>
        <v>3.8</v>
      </c>
      <c r="G332" s="4" t="str">
        <f>HYPERLINK("http://141.218.60.56/~jnz1568/getInfo.php?workbook=14_09.xlsx&amp;sheet=U0&amp;row=332&amp;col=7&amp;number=0.188&amp;sourceID=14","0.188")</f>
        <v>0.188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HYPERLINK("http://141.218.60.56/~jnz1568/getInfo.php?workbook=14_09.xlsx&amp;sheet=U0&amp;row=333&amp;col=6&amp;number=3.9&amp;sourceID=14","3.9")</f>
        <v>3.9</v>
      </c>
      <c r="G333" s="4" t="str">
        <f>HYPERLINK("http://141.218.60.56/~jnz1568/getInfo.php?workbook=14_09.xlsx&amp;sheet=U0&amp;row=333&amp;col=7&amp;number=0.187&amp;sourceID=14","0.187")</f>
        <v>0.187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HYPERLINK("http://141.218.60.56/~jnz1568/getInfo.php?workbook=14_09.xlsx&amp;sheet=U0&amp;row=334&amp;col=6&amp;number=4&amp;sourceID=14","4")</f>
        <v>4</v>
      </c>
      <c r="G334" s="4" t="str">
        <f>HYPERLINK("http://141.218.60.56/~jnz1568/getInfo.php?workbook=14_09.xlsx&amp;sheet=U0&amp;row=334&amp;col=7&amp;number=0.185&amp;sourceID=14","0.185")</f>
        <v>0.185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HYPERLINK("http://141.218.60.56/~jnz1568/getInfo.php?workbook=14_09.xlsx&amp;sheet=U0&amp;row=335&amp;col=6&amp;number=4.1&amp;sourceID=14","4.1")</f>
        <v>4.1</v>
      </c>
      <c r="G335" s="4" t="str">
        <f>HYPERLINK("http://141.218.60.56/~jnz1568/getInfo.php?workbook=14_09.xlsx&amp;sheet=U0&amp;row=335&amp;col=7&amp;number=0.183&amp;sourceID=14","0.183")</f>
        <v>0.183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HYPERLINK("http://141.218.60.56/~jnz1568/getInfo.php?workbook=14_09.xlsx&amp;sheet=U0&amp;row=336&amp;col=6&amp;number=4.2&amp;sourceID=14","4.2")</f>
        <v>4.2</v>
      </c>
      <c r="G336" s="4" t="str">
        <f>HYPERLINK("http://141.218.60.56/~jnz1568/getInfo.php?workbook=14_09.xlsx&amp;sheet=U0&amp;row=336&amp;col=7&amp;number=0.18&amp;sourceID=14","0.18")</f>
        <v>0.18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HYPERLINK("http://141.218.60.56/~jnz1568/getInfo.php?workbook=14_09.xlsx&amp;sheet=U0&amp;row=337&amp;col=6&amp;number=4.3&amp;sourceID=14","4.3")</f>
        <v>4.3</v>
      </c>
      <c r="G337" s="4" t="str">
        <f>HYPERLINK("http://141.218.60.56/~jnz1568/getInfo.php?workbook=14_09.xlsx&amp;sheet=U0&amp;row=337&amp;col=7&amp;number=0.177&amp;sourceID=14","0.177")</f>
        <v>0.177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HYPERLINK("http://141.218.60.56/~jnz1568/getInfo.php?workbook=14_09.xlsx&amp;sheet=U0&amp;row=338&amp;col=6&amp;number=4.4&amp;sourceID=14","4.4")</f>
        <v>4.4</v>
      </c>
      <c r="G338" s="4" t="str">
        <f>HYPERLINK("http://141.218.60.56/~jnz1568/getInfo.php?workbook=14_09.xlsx&amp;sheet=U0&amp;row=338&amp;col=7&amp;number=0.173&amp;sourceID=14","0.173")</f>
        <v>0.173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HYPERLINK("http://141.218.60.56/~jnz1568/getInfo.php?workbook=14_09.xlsx&amp;sheet=U0&amp;row=339&amp;col=6&amp;number=4.5&amp;sourceID=14","4.5")</f>
        <v>4.5</v>
      </c>
      <c r="G339" s="4" t="str">
        <f>HYPERLINK("http://141.218.60.56/~jnz1568/getInfo.php?workbook=14_09.xlsx&amp;sheet=U0&amp;row=339&amp;col=7&amp;number=0.168&amp;sourceID=14","0.168")</f>
        <v>0.168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HYPERLINK("http://141.218.60.56/~jnz1568/getInfo.php?workbook=14_09.xlsx&amp;sheet=U0&amp;row=340&amp;col=6&amp;number=4.6&amp;sourceID=14","4.6")</f>
        <v>4.6</v>
      </c>
      <c r="G340" s="4" t="str">
        <f>HYPERLINK("http://141.218.60.56/~jnz1568/getInfo.php?workbook=14_09.xlsx&amp;sheet=U0&amp;row=340&amp;col=7&amp;number=0.162&amp;sourceID=14","0.162")</f>
        <v>0.162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HYPERLINK("http://141.218.60.56/~jnz1568/getInfo.php?workbook=14_09.xlsx&amp;sheet=U0&amp;row=341&amp;col=6&amp;number=4.7&amp;sourceID=14","4.7")</f>
        <v>4.7</v>
      </c>
      <c r="G341" s="4" t="str">
        <f>HYPERLINK("http://141.218.60.56/~jnz1568/getInfo.php?workbook=14_09.xlsx&amp;sheet=U0&amp;row=341&amp;col=7&amp;number=0.155&amp;sourceID=14","0.155")</f>
        <v>0.155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HYPERLINK("http://141.218.60.56/~jnz1568/getInfo.php?workbook=14_09.xlsx&amp;sheet=U0&amp;row=342&amp;col=6&amp;number=4.8&amp;sourceID=14","4.8")</f>
        <v>4.8</v>
      </c>
      <c r="G342" s="4" t="str">
        <f>HYPERLINK("http://141.218.60.56/~jnz1568/getInfo.php?workbook=14_09.xlsx&amp;sheet=U0&amp;row=342&amp;col=7&amp;number=0.147&amp;sourceID=14","0.147")</f>
        <v>0.147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HYPERLINK("http://141.218.60.56/~jnz1568/getInfo.php?workbook=14_09.xlsx&amp;sheet=U0&amp;row=343&amp;col=6&amp;number=4.9&amp;sourceID=14","4.9")</f>
        <v>4.9</v>
      </c>
      <c r="G343" s="4" t="str">
        <f>HYPERLINK("http://141.218.60.56/~jnz1568/getInfo.php?workbook=14_09.xlsx&amp;sheet=U0&amp;row=343&amp;col=7&amp;number=0.138&amp;sourceID=14","0.138")</f>
        <v>0.138</v>
      </c>
    </row>
    <row r="344" spans="1:7">
      <c r="A344" s="3">
        <v>14</v>
      </c>
      <c r="B344" s="3">
        <v>9</v>
      </c>
      <c r="C344" s="3">
        <v>1</v>
      </c>
      <c r="D344" s="3">
        <v>19</v>
      </c>
      <c r="E344" s="3">
        <v>1</v>
      </c>
      <c r="F344" s="4" t="str">
        <f>HYPERLINK("http://141.218.60.56/~jnz1568/getInfo.php?workbook=14_09.xlsx&amp;sheet=U0&amp;row=344&amp;col=6&amp;number=3&amp;sourceID=14","3")</f>
        <v>3</v>
      </c>
      <c r="G344" s="4" t="str">
        <f>HYPERLINK("http://141.218.60.56/~jnz1568/getInfo.php?workbook=14_09.xlsx&amp;sheet=U0&amp;row=344&amp;col=7&amp;number=0.114&amp;sourceID=14","0.114")</f>
        <v>0.114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HYPERLINK("http://141.218.60.56/~jnz1568/getInfo.php?workbook=14_09.xlsx&amp;sheet=U0&amp;row=345&amp;col=6&amp;number=3.1&amp;sourceID=14","3.1")</f>
        <v>3.1</v>
      </c>
      <c r="G345" s="4" t="str">
        <f>HYPERLINK("http://141.218.60.56/~jnz1568/getInfo.php?workbook=14_09.xlsx&amp;sheet=U0&amp;row=345&amp;col=7&amp;number=0.114&amp;sourceID=14","0.114")</f>
        <v>0.114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HYPERLINK("http://141.218.60.56/~jnz1568/getInfo.php?workbook=14_09.xlsx&amp;sheet=U0&amp;row=346&amp;col=6&amp;number=3.2&amp;sourceID=14","3.2")</f>
        <v>3.2</v>
      </c>
      <c r="G346" s="4" t="str">
        <f>HYPERLINK("http://141.218.60.56/~jnz1568/getInfo.php?workbook=14_09.xlsx&amp;sheet=U0&amp;row=346&amp;col=7&amp;number=0.114&amp;sourceID=14","0.114")</f>
        <v>0.114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HYPERLINK("http://141.218.60.56/~jnz1568/getInfo.php?workbook=14_09.xlsx&amp;sheet=U0&amp;row=347&amp;col=6&amp;number=3.3&amp;sourceID=14","3.3")</f>
        <v>3.3</v>
      </c>
      <c r="G347" s="4" t="str">
        <f>HYPERLINK("http://141.218.60.56/~jnz1568/getInfo.php?workbook=14_09.xlsx&amp;sheet=U0&amp;row=347&amp;col=7&amp;number=0.114&amp;sourceID=14","0.114")</f>
        <v>0.114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HYPERLINK("http://141.218.60.56/~jnz1568/getInfo.php?workbook=14_09.xlsx&amp;sheet=U0&amp;row=348&amp;col=6&amp;number=3.4&amp;sourceID=14","3.4")</f>
        <v>3.4</v>
      </c>
      <c r="G348" s="4" t="str">
        <f>HYPERLINK("http://141.218.60.56/~jnz1568/getInfo.php?workbook=14_09.xlsx&amp;sheet=U0&amp;row=348&amp;col=7&amp;number=0.114&amp;sourceID=14","0.114")</f>
        <v>0.114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HYPERLINK("http://141.218.60.56/~jnz1568/getInfo.php?workbook=14_09.xlsx&amp;sheet=U0&amp;row=349&amp;col=6&amp;number=3.5&amp;sourceID=14","3.5")</f>
        <v>3.5</v>
      </c>
      <c r="G349" s="4" t="str">
        <f>HYPERLINK("http://141.218.60.56/~jnz1568/getInfo.php?workbook=14_09.xlsx&amp;sheet=U0&amp;row=349&amp;col=7&amp;number=0.113&amp;sourceID=14","0.113")</f>
        <v>0.113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HYPERLINK("http://141.218.60.56/~jnz1568/getInfo.php?workbook=14_09.xlsx&amp;sheet=U0&amp;row=350&amp;col=6&amp;number=3.6&amp;sourceID=14","3.6")</f>
        <v>3.6</v>
      </c>
      <c r="G350" s="4" t="str">
        <f>HYPERLINK("http://141.218.60.56/~jnz1568/getInfo.php?workbook=14_09.xlsx&amp;sheet=U0&amp;row=350&amp;col=7&amp;number=0.113&amp;sourceID=14","0.113")</f>
        <v>0.113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HYPERLINK("http://141.218.60.56/~jnz1568/getInfo.php?workbook=14_09.xlsx&amp;sheet=U0&amp;row=351&amp;col=6&amp;number=3.7&amp;sourceID=14","3.7")</f>
        <v>3.7</v>
      </c>
      <c r="G351" s="4" t="str">
        <f>HYPERLINK("http://141.218.60.56/~jnz1568/getInfo.php?workbook=14_09.xlsx&amp;sheet=U0&amp;row=351&amp;col=7&amp;number=0.113&amp;sourceID=14","0.113")</f>
        <v>0.113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HYPERLINK("http://141.218.60.56/~jnz1568/getInfo.php?workbook=14_09.xlsx&amp;sheet=U0&amp;row=352&amp;col=6&amp;number=3.8&amp;sourceID=14","3.8")</f>
        <v>3.8</v>
      </c>
      <c r="G352" s="4" t="str">
        <f>HYPERLINK("http://141.218.60.56/~jnz1568/getInfo.php?workbook=14_09.xlsx&amp;sheet=U0&amp;row=352&amp;col=7&amp;number=0.112&amp;sourceID=14","0.112")</f>
        <v>0.112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HYPERLINK("http://141.218.60.56/~jnz1568/getInfo.php?workbook=14_09.xlsx&amp;sheet=U0&amp;row=353&amp;col=6&amp;number=3.9&amp;sourceID=14","3.9")</f>
        <v>3.9</v>
      </c>
      <c r="G353" s="4" t="str">
        <f>HYPERLINK("http://141.218.60.56/~jnz1568/getInfo.php?workbook=14_09.xlsx&amp;sheet=U0&amp;row=353&amp;col=7&amp;number=0.112&amp;sourceID=14","0.112")</f>
        <v>0.112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HYPERLINK("http://141.218.60.56/~jnz1568/getInfo.php?workbook=14_09.xlsx&amp;sheet=U0&amp;row=354&amp;col=6&amp;number=4&amp;sourceID=14","4")</f>
        <v>4</v>
      </c>
      <c r="G354" s="4" t="str">
        <f>HYPERLINK("http://141.218.60.56/~jnz1568/getInfo.php?workbook=14_09.xlsx&amp;sheet=U0&amp;row=354&amp;col=7&amp;number=0.111&amp;sourceID=14","0.111")</f>
        <v>0.111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HYPERLINK("http://141.218.60.56/~jnz1568/getInfo.php?workbook=14_09.xlsx&amp;sheet=U0&amp;row=355&amp;col=6&amp;number=4.1&amp;sourceID=14","4.1")</f>
        <v>4.1</v>
      </c>
      <c r="G355" s="4" t="str">
        <f>HYPERLINK("http://141.218.60.56/~jnz1568/getInfo.php?workbook=14_09.xlsx&amp;sheet=U0&amp;row=355&amp;col=7&amp;number=0.11&amp;sourceID=14","0.11")</f>
        <v>0.11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HYPERLINK("http://141.218.60.56/~jnz1568/getInfo.php?workbook=14_09.xlsx&amp;sheet=U0&amp;row=356&amp;col=6&amp;number=4.2&amp;sourceID=14","4.2")</f>
        <v>4.2</v>
      </c>
      <c r="G356" s="4" t="str">
        <f>HYPERLINK("http://141.218.60.56/~jnz1568/getInfo.php?workbook=14_09.xlsx&amp;sheet=U0&amp;row=356&amp;col=7&amp;number=0.109&amp;sourceID=14","0.109")</f>
        <v>0.109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HYPERLINK("http://141.218.60.56/~jnz1568/getInfo.php?workbook=14_09.xlsx&amp;sheet=U0&amp;row=357&amp;col=6&amp;number=4.3&amp;sourceID=14","4.3")</f>
        <v>4.3</v>
      </c>
      <c r="G357" s="4" t="str">
        <f>HYPERLINK("http://141.218.60.56/~jnz1568/getInfo.php?workbook=14_09.xlsx&amp;sheet=U0&amp;row=357&amp;col=7&amp;number=0.108&amp;sourceID=14","0.108")</f>
        <v>0.108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HYPERLINK("http://141.218.60.56/~jnz1568/getInfo.php?workbook=14_09.xlsx&amp;sheet=U0&amp;row=358&amp;col=6&amp;number=4.4&amp;sourceID=14","4.4")</f>
        <v>4.4</v>
      </c>
      <c r="G358" s="4" t="str">
        <f>HYPERLINK("http://141.218.60.56/~jnz1568/getInfo.php?workbook=14_09.xlsx&amp;sheet=U0&amp;row=358&amp;col=7&amp;number=0.106&amp;sourceID=14","0.106")</f>
        <v>0.106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HYPERLINK("http://141.218.60.56/~jnz1568/getInfo.php?workbook=14_09.xlsx&amp;sheet=U0&amp;row=359&amp;col=6&amp;number=4.5&amp;sourceID=14","4.5")</f>
        <v>4.5</v>
      </c>
      <c r="G359" s="4" t="str">
        <f>HYPERLINK("http://141.218.60.56/~jnz1568/getInfo.php?workbook=14_09.xlsx&amp;sheet=U0&amp;row=359&amp;col=7&amp;number=0.104&amp;sourceID=14","0.104")</f>
        <v>0.104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HYPERLINK("http://141.218.60.56/~jnz1568/getInfo.php?workbook=14_09.xlsx&amp;sheet=U0&amp;row=360&amp;col=6&amp;number=4.6&amp;sourceID=14","4.6")</f>
        <v>4.6</v>
      </c>
      <c r="G360" s="4" t="str">
        <f>HYPERLINK("http://141.218.60.56/~jnz1568/getInfo.php?workbook=14_09.xlsx&amp;sheet=U0&amp;row=360&amp;col=7&amp;number=0.101&amp;sourceID=14","0.101")</f>
        <v>0.101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HYPERLINK("http://141.218.60.56/~jnz1568/getInfo.php?workbook=14_09.xlsx&amp;sheet=U0&amp;row=361&amp;col=6&amp;number=4.7&amp;sourceID=14","4.7")</f>
        <v>4.7</v>
      </c>
      <c r="G361" s="4" t="str">
        <f>HYPERLINK("http://141.218.60.56/~jnz1568/getInfo.php?workbook=14_09.xlsx&amp;sheet=U0&amp;row=361&amp;col=7&amp;number=0.098&amp;sourceID=14","0.098")</f>
        <v>0.098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HYPERLINK("http://141.218.60.56/~jnz1568/getInfo.php?workbook=14_09.xlsx&amp;sheet=U0&amp;row=362&amp;col=6&amp;number=4.8&amp;sourceID=14","4.8")</f>
        <v>4.8</v>
      </c>
      <c r="G362" s="4" t="str">
        <f>HYPERLINK("http://141.218.60.56/~jnz1568/getInfo.php?workbook=14_09.xlsx&amp;sheet=U0&amp;row=362&amp;col=7&amp;number=0.0942&amp;sourceID=14","0.0942")</f>
        <v>0.0942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HYPERLINK("http://141.218.60.56/~jnz1568/getInfo.php?workbook=14_09.xlsx&amp;sheet=U0&amp;row=363&amp;col=6&amp;number=4.9&amp;sourceID=14","4.9")</f>
        <v>4.9</v>
      </c>
      <c r="G363" s="4" t="str">
        <f>HYPERLINK("http://141.218.60.56/~jnz1568/getInfo.php?workbook=14_09.xlsx&amp;sheet=U0&amp;row=363&amp;col=7&amp;number=0.0896&amp;sourceID=14","0.0896")</f>
        <v>0.0896</v>
      </c>
    </row>
    <row r="364" spans="1:7">
      <c r="A364" s="3">
        <v>14</v>
      </c>
      <c r="B364" s="3">
        <v>9</v>
      </c>
      <c r="C364" s="3">
        <v>1</v>
      </c>
      <c r="D364" s="3">
        <v>20</v>
      </c>
      <c r="E364" s="3">
        <v>1</v>
      </c>
      <c r="F364" s="4" t="str">
        <f>HYPERLINK("http://141.218.60.56/~jnz1568/getInfo.php?workbook=14_09.xlsx&amp;sheet=U0&amp;row=364&amp;col=6&amp;number=3&amp;sourceID=14","3")</f>
        <v>3</v>
      </c>
      <c r="G364" s="4" t="str">
        <f>HYPERLINK("http://141.218.60.56/~jnz1568/getInfo.php?workbook=14_09.xlsx&amp;sheet=U0&amp;row=364&amp;col=7&amp;number=0.0739&amp;sourceID=14","0.0739")</f>
        <v>0.0739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HYPERLINK("http://141.218.60.56/~jnz1568/getInfo.php?workbook=14_09.xlsx&amp;sheet=U0&amp;row=365&amp;col=6&amp;number=3.1&amp;sourceID=14","3.1")</f>
        <v>3.1</v>
      </c>
      <c r="G365" s="4" t="str">
        <f>HYPERLINK("http://141.218.60.56/~jnz1568/getInfo.php?workbook=14_09.xlsx&amp;sheet=U0&amp;row=365&amp;col=7&amp;number=0.0739&amp;sourceID=14","0.0739")</f>
        <v>0.0739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HYPERLINK("http://141.218.60.56/~jnz1568/getInfo.php?workbook=14_09.xlsx&amp;sheet=U0&amp;row=366&amp;col=6&amp;number=3.2&amp;sourceID=14","3.2")</f>
        <v>3.2</v>
      </c>
      <c r="G366" s="4" t="str">
        <f>HYPERLINK("http://141.218.60.56/~jnz1568/getInfo.php?workbook=14_09.xlsx&amp;sheet=U0&amp;row=366&amp;col=7&amp;number=0.0738&amp;sourceID=14","0.0738")</f>
        <v>0.0738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HYPERLINK("http://141.218.60.56/~jnz1568/getInfo.php?workbook=14_09.xlsx&amp;sheet=U0&amp;row=367&amp;col=6&amp;number=3.3&amp;sourceID=14","3.3")</f>
        <v>3.3</v>
      </c>
      <c r="G367" s="4" t="str">
        <f>HYPERLINK("http://141.218.60.56/~jnz1568/getInfo.php?workbook=14_09.xlsx&amp;sheet=U0&amp;row=367&amp;col=7&amp;number=0.0737&amp;sourceID=14","0.0737")</f>
        <v>0.0737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HYPERLINK("http://141.218.60.56/~jnz1568/getInfo.php?workbook=14_09.xlsx&amp;sheet=U0&amp;row=368&amp;col=6&amp;number=3.4&amp;sourceID=14","3.4")</f>
        <v>3.4</v>
      </c>
      <c r="G368" s="4" t="str">
        <f>HYPERLINK("http://141.218.60.56/~jnz1568/getInfo.php?workbook=14_09.xlsx&amp;sheet=U0&amp;row=368&amp;col=7&amp;number=0.0736&amp;sourceID=14","0.0736")</f>
        <v>0.0736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HYPERLINK("http://141.218.60.56/~jnz1568/getInfo.php?workbook=14_09.xlsx&amp;sheet=U0&amp;row=369&amp;col=6&amp;number=3.5&amp;sourceID=14","3.5")</f>
        <v>3.5</v>
      </c>
      <c r="G369" s="4" t="str">
        <f>HYPERLINK("http://141.218.60.56/~jnz1568/getInfo.php?workbook=14_09.xlsx&amp;sheet=U0&amp;row=369&amp;col=7&amp;number=0.0734&amp;sourceID=14","0.0734")</f>
        <v>0.0734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HYPERLINK("http://141.218.60.56/~jnz1568/getInfo.php?workbook=14_09.xlsx&amp;sheet=U0&amp;row=370&amp;col=6&amp;number=3.6&amp;sourceID=14","3.6")</f>
        <v>3.6</v>
      </c>
      <c r="G370" s="4" t="str">
        <f>HYPERLINK("http://141.218.60.56/~jnz1568/getInfo.php?workbook=14_09.xlsx&amp;sheet=U0&amp;row=370&amp;col=7&amp;number=0.0732&amp;sourceID=14","0.0732")</f>
        <v>0.0732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HYPERLINK("http://141.218.60.56/~jnz1568/getInfo.php?workbook=14_09.xlsx&amp;sheet=U0&amp;row=371&amp;col=6&amp;number=3.7&amp;sourceID=14","3.7")</f>
        <v>3.7</v>
      </c>
      <c r="G371" s="4" t="str">
        <f>HYPERLINK("http://141.218.60.56/~jnz1568/getInfo.php?workbook=14_09.xlsx&amp;sheet=U0&amp;row=371&amp;col=7&amp;number=0.073&amp;sourceID=14","0.073")</f>
        <v>0.073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HYPERLINK("http://141.218.60.56/~jnz1568/getInfo.php?workbook=14_09.xlsx&amp;sheet=U0&amp;row=372&amp;col=6&amp;number=3.8&amp;sourceID=14","3.8")</f>
        <v>3.8</v>
      </c>
      <c r="G372" s="4" t="str">
        <f>HYPERLINK("http://141.218.60.56/~jnz1568/getInfo.php?workbook=14_09.xlsx&amp;sheet=U0&amp;row=372&amp;col=7&amp;number=0.0727&amp;sourceID=14","0.0727")</f>
        <v>0.0727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HYPERLINK("http://141.218.60.56/~jnz1568/getInfo.php?workbook=14_09.xlsx&amp;sheet=U0&amp;row=373&amp;col=6&amp;number=3.9&amp;sourceID=14","3.9")</f>
        <v>3.9</v>
      </c>
      <c r="G373" s="4" t="str">
        <f>HYPERLINK("http://141.218.60.56/~jnz1568/getInfo.php?workbook=14_09.xlsx&amp;sheet=U0&amp;row=373&amp;col=7&amp;number=0.0723&amp;sourceID=14","0.0723")</f>
        <v>0.0723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HYPERLINK("http://141.218.60.56/~jnz1568/getInfo.php?workbook=14_09.xlsx&amp;sheet=U0&amp;row=374&amp;col=6&amp;number=4&amp;sourceID=14","4")</f>
        <v>4</v>
      </c>
      <c r="G374" s="4" t="str">
        <f>HYPERLINK("http://141.218.60.56/~jnz1568/getInfo.php?workbook=14_09.xlsx&amp;sheet=U0&amp;row=374&amp;col=7&amp;number=0.0718&amp;sourceID=14","0.0718")</f>
        <v>0.0718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HYPERLINK("http://141.218.60.56/~jnz1568/getInfo.php?workbook=14_09.xlsx&amp;sheet=U0&amp;row=375&amp;col=6&amp;number=4.1&amp;sourceID=14","4.1")</f>
        <v>4.1</v>
      </c>
      <c r="G375" s="4" t="str">
        <f>HYPERLINK("http://141.218.60.56/~jnz1568/getInfo.php?workbook=14_09.xlsx&amp;sheet=U0&amp;row=375&amp;col=7&amp;number=0.0713&amp;sourceID=14","0.0713")</f>
        <v>0.0713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HYPERLINK("http://141.218.60.56/~jnz1568/getInfo.php?workbook=14_09.xlsx&amp;sheet=U0&amp;row=376&amp;col=6&amp;number=4.2&amp;sourceID=14","4.2")</f>
        <v>4.2</v>
      </c>
      <c r="G376" s="4" t="str">
        <f>HYPERLINK("http://141.218.60.56/~jnz1568/getInfo.php?workbook=14_09.xlsx&amp;sheet=U0&amp;row=376&amp;col=7&amp;number=0.0705&amp;sourceID=14","0.0705")</f>
        <v>0.0705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HYPERLINK("http://141.218.60.56/~jnz1568/getInfo.php?workbook=14_09.xlsx&amp;sheet=U0&amp;row=377&amp;col=6&amp;number=4.3&amp;sourceID=14","4.3")</f>
        <v>4.3</v>
      </c>
      <c r="G377" s="4" t="str">
        <f>HYPERLINK("http://141.218.60.56/~jnz1568/getInfo.php?workbook=14_09.xlsx&amp;sheet=U0&amp;row=377&amp;col=7&amp;number=0.0696&amp;sourceID=14","0.0696")</f>
        <v>0.0696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HYPERLINK("http://141.218.60.56/~jnz1568/getInfo.php?workbook=14_09.xlsx&amp;sheet=U0&amp;row=378&amp;col=6&amp;number=4.4&amp;sourceID=14","4.4")</f>
        <v>4.4</v>
      </c>
      <c r="G378" s="4" t="str">
        <f>HYPERLINK("http://141.218.60.56/~jnz1568/getInfo.php?workbook=14_09.xlsx&amp;sheet=U0&amp;row=378&amp;col=7&amp;number=0.0685&amp;sourceID=14","0.0685")</f>
        <v>0.0685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HYPERLINK("http://141.218.60.56/~jnz1568/getInfo.php?workbook=14_09.xlsx&amp;sheet=U0&amp;row=379&amp;col=6&amp;number=4.5&amp;sourceID=14","4.5")</f>
        <v>4.5</v>
      </c>
      <c r="G379" s="4" t="str">
        <f>HYPERLINK("http://141.218.60.56/~jnz1568/getInfo.php?workbook=14_09.xlsx&amp;sheet=U0&amp;row=379&amp;col=7&amp;number=0.0672&amp;sourceID=14","0.0672")</f>
        <v>0.0672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HYPERLINK("http://141.218.60.56/~jnz1568/getInfo.php?workbook=14_09.xlsx&amp;sheet=U0&amp;row=380&amp;col=6&amp;number=4.6&amp;sourceID=14","4.6")</f>
        <v>4.6</v>
      </c>
      <c r="G380" s="4" t="str">
        <f>HYPERLINK("http://141.218.60.56/~jnz1568/getInfo.php?workbook=14_09.xlsx&amp;sheet=U0&amp;row=380&amp;col=7&amp;number=0.0655&amp;sourceID=14","0.0655")</f>
        <v>0.0655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HYPERLINK("http://141.218.60.56/~jnz1568/getInfo.php?workbook=14_09.xlsx&amp;sheet=U0&amp;row=381&amp;col=6&amp;number=4.7&amp;sourceID=14","4.7")</f>
        <v>4.7</v>
      </c>
      <c r="G381" s="4" t="str">
        <f>HYPERLINK("http://141.218.60.56/~jnz1568/getInfo.php?workbook=14_09.xlsx&amp;sheet=U0&amp;row=381&amp;col=7&amp;number=0.0635&amp;sourceID=14","0.0635")</f>
        <v>0.0635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HYPERLINK("http://141.218.60.56/~jnz1568/getInfo.php?workbook=14_09.xlsx&amp;sheet=U0&amp;row=382&amp;col=6&amp;number=4.8&amp;sourceID=14","4.8")</f>
        <v>4.8</v>
      </c>
      <c r="G382" s="4" t="str">
        <f>HYPERLINK("http://141.218.60.56/~jnz1568/getInfo.php?workbook=14_09.xlsx&amp;sheet=U0&amp;row=382&amp;col=7&amp;number=0.0611&amp;sourceID=14","0.0611")</f>
        <v>0.0611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HYPERLINK("http://141.218.60.56/~jnz1568/getInfo.php?workbook=14_09.xlsx&amp;sheet=U0&amp;row=383&amp;col=6&amp;number=4.9&amp;sourceID=14","4.9")</f>
        <v>4.9</v>
      </c>
      <c r="G383" s="4" t="str">
        <f>HYPERLINK("http://141.218.60.56/~jnz1568/getInfo.php?workbook=14_09.xlsx&amp;sheet=U0&amp;row=383&amp;col=7&amp;number=0.0583&amp;sourceID=14","0.0583")</f>
        <v>0.0583</v>
      </c>
    </row>
    <row r="384" spans="1:7">
      <c r="A384" s="3">
        <v>14</v>
      </c>
      <c r="B384" s="3">
        <v>9</v>
      </c>
      <c r="C384" s="3">
        <v>1</v>
      </c>
      <c r="D384" s="3">
        <v>21</v>
      </c>
      <c r="E384" s="3">
        <v>1</v>
      </c>
      <c r="F384" s="4" t="str">
        <f>HYPERLINK("http://141.218.60.56/~jnz1568/getInfo.php?workbook=14_09.xlsx&amp;sheet=U0&amp;row=384&amp;col=6&amp;number=3&amp;sourceID=14","3")</f>
        <v>3</v>
      </c>
      <c r="G384" s="4" t="str">
        <f>HYPERLINK("http://141.218.60.56/~jnz1568/getInfo.php?workbook=14_09.xlsx&amp;sheet=U0&amp;row=384&amp;col=7&amp;number=0.0513&amp;sourceID=14","0.0513")</f>
        <v>0.0513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HYPERLINK("http://141.218.60.56/~jnz1568/getInfo.php?workbook=14_09.xlsx&amp;sheet=U0&amp;row=385&amp;col=6&amp;number=3.1&amp;sourceID=14","3.1")</f>
        <v>3.1</v>
      </c>
      <c r="G385" s="4" t="str">
        <f>HYPERLINK("http://141.218.60.56/~jnz1568/getInfo.php?workbook=14_09.xlsx&amp;sheet=U0&amp;row=385&amp;col=7&amp;number=0.0514&amp;sourceID=14","0.0514")</f>
        <v>0.0514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HYPERLINK("http://141.218.60.56/~jnz1568/getInfo.php?workbook=14_09.xlsx&amp;sheet=U0&amp;row=386&amp;col=6&amp;number=3.2&amp;sourceID=14","3.2")</f>
        <v>3.2</v>
      </c>
      <c r="G386" s="4" t="str">
        <f>HYPERLINK("http://141.218.60.56/~jnz1568/getInfo.php?workbook=14_09.xlsx&amp;sheet=U0&amp;row=386&amp;col=7&amp;number=0.0515&amp;sourceID=14","0.0515")</f>
        <v>0.0515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HYPERLINK("http://141.218.60.56/~jnz1568/getInfo.php?workbook=14_09.xlsx&amp;sheet=U0&amp;row=387&amp;col=6&amp;number=3.3&amp;sourceID=14","3.3")</f>
        <v>3.3</v>
      </c>
      <c r="G387" s="4" t="str">
        <f>HYPERLINK("http://141.218.60.56/~jnz1568/getInfo.php?workbook=14_09.xlsx&amp;sheet=U0&amp;row=387&amp;col=7&amp;number=0.0516&amp;sourceID=14","0.0516")</f>
        <v>0.0516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HYPERLINK("http://141.218.60.56/~jnz1568/getInfo.php?workbook=14_09.xlsx&amp;sheet=U0&amp;row=388&amp;col=6&amp;number=3.4&amp;sourceID=14","3.4")</f>
        <v>3.4</v>
      </c>
      <c r="G388" s="4" t="str">
        <f>HYPERLINK("http://141.218.60.56/~jnz1568/getInfo.php?workbook=14_09.xlsx&amp;sheet=U0&amp;row=388&amp;col=7&amp;number=0.0518&amp;sourceID=14","0.0518")</f>
        <v>0.0518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HYPERLINK("http://141.218.60.56/~jnz1568/getInfo.php?workbook=14_09.xlsx&amp;sheet=U0&amp;row=389&amp;col=6&amp;number=3.5&amp;sourceID=14","3.5")</f>
        <v>3.5</v>
      </c>
      <c r="G389" s="4" t="str">
        <f>HYPERLINK("http://141.218.60.56/~jnz1568/getInfo.php?workbook=14_09.xlsx&amp;sheet=U0&amp;row=389&amp;col=7&amp;number=0.052&amp;sourceID=14","0.052")</f>
        <v>0.052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HYPERLINK("http://141.218.60.56/~jnz1568/getInfo.php?workbook=14_09.xlsx&amp;sheet=U0&amp;row=390&amp;col=6&amp;number=3.6&amp;sourceID=14","3.6")</f>
        <v>3.6</v>
      </c>
      <c r="G390" s="4" t="str">
        <f>HYPERLINK("http://141.218.60.56/~jnz1568/getInfo.php?workbook=14_09.xlsx&amp;sheet=U0&amp;row=390&amp;col=7&amp;number=0.0523&amp;sourceID=14","0.0523")</f>
        <v>0.0523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HYPERLINK("http://141.218.60.56/~jnz1568/getInfo.php?workbook=14_09.xlsx&amp;sheet=U0&amp;row=391&amp;col=6&amp;number=3.7&amp;sourceID=14","3.7")</f>
        <v>3.7</v>
      </c>
      <c r="G391" s="4" t="str">
        <f>HYPERLINK("http://141.218.60.56/~jnz1568/getInfo.php?workbook=14_09.xlsx&amp;sheet=U0&amp;row=391&amp;col=7&amp;number=0.0526&amp;sourceID=14","0.0526")</f>
        <v>0.0526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HYPERLINK("http://141.218.60.56/~jnz1568/getInfo.php?workbook=14_09.xlsx&amp;sheet=U0&amp;row=392&amp;col=6&amp;number=3.8&amp;sourceID=14","3.8")</f>
        <v>3.8</v>
      </c>
      <c r="G392" s="4" t="str">
        <f>HYPERLINK("http://141.218.60.56/~jnz1568/getInfo.php?workbook=14_09.xlsx&amp;sheet=U0&amp;row=392&amp;col=7&amp;number=0.053&amp;sourceID=14","0.053")</f>
        <v>0.053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HYPERLINK("http://141.218.60.56/~jnz1568/getInfo.php?workbook=14_09.xlsx&amp;sheet=U0&amp;row=393&amp;col=6&amp;number=3.9&amp;sourceID=14","3.9")</f>
        <v>3.9</v>
      </c>
      <c r="G393" s="4" t="str">
        <f>HYPERLINK("http://141.218.60.56/~jnz1568/getInfo.php?workbook=14_09.xlsx&amp;sheet=U0&amp;row=393&amp;col=7&amp;number=0.0535&amp;sourceID=14","0.0535")</f>
        <v>0.0535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HYPERLINK("http://141.218.60.56/~jnz1568/getInfo.php?workbook=14_09.xlsx&amp;sheet=U0&amp;row=394&amp;col=6&amp;number=4&amp;sourceID=14","4")</f>
        <v>4</v>
      </c>
      <c r="G394" s="4" t="str">
        <f>HYPERLINK("http://141.218.60.56/~jnz1568/getInfo.php?workbook=14_09.xlsx&amp;sheet=U0&amp;row=394&amp;col=7&amp;number=0.0542&amp;sourceID=14","0.0542")</f>
        <v>0.0542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HYPERLINK("http://141.218.60.56/~jnz1568/getInfo.php?workbook=14_09.xlsx&amp;sheet=U0&amp;row=395&amp;col=6&amp;number=4.1&amp;sourceID=14","4.1")</f>
        <v>4.1</v>
      </c>
      <c r="G395" s="4" t="str">
        <f>HYPERLINK("http://141.218.60.56/~jnz1568/getInfo.php?workbook=14_09.xlsx&amp;sheet=U0&amp;row=395&amp;col=7&amp;number=0.0549&amp;sourceID=14","0.0549")</f>
        <v>0.0549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HYPERLINK("http://141.218.60.56/~jnz1568/getInfo.php?workbook=14_09.xlsx&amp;sheet=U0&amp;row=396&amp;col=6&amp;number=4.2&amp;sourceID=14","4.2")</f>
        <v>4.2</v>
      </c>
      <c r="G396" s="4" t="str">
        <f>HYPERLINK("http://141.218.60.56/~jnz1568/getInfo.php?workbook=14_09.xlsx&amp;sheet=U0&amp;row=396&amp;col=7&amp;number=0.0558&amp;sourceID=14","0.0558")</f>
        <v>0.0558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HYPERLINK("http://141.218.60.56/~jnz1568/getInfo.php?workbook=14_09.xlsx&amp;sheet=U0&amp;row=397&amp;col=6&amp;number=4.3&amp;sourceID=14","4.3")</f>
        <v>4.3</v>
      </c>
      <c r="G397" s="4" t="str">
        <f>HYPERLINK("http://141.218.60.56/~jnz1568/getInfo.php?workbook=14_09.xlsx&amp;sheet=U0&amp;row=397&amp;col=7&amp;number=0.0568&amp;sourceID=14","0.0568")</f>
        <v>0.0568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HYPERLINK("http://141.218.60.56/~jnz1568/getInfo.php?workbook=14_09.xlsx&amp;sheet=U0&amp;row=398&amp;col=6&amp;number=4.4&amp;sourceID=14","4.4")</f>
        <v>4.4</v>
      </c>
      <c r="G398" s="4" t="str">
        <f>HYPERLINK("http://141.218.60.56/~jnz1568/getInfo.php?workbook=14_09.xlsx&amp;sheet=U0&amp;row=398&amp;col=7&amp;number=0.058&amp;sourceID=14","0.058")</f>
        <v>0.058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HYPERLINK("http://141.218.60.56/~jnz1568/getInfo.php?workbook=14_09.xlsx&amp;sheet=U0&amp;row=399&amp;col=6&amp;number=4.5&amp;sourceID=14","4.5")</f>
        <v>4.5</v>
      </c>
      <c r="G399" s="4" t="str">
        <f>HYPERLINK("http://141.218.60.56/~jnz1568/getInfo.php?workbook=14_09.xlsx&amp;sheet=U0&amp;row=399&amp;col=7&amp;number=0.0591&amp;sourceID=14","0.0591")</f>
        <v>0.0591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HYPERLINK("http://141.218.60.56/~jnz1568/getInfo.php?workbook=14_09.xlsx&amp;sheet=U0&amp;row=400&amp;col=6&amp;number=4.6&amp;sourceID=14","4.6")</f>
        <v>4.6</v>
      </c>
      <c r="G400" s="4" t="str">
        <f>HYPERLINK("http://141.218.60.56/~jnz1568/getInfo.php?workbook=14_09.xlsx&amp;sheet=U0&amp;row=400&amp;col=7&amp;number=0.06&amp;sourceID=14","0.06")</f>
        <v>0.06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HYPERLINK("http://141.218.60.56/~jnz1568/getInfo.php?workbook=14_09.xlsx&amp;sheet=U0&amp;row=401&amp;col=6&amp;number=4.7&amp;sourceID=14","4.7")</f>
        <v>4.7</v>
      </c>
      <c r="G401" s="4" t="str">
        <f>HYPERLINK("http://141.218.60.56/~jnz1568/getInfo.php?workbook=14_09.xlsx&amp;sheet=U0&amp;row=401&amp;col=7&amp;number=0.0604&amp;sourceID=14","0.0604")</f>
        <v>0.0604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HYPERLINK("http://141.218.60.56/~jnz1568/getInfo.php?workbook=14_09.xlsx&amp;sheet=U0&amp;row=402&amp;col=6&amp;number=4.8&amp;sourceID=14","4.8")</f>
        <v>4.8</v>
      </c>
      <c r="G402" s="4" t="str">
        <f>HYPERLINK("http://141.218.60.56/~jnz1568/getInfo.php?workbook=14_09.xlsx&amp;sheet=U0&amp;row=402&amp;col=7&amp;number=0.0598&amp;sourceID=14","0.0598")</f>
        <v>0.0598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HYPERLINK("http://141.218.60.56/~jnz1568/getInfo.php?workbook=14_09.xlsx&amp;sheet=U0&amp;row=403&amp;col=6&amp;number=4.9&amp;sourceID=14","4.9")</f>
        <v>4.9</v>
      </c>
      <c r="G403" s="4" t="str">
        <f>HYPERLINK("http://141.218.60.56/~jnz1568/getInfo.php?workbook=14_09.xlsx&amp;sheet=U0&amp;row=403&amp;col=7&amp;number=0.0582&amp;sourceID=14","0.0582")</f>
        <v>0.0582</v>
      </c>
    </row>
    <row r="404" spans="1:7">
      <c r="A404" s="3">
        <v>14</v>
      </c>
      <c r="B404" s="3">
        <v>9</v>
      </c>
      <c r="C404" s="3">
        <v>1</v>
      </c>
      <c r="D404" s="3">
        <v>22</v>
      </c>
      <c r="E404" s="3">
        <v>1</v>
      </c>
      <c r="F404" s="4" t="str">
        <f>HYPERLINK("http://141.218.60.56/~jnz1568/getInfo.php?workbook=14_09.xlsx&amp;sheet=U0&amp;row=404&amp;col=6&amp;number=3&amp;sourceID=14","3")</f>
        <v>3</v>
      </c>
      <c r="G404" s="4" t="str">
        <f>HYPERLINK("http://141.218.60.56/~jnz1568/getInfo.php?workbook=14_09.xlsx&amp;sheet=U0&amp;row=404&amp;col=7&amp;number=0.116&amp;sourceID=14","0.116")</f>
        <v>0.116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HYPERLINK("http://141.218.60.56/~jnz1568/getInfo.php?workbook=14_09.xlsx&amp;sheet=U0&amp;row=405&amp;col=6&amp;number=3.1&amp;sourceID=14","3.1")</f>
        <v>3.1</v>
      </c>
      <c r="G405" s="4" t="str">
        <f>HYPERLINK("http://141.218.60.56/~jnz1568/getInfo.php?workbook=14_09.xlsx&amp;sheet=U0&amp;row=405&amp;col=7&amp;number=0.116&amp;sourceID=14","0.116")</f>
        <v>0.116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HYPERLINK("http://141.218.60.56/~jnz1568/getInfo.php?workbook=14_09.xlsx&amp;sheet=U0&amp;row=406&amp;col=6&amp;number=3.2&amp;sourceID=14","3.2")</f>
        <v>3.2</v>
      </c>
      <c r="G406" s="4" t="str">
        <f>HYPERLINK("http://141.218.60.56/~jnz1568/getInfo.php?workbook=14_09.xlsx&amp;sheet=U0&amp;row=406&amp;col=7&amp;number=0.117&amp;sourceID=14","0.117")</f>
        <v>0.117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HYPERLINK("http://141.218.60.56/~jnz1568/getInfo.php?workbook=14_09.xlsx&amp;sheet=U0&amp;row=407&amp;col=6&amp;number=3.3&amp;sourceID=14","3.3")</f>
        <v>3.3</v>
      </c>
      <c r="G407" s="4" t="str">
        <f>HYPERLINK("http://141.218.60.56/~jnz1568/getInfo.php?workbook=14_09.xlsx&amp;sheet=U0&amp;row=407&amp;col=7&amp;number=0.117&amp;sourceID=14","0.117")</f>
        <v>0.117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HYPERLINK("http://141.218.60.56/~jnz1568/getInfo.php?workbook=14_09.xlsx&amp;sheet=U0&amp;row=408&amp;col=6&amp;number=3.4&amp;sourceID=14","3.4")</f>
        <v>3.4</v>
      </c>
      <c r="G408" s="4" t="str">
        <f>HYPERLINK("http://141.218.60.56/~jnz1568/getInfo.php?workbook=14_09.xlsx&amp;sheet=U0&amp;row=408&amp;col=7&amp;number=0.118&amp;sourceID=14","0.118")</f>
        <v>0.118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HYPERLINK("http://141.218.60.56/~jnz1568/getInfo.php?workbook=14_09.xlsx&amp;sheet=U0&amp;row=409&amp;col=6&amp;number=3.5&amp;sourceID=14","3.5")</f>
        <v>3.5</v>
      </c>
      <c r="G409" s="4" t="str">
        <f>HYPERLINK("http://141.218.60.56/~jnz1568/getInfo.php?workbook=14_09.xlsx&amp;sheet=U0&amp;row=409&amp;col=7&amp;number=0.119&amp;sourceID=14","0.119")</f>
        <v>0.119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HYPERLINK("http://141.218.60.56/~jnz1568/getInfo.php?workbook=14_09.xlsx&amp;sheet=U0&amp;row=410&amp;col=6&amp;number=3.6&amp;sourceID=14","3.6")</f>
        <v>3.6</v>
      </c>
      <c r="G410" s="4" t="str">
        <f>HYPERLINK("http://141.218.60.56/~jnz1568/getInfo.php?workbook=14_09.xlsx&amp;sheet=U0&amp;row=410&amp;col=7&amp;number=0.12&amp;sourceID=14","0.12")</f>
        <v>0.12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HYPERLINK("http://141.218.60.56/~jnz1568/getInfo.php?workbook=14_09.xlsx&amp;sheet=U0&amp;row=411&amp;col=6&amp;number=3.7&amp;sourceID=14","3.7")</f>
        <v>3.7</v>
      </c>
      <c r="G411" s="4" t="str">
        <f>HYPERLINK("http://141.218.60.56/~jnz1568/getInfo.php?workbook=14_09.xlsx&amp;sheet=U0&amp;row=411&amp;col=7&amp;number=0.122&amp;sourceID=14","0.122")</f>
        <v>0.122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HYPERLINK("http://141.218.60.56/~jnz1568/getInfo.php?workbook=14_09.xlsx&amp;sheet=U0&amp;row=412&amp;col=6&amp;number=3.8&amp;sourceID=14","3.8")</f>
        <v>3.8</v>
      </c>
      <c r="G412" s="4" t="str">
        <f>HYPERLINK("http://141.218.60.56/~jnz1568/getInfo.php?workbook=14_09.xlsx&amp;sheet=U0&amp;row=412&amp;col=7&amp;number=0.124&amp;sourceID=14","0.124")</f>
        <v>0.124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HYPERLINK("http://141.218.60.56/~jnz1568/getInfo.php?workbook=14_09.xlsx&amp;sheet=U0&amp;row=413&amp;col=6&amp;number=3.9&amp;sourceID=14","3.9")</f>
        <v>3.9</v>
      </c>
      <c r="G413" s="4" t="str">
        <f>HYPERLINK("http://141.218.60.56/~jnz1568/getInfo.php?workbook=14_09.xlsx&amp;sheet=U0&amp;row=413&amp;col=7&amp;number=0.126&amp;sourceID=14","0.126")</f>
        <v>0.126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HYPERLINK("http://141.218.60.56/~jnz1568/getInfo.php?workbook=14_09.xlsx&amp;sheet=U0&amp;row=414&amp;col=6&amp;number=4&amp;sourceID=14","4")</f>
        <v>4</v>
      </c>
      <c r="G414" s="4" t="str">
        <f>HYPERLINK("http://141.218.60.56/~jnz1568/getInfo.php?workbook=14_09.xlsx&amp;sheet=U0&amp;row=414&amp;col=7&amp;number=0.129&amp;sourceID=14","0.129")</f>
        <v>0.129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HYPERLINK("http://141.218.60.56/~jnz1568/getInfo.php?workbook=14_09.xlsx&amp;sheet=U0&amp;row=415&amp;col=6&amp;number=4.1&amp;sourceID=14","4.1")</f>
        <v>4.1</v>
      </c>
      <c r="G415" s="4" t="str">
        <f>HYPERLINK("http://141.218.60.56/~jnz1568/getInfo.php?workbook=14_09.xlsx&amp;sheet=U0&amp;row=415&amp;col=7&amp;number=0.132&amp;sourceID=14","0.132")</f>
        <v>0.132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HYPERLINK("http://141.218.60.56/~jnz1568/getInfo.php?workbook=14_09.xlsx&amp;sheet=U0&amp;row=416&amp;col=6&amp;number=4.2&amp;sourceID=14","4.2")</f>
        <v>4.2</v>
      </c>
      <c r="G416" s="4" t="str">
        <f>HYPERLINK("http://141.218.60.56/~jnz1568/getInfo.php?workbook=14_09.xlsx&amp;sheet=U0&amp;row=416&amp;col=7&amp;number=0.136&amp;sourceID=14","0.136")</f>
        <v>0.136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HYPERLINK("http://141.218.60.56/~jnz1568/getInfo.php?workbook=14_09.xlsx&amp;sheet=U0&amp;row=417&amp;col=6&amp;number=4.3&amp;sourceID=14","4.3")</f>
        <v>4.3</v>
      </c>
      <c r="G417" s="4" t="str">
        <f>HYPERLINK("http://141.218.60.56/~jnz1568/getInfo.php?workbook=14_09.xlsx&amp;sheet=U0&amp;row=417&amp;col=7&amp;number=0.141&amp;sourceID=14","0.141")</f>
        <v>0.141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HYPERLINK("http://141.218.60.56/~jnz1568/getInfo.php?workbook=14_09.xlsx&amp;sheet=U0&amp;row=418&amp;col=6&amp;number=4.4&amp;sourceID=14","4.4")</f>
        <v>4.4</v>
      </c>
      <c r="G418" s="4" t="str">
        <f>HYPERLINK("http://141.218.60.56/~jnz1568/getInfo.php?workbook=14_09.xlsx&amp;sheet=U0&amp;row=418&amp;col=7&amp;number=0.147&amp;sourceID=14","0.147")</f>
        <v>0.147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HYPERLINK("http://141.218.60.56/~jnz1568/getInfo.php?workbook=14_09.xlsx&amp;sheet=U0&amp;row=419&amp;col=6&amp;number=4.5&amp;sourceID=14","4.5")</f>
        <v>4.5</v>
      </c>
      <c r="G419" s="4" t="str">
        <f>HYPERLINK("http://141.218.60.56/~jnz1568/getInfo.php?workbook=14_09.xlsx&amp;sheet=U0&amp;row=419&amp;col=7&amp;number=0.152&amp;sourceID=14","0.152")</f>
        <v>0.152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HYPERLINK("http://141.218.60.56/~jnz1568/getInfo.php?workbook=14_09.xlsx&amp;sheet=U0&amp;row=420&amp;col=6&amp;number=4.6&amp;sourceID=14","4.6")</f>
        <v>4.6</v>
      </c>
      <c r="G420" s="4" t="str">
        <f>HYPERLINK("http://141.218.60.56/~jnz1568/getInfo.php?workbook=14_09.xlsx&amp;sheet=U0&amp;row=420&amp;col=7&amp;number=0.157&amp;sourceID=14","0.157")</f>
        <v>0.157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HYPERLINK("http://141.218.60.56/~jnz1568/getInfo.php?workbook=14_09.xlsx&amp;sheet=U0&amp;row=421&amp;col=6&amp;number=4.7&amp;sourceID=14","4.7")</f>
        <v>4.7</v>
      </c>
      <c r="G421" s="4" t="str">
        <f>HYPERLINK("http://141.218.60.56/~jnz1568/getInfo.php?workbook=14_09.xlsx&amp;sheet=U0&amp;row=421&amp;col=7&amp;number=0.16&amp;sourceID=14","0.16")</f>
        <v>0.16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HYPERLINK("http://141.218.60.56/~jnz1568/getInfo.php?workbook=14_09.xlsx&amp;sheet=U0&amp;row=422&amp;col=6&amp;number=4.8&amp;sourceID=14","4.8")</f>
        <v>4.8</v>
      </c>
      <c r="G422" s="4" t="str">
        <f>HYPERLINK("http://141.218.60.56/~jnz1568/getInfo.php?workbook=14_09.xlsx&amp;sheet=U0&amp;row=422&amp;col=7&amp;number=0.159&amp;sourceID=14","0.159")</f>
        <v>0.159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HYPERLINK("http://141.218.60.56/~jnz1568/getInfo.php?workbook=14_09.xlsx&amp;sheet=U0&amp;row=423&amp;col=6&amp;number=4.9&amp;sourceID=14","4.9")</f>
        <v>4.9</v>
      </c>
      <c r="G423" s="4" t="str">
        <f>HYPERLINK("http://141.218.60.56/~jnz1568/getInfo.php?workbook=14_09.xlsx&amp;sheet=U0&amp;row=423&amp;col=7&amp;number=0.155&amp;sourceID=14","0.155")</f>
        <v>0.155</v>
      </c>
    </row>
    <row r="424" spans="1:7">
      <c r="A424" s="3">
        <v>14</v>
      </c>
      <c r="B424" s="3">
        <v>9</v>
      </c>
      <c r="C424" s="3">
        <v>1</v>
      </c>
      <c r="D424" s="3">
        <v>23</v>
      </c>
      <c r="E424" s="3">
        <v>1</v>
      </c>
      <c r="F424" s="4" t="str">
        <f>HYPERLINK("http://141.218.60.56/~jnz1568/getInfo.php?workbook=14_09.xlsx&amp;sheet=U0&amp;row=424&amp;col=6&amp;number=3&amp;sourceID=14","3")</f>
        <v>3</v>
      </c>
      <c r="G424" s="4" t="str">
        <f>HYPERLINK("http://141.218.60.56/~jnz1568/getInfo.php?workbook=14_09.xlsx&amp;sheet=U0&amp;row=424&amp;col=7&amp;number=0.0426&amp;sourceID=14","0.0426")</f>
        <v>0.0426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HYPERLINK("http://141.218.60.56/~jnz1568/getInfo.php?workbook=14_09.xlsx&amp;sheet=U0&amp;row=425&amp;col=6&amp;number=3.1&amp;sourceID=14","3.1")</f>
        <v>3.1</v>
      </c>
      <c r="G425" s="4" t="str">
        <f>HYPERLINK("http://141.218.60.56/~jnz1568/getInfo.php?workbook=14_09.xlsx&amp;sheet=U0&amp;row=425&amp;col=7&amp;number=0.0427&amp;sourceID=14","0.0427")</f>
        <v>0.0427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HYPERLINK("http://141.218.60.56/~jnz1568/getInfo.php?workbook=14_09.xlsx&amp;sheet=U0&amp;row=426&amp;col=6&amp;number=3.2&amp;sourceID=14","3.2")</f>
        <v>3.2</v>
      </c>
      <c r="G426" s="4" t="str">
        <f>HYPERLINK("http://141.218.60.56/~jnz1568/getInfo.php?workbook=14_09.xlsx&amp;sheet=U0&amp;row=426&amp;col=7&amp;number=0.0428&amp;sourceID=14","0.0428")</f>
        <v>0.0428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HYPERLINK("http://141.218.60.56/~jnz1568/getInfo.php?workbook=14_09.xlsx&amp;sheet=U0&amp;row=427&amp;col=6&amp;number=3.3&amp;sourceID=14","3.3")</f>
        <v>3.3</v>
      </c>
      <c r="G427" s="4" t="str">
        <f>HYPERLINK("http://141.218.60.56/~jnz1568/getInfo.php?workbook=14_09.xlsx&amp;sheet=U0&amp;row=427&amp;col=7&amp;number=0.0429&amp;sourceID=14","0.0429")</f>
        <v>0.0429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HYPERLINK("http://141.218.60.56/~jnz1568/getInfo.php?workbook=14_09.xlsx&amp;sheet=U0&amp;row=428&amp;col=6&amp;number=3.4&amp;sourceID=14","3.4")</f>
        <v>3.4</v>
      </c>
      <c r="G428" s="4" t="str">
        <f>HYPERLINK("http://141.218.60.56/~jnz1568/getInfo.php?workbook=14_09.xlsx&amp;sheet=U0&amp;row=428&amp;col=7&amp;number=0.043&amp;sourceID=14","0.043")</f>
        <v>0.043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HYPERLINK("http://141.218.60.56/~jnz1568/getInfo.php?workbook=14_09.xlsx&amp;sheet=U0&amp;row=429&amp;col=6&amp;number=3.5&amp;sourceID=14","3.5")</f>
        <v>3.5</v>
      </c>
      <c r="G429" s="4" t="str">
        <f>HYPERLINK("http://141.218.60.56/~jnz1568/getInfo.php?workbook=14_09.xlsx&amp;sheet=U0&amp;row=429&amp;col=7&amp;number=0.0431&amp;sourceID=14","0.0431")</f>
        <v>0.0431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HYPERLINK("http://141.218.60.56/~jnz1568/getInfo.php?workbook=14_09.xlsx&amp;sheet=U0&amp;row=430&amp;col=6&amp;number=3.6&amp;sourceID=14","3.6")</f>
        <v>3.6</v>
      </c>
      <c r="G430" s="4" t="str">
        <f>HYPERLINK("http://141.218.60.56/~jnz1568/getInfo.php?workbook=14_09.xlsx&amp;sheet=U0&amp;row=430&amp;col=7&amp;number=0.0433&amp;sourceID=14","0.0433")</f>
        <v>0.0433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HYPERLINK("http://141.218.60.56/~jnz1568/getInfo.php?workbook=14_09.xlsx&amp;sheet=U0&amp;row=431&amp;col=6&amp;number=3.7&amp;sourceID=14","3.7")</f>
        <v>3.7</v>
      </c>
      <c r="G431" s="4" t="str">
        <f>HYPERLINK("http://141.218.60.56/~jnz1568/getInfo.php?workbook=14_09.xlsx&amp;sheet=U0&amp;row=431&amp;col=7&amp;number=0.0435&amp;sourceID=14","0.0435")</f>
        <v>0.0435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HYPERLINK("http://141.218.60.56/~jnz1568/getInfo.php?workbook=14_09.xlsx&amp;sheet=U0&amp;row=432&amp;col=6&amp;number=3.8&amp;sourceID=14","3.8")</f>
        <v>3.8</v>
      </c>
      <c r="G432" s="4" t="str">
        <f>HYPERLINK("http://141.218.60.56/~jnz1568/getInfo.php?workbook=14_09.xlsx&amp;sheet=U0&amp;row=432&amp;col=7&amp;number=0.0438&amp;sourceID=14","0.0438")</f>
        <v>0.0438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HYPERLINK("http://141.218.60.56/~jnz1568/getInfo.php?workbook=14_09.xlsx&amp;sheet=U0&amp;row=433&amp;col=6&amp;number=3.9&amp;sourceID=14","3.9")</f>
        <v>3.9</v>
      </c>
      <c r="G433" s="4" t="str">
        <f>HYPERLINK("http://141.218.60.56/~jnz1568/getInfo.php?workbook=14_09.xlsx&amp;sheet=U0&amp;row=433&amp;col=7&amp;number=0.0442&amp;sourceID=14","0.0442")</f>
        <v>0.0442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HYPERLINK("http://141.218.60.56/~jnz1568/getInfo.php?workbook=14_09.xlsx&amp;sheet=U0&amp;row=434&amp;col=6&amp;number=4&amp;sourceID=14","4")</f>
        <v>4</v>
      </c>
      <c r="G434" s="4" t="str">
        <f>HYPERLINK("http://141.218.60.56/~jnz1568/getInfo.php?workbook=14_09.xlsx&amp;sheet=U0&amp;row=434&amp;col=7&amp;number=0.0446&amp;sourceID=14","0.0446")</f>
        <v>0.0446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HYPERLINK("http://141.218.60.56/~jnz1568/getInfo.php?workbook=14_09.xlsx&amp;sheet=U0&amp;row=435&amp;col=6&amp;number=4.1&amp;sourceID=14","4.1")</f>
        <v>4.1</v>
      </c>
      <c r="G435" s="4" t="str">
        <f>HYPERLINK("http://141.218.60.56/~jnz1568/getInfo.php?workbook=14_09.xlsx&amp;sheet=U0&amp;row=435&amp;col=7&amp;number=0.0451&amp;sourceID=14","0.0451")</f>
        <v>0.0451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HYPERLINK("http://141.218.60.56/~jnz1568/getInfo.php?workbook=14_09.xlsx&amp;sheet=U0&amp;row=436&amp;col=6&amp;number=4.2&amp;sourceID=14","4.2")</f>
        <v>4.2</v>
      </c>
      <c r="G436" s="4" t="str">
        <f>HYPERLINK("http://141.218.60.56/~jnz1568/getInfo.php?workbook=14_09.xlsx&amp;sheet=U0&amp;row=436&amp;col=7&amp;number=0.0457&amp;sourceID=14","0.0457")</f>
        <v>0.0457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HYPERLINK("http://141.218.60.56/~jnz1568/getInfo.php?workbook=14_09.xlsx&amp;sheet=U0&amp;row=437&amp;col=6&amp;number=4.3&amp;sourceID=14","4.3")</f>
        <v>4.3</v>
      </c>
      <c r="G437" s="4" t="str">
        <f>HYPERLINK("http://141.218.60.56/~jnz1568/getInfo.php?workbook=14_09.xlsx&amp;sheet=U0&amp;row=437&amp;col=7&amp;number=0.0464&amp;sourceID=14","0.0464")</f>
        <v>0.0464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HYPERLINK("http://141.218.60.56/~jnz1568/getInfo.php?workbook=14_09.xlsx&amp;sheet=U0&amp;row=438&amp;col=6&amp;number=4.4&amp;sourceID=14","4.4")</f>
        <v>4.4</v>
      </c>
      <c r="G438" s="4" t="str">
        <f>HYPERLINK("http://141.218.60.56/~jnz1568/getInfo.php?workbook=14_09.xlsx&amp;sheet=U0&amp;row=438&amp;col=7&amp;number=0.0471&amp;sourceID=14","0.0471")</f>
        <v>0.0471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HYPERLINK("http://141.218.60.56/~jnz1568/getInfo.php?workbook=14_09.xlsx&amp;sheet=U0&amp;row=439&amp;col=6&amp;number=4.5&amp;sourceID=14","4.5")</f>
        <v>4.5</v>
      </c>
      <c r="G439" s="4" t="str">
        <f>HYPERLINK("http://141.218.60.56/~jnz1568/getInfo.php?workbook=14_09.xlsx&amp;sheet=U0&amp;row=439&amp;col=7&amp;number=0.0477&amp;sourceID=14","0.0477")</f>
        <v>0.0477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HYPERLINK("http://141.218.60.56/~jnz1568/getInfo.php?workbook=14_09.xlsx&amp;sheet=U0&amp;row=440&amp;col=6&amp;number=4.6&amp;sourceID=14","4.6")</f>
        <v>4.6</v>
      </c>
      <c r="G440" s="4" t="str">
        <f>HYPERLINK("http://141.218.60.56/~jnz1568/getInfo.php?workbook=14_09.xlsx&amp;sheet=U0&amp;row=440&amp;col=7&amp;number=0.048&amp;sourceID=14","0.048")</f>
        <v>0.048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HYPERLINK("http://141.218.60.56/~jnz1568/getInfo.php?workbook=14_09.xlsx&amp;sheet=U0&amp;row=441&amp;col=6&amp;number=4.7&amp;sourceID=14","4.7")</f>
        <v>4.7</v>
      </c>
      <c r="G441" s="4" t="str">
        <f>HYPERLINK("http://141.218.60.56/~jnz1568/getInfo.php?workbook=14_09.xlsx&amp;sheet=U0&amp;row=441&amp;col=7&amp;number=0.0477&amp;sourceID=14","0.0477")</f>
        <v>0.0477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HYPERLINK("http://141.218.60.56/~jnz1568/getInfo.php?workbook=14_09.xlsx&amp;sheet=U0&amp;row=442&amp;col=6&amp;number=4.8&amp;sourceID=14","4.8")</f>
        <v>4.8</v>
      </c>
      <c r="G442" s="4" t="str">
        <f>HYPERLINK("http://141.218.60.56/~jnz1568/getInfo.php?workbook=14_09.xlsx&amp;sheet=U0&amp;row=442&amp;col=7&amp;number=0.0465&amp;sourceID=14","0.0465")</f>
        <v>0.0465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HYPERLINK("http://141.218.60.56/~jnz1568/getInfo.php?workbook=14_09.xlsx&amp;sheet=U0&amp;row=443&amp;col=6&amp;number=4.9&amp;sourceID=14","4.9")</f>
        <v>4.9</v>
      </c>
      <c r="G443" s="4" t="str">
        <f>HYPERLINK("http://141.218.60.56/~jnz1568/getInfo.php?workbook=14_09.xlsx&amp;sheet=U0&amp;row=443&amp;col=7&amp;number=0.0443&amp;sourceID=14","0.0443")</f>
        <v>0.0443</v>
      </c>
    </row>
    <row r="444" spans="1:7">
      <c r="A444" s="3">
        <v>14</v>
      </c>
      <c r="B444" s="3">
        <v>9</v>
      </c>
      <c r="C444" s="3">
        <v>1</v>
      </c>
      <c r="D444" s="3">
        <v>24</v>
      </c>
      <c r="E444" s="3">
        <v>1</v>
      </c>
      <c r="F444" s="4" t="str">
        <f>HYPERLINK("http://141.218.60.56/~jnz1568/getInfo.php?workbook=14_09.xlsx&amp;sheet=U0&amp;row=444&amp;col=6&amp;number=3&amp;sourceID=14","3")</f>
        <v>3</v>
      </c>
      <c r="G444" s="4" t="str">
        <f>HYPERLINK("http://141.218.60.56/~jnz1568/getInfo.php?workbook=14_09.xlsx&amp;sheet=U0&amp;row=444&amp;col=7&amp;number=0.144&amp;sourceID=14","0.144")</f>
        <v>0.144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HYPERLINK("http://141.218.60.56/~jnz1568/getInfo.php?workbook=14_09.xlsx&amp;sheet=U0&amp;row=445&amp;col=6&amp;number=3.1&amp;sourceID=14","3.1")</f>
        <v>3.1</v>
      </c>
      <c r="G445" s="4" t="str">
        <f>HYPERLINK("http://141.218.60.56/~jnz1568/getInfo.php?workbook=14_09.xlsx&amp;sheet=U0&amp;row=445&amp;col=7&amp;number=0.144&amp;sourceID=14","0.144")</f>
        <v>0.144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HYPERLINK("http://141.218.60.56/~jnz1568/getInfo.php?workbook=14_09.xlsx&amp;sheet=U0&amp;row=446&amp;col=6&amp;number=3.2&amp;sourceID=14","3.2")</f>
        <v>3.2</v>
      </c>
      <c r="G446" s="4" t="str">
        <f>HYPERLINK("http://141.218.60.56/~jnz1568/getInfo.php?workbook=14_09.xlsx&amp;sheet=U0&amp;row=446&amp;col=7&amp;number=0.144&amp;sourceID=14","0.144")</f>
        <v>0.144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HYPERLINK("http://141.218.60.56/~jnz1568/getInfo.php?workbook=14_09.xlsx&amp;sheet=U0&amp;row=447&amp;col=6&amp;number=3.3&amp;sourceID=14","3.3")</f>
        <v>3.3</v>
      </c>
      <c r="G447" s="4" t="str">
        <f>HYPERLINK("http://141.218.60.56/~jnz1568/getInfo.php?workbook=14_09.xlsx&amp;sheet=U0&amp;row=447&amp;col=7&amp;number=0.143&amp;sourceID=14","0.143")</f>
        <v>0.143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HYPERLINK("http://141.218.60.56/~jnz1568/getInfo.php?workbook=14_09.xlsx&amp;sheet=U0&amp;row=448&amp;col=6&amp;number=3.4&amp;sourceID=14","3.4")</f>
        <v>3.4</v>
      </c>
      <c r="G448" s="4" t="str">
        <f>HYPERLINK("http://141.218.60.56/~jnz1568/getInfo.php?workbook=14_09.xlsx&amp;sheet=U0&amp;row=448&amp;col=7&amp;number=0.143&amp;sourceID=14","0.143")</f>
        <v>0.143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HYPERLINK("http://141.218.60.56/~jnz1568/getInfo.php?workbook=14_09.xlsx&amp;sheet=U0&amp;row=449&amp;col=6&amp;number=3.5&amp;sourceID=14","3.5")</f>
        <v>3.5</v>
      </c>
      <c r="G449" s="4" t="str">
        <f>HYPERLINK("http://141.218.60.56/~jnz1568/getInfo.php?workbook=14_09.xlsx&amp;sheet=U0&amp;row=449&amp;col=7&amp;number=0.142&amp;sourceID=14","0.142")</f>
        <v>0.142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HYPERLINK("http://141.218.60.56/~jnz1568/getInfo.php?workbook=14_09.xlsx&amp;sheet=U0&amp;row=450&amp;col=6&amp;number=3.6&amp;sourceID=14","3.6")</f>
        <v>3.6</v>
      </c>
      <c r="G450" s="4" t="str">
        <f>HYPERLINK("http://141.218.60.56/~jnz1568/getInfo.php?workbook=14_09.xlsx&amp;sheet=U0&amp;row=450&amp;col=7&amp;number=0.142&amp;sourceID=14","0.142")</f>
        <v>0.142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HYPERLINK("http://141.218.60.56/~jnz1568/getInfo.php?workbook=14_09.xlsx&amp;sheet=U0&amp;row=451&amp;col=6&amp;number=3.7&amp;sourceID=14","3.7")</f>
        <v>3.7</v>
      </c>
      <c r="G451" s="4" t="str">
        <f>HYPERLINK("http://141.218.60.56/~jnz1568/getInfo.php?workbook=14_09.xlsx&amp;sheet=U0&amp;row=451&amp;col=7&amp;number=0.141&amp;sourceID=14","0.141")</f>
        <v>0.141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HYPERLINK("http://141.218.60.56/~jnz1568/getInfo.php?workbook=14_09.xlsx&amp;sheet=U0&amp;row=452&amp;col=6&amp;number=3.8&amp;sourceID=14","3.8")</f>
        <v>3.8</v>
      </c>
      <c r="G452" s="4" t="str">
        <f>HYPERLINK("http://141.218.60.56/~jnz1568/getInfo.php?workbook=14_09.xlsx&amp;sheet=U0&amp;row=452&amp;col=7&amp;number=0.14&amp;sourceID=14","0.14")</f>
        <v>0.14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HYPERLINK("http://141.218.60.56/~jnz1568/getInfo.php?workbook=14_09.xlsx&amp;sheet=U0&amp;row=453&amp;col=6&amp;number=3.9&amp;sourceID=14","3.9")</f>
        <v>3.9</v>
      </c>
      <c r="G453" s="4" t="str">
        <f>HYPERLINK("http://141.218.60.56/~jnz1568/getInfo.php?workbook=14_09.xlsx&amp;sheet=U0&amp;row=453&amp;col=7&amp;number=0.139&amp;sourceID=14","0.139")</f>
        <v>0.139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HYPERLINK("http://141.218.60.56/~jnz1568/getInfo.php?workbook=14_09.xlsx&amp;sheet=U0&amp;row=454&amp;col=6&amp;number=4&amp;sourceID=14","4")</f>
        <v>4</v>
      </c>
      <c r="G454" s="4" t="str">
        <f>HYPERLINK("http://141.218.60.56/~jnz1568/getInfo.php?workbook=14_09.xlsx&amp;sheet=U0&amp;row=454&amp;col=7&amp;number=0.137&amp;sourceID=14","0.137")</f>
        <v>0.137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HYPERLINK("http://141.218.60.56/~jnz1568/getInfo.php?workbook=14_09.xlsx&amp;sheet=U0&amp;row=455&amp;col=6&amp;number=4.1&amp;sourceID=14","4.1")</f>
        <v>4.1</v>
      </c>
      <c r="G455" s="4" t="str">
        <f>HYPERLINK("http://141.218.60.56/~jnz1568/getInfo.php?workbook=14_09.xlsx&amp;sheet=U0&amp;row=455&amp;col=7&amp;number=0.135&amp;sourceID=14","0.135")</f>
        <v>0.135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HYPERLINK("http://141.218.60.56/~jnz1568/getInfo.php?workbook=14_09.xlsx&amp;sheet=U0&amp;row=456&amp;col=6&amp;number=4.2&amp;sourceID=14","4.2")</f>
        <v>4.2</v>
      </c>
      <c r="G456" s="4" t="str">
        <f>HYPERLINK("http://141.218.60.56/~jnz1568/getInfo.php?workbook=14_09.xlsx&amp;sheet=U0&amp;row=456&amp;col=7&amp;number=0.133&amp;sourceID=14","0.133")</f>
        <v>0.133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HYPERLINK("http://141.218.60.56/~jnz1568/getInfo.php?workbook=14_09.xlsx&amp;sheet=U0&amp;row=457&amp;col=6&amp;number=4.3&amp;sourceID=14","4.3")</f>
        <v>4.3</v>
      </c>
      <c r="G457" s="4" t="str">
        <f>HYPERLINK("http://141.218.60.56/~jnz1568/getInfo.php?workbook=14_09.xlsx&amp;sheet=U0&amp;row=457&amp;col=7&amp;number=0.13&amp;sourceID=14","0.13")</f>
        <v>0.13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HYPERLINK("http://141.218.60.56/~jnz1568/getInfo.php?workbook=14_09.xlsx&amp;sheet=U0&amp;row=458&amp;col=6&amp;number=4.4&amp;sourceID=14","4.4")</f>
        <v>4.4</v>
      </c>
      <c r="G458" s="4" t="str">
        <f>HYPERLINK("http://141.218.60.56/~jnz1568/getInfo.php?workbook=14_09.xlsx&amp;sheet=U0&amp;row=458&amp;col=7&amp;number=0.126&amp;sourceID=14","0.126")</f>
        <v>0.126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HYPERLINK("http://141.218.60.56/~jnz1568/getInfo.php?workbook=14_09.xlsx&amp;sheet=U0&amp;row=459&amp;col=6&amp;number=4.5&amp;sourceID=14","4.5")</f>
        <v>4.5</v>
      </c>
      <c r="G459" s="4" t="str">
        <f>HYPERLINK("http://141.218.60.56/~jnz1568/getInfo.php?workbook=14_09.xlsx&amp;sheet=U0&amp;row=459&amp;col=7&amp;number=0.122&amp;sourceID=14","0.122")</f>
        <v>0.122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HYPERLINK("http://141.218.60.56/~jnz1568/getInfo.php?workbook=14_09.xlsx&amp;sheet=U0&amp;row=460&amp;col=6&amp;number=4.6&amp;sourceID=14","4.6")</f>
        <v>4.6</v>
      </c>
      <c r="G460" s="4" t="str">
        <f>HYPERLINK("http://141.218.60.56/~jnz1568/getInfo.php?workbook=14_09.xlsx&amp;sheet=U0&amp;row=460&amp;col=7&amp;number=0.116&amp;sourceID=14","0.116")</f>
        <v>0.116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HYPERLINK("http://141.218.60.56/~jnz1568/getInfo.php?workbook=14_09.xlsx&amp;sheet=U0&amp;row=461&amp;col=6&amp;number=4.7&amp;sourceID=14","4.7")</f>
        <v>4.7</v>
      </c>
      <c r="G461" s="4" t="str">
        <f>HYPERLINK("http://141.218.60.56/~jnz1568/getInfo.php?workbook=14_09.xlsx&amp;sheet=U0&amp;row=461&amp;col=7&amp;number=0.109&amp;sourceID=14","0.109")</f>
        <v>0.109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HYPERLINK("http://141.218.60.56/~jnz1568/getInfo.php?workbook=14_09.xlsx&amp;sheet=U0&amp;row=462&amp;col=6&amp;number=4.8&amp;sourceID=14","4.8")</f>
        <v>4.8</v>
      </c>
      <c r="G462" s="4" t="str">
        <f>HYPERLINK("http://141.218.60.56/~jnz1568/getInfo.php?workbook=14_09.xlsx&amp;sheet=U0&amp;row=462&amp;col=7&amp;number=0.102&amp;sourceID=14","0.102")</f>
        <v>0.102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HYPERLINK("http://141.218.60.56/~jnz1568/getInfo.php?workbook=14_09.xlsx&amp;sheet=U0&amp;row=463&amp;col=6&amp;number=4.9&amp;sourceID=14","4.9")</f>
        <v>4.9</v>
      </c>
      <c r="G463" s="4" t="str">
        <f>HYPERLINK("http://141.218.60.56/~jnz1568/getInfo.php?workbook=14_09.xlsx&amp;sheet=U0&amp;row=463&amp;col=7&amp;number=0.0927&amp;sourceID=14","0.0927")</f>
        <v>0.0927</v>
      </c>
    </row>
    <row r="464" spans="1:7">
      <c r="A464" s="3">
        <v>14</v>
      </c>
      <c r="B464" s="3">
        <v>9</v>
      </c>
      <c r="C464" s="3">
        <v>1</v>
      </c>
      <c r="D464" s="3">
        <v>25</v>
      </c>
      <c r="E464" s="3">
        <v>1</v>
      </c>
      <c r="F464" s="4" t="str">
        <f>HYPERLINK("http://141.218.60.56/~jnz1568/getInfo.php?workbook=14_09.xlsx&amp;sheet=U0&amp;row=464&amp;col=6&amp;number=3&amp;sourceID=14","3")</f>
        <v>3</v>
      </c>
      <c r="G464" s="4" t="str">
        <f>HYPERLINK("http://141.218.60.56/~jnz1568/getInfo.php?workbook=14_09.xlsx&amp;sheet=U0&amp;row=464&amp;col=7&amp;number=0.189&amp;sourceID=14","0.189")</f>
        <v>0.189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HYPERLINK("http://141.218.60.56/~jnz1568/getInfo.php?workbook=14_09.xlsx&amp;sheet=U0&amp;row=465&amp;col=6&amp;number=3.1&amp;sourceID=14","3.1")</f>
        <v>3.1</v>
      </c>
      <c r="G465" s="4" t="str">
        <f>HYPERLINK("http://141.218.60.56/~jnz1568/getInfo.php?workbook=14_09.xlsx&amp;sheet=U0&amp;row=465&amp;col=7&amp;number=0.189&amp;sourceID=14","0.189")</f>
        <v>0.189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HYPERLINK("http://141.218.60.56/~jnz1568/getInfo.php?workbook=14_09.xlsx&amp;sheet=U0&amp;row=466&amp;col=6&amp;number=3.2&amp;sourceID=14","3.2")</f>
        <v>3.2</v>
      </c>
      <c r="G466" s="4" t="str">
        <f>HYPERLINK("http://141.218.60.56/~jnz1568/getInfo.php?workbook=14_09.xlsx&amp;sheet=U0&amp;row=466&amp;col=7&amp;number=0.188&amp;sourceID=14","0.188")</f>
        <v>0.188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HYPERLINK("http://141.218.60.56/~jnz1568/getInfo.php?workbook=14_09.xlsx&amp;sheet=U0&amp;row=467&amp;col=6&amp;number=3.3&amp;sourceID=14","3.3")</f>
        <v>3.3</v>
      </c>
      <c r="G467" s="4" t="str">
        <f>HYPERLINK("http://141.218.60.56/~jnz1568/getInfo.php?workbook=14_09.xlsx&amp;sheet=U0&amp;row=467&amp;col=7&amp;number=0.187&amp;sourceID=14","0.187")</f>
        <v>0.187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HYPERLINK("http://141.218.60.56/~jnz1568/getInfo.php?workbook=14_09.xlsx&amp;sheet=U0&amp;row=468&amp;col=6&amp;number=3.4&amp;sourceID=14","3.4")</f>
        <v>3.4</v>
      </c>
      <c r="G468" s="4" t="str">
        <f>HYPERLINK("http://141.218.60.56/~jnz1568/getInfo.php?workbook=14_09.xlsx&amp;sheet=U0&amp;row=468&amp;col=7&amp;number=0.186&amp;sourceID=14","0.186")</f>
        <v>0.186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HYPERLINK("http://141.218.60.56/~jnz1568/getInfo.php?workbook=14_09.xlsx&amp;sheet=U0&amp;row=469&amp;col=6&amp;number=3.5&amp;sourceID=14","3.5")</f>
        <v>3.5</v>
      </c>
      <c r="G469" s="4" t="str">
        <f>HYPERLINK("http://141.218.60.56/~jnz1568/getInfo.php?workbook=14_09.xlsx&amp;sheet=U0&amp;row=469&amp;col=7&amp;number=0.185&amp;sourceID=14","0.185")</f>
        <v>0.185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HYPERLINK("http://141.218.60.56/~jnz1568/getInfo.php?workbook=14_09.xlsx&amp;sheet=U0&amp;row=470&amp;col=6&amp;number=3.6&amp;sourceID=14","3.6")</f>
        <v>3.6</v>
      </c>
      <c r="G470" s="4" t="str">
        <f>HYPERLINK("http://141.218.60.56/~jnz1568/getInfo.php?workbook=14_09.xlsx&amp;sheet=U0&amp;row=470&amp;col=7&amp;number=0.183&amp;sourceID=14","0.183")</f>
        <v>0.183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HYPERLINK("http://141.218.60.56/~jnz1568/getInfo.php?workbook=14_09.xlsx&amp;sheet=U0&amp;row=471&amp;col=6&amp;number=3.7&amp;sourceID=14","3.7")</f>
        <v>3.7</v>
      </c>
      <c r="G471" s="4" t="str">
        <f>HYPERLINK("http://141.218.60.56/~jnz1568/getInfo.php?workbook=14_09.xlsx&amp;sheet=U0&amp;row=471&amp;col=7&amp;number=0.18&amp;sourceID=14","0.18")</f>
        <v>0.18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HYPERLINK("http://141.218.60.56/~jnz1568/getInfo.php?workbook=14_09.xlsx&amp;sheet=U0&amp;row=472&amp;col=6&amp;number=3.8&amp;sourceID=14","3.8")</f>
        <v>3.8</v>
      </c>
      <c r="G472" s="4" t="str">
        <f>HYPERLINK("http://141.218.60.56/~jnz1568/getInfo.php?workbook=14_09.xlsx&amp;sheet=U0&amp;row=472&amp;col=7&amp;number=0.178&amp;sourceID=14","0.178")</f>
        <v>0.178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HYPERLINK("http://141.218.60.56/~jnz1568/getInfo.php?workbook=14_09.xlsx&amp;sheet=U0&amp;row=473&amp;col=6&amp;number=3.9&amp;sourceID=14","3.9")</f>
        <v>3.9</v>
      </c>
      <c r="G473" s="4" t="str">
        <f>HYPERLINK("http://141.218.60.56/~jnz1568/getInfo.php?workbook=14_09.xlsx&amp;sheet=U0&amp;row=473&amp;col=7&amp;number=0.174&amp;sourceID=14","0.174")</f>
        <v>0.174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HYPERLINK("http://141.218.60.56/~jnz1568/getInfo.php?workbook=14_09.xlsx&amp;sheet=U0&amp;row=474&amp;col=6&amp;number=4&amp;sourceID=14","4")</f>
        <v>4</v>
      </c>
      <c r="G474" s="4" t="str">
        <f>HYPERLINK("http://141.218.60.56/~jnz1568/getInfo.php?workbook=14_09.xlsx&amp;sheet=U0&amp;row=474&amp;col=7&amp;number=0.17&amp;sourceID=14","0.17")</f>
        <v>0.17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HYPERLINK("http://141.218.60.56/~jnz1568/getInfo.php?workbook=14_09.xlsx&amp;sheet=U0&amp;row=475&amp;col=6&amp;number=4.1&amp;sourceID=14","4.1")</f>
        <v>4.1</v>
      </c>
      <c r="G475" s="4" t="str">
        <f>HYPERLINK("http://141.218.60.56/~jnz1568/getInfo.php?workbook=14_09.xlsx&amp;sheet=U0&amp;row=475&amp;col=7&amp;number=0.164&amp;sourceID=14","0.164")</f>
        <v>0.164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HYPERLINK("http://141.218.60.56/~jnz1568/getInfo.php?workbook=14_09.xlsx&amp;sheet=U0&amp;row=476&amp;col=6&amp;number=4.2&amp;sourceID=14","4.2")</f>
        <v>4.2</v>
      </c>
      <c r="G476" s="4" t="str">
        <f>HYPERLINK("http://141.218.60.56/~jnz1568/getInfo.php?workbook=14_09.xlsx&amp;sheet=U0&amp;row=476&amp;col=7&amp;number=0.158&amp;sourceID=14","0.158")</f>
        <v>0.158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HYPERLINK("http://141.218.60.56/~jnz1568/getInfo.php?workbook=14_09.xlsx&amp;sheet=U0&amp;row=477&amp;col=6&amp;number=4.3&amp;sourceID=14","4.3")</f>
        <v>4.3</v>
      </c>
      <c r="G477" s="4" t="str">
        <f>HYPERLINK("http://141.218.60.56/~jnz1568/getInfo.php?workbook=14_09.xlsx&amp;sheet=U0&amp;row=477&amp;col=7&amp;number=0.15&amp;sourceID=14","0.15")</f>
        <v>0.15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HYPERLINK("http://141.218.60.56/~jnz1568/getInfo.php?workbook=14_09.xlsx&amp;sheet=U0&amp;row=478&amp;col=6&amp;number=4.4&amp;sourceID=14","4.4")</f>
        <v>4.4</v>
      </c>
      <c r="G478" s="4" t="str">
        <f>HYPERLINK("http://141.218.60.56/~jnz1568/getInfo.php?workbook=14_09.xlsx&amp;sheet=U0&amp;row=478&amp;col=7&amp;number=0.141&amp;sourceID=14","0.141")</f>
        <v>0.141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HYPERLINK("http://141.218.60.56/~jnz1568/getInfo.php?workbook=14_09.xlsx&amp;sheet=U0&amp;row=479&amp;col=6&amp;number=4.5&amp;sourceID=14","4.5")</f>
        <v>4.5</v>
      </c>
      <c r="G479" s="4" t="str">
        <f>HYPERLINK("http://141.218.60.56/~jnz1568/getInfo.php?workbook=14_09.xlsx&amp;sheet=U0&amp;row=479&amp;col=7&amp;number=0.13&amp;sourceID=14","0.13")</f>
        <v>0.13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HYPERLINK("http://141.218.60.56/~jnz1568/getInfo.php?workbook=14_09.xlsx&amp;sheet=U0&amp;row=480&amp;col=6&amp;number=4.6&amp;sourceID=14","4.6")</f>
        <v>4.6</v>
      </c>
      <c r="G480" s="4" t="str">
        <f>HYPERLINK("http://141.218.60.56/~jnz1568/getInfo.php?workbook=14_09.xlsx&amp;sheet=U0&amp;row=480&amp;col=7&amp;number=0.119&amp;sourceID=14","0.119")</f>
        <v>0.119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HYPERLINK("http://141.218.60.56/~jnz1568/getInfo.php?workbook=14_09.xlsx&amp;sheet=U0&amp;row=481&amp;col=6&amp;number=4.7&amp;sourceID=14","4.7")</f>
        <v>4.7</v>
      </c>
      <c r="G481" s="4" t="str">
        <f>HYPERLINK("http://141.218.60.56/~jnz1568/getInfo.php?workbook=14_09.xlsx&amp;sheet=U0&amp;row=481&amp;col=7&amp;number=0.109&amp;sourceID=14","0.109")</f>
        <v>0.109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HYPERLINK("http://141.218.60.56/~jnz1568/getInfo.php?workbook=14_09.xlsx&amp;sheet=U0&amp;row=482&amp;col=6&amp;number=4.8&amp;sourceID=14","4.8")</f>
        <v>4.8</v>
      </c>
      <c r="G482" s="4" t="str">
        <f>HYPERLINK("http://141.218.60.56/~jnz1568/getInfo.php?workbook=14_09.xlsx&amp;sheet=U0&amp;row=482&amp;col=7&amp;number=0.1&amp;sourceID=14","0.1")</f>
        <v>0.1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HYPERLINK("http://141.218.60.56/~jnz1568/getInfo.php?workbook=14_09.xlsx&amp;sheet=U0&amp;row=483&amp;col=6&amp;number=4.9&amp;sourceID=14","4.9")</f>
        <v>4.9</v>
      </c>
      <c r="G483" s="4" t="str">
        <f>HYPERLINK("http://141.218.60.56/~jnz1568/getInfo.php?workbook=14_09.xlsx&amp;sheet=U0&amp;row=483&amp;col=7&amp;number=0.0933&amp;sourceID=14","0.0933")</f>
        <v>0.0933</v>
      </c>
    </row>
    <row r="484" spans="1:7">
      <c r="A484" s="3">
        <v>14</v>
      </c>
      <c r="B484" s="3">
        <v>9</v>
      </c>
      <c r="C484" s="3">
        <v>1</v>
      </c>
      <c r="D484" s="3">
        <v>26</v>
      </c>
      <c r="E484" s="3">
        <v>1</v>
      </c>
      <c r="F484" s="4" t="str">
        <f>HYPERLINK("http://141.218.60.56/~jnz1568/getInfo.php?workbook=14_09.xlsx&amp;sheet=U0&amp;row=484&amp;col=6&amp;number=3&amp;sourceID=14","3")</f>
        <v>3</v>
      </c>
      <c r="G484" s="4" t="str">
        <f>HYPERLINK("http://141.218.60.56/~jnz1568/getInfo.php?workbook=14_09.xlsx&amp;sheet=U0&amp;row=484&amp;col=7&amp;number=0.392&amp;sourceID=14","0.392")</f>
        <v>0.392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HYPERLINK("http://141.218.60.56/~jnz1568/getInfo.php?workbook=14_09.xlsx&amp;sheet=U0&amp;row=485&amp;col=6&amp;number=3.1&amp;sourceID=14","3.1")</f>
        <v>3.1</v>
      </c>
      <c r="G485" s="4" t="str">
        <f>HYPERLINK("http://141.218.60.56/~jnz1568/getInfo.php?workbook=14_09.xlsx&amp;sheet=U0&amp;row=485&amp;col=7&amp;number=0.389&amp;sourceID=14","0.389")</f>
        <v>0.389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HYPERLINK("http://141.218.60.56/~jnz1568/getInfo.php?workbook=14_09.xlsx&amp;sheet=U0&amp;row=486&amp;col=6&amp;number=3.2&amp;sourceID=14","3.2")</f>
        <v>3.2</v>
      </c>
      <c r="G486" s="4" t="str">
        <f>HYPERLINK("http://141.218.60.56/~jnz1568/getInfo.php?workbook=14_09.xlsx&amp;sheet=U0&amp;row=486&amp;col=7&amp;number=0.386&amp;sourceID=14","0.386")</f>
        <v>0.386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HYPERLINK("http://141.218.60.56/~jnz1568/getInfo.php?workbook=14_09.xlsx&amp;sheet=U0&amp;row=487&amp;col=6&amp;number=3.3&amp;sourceID=14","3.3")</f>
        <v>3.3</v>
      </c>
      <c r="G487" s="4" t="str">
        <f>HYPERLINK("http://141.218.60.56/~jnz1568/getInfo.php?workbook=14_09.xlsx&amp;sheet=U0&amp;row=487&amp;col=7&amp;number=0.381&amp;sourceID=14","0.381")</f>
        <v>0.381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HYPERLINK("http://141.218.60.56/~jnz1568/getInfo.php?workbook=14_09.xlsx&amp;sheet=U0&amp;row=488&amp;col=6&amp;number=3.4&amp;sourceID=14","3.4")</f>
        <v>3.4</v>
      </c>
      <c r="G488" s="4" t="str">
        <f>HYPERLINK("http://141.218.60.56/~jnz1568/getInfo.php?workbook=14_09.xlsx&amp;sheet=U0&amp;row=488&amp;col=7&amp;number=0.376&amp;sourceID=14","0.376")</f>
        <v>0.376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HYPERLINK("http://141.218.60.56/~jnz1568/getInfo.php?workbook=14_09.xlsx&amp;sheet=U0&amp;row=489&amp;col=6&amp;number=3.5&amp;sourceID=14","3.5")</f>
        <v>3.5</v>
      </c>
      <c r="G489" s="4" t="str">
        <f>HYPERLINK("http://141.218.60.56/~jnz1568/getInfo.php?workbook=14_09.xlsx&amp;sheet=U0&amp;row=489&amp;col=7&amp;number=0.369&amp;sourceID=14","0.369")</f>
        <v>0.369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HYPERLINK("http://141.218.60.56/~jnz1568/getInfo.php?workbook=14_09.xlsx&amp;sheet=U0&amp;row=490&amp;col=6&amp;number=3.6&amp;sourceID=14","3.6")</f>
        <v>3.6</v>
      </c>
      <c r="G490" s="4" t="str">
        <f>HYPERLINK("http://141.218.60.56/~jnz1568/getInfo.php?workbook=14_09.xlsx&amp;sheet=U0&amp;row=490&amp;col=7&amp;number=0.36&amp;sourceID=14","0.36")</f>
        <v>0.36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HYPERLINK("http://141.218.60.56/~jnz1568/getInfo.php?workbook=14_09.xlsx&amp;sheet=U0&amp;row=491&amp;col=6&amp;number=3.7&amp;sourceID=14","3.7")</f>
        <v>3.7</v>
      </c>
      <c r="G491" s="4" t="str">
        <f>HYPERLINK("http://141.218.60.56/~jnz1568/getInfo.php?workbook=14_09.xlsx&amp;sheet=U0&amp;row=491&amp;col=7&amp;number=0.35&amp;sourceID=14","0.35")</f>
        <v>0.35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HYPERLINK("http://141.218.60.56/~jnz1568/getInfo.php?workbook=14_09.xlsx&amp;sheet=U0&amp;row=492&amp;col=6&amp;number=3.8&amp;sourceID=14","3.8")</f>
        <v>3.8</v>
      </c>
      <c r="G492" s="4" t="str">
        <f>HYPERLINK("http://141.218.60.56/~jnz1568/getInfo.php?workbook=14_09.xlsx&amp;sheet=U0&amp;row=492&amp;col=7&amp;number=0.337&amp;sourceID=14","0.337")</f>
        <v>0.337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HYPERLINK("http://141.218.60.56/~jnz1568/getInfo.php?workbook=14_09.xlsx&amp;sheet=U0&amp;row=493&amp;col=6&amp;number=3.9&amp;sourceID=14","3.9")</f>
        <v>3.9</v>
      </c>
      <c r="G493" s="4" t="str">
        <f>HYPERLINK("http://141.218.60.56/~jnz1568/getInfo.php?workbook=14_09.xlsx&amp;sheet=U0&amp;row=493&amp;col=7&amp;number=0.321&amp;sourceID=14","0.321")</f>
        <v>0.321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HYPERLINK("http://141.218.60.56/~jnz1568/getInfo.php?workbook=14_09.xlsx&amp;sheet=U0&amp;row=494&amp;col=6&amp;number=4&amp;sourceID=14","4")</f>
        <v>4</v>
      </c>
      <c r="G494" s="4" t="str">
        <f>HYPERLINK("http://141.218.60.56/~jnz1568/getInfo.php?workbook=14_09.xlsx&amp;sheet=U0&amp;row=494&amp;col=7&amp;number=0.302&amp;sourceID=14","0.302")</f>
        <v>0.302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HYPERLINK("http://141.218.60.56/~jnz1568/getInfo.php?workbook=14_09.xlsx&amp;sheet=U0&amp;row=495&amp;col=6&amp;number=4.1&amp;sourceID=14","4.1")</f>
        <v>4.1</v>
      </c>
      <c r="G495" s="4" t="str">
        <f>HYPERLINK("http://141.218.60.56/~jnz1568/getInfo.php?workbook=14_09.xlsx&amp;sheet=U0&amp;row=495&amp;col=7&amp;number=0.281&amp;sourceID=14","0.281")</f>
        <v>0.281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HYPERLINK("http://141.218.60.56/~jnz1568/getInfo.php?workbook=14_09.xlsx&amp;sheet=U0&amp;row=496&amp;col=6&amp;number=4.2&amp;sourceID=14","4.2")</f>
        <v>4.2</v>
      </c>
      <c r="G496" s="4" t="str">
        <f>HYPERLINK("http://141.218.60.56/~jnz1568/getInfo.php?workbook=14_09.xlsx&amp;sheet=U0&amp;row=496&amp;col=7&amp;number=0.256&amp;sourceID=14","0.256")</f>
        <v>0.256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HYPERLINK("http://141.218.60.56/~jnz1568/getInfo.php?workbook=14_09.xlsx&amp;sheet=U0&amp;row=497&amp;col=6&amp;number=4.3&amp;sourceID=14","4.3")</f>
        <v>4.3</v>
      </c>
      <c r="G497" s="4" t="str">
        <f>HYPERLINK("http://141.218.60.56/~jnz1568/getInfo.php?workbook=14_09.xlsx&amp;sheet=U0&amp;row=497&amp;col=7&amp;number=0.231&amp;sourceID=14","0.231")</f>
        <v>0.231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HYPERLINK("http://141.218.60.56/~jnz1568/getInfo.php?workbook=14_09.xlsx&amp;sheet=U0&amp;row=498&amp;col=6&amp;number=4.4&amp;sourceID=14","4.4")</f>
        <v>4.4</v>
      </c>
      <c r="G498" s="4" t="str">
        <f>HYPERLINK("http://141.218.60.56/~jnz1568/getInfo.php?workbook=14_09.xlsx&amp;sheet=U0&amp;row=498&amp;col=7&amp;number=0.208&amp;sourceID=14","0.208")</f>
        <v>0.208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HYPERLINK("http://141.218.60.56/~jnz1568/getInfo.php?workbook=14_09.xlsx&amp;sheet=U0&amp;row=499&amp;col=6&amp;number=4.5&amp;sourceID=14","4.5")</f>
        <v>4.5</v>
      </c>
      <c r="G499" s="4" t="str">
        <f>HYPERLINK("http://141.218.60.56/~jnz1568/getInfo.php?workbook=14_09.xlsx&amp;sheet=U0&amp;row=499&amp;col=7&amp;number=0.19&amp;sourceID=14","0.19")</f>
        <v>0.19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HYPERLINK("http://141.218.60.56/~jnz1568/getInfo.php?workbook=14_09.xlsx&amp;sheet=U0&amp;row=500&amp;col=6&amp;number=4.6&amp;sourceID=14","4.6")</f>
        <v>4.6</v>
      </c>
      <c r="G500" s="4" t="str">
        <f>HYPERLINK("http://141.218.60.56/~jnz1568/getInfo.php?workbook=14_09.xlsx&amp;sheet=U0&amp;row=500&amp;col=7&amp;number=0.178&amp;sourceID=14","0.178")</f>
        <v>0.178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HYPERLINK("http://141.218.60.56/~jnz1568/getInfo.php?workbook=14_09.xlsx&amp;sheet=U0&amp;row=501&amp;col=6&amp;number=4.7&amp;sourceID=14","4.7")</f>
        <v>4.7</v>
      </c>
      <c r="G501" s="4" t="str">
        <f>HYPERLINK("http://141.218.60.56/~jnz1568/getInfo.php?workbook=14_09.xlsx&amp;sheet=U0&amp;row=501&amp;col=7&amp;number=0.17&amp;sourceID=14","0.17")</f>
        <v>0.17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HYPERLINK("http://141.218.60.56/~jnz1568/getInfo.php?workbook=14_09.xlsx&amp;sheet=U0&amp;row=502&amp;col=6&amp;number=4.8&amp;sourceID=14","4.8")</f>
        <v>4.8</v>
      </c>
      <c r="G502" s="4" t="str">
        <f>HYPERLINK("http://141.218.60.56/~jnz1568/getInfo.php?workbook=14_09.xlsx&amp;sheet=U0&amp;row=502&amp;col=7&amp;number=0.159&amp;sourceID=14","0.159")</f>
        <v>0.159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HYPERLINK("http://141.218.60.56/~jnz1568/getInfo.php?workbook=14_09.xlsx&amp;sheet=U0&amp;row=503&amp;col=6&amp;number=4.9&amp;sourceID=14","4.9")</f>
        <v>4.9</v>
      </c>
      <c r="G503" s="4" t="str">
        <f>HYPERLINK("http://141.218.60.56/~jnz1568/getInfo.php?workbook=14_09.xlsx&amp;sheet=U0&amp;row=503&amp;col=7&amp;number=0.144&amp;sourceID=14","0.144")</f>
        <v>0.144</v>
      </c>
    </row>
    <row r="504" spans="1:7">
      <c r="A504" s="3">
        <v>14</v>
      </c>
      <c r="B504" s="3">
        <v>9</v>
      </c>
      <c r="C504" s="3">
        <v>1</v>
      </c>
      <c r="D504" s="3">
        <v>27</v>
      </c>
      <c r="E504" s="3">
        <v>1</v>
      </c>
      <c r="F504" s="4" t="str">
        <f>HYPERLINK("http://141.218.60.56/~jnz1568/getInfo.php?workbook=14_09.xlsx&amp;sheet=U0&amp;row=504&amp;col=6&amp;number=3&amp;sourceID=14","3")</f>
        <v>3</v>
      </c>
      <c r="G504" s="4" t="str">
        <f>HYPERLINK("http://141.218.60.56/~jnz1568/getInfo.php?workbook=14_09.xlsx&amp;sheet=U0&amp;row=504&amp;col=7&amp;number=0.0569&amp;sourceID=14","0.0569")</f>
        <v>0.0569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HYPERLINK("http://141.218.60.56/~jnz1568/getInfo.php?workbook=14_09.xlsx&amp;sheet=U0&amp;row=505&amp;col=6&amp;number=3.1&amp;sourceID=14","3.1")</f>
        <v>3.1</v>
      </c>
      <c r="G505" s="4" t="str">
        <f>HYPERLINK("http://141.218.60.56/~jnz1568/getInfo.php?workbook=14_09.xlsx&amp;sheet=U0&amp;row=505&amp;col=7&amp;number=0.057&amp;sourceID=14","0.057")</f>
        <v>0.057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HYPERLINK("http://141.218.60.56/~jnz1568/getInfo.php?workbook=14_09.xlsx&amp;sheet=U0&amp;row=506&amp;col=6&amp;number=3.2&amp;sourceID=14","3.2")</f>
        <v>3.2</v>
      </c>
      <c r="G506" s="4" t="str">
        <f>HYPERLINK("http://141.218.60.56/~jnz1568/getInfo.php?workbook=14_09.xlsx&amp;sheet=U0&amp;row=506&amp;col=7&amp;number=0.057&amp;sourceID=14","0.057")</f>
        <v>0.057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HYPERLINK("http://141.218.60.56/~jnz1568/getInfo.php?workbook=14_09.xlsx&amp;sheet=U0&amp;row=507&amp;col=6&amp;number=3.3&amp;sourceID=14","3.3")</f>
        <v>3.3</v>
      </c>
      <c r="G507" s="4" t="str">
        <f>HYPERLINK("http://141.218.60.56/~jnz1568/getInfo.php?workbook=14_09.xlsx&amp;sheet=U0&amp;row=507&amp;col=7&amp;number=0.057&amp;sourceID=14","0.057")</f>
        <v>0.057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HYPERLINK("http://141.218.60.56/~jnz1568/getInfo.php?workbook=14_09.xlsx&amp;sheet=U0&amp;row=508&amp;col=6&amp;number=3.4&amp;sourceID=14","3.4")</f>
        <v>3.4</v>
      </c>
      <c r="G508" s="4" t="str">
        <f>HYPERLINK("http://141.218.60.56/~jnz1568/getInfo.php?workbook=14_09.xlsx&amp;sheet=U0&amp;row=508&amp;col=7&amp;number=0.0571&amp;sourceID=14","0.0571")</f>
        <v>0.0571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HYPERLINK("http://141.218.60.56/~jnz1568/getInfo.php?workbook=14_09.xlsx&amp;sheet=U0&amp;row=509&amp;col=6&amp;number=3.5&amp;sourceID=14","3.5")</f>
        <v>3.5</v>
      </c>
      <c r="G509" s="4" t="str">
        <f>HYPERLINK("http://141.218.60.56/~jnz1568/getInfo.php?workbook=14_09.xlsx&amp;sheet=U0&amp;row=509&amp;col=7&amp;number=0.0572&amp;sourceID=14","0.0572")</f>
        <v>0.0572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HYPERLINK("http://141.218.60.56/~jnz1568/getInfo.php?workbook=14_09.xlsx&amp;sheet=U0&amp;row=510&amp;col=6&amp;number=3.6&amp;sourceID=14","3.6")</f>
        <v>3.6</v>
      </c>
      <c r="G510" s="4" t="str">
        <f>HYPERLINK("http://141.218.60.56/~jnz1568/getInfo.php?workbook=14_09.xlsx&amp;sheet=U0&amp;row=510&amp;col=7&amp;number=0.0573&amp;sourceID=14","0.0573")</f>
        <v>0.0573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HYPERLINK("http://141.218.60.56/~jnz1568/getInfo.php?workbook=14_09.xlsx&amp;sheet=U0&amp;row=511&amp;col=6&amp;number=3.7&amp;sourceID=14","3.7")</f>
        <v>3.7</v>
      </c>
      <c r="G511" s="4" t="str">
        <f>HYPERLINK("http://141.218.60.56/~jnz1568/getInfo.php?workbook=14_09.xlsx&amp;sheet=U0&amp;row=511&amp;col=7&amp;number=0.0574&amp;sourceID=14","0.0574")</f>
        <v>0.0574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HYPERLINK("http://141.218.60.56/~jnz1568/getInfo.php?workbook=14_09.xlsx&amp;sheet=U0&amp;row=512&amp;col=6&amp;number=3.8&amp;sourceID=14","3.8")</f>
        <v>3.8</v>
      </c>
      <c r="G512" s="4" t="str">
        <f>HYPERLINK("http://141.218.60.56/~jnz1568/getInfo.php?workbook=14_09.xlsx&amp;sheet=U0&amp;row=512&amp;col=7&amp;number=0.0575&amp;sourceID=14","0.0575")</f>
        <v>0.0575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HYPERLINK("http://141.218.60.56/~jnz1568/getInfo.php?workbook=14_09.xlsx&amp;sheet=U0&amp;row=513&amp;col=6&amp;number=3.9&amp;sourceID=14","3.9")</f>
        <v>3.9</v>
      </c>
      <c r="G513" s="4" t="str">
        <f>HYPERLINK("http://141.218.60.56/~jnz1568/getInfo.php?workbook=14_09.xlsx&amp;sheet=U0&amp;row=513&amp;col=7&amp;number=0.0577&amp;sourceID=14","0.0577")</f>
        <v>0.0577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HYPERLINK("http://141.218.60.56/~jnz1568/getInfo.php?workbook=14_09.xlsx&amp;sheet=U0&amp;row=514&amp;col=6&amp;number=4&amp;sourceID=14","4")</f>
        <v>4</v>
      </c>
      <c r="G514" s="4" t="str">
        <f>HYPERLINK("http://141.218.60.56/~jnz1568/getInfo.php?workbook=14_09.xlsx&amp;sheet=U0&amp;row=514&amp;col=7&amp;number=0.0579&amp;sourceID=14","0.0579")</f>
        <v>0.0579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HYPERLINK("http://141.218.60.56/~jnz1568/getInfo.php?workbook=14_09.xlsx&amp;sheet=U0&amp;row=515&amp;col=6&amp;number=4.1&amp;sourceID=14","4.1")</f>
        <v>4.1</v>
      </c>
      <c r="G515" s="4" t="str">
        <f>HYPERLINK("http://141.218.60.56/~jnz1568/getInfo.php?workbook=14_09.xlsx&amp;sheet=U0&amp;row=515&amp;col=7&amp;number=0.0581&amp;sourceID=14","0.0581")</f>
        <v>0.0581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HYPERLINK("http://141.218.60.56/~jnz1568/getInfo.php?workbook=14_09.xlsx&amp;sheet=U0&amp;row=516&amp;col=6&amp;number=4.2&amp;sourceID=14","4.2")</f>
        <v>4.2</v>
      </c>
      <c r="G516" s="4" t="str">
        <f>HYPERLINK("http://141.218.60.56/~jnz1568/getInfo.php?workbook=14_09.xlsx&amp;sheet=U0&amp;row=516&amp;col=7&amp;number=0.0584&amp;sourceID=14","0.0584")</f>
        <v>0.0584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HYPERLINK("http://141.218.60.56/~jnz1568/getInfo.php?workbook=14_09.xlsx&amp;sheet=U0&amp;row=517&amp;col=6&amp;number=4.3&amp;sourceID=14","4.3")</f>
        <v>4.3</v>
      </c>
      <c r="G517" s="4" t="str">
        <f>HYPERLINK("http://141.218.60.56/~jnz1568/getInfo.php?workbook=14_09.xlsx&amp;sheet=U0&amp;row=517&amp;col=7&amp;number=0.0587&amp;sourceID=14","0.0587")</f>
        <v>0.0587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HYPERLINK("http://141.218.60.56/~jnz1568/getInfo.php?workbook=14_09.xlsx&amp;sheet=U0&amp;row=518&amp;col=6&amp;number=4.4&amp;sourceID=14","4.4")</f>
        <v>4.4</v>
      </c>
      <c r="G518" s="4" t="str">
        <f>HYPERLINK("http://141.218.60.56/~jnz1568/getInfo.php?workbook=14_09.xlsx&amp;sheet=U0&amp;row=518&amp;col=7&amp;number=0.059&amp;sourceID=14","0.059")</f>
        <v>0.059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HYPERLINK("http://141.218.60.56/~jnz1568/getInfo.php?workbook=14_09.xlsx&amp;sheet=U0&amp;row=519&amp;col=6&amp;number=4.5&amp;sourceID=14","4.5")</f>
        <v>4.5</v>
      </c>
      <c r="G519" s="4" t="str">
        <f>HYPERLINK("http://141.218.60.56/~jnz1568/getInfo.php?workbook=14_09.xlsx&amp;sheet=U0&amp;row=519&amp;col=7&amp;number=0.0592&amp;sourceID=14","0.0592")</f>
        <v>0.0592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HYPERLINK("http://141.218.60.56/~jnz1568/getInfo.php?workbook=14_09.xlsx&amp;sheet=U0&amp;row=520&amp;col=6&amp;number=4.6&amp;sourceID=14","4.6")</f>
        <v>4.6</v>
      </c>
      <c r="G520" s="4" t="str">
        <f>HYPERLINK("http://141.218.60.56/~jnz1568/getInfo.php?workbook=14_09.xlsx&amp;sheet=U0&amp;row=520&amp;col=7&amp;number=0.0591&amp;sourceID=14","0.0591")</f>
        <v>0.0591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HYPERLINK("http://141.218.60.56/~jnz1568/getInfo.php?workbook=14_09.xlsx&amp;sheet=U0&amp;row=521&amp;col=6&amp;number=4.7&amp;sourceID=14","4.7")</f>
        <v>4.7</v>
      </c>
      <c r="G521" s="4" t="str">
        <f>HYPERLINK("http://141.218.60.56/~jnz1568/getInfo.php?workbook=14_09.xlsx&amp;sheet=U0&amp;row=521&amp;col=7&amp;number=0.0586&amp;sourceID=14","0.0586")</f>
        <v>0.0586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HYPERLINK("http://141.218.60.56/~jnz1568/getInfo.php?workbook=14_09.xlsx&amp;sheet=U0&amp;row=522&amp;col=6&amp;number=4.8&amp;sourceID=14","4.8")</f>
        <v>4.8</v>
      </c>
      <c r="G522" s="4" t="str">
        <f>HYPERLINK("http://141.218.60.56/~jnz1568/getInfo.php?workbook=14_09.xlsx&amp;sheet=U0&amp;row=522&amp;col=7&amp;number=0.0574&amp;sourceID=14","0.0574")</f>
        <v>0.0574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HYPERLINK("http://141.218.60.56/~jnz1568/getInfo.php?workbook=14_09.xlsx&amp;sheet=U0&amp;row=523&amp;col=6&amp;number=4.9&amp;sourceID=14","4.9")</f>
        <v>4.9</v>
      </c>
      <c r="G523" s="4" t="str">
        <f>HYPERLINK("http://141.218.60.56/~jnz1568/getInfo.php?workbook=14_09.xlsx&amp;sheet=U0&amp;row=523&amp;col=7&amp;number=0.0552&amp;sourceID=14","0.0552")</f>
        <v>0.0552</v>
      </c>
    </row>
    <row r="524" spans="1:7">
      <c r="A524" s="3">
        <v>14</v>
      </c>
      <c r="B524" s="3">
        <v>9</v>
      </c>
      <c r="C524" s="3">
        <v>1</v>
      </c>
      <c r="D524" s="3">
        <v>28</v>
      </c>
      <c r="E524" s="3">
        <v>1</v>
      </c>
      <c r="F524" s="4" t="str">
        <f>HYPERLINK("http://141.218.60.56/~jnz1568/getInfo.php?workbook=14_09.xlsx&amp;sheet=U0&amp;row=524&amp;col=6&amp;number=3&amp;sourceID=14","3")</f>
        <v>3</v>
      </c>
      <c r="G524" s="4" t="str">
        <f>HYPERLINK("http://141.218.60.56/~jnz1568/getInfo.php?workbook=14_09.xlsx&amp;sheet=U0&amp;row=524&amp;col=7&amp;number=0.0744&amp;sourceID=14","0.0744")</f>
        <v>0.0744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HYPERLINK("http://141.218.60.56/~jnz1568/getInfo.php?workbook=14_09.xlsx&amp;sheet=U0&amp;row=525&amp;col=6&amp;number=3.1&amp;sourceID=14","3.1")</f>
        <v>3.1</v>
      </c>
      <c r="G525" s="4" t="str">
        <f>HYPERLINK("http://141.218.60.56/~jnz1568/getInfo.php?workbook=14_09.xlsx&amp;sheet=U0&amp;row=525&amp;col=7&amp;number=0.0747&amp;sourceID=14","0.0747")</f>
        <v>0.0747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HYPERLINK("http://141.218.60.56/~jnz1568/getInfo.php?workbook=14_09.xlsx&amp;sheet=U0&amp;row=526&amp;col=6&amp;number=3.2&amp;sourceID=14","3.2")</f>
        <v>3.2</v>
      </c>
      <c r="G526" s="4" t="str">
        <f>HYPERLINK("http://141.218.60.56/~jnz1568/getInfo.php?workbook=14_09.xlsx&amp;sheet=U0&amp;row=526&amp;col=7&amp;number=0.075&amp;sourceID=14","0.075")</f>
        <v>0.075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HYPERLINK("http://141.218.60.56/~jnz1568/getInfo.php?workbook=14_09.xlsx&amp;sheet=U0&amp;row=527&amp;col=6&amp;number=3.3&amp;sourceID=14","3.3")</f>
        <v>3.3</v>
      </c>
      <c r="G527" s="4" t="str">
        <f>HYPERLINK("http://141.218.60.56/~jnz1568/getInfo.php?workbook=14_09.xlsx&amp;sheet=U0&amp;row=527&amp;col=7&amp;number=0.0753&amp;sourceID=14","0.0753")</f>
        <v>0.0753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HYPERLINK("http://141.218.60.56/~jnz1568/getInfo.php?workbook=14_09.xlsx&amp;sheet=U0&amp;row=528&amp;col=6&amp;number=3.4&amp;sourceID=14","3.4")</f>
        <v>3.4</v>
      </c>
      <c r="G528" s="4" t="str">
        <f>HYPERLINK("http://141.218.60.56/~jnz1568/getInfo.php?workbook=14_09.xlsx&amp;sheet=U0&amp;row=528&amp;col=7&amp;number=0.0758&amp;sourceID=14","0.0758")</f>
        <v>0.0758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HYPERLINK("http://141.218.60.56/~jnz1568/getInfo.php?workbook=14_09.xlsx&amp;sheet=U0&amp;row=529&amp;col=6&amp;number=3.5&amp;sourceID=14","3.5")</f>
        <v>3.5</v>
      </c>
      <c r="G529" s="4" t="str">
        <f>HYPERLINK("http://141.218.60.56/~jnz1568/getInfo.php?workbook=14_09.xlsx&amp;sheet=U0&amp;row=529&amp;col=7&amp;number=0.0764&amp;sourceID=14","0.0764")</f>
        <v>0.0764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HYPERLINK("http://141.218.60.56/~jnz1568/getInfo.php?workbook=14_09.xlsx&amp;sheet=U0&amp;row=530&amp;col=6&amp;number=3.6&amp;sourceID=14","3.6")</f>
        <v>3.6</v>
      </c>
      <c r="G530" s="4" t="str">
        <f>HYPERLINK("http://141.218.60.56/~jnz1568/getInfo.php?workbook=14_09.xlsx&amp;sheet=U0&amp;row=530&amp;col=7&amp;number=0.0771&amp;sourceID=14","0.0771")</f>
        <v>0.0771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HYPERLINK("http://141.218.60.56/~jnz1568/getInfo.php?workbook=14_09.xlsx&amp;sheet=U0&amp;row=531&amp;col=6&amp;number=3.7&amp;sourceID=14","3.7")</f>
        <v>3.7</v>
      </c>
      <c r="G531" s="4" t="str">
        <f>HYPERLINK("http://141.218.60.56/~jnz1568/getInfo.php?workbook=14_09.xlsx&amp;sheet=U0&amp;row=531&amp;col=7&amp;number=0.078&amp;sourceID=14","0.078")</f>
        <v>0.078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HYPERLINK("http://141.218.60.56/~jnz1568/getInfo.php?workbook=14_09.xlsx&amp;sheet=U0&amp;row=532&amp;col=6&amp;number=3.8&amp;sourceID=14","3.8")</f>
        <v>3.8</v>
      </c>
      <c r="G532" s="4" t="str">
        <f>HYPERLINK("http://141.218.60.56/~jnz1568/getInfo.php?workbook=14_09.xlsx&amp;sheet=U0&amp;row=532&amp;col=7&amp;number=0.0791&amp;sourceID=14","0.0791")</f>
        <v>0.0791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HYPERLINK("http://141.218.60.56/~jnz1568/getInfo.php?workbook=14_09.xlsx&amp;sheet=U0&amp;row=533&amp;col=6&amp;number=3.9&amp;sourceID=14","3.9")</f>
        <v>3.9</v>
      </c>
      <c r="G533" s="4" t="str">
        <f>HYPERLINK("http://141.218.60.56/~jnz1568/getInfo.php?workbook=14_09.xlsx&amp;sheet=U0&amp;row=533&amp;col=7&amp;number=0.0805&amp;sourceID=14","0.0805")</f>
        <v>0.0805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HYPERLINK("http://141.218.60.56/~jnz1568/getInfo.php?workbook=14_09.xlsx&amp;sheet=U0&amp;row=534&amp;col=6&amp;number=4&amp;sourceID=14","4")</f>
        <v>4</v>
      </c>
      <c r="G534" s="4" t="str">
        <f>HYPERLINK("http://141.218.60.56/~jnz1568/getInfo.php?workbook=14_09.xlsx&amp;sheet=U0&amp;row=534&amp;col=7&amp;number=0.0822&amp;sourceID=14","0.0822")</f>
        <v>0.0822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HYPERLINK("http://141.218.60.56/~jnz1568/getInfo.php?workbook=14_09.xlsx&amp;sheet=U0&amp;row=535&amp;col=6&amp;number=4.1&amp;sourceID=14","4.1")</f>
        <v>4.1</v>
      </c>
      <c r="G535" s="4" t="str">
        <f>HYPERLINK("http://141.218.60.56/~jnz1568/getInfo.php?workbook=14_09.xlsx&amp;sheet=U0&amp;row=535&amp;col=7&amp;number=0.0842&amp;sourceID=14","0.0842")</f>
        <v>0.0842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HYPERLINK("http://141.218.60.56/~jnz1568/getInfo.php?workbook=14_09.xlsx&amp;sheet=U0&amp;row=536&amp;col=6&amp;number=4.2&amp;sourceID=14","4.2")</f>
        <v>4.2</v>
      </c>
      <c r="G536" s="4" t="str">
        <f>HYPERLINK("http://141.218.60.56/~jnz1568/getInfo.php?workbook=14_09.xlsx&amp;sheet=U0&amp;row=536&amp;col=7&amp;number=0.0867&amp;sourceID=14","0.0867")</f>
        <v>0.0867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HYPERLINK("http://141.218.60.56/~jnz1568/getInfo.php?workbook=14_09.xlsx&amp;sheet=U0&amp;row=537&amp;col=6&amp;number=4.3&amp;sourceID=14","4.3")</f>
        <v>4.3</v>
      </c>
      <c r="G537" s="4" t="str">
        <f>HYPERLINK("http://141.218.60.56/~jnz1568/getInfo.php?workbook=14_09.xlsx&amp;sheet=U0&amp;row=537&amp;col=7&amp;number=0.0895&amp;sourceID=14","0.0895")</f>
        <v>0.0895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HYPERLINK("http://141.218.60.56/~jnz1568/getInfo.php?workbook=14_09.xlsx&amp;sheet=U0&amp;row=538&amp;col=6&amp;number=4.4&amp;sourceID=14","4.4")</f>
        <v>4.4</v>
      </c>
      <c r="G538" s="4" t="str">
        <f>HYPERLINK("http://141.218.60.56/~jnz1568/getInfo.php?workbook=14_09.xlsx&amp;sheet=U0&amp;row=538&amp;col=7&amp;number=0.0927&amp;sourceID=14","0.0927")</f>
        <v>0.0927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HYPERLINK("http://141.218.60.56/~jnz1568/getInfo.php?workbook=14_09.xlsx&amp;sheet=U0&amp;row=539&amp;col=6&amp;number=4.5&amp;sourceID=14","4.5")</f>
        <v>4.5</v>
      </c>
      <c r="G539" s="4" t="str">
        <f>HYPERLINK("http://141.218.60.56/~jnz1568/getInfo.php?workbook=14_09.xlsx&amp;sheet=U0&amp;row=539&amp;col=7&amp;number=0.0961&amp;sourceID=14","0.0961")</f>
        <v>0.0961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HYPERLINK("http://141.218.60.56/~jnz1568/getInfo.php?workbook=14_09.xlsx&amp;sheet=U0&amp;row=540&amp;col=6&amp;number=4.6&amp;sourceID=14","4.6")</f>
        <v>4.6</v>
      </c>
      <c r="G540" s="4" t="str">
        <f>HYPERLINK("http://141.218.60.56/~jnz1568/getInfo.php?workbook=14_09.xlsx&amp;sheet=U0&amp;row=540&amp;col=7&amp;number=0.0991&amp;sourceID=14","0.0991")</f>
        <v>0.0991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HYPERLINK("http://141.218.60.56/~jnz1568/getInfo.php?workbook=14_09.xlsx&amp;sheet=U0&amp;row=541&amp;col=6&amp;number=4.7&amp;sourceID=14","4.7")</f>
        <v>4.7</v>
      </c>
      <c r="G541" s="4" t="str">
        <f>HYPERLINK("http://141.218.60.56/~jnz1568/getInfo.php?workbook=14_09.xlsx&amp;sheet=U0&amp;row=541&amp;col=7&amp;number=0.101&amp;sourceID=14","0.101")</f>
        <v>0.101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HYPERLINK("http://141.218.60.56/~jnz1568/getInfo.php?workbook=14_09.xlsx&amp;sheet=U0&amp;row=542&amp;col=6&amp;number=4.8&amp;sourceID=14","4.8")</f>
        <v>4.8</v>
      </c>
      <c r="G542" s="4" t="str">
        <f>HYPERLINK("http://141.218.60.56/~jnz1568/getInfo.php?workbook=14_09.xlsx&amp;sheet=U0&amp;row=542&amp;col=7&amp;number=0.1&amp;sourceID=14","0.1")</f>
        <v>0.1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HYPERLINK("http://141.218.60.56/~jnz1568/getInfo.php?workbook=14_09.xlsx&amp;sheet=U0&amp;row=543&amp;col=6&amp;number=4.9&amp;sourceID=14","4.9")</f>
        <v>4.9</v>
      </c>
      <c r="G543" s="4" t="str">
        <f>HYPERLINK("http://141.218.60.56/~jnz1568/getInfo.php?workbook=14_09.xlsx&amp;sheet=U0&amp;row=543&amp;col=7&amp;number=0.0973&amp;sourceID=14","0.0973")</f>
        <v>0.0973</v>
      </c>
    </row>
    <row r="544" spans="1:7">
      <c r="A544" s="3">
        <v>14</v>
      </c>
      <c r="B544" s="3">
        <v>9</v>
      </c>
      <c r="C544" s="3">
        <v>1</v>
      </c>
      <c r="D544" s="3">
        <v>29</v>
      </c>
      <c r="E544" s="3">
        <v>1</v>
      </c>
      <c r="F544" s="4" t="str">
        <f>HYPERLINK("http://141.218.60.56/~jnz1568/getInfo.php?workbook=14_09.xlsx&amp;sheet=U0&amp;row=544&amp;col=6&amp;number=3&amp;sourceID=14","3")</f>
        <v>3</v>
      </c>
      <c r="G544" s="4" t="str">
        <f>HYPERLINK("http://141.218.60.56/~jnz1568/getInfo.php?workbook=14_09.xlsx&amp;sheet=U0&amp;row=544&amp;col=7&amp;number=0.575&amp;sourceID=14","0.575")</f>
        <v>0.575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HYPERLINK("http://141.218.60.56/~jnz1568/getInfo.php?workbook=14_09.xlsx&amp;sheet=U0&amp;row=545&amp;col=6&amp;number=3.1&amp;sourceID=14","3.1")</f>
        <v>3.1</v>
      </c>
      <c r="G545" s="4" t="str">
        <f>HYPERLINK("http://141.218.60.56/~jnz1568/getInfo.php?workbook=14_09.xlsx&amp;sheet=U0&amp;row=545&amp;col=7&amp;number=0.575&amp;sourceID=14","0.575")</f>
        <v>0.575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HYPERLINK("http://141.218.60.56/~jnz1568/getInfo.php?workbook=14_09.xlsx&amp;sheet=U0&amp;row=546&amp;col=6&amp;number=3.2&amp;sourceID=14","3.2")</f>
        <v>3.2</v>
      </c>
      <c r="G546" s="4" t="str">
        <f>HYPERLINK("http://141.218.60.56/~jnz1568/getInfo.php?workbook=14_09.xlsx&amp;sheet=U0&amp;row=546&amp;col=7&amp;number=0.575&amp;sourceID=14","0.575")</f>
        <v>0.575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HYPERLINK("http://141.218.60.56/~jnz1568/getInfo.php?workbook=14_09.xlsx&amp;sheet=U0&amp;row=547&amp;col=6&amp;number=3.3&amp;sourceID=14","3.3")</f>
        <v>3.3</v>
      </c>
      <c r="G547" s="4" t="str">
        <f>HYPERLINK("http://141.218.60.56/~jnz1568/getInfo.php?workbook=14_09.xlsx&amp;sheet=U0&amp;row=547&amp;col=7&amp;number=0.574&amp;sourceID=14","0.574")</f>
        <v>0.574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HYPERLINK("http://141.218.60.56/~jnz1568/getInfo.php?workbook=14_09.xlsx&amp;sheet=U0&amp;row=548&amp;col=6&amp;number=3.4&amp;sourceID=14","3.4")</f>
        <v>3.4</v>
      </c>
      <c r="G548" s="4" t="str">
        <f>HYPERLINK("http://141.218.60.56/~jnz1568/getInfo.php?workbook=14_09.xlsx&amp;sheet=U0&amp;row=548&amp;col=7&amp;number=0.574&amp;sourceID=14","0.574")</f>
        <v>0.574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HYPERLINK("http://141.218.60.56/~jnz1568/getInfo.php?workbook=14_09.xlsx&amp;sheet=U0&amp;row=549&amp;col=6&amp;number=3.5&amp;sourceID=14","3.5")</f>
        <v>3.5</v>
      </c>
      <c r="G549" s="4" t="str">
        <f>HYPERLINK("http://141.218.60.56/~jnz1568/getInfo.php?workbook=14_09.xlsx&amp;sheet=U0&amp;row=549&amp;col=7&amp;number=0.573&amp;sourceID=14","0.573")</f>
        <v>0.573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HYPERLINK("http://141.218.60.56/~jnz1568/getInfo.php?workbook=14_09.xlsx&amp;sheet=U0&amp;row=550&amp;col=6&amp;number=3.6&amp;sourceID=14","3.6")</f>
        <v>3.6</v>
      </c>
      <c r="G550" s="4" t="str">
        <f>HYPERLINK("http://141.218.60.56/~jnz1568/getInfo.php?workbook=14_09.xlsx&amp;sheet=U0&amp;row=550&amp;col=7&amp;number=0.572&amp;sourceID=14","0.572")</f>
        <v>0.572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HYPERLINK("http://141.218.60.56/~jnz1568/getInfo.php?workbook=14_09.xlsx&amp;sheet=U0&amp;row=551&amp;col=6&amp;number=3.7&amp;sourceID=14","3.7")</f>
        <v>3.7</v>
      </c>
      <c r="G551" s="4" t="str">
        <f>HYPERLINK("http://141.218.60.56/~jnz1568/getInfo.php?workbook=14_09.xlsx&amp;sheet=U0&amp;row=551&amp;col=7&amp;number=0.572&amp;sourceID=14","0.572")</f>
        <v>0.572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HYPERLINK("http://141.218.60.56/~jnz1568/getInfo.php?workbook=14_09.xlsx&amp;sheet=U0&amp;row=552&amp;col=6&amp;number=3.8&amp;sourceID=14","3.8")</f>
        <v>3.8</v>
      </c>
      <c r="G552" s="4" t="str">
        <f>HYPERLINK("http://141.218.60.56/~jnz1568/getInfo.php?workbook=14_09.xlsx&amp;sheet=U0&amp;row=552&amp;col=7&amp;number=0.571&amp;sourceID=14","0.571")</f>
        <v>0.571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HYPERLINK("http://141.218.60.56/~jnz1568/getInfo.php?workbook=14_09.xlsx&amp;sheet=U0&amp;row=553&amp;col=6&amp;number=3.9&amp;sourceID=14","3.9")</f>
        <v>3.9</v>
      </c>
      <c r="G553" s="4" t="str">
        <f>HYPERLINK("http://141.218.60.56/~jnz1568/getInfo.php?workbook=14_09.xlsx&amp;sheet=U0&amp;row=553&amp;col=7&amp;number=0.569&amp;sourceID=14","0.569")</f>
        <v>0.569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HYPERLINK("http://141.218.60.56/~jnz1568/getInfo.php?workbook=14_09.xlsx&amp;sheet=U0&amp;row=554&amp;col=6&amp;number=4&amp;sourceID=14","4")</f>
        <v>4</v>
      </c>
      <c r="G554" s="4" t="str">
        <f>HYPERLINK("http://141.218.60.56/~jnz1568/getInfo.php?workbook=14_09.xlsx&amp;sheet=U0&amp;row=554&amp;col=7&amp;number=0.567&amp;sourceID=14","0.567")</f>
        <v>0.567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HYPERLINK("http://141.218.60.56/~jnz1568/getInfo.php?workbook=14_09.xlsx&amp;sheet=U0&amp;row=555&amp;col=6&amp;number=4.1&amp;sourceID=14","4.1")</f>
        <v>4.1</v>
      </c>
      <c r="G555" s="4" t="str">
        <f>HYPERLINK("http://141.218.60.56/~jnz1568/getInfo.php?workbook=14_09.xlsx&amp;sheet=U0&amp;row=555&amp;col=7&amp;number=0.565&amp;sourceID=14","0.565")</f>
        <v>0.565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HYPERLINK("http://141.218.60.56/~jnz1568/getInfo.php?workbook=14_09.xlsx&amp;sheet=U0&amp;row=556&amp;col=6&amp;number=4.2&amp;sourceID=14","4.2")</f>
        <v>4.2</v>
      </c>
      <c r="G556" s="4" t="str">
        <f>HYPERLINK("http://141.218.60.56/~jnz1568/getInfo.php?workbook=14_09.xlsx&amp;sheet=U0&amp;row=556&amp;col=7&amp;number=0.563&amp;sourceID=14","0.563")</f>
        <v>0.563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HYPERLINK("http://141.218.60.56/~jnz1568/getInfo.php?workbook=14_09.xlsx&amp;sheet=U0&amp;row=557&amp;col=6&amp;number=4.3&amp;sourceID=14","4.3")</f>
        <v>4.3</v>
      </c>
      <c r="G557" s="4" t="str">
        <f>HYPERLINK("http://141.218.60.56/~jnz1568/getInfo.php?workbook=14_09.xlsx&amp;sheet=U0&amp;row=557&amp;col=7&amp;number=0.559&amp;sourceID=14","0.559")</f>
        <v>0.559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HYPERLINK("http://141.218.60.56/~jnz1568/getInfo.php?workbook=14_09.xlsx&amp;sheet=U0&amp;row=558&amp;col=6&amp;number=4.4&amp;sourceID=14","4.4")</f>
        <v>4.4</v>
      </c>
      <c r="G558" s="4" t="str">
        <f>HYPERLINK("http://141.218.60.56/~jnz1568/getInfo.php?workbook=14_09.xlsx&amp;sheet=U0&amp;row=558&amp;col=7&amp;number=0.555&amp;sourceID=14","0.555")</f>
        <v>0.555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HYPERLINK("http://141.218.60.56/~jnz1568/getInfo.php?workbook=14_09.xlsx&amp;sheet=U0&amp;row=559&amp;col=6&amp;number=4.5&amp;sourceID=14","4.5")</f>
        <v>4.5</v>
      </c>
      <c r="G559" s="4" t="str">
        <f>HYPERLINK("http://141.218.60.56/~jnz1568/getInfo.php?workbook=14_09.xlsx&amp;sheet=U0&amp;row=559&amp;col=7&amp;number=0.551&amp;sourceID=14","0.551")</f>
        <v>0.551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HYPERLINK("http://141.218.60.56/~jnz1568/getInfo.php?workbook=14_09.xlsx&amp;sheet=U0&amp;row=560&amp;col=6&amp;number=4.6&amp;sourceID=14","4.6")</f>
        <v>4.6</v>
      </c>
      <c r="G560" s="4" t="str">
        <f>HYPERLINK("http://141.218.60.56/~jnz1568/getInfo.php?workbook=14_09.xlsx&amp;sheet=U0&amp;row=560&amp;col=7&amp;number=0.545&amp;sourceID=14","0.545")</f>
        <v>0.545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HYPERLINK("http://141.218.60.56/~jnz1568/getInfo.php?workbook=14_09.xlsx&amp;sheet=U0&amp;row=561&amp;col=6&amp;number=4.7&amp;sourceID=14","4.7")</f>
        <v>4.7</v>
      </c>
      <c r="G561" s="4" t="str">
        <f>HYPERLINK("http://141.218.60.56/~jnz1568/getInfo.php?workbook=14_09.xlsx&amp;sheet=U0&amp;row=561&amp;col=7&amp;number=0.538&amp;sourceID=14","0.538")</f>
        <v>0.538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HYPERLINK("http://141.218.60.56/~jnz1568/getInfo.php?workbook=14_09.xlsx&amp;sheet=U0&amp;row=562&amp;col=6&amp;number=4.8&amp;sourceID=14","4.8")</f>
        <v>4.8</v>
      </c>
      <c r="G562" s="4" t="str">
        <f>HYPERLINK("http://141.218.60.56/~jnz1568/getInfo.php?workbook=14_09.xlsx&amp;sheet=U0&amp;row=562&amp;col=7&amp;number=0.53&amp;sourceID=14","0.53")</f>
        <v>0.53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HYPERLINK("http://141.218.60.56/~jnz1568/getInfo.php?workbook=14_09.xlsx&amp;sheet=U0&amp;row=563&amp;col=6&amp;number=4.9&amp;sourceID=14","4.9")</f>
        <v>4.9</v>
      </c>
      <c r="G563" s="4" t="str">
        <f>HYPERLINK("http://141.218.60.56/~jnz1568/getInfo.php?workbook=14_09.xlsx&amp;sheet=U0&amp;row=563&amp;col=7&amp;number=0.522&amp;sourceID=14","0.522")</f>
        <v>0.522</v>
      </c>
    </row>
    <row r="564" spans="1:7">
      <c r="A564" s="3">
        <v>14</v>
      </c>
      <c r="B564" s="3">
        <v>9</v>
      </c>
      <c r="C564" s="3">
        <v>1</v>
      </c>
      <c r="D564" s="3">
        <v>30</v>
      </c>
      <c r="E564" s="3">
        <v>1</v>
      </c>
      <c r="F564" s="4" t="str">
        <f>HYPERLINK("http://141.218.60.56/~jnz1568/getInfo.php?workbook=14_09.xlsx&amp;sheet=U0&amp;row=564&amp;col=6&amp;number=3&amp;sourceID=14","3")</f>
        <v>3</v>
      </c>
      <c r="G564" s="4" t="str">
        <f>HYPERLINK("http://141.218.60.56/~jnz1568/getInfo.php?workbook=14_09.xlsx&amp;sheet=U0&amp;row=564&amp;col=7&amp;number=0.0644&amp;sourceID=14","0.0644")</f>
        <v>0.0644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HYPERLINK("http://141.218.60.56/~jnz1568/getInfo.php?workbook=14_09.xlsx&amp;sheet=U0&amp;row=565&amp;col=6&amp;number=3.1&amp;sourceID=14","3.1")</f>
        <v>3.1</v>
      </c>
      <c r="G565" s="4" t="str">
        <f>HYPERLINK("http://141.218.60.56/~jnz1568/getInfo.php?workbook=14_09.xlsx&amp;sheet=U0&amp;row=565&amp;col=7&amp;number=0.0644&amp;sourceID=14","0.0644")</f>
        <v>0.0644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HYPERLINK("http://141.218.60.56/~jnz1568/getInfo.php?workbook=14_09.xlsx&amp;sheet=U0&amp;row=566&amp;col=6&amp;number=3.2&amp;sourceID=14","3.2")</f>
        <v>3.2</v>
      </c>
      <c r="G566" s="4" t="str">
        <f>HYPERLINK("http://141.218.60.56/~jnz1568/getInfo.php?workbook=14_09.xlsx&amp;sheet=U0&amp;row=566&amp;col=7&amp;number=0.0642&amp;sourceID=14","0.0642")</f>
        <v>0.0642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HYPERLINK("http://141.218.60.56/~jnz1568/getInfo.php?workbook=14_09.xlsx&amp;sheet=U0&amp;row=567&amp;col=6&amp;number=3.3&amp;sourceID=14","3.3")</f>
        <v>3.3</v>
      </c>
      <c r="G567" s="4" t="str">
        <f>HYPERLINK("http://141.218.60.56/~jnz1568/getInfo.php?workbook=14_09.xlsx&amp;sheet=U0&amp;row=567&amp;col=7&amp;number=0.0641&amp;sourceID=14","0.0641")</f>
        <v>0.0641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HYPERLINK("http://141.218.60.56/~jnz1568/getInfo.php?workbook=14_09.xlsx&amp;sheet=U0&amp;row=568&amp;col=6&amp;number=3.4&amp;sourceID=14","3.4")</f>
        <v>3.4</v>
      </c>
      <c r="G568" s="4" t="str">
        <f>HYPERLINK("http://141.218.60.56/~jnz1568/getInfo.php?workbook=14_09.xlsx&amp;sheet=U0&amp;row=568&amp;col=7&amp;number=0.0639&amp;sourceID=14","0.0639")</f>
        <v>0.0639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HYPERLINK("http://141.218.60.56/~jnz1568/getInfo.php?workbook=14_09.xlsx&amp;sheet=U0&amp;row=569&amp;col=6&amp;number=3.5&amp;sourceID=14","3.5")</f>
        <v>3.5</v>
      </c>
      <c r="G569" s="4" t="str">
        <f>HYPERLINK("http://141.218.60.56/~jnz1568/getInfo.php?workbook=14_09.xlsx&amp;sheet=U0&amp;row=569&amp;col=7&amp;number=0.0637&amp;sourceID=14","0.0637")</f>
        <v>0.0637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HYPERLINK("http://141.218.60.56/~jnz1568/getInfo.php?workbook=14_09.xlsx&amp;sheet=U0&amp;row=570&amp;col=6&amp;number=3.6&amp;sourceID=14","3.6")</f>
        <v>3.6</v>
      </c>
      <c r="G570" s="4" t="str">
        <f>HYPERLINK("http://141.218.60.56/~jnz1568/getInfo.php?workbook=14_09.xlsx&amp;sheet=U0&amp;row=570&amp;col=7&amp;number=0.0635&amp;sourceID=14","0.0635")</f>
        <v>0.0635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HYPERLINK("http://141.218.60.56/~jnz1568/getInfo.php?workbook=14_09.xlsx&amp;sheet=U0&amp;row=571&amp;col=6&amp;number=3.7&amp;sourceID=14","3.7")</f>
        <v>3.7</v>
      </c>
      <c r="G571" s="4" t="str">
        <f>HYPERLINK("http://141.218.60.56/~jnz1568/getInfo.php?workbook=14_09.xlsx&amp;sheet=U0&amp;row=571&amp;col=7&amp;number=0.0631&amp;sourceID=14","0.0631")</f>
        <v>0.0631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HYPERLINK("http://141.218.60.56/~jnz1568/getInfo.php?workbook=14_09.xlsx&amp;sheet=U0&amp;row=572&amp;col=6&amp;number=3.8&amp;sourceID=14","3.8")</f>
        <v>3.8</v>
      </c>
      <c r="G572" s="4" t="str">
        <f>HYPERLINK("http://141.218.60.56/~jnz1568/getInfo.php?workbook=14_09.xlsx&amp;sheet=U0&amp;row=572&amp;col=7&amp;number=0.0627&amp;sourceID=14","0.0627")</f>
        <v>0.0627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HYPERLINK("http://141.218.60.56/~jnz1568/getInfo.php?workbook=14_09.xlsx&amp;sheet=U0&amp;row=573&amp;col=6&amp;number=3.9&amp;sourceID=14","3.9")</f>
        <v>3.9</v>
      </c>
      <c r="G573" s="4" t="str">
        <f>HYPERLINK("http://141.218.60.56/~jnz1568/getInfo.php?workbook=14_09.xlsx&amp;sheet=U0&amp;row=573&amp;col=7&amp;number=0.0622&amp;sourceID=14","0.0622")</f>
        <v>0.0622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HYPERLINK("http://141.218.60.56/~jnz1568/getInfo.php?workbook=14_09.xlsx&amp;sheet=U0&amp;row=574&amp;col=6&amp;number=4&amp;sourceID=14","4")</f>
        <v>4</v>
      </c>
      <c r="G574" s="4" t="str">
        <f>HYPERLINK("http://141.218.60.56/~jnz1568/getInfo.php?workbook=14_09.xlsx&amp;sheet=U0&amp;row=574&amp;col=7&amp;number=0.0615&amp;sourceID=14","0.0615")</f>
        <v>0.0615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HYPERLINK("http://141.218.60.56/~jnz1568/getInfo.php?workbook=14_09.xlsx&amp;sheet=U0&amp;row=575&amp;col=6&amp;number=4.1&amp;sourceID=14","4.1")</f>
        <v>4.1</v>
      </c>
      <c r="G575" s="4" t="str">
        <f>HYPERLINK("http://141.218.60.56/~jnz1568/getInfo.php?workbook=14_09.xlsx&amp;sheet=U0&amp;row=575&amp;col=7&amp;number=0.0607&amp;sourceID=14","0.0607")</f>
        <v>0.0607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HYPERLINK("http://141.218.60.56/~jnz1568/getInfo.php?workbook=14_09.xlsx&amp;sheet=U0&amp;row=576&amp;col=6&amp;number=4.2&amp;sourceID=14","4.2")</f>
        <v>4.2</v>
      </c>
      <c r="G576" s="4" t="str">
        <f>HYPERLINK("http://141.218.60.56/~jnz1568/getInfo.php?workbook=14_09.xlsx&amp;sheet=U0&amp;row=576&amp;col=7&amp;number=0.0597&amp;sourceID=14","0.0597")</f>
        <v>0.0597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HYPERLINK("http://141.218.60.56/~jnz1568/getInfo.php?workbook=14_09.xlsx&amp;sheet=U0&amp;row=577&amp;col=6&amp;number=4.3&amp;sourceID=14","4.3")</f>
        <v>4.3</v>
      </c>
      <c r="G577" s="4" t="str">
        <f>HYPERLINK("http://141.218.60.56/~jnz1568/getInfo.php?workbook=14_09.xlsx&amp;sheet=U0&amp;row=577&amp;col=7&amp;number=0.0584&amp;sourceID=14","0.0584")</f>
        <v>0.0584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HYPERLINK("http://141.218.60.56/~jnz1568/getInfo.php?workbook=14_09.xlsx&amp;sheet=U0&amp;row=578&amp;col=6&amp;number=4.4&amp;sourceID=14","4.4")</f>
        <v>4.4</v>
      </c>
      <c r="G578" s="4" t="str">
        <f>HYPERLINK("http://141.218.60.56/~jnz1568/getInfo.php?workbook=14_09.xlsx&amp;sheet=U0&amp;row=578&amp;col=7&amp;number=0.0569&amp;sourceID=14","0.0569")</f>
        <v>0.0569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HYPERLINK("http://141.218.60.56/~jnz1568/getInfo.php?workbook=14_09.xlsx&amp;sheet=U0&amp;row=579&amp;col=6&amp;number=4.5&amp;sourceID=14","4.5")</f>
        <v>4.5</v>
      </c>
      <c r="G579" s="4" t="str">
        <f>HYPERLINK("http://141.218.60.56/~jnz1568/getInfo.php?workbook=14_09.xlsx&amp;sheet=U0&amp;row=579&amp;col=7&amp;number=0.055&amp;sourceID=14","0.055")</f>
        <v>0.055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HYPERLINK("http://141.218.60.56/~jnz1568/getInfo.php?workbook=14_09.xlsx&amp;sheet=U0&amp;row=580&amp;col=6&amp;number=4.6&amp;sourceID=14","4.6")</f>
        <v>4.6</v>
      </c>
      <c r="G580" s="4" t="str">
        <f>HYPERLINK("http://141.218.60.56/~jnz1568/getInfo.php?workbook=14_09.xlsx&amp;sheet=U0&amp;row=580&amp;col=7&amp;number=0.0528&amp;sourceID=14","0.0528")</f>
        <v>0.0528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HYPERLINK("http://141.218.60.56/~jnz1568/getInfo.php?workbook=14_09.xlsx&amp;sheet=U0&amp;row=581&amp;col=6&amp;number=4.7&amp;sourceID=14","4.7")</f>
        <v>4.7</v>
      </c>
      <c r="G581" s="4" t="str">
        <f>HYPERLINK("http://141.218.60.56/~jnz1568/getInfo.php?workbook=14_09.xlsx&amp;sheet=U0&amp;row=581&amp;col=7&amp;number=0.0502&amp;sourceID=14","0.0502")</f>
        <v>0.0502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HYPERLINK("http://141.218.60.56/~jnz1568/getInfo.php?workbook=14_09.xlsx&amp;sheet=U0&amp;row=582&amp;col=6&amp;number=4.8&amp;sourceID=14","4.8")</f>
        <v>4.8</v>
      </c>
      <c r="G582" s="4" t="str">
        <f>HYPERLINK("http://141.218.60.56/~jnz1568/getInfo.php?workbook=14_09.xlsx&amp;sheet=U0&amp;row=582&amp;col=7&amp;number=0.0472&amp;sourceID=14","0.0472")</f>
        <v>0.0472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HYPERLINK("http://141.218.60.56/~jnz1568/getInfo.php?workbook=14_09.xlsx&amp;sheet=U0&amp;row=583&amp;col=6&amp;number=4.9&amp;sourceID=14","4.9")</f>
        <v>4.9</v>
      </c>
      <c r="G583" s="4" t="str">
        <f>HYPERLINK("http://141.218.60.56/~jnz1568/getInfo.php?workbook=14_09.xlsx&amp;sheet=U0&amp;row=583&amp;col=7&amp;number=0.044&amp;sourceID=14","0.044")</f>
        <v>0.044</v>
      </c>
    </row>
    <row r="584" spans="1:7">
      <c r="A584" s="3">
        <v>14</v>
      </c>
      <c r="B584" s="3">
        <v>9</v>
      </c>
      <c r="C584" s="3">
        <v>1</v>
      </c>
      <c r="D584" s="3">
        <v>31</v>
      </c>
      <c r="E584" s="3">
        <v>1</v>
      </c>
      <c r="F584" s="4" t="str">
        <f>HYPERLINK("http://141.218.60.56/~jnz1568/getInfo.php?workbook=14_09.xlsx&amp;sheet=U0&amp;row=584&amp;col=6&amp;number=3&amp;sourceID=14","3")</f>
        <v>3</v>
      </c>
      <c r="G584" s="4" t="str">
        <f>HYPERLINK("http://141.218.60.56/~jnz1568/getInfo.php?workbook=14_09.xlsx&amp;sheet=U0&amp;row=584&amp;col=7&amp;number=0.132&amp;sourceID=14","0.132")</f>
        <v>0.132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HYPERLINK("http://141.218.60.56/~jnz1568/getInfo.php?workbook=14_09.xlsx&amp;sheet=U0&amp;row=585&amp;col=6&amp;number=3.1&amp;sourceID=14","3.1")</f>
        <v>3.1</v>
      </c>
      <c r="G585" s="4" t="str">
        <f>HYPERLINK("http://141.218.60.56/~jnz1568/getInfo.php?workbook=14_09.xlsx&amp;sheet=U0&amp;row=585&amp;col=7&amp;number=0.132&amp;sourceID=14","0.132")</f>
        <v>0.132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HYPERLINK("http://141.218.60.56/~jnz1568/getInfo.php?workbook=14_09.xlsx&amp;sheet=U0&amp;row=586&amp;col=6&amp;number=3.2&amp;sourceID=14","3.2")</f>
        <v>3.2</v>
      </c>
      <c r="G586" s="4" t="str">
        <f>HYPERLINK("http://141.218.60.56/~jnz1568/getInfo.php?workbook=14_09.xlsx&amp;sheet=U0&amp;row=586&amp;col=7&amp;number=0.132&amp;sourceID=14","0.132")</f>
        <v>0.132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HYPERLINK("http://141.218.60.56/~jnz1568/getInfo.php?workbook=14_09.xlsx&amp;sheet=U0&amp;row=587&amp;col=6&amp;number=3.3&amp;sourceID=14","3.3")</f>
        <v>3.3</v>
      </c>
      <c r="G587" s="4" t="str">
        <f>HYPERLINK("http://141.218.60.56/~jnz1568/getInfo.php?workbook=14_09.xlsx&amp;sheet=U0&amp;row=587&amp;col=7&amp;number=0.132&amp;sourceID=14","0.132")</f>
        <v>0.132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HYPERLINK("http://141.218.60.56/~jnz1568/getInfo.php?workbook=14_09.xlsx&amp;sheet=U0&amp;row=588&amp;col=6&amp;number=3.4&amp;sourceID=14","3.4")</f>
        <v>3.4</v>
      </c>
      <c r="G588" s="4" t="str">
        <f>HYPERLINK("http://141.218.60.56/~jnz1568/getInfo.php?workbook=14_09.xlsx&amp;sheet=U0&amp;row=588&amp;col=7&amp;number=0.132&amp;sourceID=14","0.132")</f>
        <v>0.132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HYPERLINK("http://141.218.60.56/~jnz1568/getInfo.php?workbook=14_09.xlsx&amp;sheet=U0&amp;row=589&amp;col=6&amp;number=3.5&amp;sourceID=14","3.5")</f>
        <v>3.5</v>
      </c>
      <c r="G589" s="4" t="str">
        <f>HYPERLINK("http://141.218.60.56/~jnz1568/getInfo.php?workbook=14_09.xlsx&amp;sheet=U0&amp;row=589&amp;col=7&amp;number=0.132&amp;sourceID=14","0.132")</f>
        <v>0.132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HYPERLINK("http://141.218.60.56/~jnz1568/getInfo.php?workbook=14_09.xlsx&amp;sheet=U0&amp;row=590&amp;col=6&amp;number=3.6&amp;sourceID=14","3.6")</f>
        <v>3.6</v>
      </c>
      <c r="G590" s="4" t="str">
        <f>HYPERLINK("http://141.218.60.56/~jnz1568/getInfo.php?workbook=14_09.xlsx&amp;sheet=U0&amp;row=590&amp;col=7&amp;number=0.131&amp;sourceID=14","0.131")</f>
        <v>0.131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HYPERLINK("http://141.218.60.56/~jnz1568/getInfo.php?workbook=14_09.xlsx&amp;sheet=U0&amp;row=591&amp;col=6&amp;number=3.7&amp;sourceID=14","3.7")</f>
        <v>3.7</v>
      </c>
      <c r="G591" s="4" t="str">
        <f>HYPERLINK("http://141.218.60.56/~jnz1568/getInfo.php?workbook=14_09.xlsx&amp;sheet=U0&amp;row=591&amp;col=7&amp;number=0.131&amp;sourceID=14","0.131")</f>
        <v>0.131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HYPERLINK("http://141.218.60.56/~jnz1568/getInfo.php?workbook=14_09.xlsx&amp;sheet=U0&amp;row=592&amp;col=6&amp;number=3.8&amp;sourceID=14","3.8")</f>
        <v>3.8</v>
      </c>
      <c r="G592" s="4" t="str">
        <f>HYPERLINK("http://141.218.60.56/~jnz1568/getInfo.php?workbook=14_09.xlsx&amp;sheet=U0&amp;row=592&amp;col=7&amp;number=0.13&amp;sourceID=14","0.13")</f>
        <v>0.13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HYPERLINK("http://141.218.60.56/~jnz1568/getInfo.php?workbook=14_09.xlsx&amp;sheet=U0&amp;row=593&amp;col=6&amp;number=3.9&amp;sourceID=14","3.9")</f>
        <v>3.9</v>
      </c>
      <c r="G593" s="4" t="str">
        <f>HYPERLINK("http://141.218.60.56/~jnz1568/getInfo.php?workbook=14_09.xlsx&amp;sheet=U0&amp;row=593&amp;col=7&amp;number=0.13&amp;sourceID=14","0.13")</f>
        <v>0.13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HYPERLINK("http://141.218.60.56/~jnz1568/getInfo.php?workbook=14_09.xlsx&amp;sheet=U0&amp;row=594&amp;col=6&amp;number=4&amp;sourceID=14","4")</f>
        <v>4</v>
      </c>
      <c r="G594" s="4" t="str">
        <f>HYPERLINK("http://141.218.60.56/~jnz1568/getInfo.php?workbook=14_09.xlsx&amp;sheet=U0&amp;row=594&amp;col=7&amp;number=0.129&amp;sourceID=14","0.129")</f>
        <v>0.129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HYPERLINK("http://141.218.60.56/~jnz1568/getInfo.php?workbook=14_09.xlsx&amp;sheet=U0&amp;row=595&amp;col=6&amp;number=4.1&amp;sourceID=14","4.1")</f>
        <v>4.1</v>
      </c>
      <c r="G595" s="4" t="str">
        <f>HYPERLINK("http://141.218.60.56/~jnz1568/getInfo.php?workbook=14_09.xlsx&amp;sheet=U0&amp;row=595&amp;col=7&amp;number=0.128&amp;sourceID=14","0.128")</f>
        <v>0.128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HYPERLINK("http://141.218.60.56/~jnz1568/getInfo.php?workbook=14_09.xlsx&amp;sheet=U0&amp;row=596&amp;col=6&amp;number=4.2&amp;sourceID=14","4.2")</f>
        <v>4.2</v>
      </c>
      <c r="G596" s="4" t="str">
        <f>HYPERLINK("http://141.218.60.56/~jnz1568/getInfo.php?workbook=14_09.xlsx&amp;sheet=U0&amp;row=596&amp;col=7&amp;number=0.127&amp;sourceID=14","0.127")</f>
        <v>0.127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HYPERLINK("http://141.218.60.56/~jnz1568/getInfo.php?workbook=14_09.xlsx&amp;sheet=U0&amp;row=597&amp;col=6&amp;number=4.3&amp;sourceID=14","4.3")</f>
        <v>4.3</v>
      </c>
      <c r="G597" s="4" t="str">
        <f>HYPERLINK("http://141.218.60.56/~jnz1568/getInfo.php?workbook=14_09.xlsx&amp;sheet=U0&amp;row=597&amp;col=7&amp;number=0.126&amp;sourceID=14","0.126")</f>
        <v>0.126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HYPERLINK("http://141.218.60.56/~jnz1568/getInfo.php?workbook=14_09.xlsx&amp;sheet=U0&amp;row=598&amp;col=6&amp;number=4.4&amp;sourceID=14","4.4")</f>
        <v>4.4</v>
      </c>
      <c r="G598" s="4" t="str">
        <f>HYPERLINK("http://141.218.60.56/~jnz1568/getInfo.php?workbook=14_09.xlsx&amp;sheet=U0&amp;row=598&amp;col=7&amp;number=0.124&amp;sourceID=14","0.124")</f>
        <v>0.124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HYPERLINK("http://141.218.60.56/~jnz1568/getInfo.php?workbook=14_09.xlsx&amp;sheet=U0&amp;row=599&amp;col=6&amp;number=4.5&amp;sourceID=14","4.5")</f>
        <v>4.5</v>
      </c>
      <c r="G599" s="4" t="str">
        <f>HYPERLINK("http://141.218.60.56/~jnz1568/getInfo.php?workbook=14_09.xlsx&amp;sheet=U0&amp;row=599&amp;col=7&amp;number=0.122&amp;sourceID=14","0.122")</f>
        <v>0.122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HYPERLINK("http://141.218.60.56/~jnz1568/getInfo.php?workbook=14_09.xlsx&amp;sheet=U0&amp;row=600&amp;col=6&amp;number=4.6&amp;sourceID=14","4.6")</f>
        <v>4.6</v>
      </c>
      <c r="G600" s="4" t="str">
        <f>HYPERLINK("http://141.218.60.56/~jnz1568/getInfo.php?workbook=14_09.xlsx&amp;sheet=U0&amp;row=600&amp;col=7&amp;number=0.119&amp;sourceID=14","0.119")</f>
        <v>0.119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HYPERLINK("http://141.218.60.56/~jnz1568/getInfo.php?workbook=14_09.xlsx&amp;sheet=U0&amp;row=601&amp;col=6&amp;number=4.7&amp;sourceID=14","4.7")</f>
        <v>4.7</v>
      </c>
      <c r="G601" s="4" t="str">
        <f>HYPERLINK("http://141.218.60.56/~jnz1568/getInfo.php?workbook=14_09.xlsx&amp;sheet=U0&amp;row=601&amp;col=7&amp;number=0.116&amp;sourceID=14","0.116")</f>
        <v>0.116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HYPERLINK("http://141.218.60.56/~jnz1568/getInfo.php?workbook=14_09.xlsx&amp;sheet=U0&amp;row=602&amp;col=6&amp;number=4.8&amp;sourceID=14","4.8")</f>
        <v>4.8</v>
      </c>
      <c r="G602" s="4" t="str">
        <f>HYPERLINK("http://141.218.60.56/~jnz1568/getInfo.php?workbook=14_09.xlsx&amp;sheet=U0&amp;row=602&amp;col=7&amp;number=0.113&amp;sourceID=14","0.113")</f>
        <v>0.113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HYPERLINK("http://141.218.60.56/~jnz1568/getInfo.php?workbook=14_09.xlsx&amp;sheet=U0&amp;row=603&amp;col=6&amp;number=4.9&amp;sourceID=14","4.9")</f>
        <v>4.9</v>
      </c>
      <c r="G603" s="4" t="str">
        <f>HYPERLINK("http://141.218.60.56/~jnz1568/getInfo.php?workbook=14_09.xlsx&amp;sheet=U0&amp;row=603&amp;col=7&amp;number=0.109&amp;sourceID=14","0.109")</f>
        <v>0.109</v>
      </c>
    </row>
    <row r="604" spans="1:7">
      <c r="A604" s="3">
        <v>14</v>
      </c>
      <c r="B604" s="3">
        <v>9</v>
      </c>
      <c r="C604" s="3">
        <v>1</v>
      </c>
      <c r="D604" s="3">
        <v>32</v>
      </c>
      <c r="E604" s="3">
        <v>1</v>
      </c>
      <c r="F604" s="4" t="str">
        <f>HYPERLINK("http://141.218.60.56/~jnz1568/getInfo.php?workbook=14_09.xlsx&amp;sheet=U0&amp;row=604&amp;col=6&amp;number=3&amp;sourceID=14","3")</f>
        <v>3</v>
      </c>
      <c r="G604" s="4" t="str">
        <f>HYPERLINK("http://141.218.60.56/~jnz1568/getInfo.php?workbook=14_09.xlsx&amp;sheet=U0&amp;row=604&amp;col=7&amp;number=0.092&amp;sourceID=14","0.092")</f>
        <v>0.092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HYPERLINK("http://141.218.60.56/~jnz1568/getInfo.php?workbook=14_09.xlsx&amp;sheet=U0&amp;row=605&amp;col=6&amp;number=3.1&amp;sourceID=14","3.1")</f>
        <v>3.1</v>
      </c>
      <c r="G605" s="4" t="str">
        <f>HYPERLINK("http://141.218.60.56/~jnz1568/getInfo.php?workbook=14_09.xlsx&amp;sheet=U0&amp;row=605&amp;col=7&amp;number=0.0919&amp;sourceID=14","0.0919")</f>
        <v>0.0919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HYPERLINK("http://141.218.60.56/~jnz1568/getInfo.php?workbook=14_09.xlsx&amp;sheet=U0&amp;row=606&amp;col=6&amp;number=3.2&amp;sourceID=14","3.2")</f>
        <v>3.2</v>
      </c>
      <c r="G606" s="4" t="str">
        <f>HYPERLINK("http://141.218.60.56/~jnz1568/getInfo.php?workbook=14_09.xlsx&amp;sheet=U0&amp;row=606&amp;col=7&amp;number=0.0918&amp;sourceID=14","0.0918")</f>
        <v>0.0918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HYPERLINK("http://141.218.60.56/~jnz1568/getInfo.php?workbook=14_09.xlsx&amp;sheet=U0&amp;row=607&amp;col=6&amp;number=3.3&amp;sourceID=14","3.3")</f>
        <v>3.3</v>
      </c>
      <c r="G607" s="4" t="str">
        <f>HYPERLINK("http://141.218.60.56/~jnz1568/getInfo.php?workbook=14_09.xlsx&amp;sheet=U0&amp;row=607&amp;col=7&amp;number=0.0917&amp;sourceID=14","0.0917")</f>
        <v>0.0917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HYPERLINK("http://141.218.60.56/~jnz1568/getInfo.php?workbook=14_09.xlsx&amp;sheet=U0&amp;row=608&amp;col=6&amp;number=3.4&amp;sourceID=14","3.4")</f>
        <v>3.4</v>
      </c>
      <c r="G608" s="4" t="str">
        <f>HYPERLINK("http://141.218.60.56/~jnz1568/getInfo.php?workbook=14_09.xlsx&amp;sheet=U0&amp;row=608&amp;col=7&amp;number=0.0915&amp;sourceID=14","0.0915")</f>
        <v>0.0915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HYPERLINK("http://141.218.60.56/~jnz1568/getInfo.php?workbook=14_09.xlsx&amp;sheet=U0&amp;row=609&amp;col=6&amp;number=3.5&amp;sourceID=14","3.5")</f>
        <v>3.5</v>
      </c>
      <c r="G609" s="4" t="str">
        <f>HYPERLINK("http://141.218.60.56/~jnz1568/getInfo.php?workbook=14_09.xlsx&amp;sheet=U0&amp;row=609&amp;col=7&amp;number=0.0913&amp;sourceID=14","0.0913")</f>
        <v>0.0913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HYPERLINK("http://141.218.60.56/~jnz1568/getInfo.php?workbook=14_09.xlsx&amp;sheet=U0&amp;row=610&amp;col=6&amp;number=3.6&amp;sourceID=14","3.6")</f>
        <v>3.6</v>
      </c>
      <c r="G610" s="4" t="str">
        <f>HYPERLINK("http://141.218.60.56/~jnz1568/getInfo.php?workbook=14_09.xlsx&amp;sheet=U0&amp;row=610&amp;col=7&amp;number=0.0911&amp;sourceID=14","0.0911")</f>
        <v>0.0911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HYPERLINK("http://141.218.60.56/~jnz1568/getInfo.php?workbook=14_09.xlsx&amp;sheet=U0&amp;row=611&amp;col=6&amp;number=3.7&amp;sourceID=14","3.7")</f>
        <v>3.7</v>
      </c>
      <c r="G611" s="4" t="str">
        <f>HYPERLINK("http://141.218.60.56/~jnz1568/getInfo.php?workbook=14_09.xlsx&amp;sheet=U0&amp;row=611&amp;col=7&amp;number=0.0908&amp;sourceID=14","0.0908")</f>
        <v>0.0908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HYPERLINK("http://141.218.60.56/~jnz1568/getInfo.php?workbook=14_09.xlsx&amp;sheet=U0&amp;row=612&amp;col=6&amp;number=3.8&amp;sourceID=14","3.8")</f>
        <v>3.8</v>
      </c>
      <c r="G612" s="4" t="str">
        <f>HYPERLINK("http://141.218.60.56/~jnz1568/getInfo.php?workbook=14_09.xlsx&amp;sheet=U0&amp;row=612&amp;col=7&amp;number=0.0904&amp;sourceID=14","0.0904")</f>
        <v>0.0904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HYPERLINK("http://141.218.60.56/~jnz1568/getInfo.php?workbook=14_09.xlsx&amp;sheet=U0&amp;row=613&amp;col=6&amp;number=3.9&amp;sourceID=14","3.9")</f>
        <v>3.9</v>
      </c>
      <c r="G613" s="4" t="str">
        <f>HYPERLINK("http://141.218.60.56/~jnz1568/getInfo.php?workbook=14_09.xlsx&amp;sheet=U0&amp;row=613&amp;col=7&amp;number=0.0899&amp;sourceID=14","0.0899")</f>
        <v>0.0899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HYPERLINK("http://141.218.60.56/~jnz1568/getInfo.php?workbook=14_09.xlsx&amp;sheet=U0&amp;row=614&amp;col=6&amp;number=4&amp;sourceID=14","4")</f>
        <v>4</v>
      </c>
      <c r="G614" s="4" t="str">
        <f>HYPERLINK("http://141.218.60.56/~jnz1568/getInfo.php?workbook=14_09.xlsx&amp;sheet=U0&amp;row=614&amp;col=7&amp;number=0.0892&amp;sourceID=14","0.0892")</f>
        <v>0.0892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HYPERLINK("http://141.218.60.56/~jnz1568/getInfo.php?workbook=14_09.xlsx&amp;sheet=U0&amp;row=615&amp;col=6&amp;number=4.1&amp;sourceID=14","4.1")</f>
        <v>4.1</v>
      </c>
      <c r="G615" s="4" t="str">
        <f>HYPERLINK("http://141.218.60.56/~jnz1568/getInfo.php?workbook=14_09.xlsx&amp;sheet=U0&amp;row=615&amp;col=7&amp;number=0.0885&amp;sourceID=14","0.0885")</f>
        <v>0.0885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HYPERLINK("http://141.218.60.56/~jnz1568/getInfo.php?workbook=14_09.xlsx&amp;sheet=U0&amp;row=616&amp;col=6&amp;number=4.2&amp;sourceID=14","4.2")</f>
        <v>4.2</v>
      </c>
      <c r="G616" s="4" t="str">
        <f>HYPERLINK("http://141.218.60.56/~jnz1568/getInfo.php?workbook=14_09.xlsx&amp;sheet=U0&amp;row=616&amp;col=7&amp;number=0.0875&amp;sourceID=14","0.0875")</f>
        <v>0.0875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HYPERLINK("http://141.218.60.56/~jnz1568/getInfo.php?workbook=14_09.xlsx&amp;sheet=U0&amp;row=617&amp;col=6&amp;number=4.3&amp;sourceID=14","4.3")</f>
        <v>4.3</v>
      </c>
      <c r="G617" s="4" t="str">
        <f>HYPERLINK("http://141.218.60.56/~jnz1568/getInfo.php?workbook=14_09.xlsx&amp;sheet=U0&amp;row=617&amp;col=7&amp;number=0.0864&amp;sourceID=14","0.0864")</f>
        <v>0.0864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HYPERLINK("http://141.218.60.56/~jnz1568/getInfo.php?workbook=14_09.xlsx&amp;sheet=U0&amp;row=618&amp;col=6&amp;number=4.4&amp;sourceID=14","4.4")</f>
        <v>4.4</v>
      </c>
      <c r="G618" s="4" t="str">
        <f>HYPERLINK("http://141.218.60.56/~jnz1568/getInfo.php?workbook=14_09.xlsx&amp;sheet=U0&amp;row=618&amp;col=7&amp;number=0.0849&amp;sourceID=14","0.0849")</f>
        <v>0.0849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HYPERLINK("http://141.218.60.56/~jnz1568/getInfo.php?workbook=14_09.xlsx&amp;sheet=U0&amp;row=619&amp;col=6&amp;number=4.5&amp;sourceID=14","4.5")</f>
        <v>4.5</v>
      </c>
      <c r="G619" s="4" t="str">
        <f>HYPERLINK("http://141.218.60.56/~jnz1568/getInfo.php?workbook=14_09.xlsx&amp;sheet=U0&amp;row=619&amp;col=7&amp;number=0.0832&amp;sourceID=14","0.0832")</f>
        <v>0.0832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HYPERLINK("http://141.218.60.56/~jnz1568/getInfo.php?workbook=14_09.xlsx&amp;sheet=U0&amp;row=620&amp;col=6&amp;number=4.6&amp;sourceID=14","4.6")</f>
        <v>4.6</v>
      </c>
      <c r="G620" s="4" t="str">
        <f>HYPERLINK("http://141.218.60.56/~jnz1568/getInfo.php?workbook=14_09.xlsx&amp;sheet=U0&amp;row=620&amp;col=7&amp;number=0.0812&amp;sourceID=14","0.0812")</f>
        <v>0.0812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HYPERLINK("http://141.218.60.56/~jnz1568/getInfo.php?workbook=14_09.xlsx&amp;sheet=U0&amp;row=621&amp;col=6&amp;number=4.7&amp;sourceID=14","4.7")</f>
        <v>4.7</v>
      </c>
      <c r="G621" s="4" t="str">
        <f>HYPERLINK("http://141.218.60.56/~jnz1568/getInfo.php?workbook=14_09.xlsx&amp;sheet=U0&amp;row=621&amp;col=7&amp;number=0.0787&amp;sourceID=14","0.0787")</f>
        <v>0.0787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HYPERLINK("http://141.218.60.56/~jnz1568/getInfo.php?workbook=14_09.xlsx&amp;sheet=U0&amp;row=622&amp;col=6&amp;number=4.8&amp;sourceID=14","4.8")</f>
        <v>4.8</v>
      </c>
      <c r="G622" s="4" t="str">
        <f>HYPERLINK("http://141.218.60.56/~jnz1568/getInfo.php?workbook=14_09.xlsx&amp;sheet=U0&amp;row=622&amp;col=7&amp;number=0.0759&amp;sourceID=14","0.0759")</f>
        <v>0.0759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HYPERLINK("http://141.218.60.56/~jnz1568/getInfo.php?workbook=14_09.xlsx&amp;sheet=U0&amp;row=623&amp;col=6&amp;number=4.9&amp;sourceID=14","4.9")</f>
        <v>4.9</v>
      </c>
      <c r="G623" s="4" t="str">
        <f>HYPERLINK("http://141.218.60.56/~jnz1568/getInfo.php?workbook=14_09.xlsx&amp;sheet=U0&amp;row=623&amp;col=7&amp;number=0.0728&amp;sourceID=14","0.0728")</f>
        <v>0.0728</v>
      </c>
    </row>
    <row r="624" spans="1:7">
      <c r="A624" s="3">
        <v>14</v>
      </c>
      <c r="B624" s="3">
        <v>9</v>
      </c>
      <c r="C624" s="3">
        <v>1</v>
      </c>
      <c r="D624" s="3">
        <v>33</v>
      </c>
      <c r="E624" s="3">
        <v>1</v>
      </c>
      <c r="F624" s="4" t="str">
        <f>HYPERLINK("http://141.218.60.56/~jnz1568/getInfo.php?workbook=14_09.xlsx&amp;sheet=U0&amp;row=624&amp;col=6&amp;number=3&amp;sourceID=14","3")</f>
        <v>3</v>
      </c>
      <c r="G624" s="4" t="str">
        <f>HYPERLINK("http://141.218.60.56/~jnz1568/getInfo.php?workbook=14_09.xlsx&amp;sheet=U0&amp;row=624&amp;col=7&amp;number=0.0537&amp;sourceID=14","0.0537")</f>
        <v>0.0537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HYPERLINK("http://141.218.60.56/~jnz1568/getInfo.php?workbook=14_09.xlsx&amp;sheet=U0&amp;row=625&amp;col=6&amp;number=3.1&amp;sourceID=14","3.1")</f>
        <v>3.1</v>
      </c>
      <c r="G625" s="4" t="str">
        <f>HYPERLINK("http://141.218.60.56/~jnz1568/getInfo.php?workbook=14_09.xlsx&amp;sheet=U0&amp;row=625&amp;col=7&amp;number=0.0536&amp;sourceID=14","0.0536")</f>
        <v>0.0536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HYPERLINK("http://141.218.60.56/~jnz1568/getInfo.php?workbook=14_09.xlsx&amp;sheet=U0&amp;row=626&amp;col=6&amp;number=3.2&amp;sourceID=14","3.2")</f>
        <v>3.2</v>
      </c>
      <c r="G626" s="4" t="str">
        <f>HYPERLINK("http://141.218.60.56/~jnz1568/getInfo.php?workbook=14_09.xlsx&amp;sheet=U0&amp;row=626&amp;col=7&amp;number=0.0535&amp;sourceID=14","0.0535")</f>
        <v>0.0535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HYPERLINK("http://141.218.60.56/~jnz1568/getInfo.php?workbook=14_09.xlsx&amp;sheet=U0&amp;row=627&amp;col=6&amp;number=3.3&amp;sourceID=14","3.3")</f>
        <v>3.3</v>
      </c>
      <c r="G627" s="4" t="str">
        <f>HYPERLINK("http://141.218.60.56/~jnz1568/getInfo.php?workbook=14_09.xlsx&amp;sheet=U0&amp;row=627&amp;col=7&amp;number=0.0535&amp;sourceID=14","0.0535")</f>
        <v>0.0535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HYPERLINK("http://141.218.60.56/~jnz1568/getInfo.php?workbook=14_09.xlsx&amp;sheet=U0&amp;row=628&amp;col=6&amp;number=3.4&amp;sourceID=14","3.4")</f>
        <v>3.4</v>
      </c>
      <c r="G628" s="4" t="str">
        <f>HYPERLINK("http://141.218.60.56/~jnz1568/getInfo.php?workbook=14_09.xlsx&amp;sheet=U0&amp;row=628&amp;col=7&amp;number=0.0534&amp;sourceID=14","0.0534")</f>
        <v>0.0534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HYPERLINK("http://141.218.60.56/~jnz1568/getInfo.php?workbook=14_09.xlsx&amp;sheet=U0&amp;row=629&amp;col=6&amp;number=3.5&amp;sourceID=14","3.5")</f>
        <v>3.5</v>
      </c>
      <c r="G629" s="4" t="str">
        <f>HYPERLINK("http://141.218.60.56/~jnz1568/getInfo.php?workbook=14_09.xlsx&amp;sheet=U0&amp;row=629&amp;col=7&amp;number=0.0533&amp;sourceID=14","0.0533")</f>
        <v>0.0533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HYPERLINK("http://141.218.60.56/~jnz1568/getInfo.php?workbook=14_09.xlsx&amp;sheet=U0&amp;row=630&amp;col=6&amp;number=3.6&amp;sourceID=14","3.6")</f>
        <v>3.6</v>
      </c>
      <c r="G630" s="4" t="str">
        <f>HYPERLINK("http://141.218.60.56/~jnz1568/getInfo.php?workbook=14_09.xlsx&amp;sheet=U0&amp;row=630&amp;col=7&amp;number=0.0531&amp;sourceID=14","0.0531")</f>
        <v>0.0531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HYPERLINK("http://141.218.60.56/~jnz1568/getInfo.php?workbook=14_09.xlsx&amp;sheet=U0&amp;row=631&amp;col=6&amp;number=3.7&amp;sourceID=14","3.7")</f>
        <v>3.7</v>
      </c>
      <c r="G631" s="4" t="str">
        <f>HYPERLINK("http://141.218.60.56/~jnz1568/getInfo.php?workbook=14_09.xlsx&amp;sheet=U0&amp;row=631&amp;col=7&amp;number=0.0529&amp;sourceID=14","0.0529")</f>
        <v>0.0529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HYPERLINK("http://141.218.60.56/~jnz1568/getInfo.php?workbook=14_09.xlsx&amp;sheet=U0&amp;row=632&amp;col=6&amp;number=3.8&amp;sourceID=14","3.8")</f>
        <v>3.8</v>
      </c>
      <c r="G632" s="4" t="str">
        <f>HYPERLINK("http://141.218.60.56/~jnz1568/getInfo.php?workbook=14_09.xlsx&amp;sheet=U0&amp;row=632&amp;col=7&amp;number=0.0527&amp;sourceID=14","0.0527")</f>
        <v>0.0527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HYPERLINK("http://141.218.60.56/~jnz1568/getInfo.php?workbook=14_09.xlsx&amp;sheet=U0&amp;row=633&amp;col=6&amp;number=3.9&amp;sourceID=14","3.9")</f>
        <v>3.9</v>
      </c>
      <c r="G633" s="4" t="str">
        <f>HYPERLINK("http://141.218.60.56/~jnz1568/getInfo.php?workbook=14_09.xlsx&amp;sheet=U0&amp;row=633&amp;col=7&amp;number=0.0524&amp;sourceID=14","0.0524")</f>
        <v>0.0524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HYPERLINK("http://141.218.60.56/~jnz1568/getInfo.php?workbook=14_09.xlsx&amp;sheet=U0&amp;row=634&amp;col=6&amp;number=4&amp;sourceID=14","4")</f>
        <v>4</v>
      </c>
      <c r="G634" s="4" t="str">
        <f>HYPERLINK("http://141.218.60.56/~jnz1568/getInfo.php?workbook=14_09.xlsx&amp;sheet=U0&amp;row=634&amp;col=7&amp;number=0.0521&amp;sourceID=14","0.0521")</f>
        <v>0.0521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HYPERLINK("http://141.218.60.56/~jnz1568/getInfo.php?workbook=14_09.xlsx&amp;sheet=U0&amp;row=635&amp;col=6&amp;number=4.1&amp;sourceID=14","4.1")</f>
        <v>4.1</v>
      </c>
      <c r="G635" s="4" t="str">
        <f>HYPERLINK("http://141.218.60.56/~jnz1568/getInfo.php?workbook=14_09.xlsx&amp;sheet=U0&amp;row=635&amp;col=7&amp;number=0.0516&amp;sourceID=14","0.0516")</f>
        <v>0.0516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HYPERLINK("http://141.218.60.56/~jnz1568/getInfo.php?workbook=14_09.xlsx&amp;sheet=U0&amp;row=636&amp;col=6&amp;number=4.2&amp;sourceID=14","4.2")</f>
        <v>4.2</v>
      </c>
      <c r="G636" s="4" t="str">
        <f>HYPERLINK("http://141.218.60.56/~jnz1568/getInfo.php?workbook=14_09.xlsx&amp;sheet=U0&amp;row=636&amp;col=7&amp;number=0.0511&amp;sourceID=14","0.0511")</f>
        <v>0.0511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HYPERLINK("http://141.218.60.56/~jnz1568/getInfo.php?workbook=14_09.xlsx&amp;sheet=U0&amp;row=637&amp;col=6&amp;number=4.3&amp;sourceID=14","4.3")</f>
        <v>4.3</v>
      </c>
      <c r="G637" s="4" t="str">
        <f>HYPERLINK("http://141.218.60.56/~jnz1568/getInfo.php?workbook=14_09.xlsx&amp;sheet=U0&amp;row=637&amp;col=7&amp;number=0.0504&amp;sourceID=14","0.0504")</f>
        <v>0.0504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HYPERLINK("http://141.218.60.56/~jnz1568/getInfo.php?workbook=14_09.xlsx&amp;sheet=U0&amp;row=638&amp;col=6&amp;number=4.4&amp;sourceID=14","4.4")</f>
        <v>4.4</v>
      </c>
      <c r="G638" s="4" t="str">
        <f>HYPERLINK("http://141.218.60.56/~jnz1568/getInfo.php?workbook=14_09.xlsx&amp;sheet=U0&amp;row=638&amp;col=7&amp;number=0.0496&amp;sourceID=14","0.0496")</f>
        <v>0.0496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HYPERLINK("http://141.218.60.56/~jnz1568/getInfo.php?workbook=14_09.xlsx&amp;sheet=U0&amp;row=639&amp;col=6&amp;number=4.5&amp;sourceID=14","4.5")</f>
        <v>4.5</v>
      </c>
      <c r="G639" s="4" t="str">
        <f>HYPERLINK("http://141.218.60.56/~jnz1568/getInfo.php?workbook=14_09.xlsx&amp;sheet=U0&amp;row=639&amp;col=7&amp;number=0.0486&amp;sourceID=14","0.0486")</f>
        <v>0.0486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HYPERLINK("http://141.218.60.56/~jnz1568/getInfo.php?workbook=14_09.xlsx&amp;sheet=U0&amp;row=640&amp;col=6&amp;number=4.6&amp;sourceID=14","4.6")</f>
        <v>4.6</v>
      </c>
      <c r="G640" s="4" t="str">
        <f>HYPERLINK("http://141.218.60.56/~jnz1568/getInfo.php?workbook=14_09.xlsx&amp;sheet=U0&amp;row=640&amp;col=7&amp;number=0.0474&amp;sourceID=14","0.0474")</f>
        <v>0.0474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HYPERLINK("http://141.218.60.56/~jnz1568/getInfo.php?workbook=14_09.xlsx&amp;sheet=U0&amp;row=641&amp;col=6&amp;number=4.7&amp;sourceID=14","4.7")</f>
        <v>4.7</v>
      </c>
      <c r="G641" s="4" t="str">
        <f>HYPERLINK("http://141.218.60.56/~jnz1568/getInfo.php?workbook=14_09.xlsx&amp;sheet=U0&amp;row=641&amp;col=7&amp;number=0.046&amp;sourceID=14","0.046")</f>
        <v>0.046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HYPERLINK("http://141.218.60.56/~jnz1568/getInfo.php?workbook=14_09.xlsx&amp;sheet=U0&amp;row=642&amp;col=6&amp;number=4.8&amp;sourceID=14","4.8")</f>
        <v>4.8</v>
      </c>
      <c r="G642" s="4" t="str">
        <f>HYPERLINK("http://141.218.60.56/~jnz1568/getInfo.php?workbook=14_09.xlsx&amp;sheet=U0&amp;row=642&amp;col=7&amp;number=0.0444&amp;sourceID=14","0.0444")</f>
        <v>0.0444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HYPERLINK("http://141.218.60.56/~jnz1568/getInfo.php?workbook=14_09.xlsx&amp;sheet=U0&amp;row=643&amp;col=6&amp;number=4.9&amp;sourceID=14","4.9")</f>
        <v>4.9</v>
      </c>
      <c r="G643" s="4" t="str">
        <f>HYPERLINK("http://141.218.60.56/~jnz1568/getInfo.php?workbook=14_09.xlsx&amp;sheet=U0&amp;row=643&amp;col=7&amp;number=0.0428&amp;sourceID=14","0.0428")</f>
        <v>0.0428</v>
      </c>
    </row>
    <row r="644" spans="1:7">
      <c r="A644" s="3">
        <v>14</v>
      </c>
      <c r="B644" s="3">
        <v>9</v>
      </c>
      <c r="C644" s="3">
        <v>1</v>
      </c>
      <c r="D644" s="3">
        <v>34</v>
      </c>
      <c r="E644" s="3">
        <v>1</v>
      </c>
      <c r="F644" s="4" t="str">
        <f>HYPERLINK("http://141.218.60.56/~jnz1568/getInfo.php?workbook=14_09.xlsx&amp;sheet=U0&amp;row=644&amp;col=6&amp;number=3&amp;sourceID=14","3")</f>
        <v>3</v>
      </c>
      <c r="G644" s="4" t="str">
        <f>HYPERLINK("http://141.218.60.56/~jnz1568/getInfo.php?workbook=14_09.xlsx&amp;sheet=U0&amp;row=644&amp;col=7&amp;number=0.0249&amp;sourceID=14","0.0249")</f>
        <v>0.0249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HYPERLINK("http://141.218.60.56/~jnz1568/getInfo.php?workbook=14_09.xlsx&amp;sheet=U0&amp;row=645&amp;col=6&amp;number=3.1&amp;sourceID=14","3.1")</f>
        <v>3.1</v>
      </c>
      <c r="G645" s="4" t="str">
        <f>HYPERLINK("http://141.218.60.56/~jnz1568/getInfo.php?workbook=14_09.xlsx&amp;sheet=U0&amp;row=645&amp;col=7&amp;number=0.0249&amp;sourceID=14","0.0249")</f>
        <v>0.0249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HYPERLINK("http://141.218.60.56/~jnz1568/getInfo.php?workbook=14_09.xlsx&amp;sheet=U0&amp;row=646&amp;col=6&amp;number=3.2&amp;sourceID=14","3.2")</f>
        <v>3.2</v>
      </c>
      <c r="G646" s="4" t="str">
        <f>HYPERLINK("http://141.218.60.56/~jnz1568/getInfo.php?workbook=14_09.xlsx&amp;sheet=U0&amp;row=646&amp;col=7&amp;number=0.0249&amp;sourceID=14","0.0249")</f>
        <v>0.0249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HYPERLINK("http://141.218.60.56/~jnz1568/getInfo.php?workbook=14_09.xlsx&amp;sheet=U0&amp;row=647&amp;col=6&amp;number=3.3&amp;sourceID=14","3.3")</f>
        <v>3.3</v>
      </c>
      <c r="G647" s="4" t="str">
        <f>HYPERLINK("http://141.218.60.56/~jnz1568/getInfo.php?workbook=14_09.xlsx&amp;sheet=U0&amp;row=647&amp;col=7&amp;number=0.0248&amp;sourceID=14","0.0248")</f>
        <v>0.0248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HYPERLINK("http://141.218.60.56/~jnz1568/getInfo.php?workbook=14_09.xlsx&amp;sheet=U0&amp;row=648&amp;col=6&amp;number=3.4&amp;sourceID=14","3.4")</f>
        <v>3.4</v>
      </c>
      <c r="G648" s="4" t="str">
        <f>HYPERLINK("http://141.218.60.56/~jnz1568/getInfo.php?workbook=14_09.xlsx&amp;sheet=U0&amp;row=648&amp;col=7&amp;number=0.0248&amp;sourceID=14","0.0248")</f>
        <v>0.0248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HYPERLINK("http://141.218.60.56/~jnz1568/getInfo.php?workbook=14_09.xlsx&amp;sheet=U0&amp;row=649&amp;col=6&amp;number=3.5&amp;sourceID=14","3.5")</f>
        <v>3.5</v>
      </c>
      <c r="G649" s="4" t="str">
        <f>HYPERLINK("http://141.218.60.56/~jnz1568/getInfo.php?workbook=14_09.xlsx&amp;sheet=U0&amp;row=649&amp;col=7&amp;number=0.0247&amp;sourceID=14","0.0247")</f>
        <v>0.0247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HYPERLINK("http://141.218.60.56/~jnz1568/getInfo.php?workbook=14_09.xlsx&amp;sheet=U0&amp;row=650&amp;col=6&amp;number=3.6&amp;sourceID=14","3.6")</f>
        <v>3.6</v>
      </c>
      <c r="G650" s="4" t="str">
        <f>HYPERLINK("http://141.218.60.56/~jnz1568/getInfo.php?workbook=14_09.xlsx&amp;sheet=U0&amp;row=650&amp;col=7&amp;number=0.0246&amp;sourceID=14","0.0246")</f>
        <v>0.0246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HYPERLINK("http://141.218.60.56/~jnz1568/getInfo.php?workbook=14_09.xlsx&amp;sheet=U0&amp;row=651&amp;col=6&amp;number=3.7&amp;sourceID=14","3.7")</f>
        <v>3.7</v>
      </c>
      <c r="G651" s="4" t="str">
        <f>HYPERLINK("http://141.218.60.56/~jnz1568/getInfo.php?workbook=14_09.xlsx&amp;sheet=U0&amp;row=651&amp;col=7&amp;number=0.0245&amp;sourceID=14","0.0245")</f>
        <v>0.0245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HYPERLINK("http://141.218.60.56/~jnz1568/getInfo.php?workbook=14_09.xlsx&amp;sheet=U0&amp;row=652&amp;col=6&amp;number=3.8&amp;sourceID=14","3.8")</f>
        <v>3.8</v>
      </c>
      <c r="G652" s="4" t="str">
        <f>HYPERLINK("http://141.218.60.56/~jnz1568/getInfo.php?workbook=14_09.xlsx&amp;sheet=U0&amp;row=652&amp;col=7&amp;number=0.0244&amp;sourceID=14","0.0244")</f>
        <v>0.0244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HYPERLINK("http://141.218.60.56/~jnz1568/getInfo.php?workbook=14_09.xlsx&amp;sheet=U0&amp;row=653&amp;col=6&amp;number=3.9&amp;sourceID=14","3.9")</f>
        <v>3.9</v>
      </c>
      <c r="G653" s="4" t="str">
        <f>HYPERLINK("http://141.218.60.56/~jnz1568/getInfo.php?workbook=14_09.xlsx&amp;sheet=U0&amp;row=653&amp;col=7&amp;number=0.0242&amp;sourceID=14","0.0242")</f>
        <v>0.0242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HYPERLINK("http://141.218.60.56/~jnz1568/getInfo.php?workbook=14_09.xlsx&amp;sheet=U0&amp;row=654&amp;col=6&amp;number=4&amp;sourceID=14","4")</f>
        <v>4</v>
      </c>
      <c r="G654" s="4" t="str">
        <f>HYPERLINK("http://141.218.60.56/~jnz1568/getInfo.php?workbook=14_09.xlsx&amp;sheet=U0&amp;row=654&amp;col=7&amp;number=0.024&amp;sourceID=14","0.024")</f>
        <v>0.024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HYPERLINK("http://141.218.60.56/~jnz1568/getInfo.php?workbook=14_09.xlsx&amp;sheet=U0&amp;row=655&amp;col=6&amp;number=4.1&amp;sourceID=14","4.1")</f>
        <v>4.1</v>
      </c>
      <c r="G655" s="4" t="str">
        <f>HYPERLINK("http://141.218.60.56/~jnz1568/getInfo.php?workbook=14_09.xlsx&amp;sheet=U0&amp;row=655&amp;col=7&amp;number=0.0238&amp;sourceID=14","0.0238")</f>
        <v>0.0238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HYPERLINK("http://141.218.60.56/~jnz1568/getInfo.php?workbook=14_09.xlsx&amp;sheet=U0&amp;row=656&amp;col=6&amp;number=4.2&amp;sourceID=14","4.2")</f>
        <v>4.2</v>
      </c>
      <c r="G656" s="4" t="str">
        <f>HYPERLINK("http://141.218.60.56/~jnz1568/getInfo.php?workbook=14_09.xlsx&amp;sheet=U0&amp;row=656&amp;col=7&amp;number=0.0235&amp;sourceID=14","0.0235")</f>
        <v>0.0235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HYPERLINK("http://141.218.60.56/~jnz1568/getInfo.php?workbook=14_09.xlsx&amp;sheet=U0&amp;row=657&amp;col=6&amp;number=4.3&amp;sourceID=14","4.3")</f>
        <v>4.3</v>
      </c>
      <c r="G657" s="4" t="str">
        <f>HYPERLINK("http://141.218.60.56/~jnz1568/getInfo.php?workbook=14_09.xlsx&amp;sheet=U0&amp;row=657&amp;col=7&amp;number=0.0231&amp;sourceID=14","0.0231")</f>
        <v>0.0231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HYPERLINK("http://141.218.60.56/~jnz1568/getInfo.php?workbook=14_09.xlsx&amp;sheet=U0&amp;row=658&amp;col=6&amp;number=4.4&amp;sourceID=14","4.4")</f>
        <v>4.4</v>
      </c>
      <c r="G658" s="4" t="str">
        <f>HYPERLINK("http://141.218.60.56/~jnz1568/getInfo.php?workbook=14_09.xlsx&amp;sheet=U0&amp;row=658&amp;col=7&amp;number=0.0227&amp;sourceID=14","0.0227")</f>
        <v>0.0227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HYPERLINK("http://141.218.60.56/~jnz1568/getInfo.php?workbook=14_09.xlsx&amp;sheet=U0&amp;row=659&amp;col=6&amp;number=4.5&amp;sourceID=14","4.5")</f>
        <v>4.5</v>
      </c>
      <c r="G659" s="4" t="str">
        <f>HYPERLINK("http://141.218.60.56/~jnz1568/getInfo.php?workbook=14_09.xlsx&amp;sheet=U0&amp;row=659&amp;col=7&amp;number=0.0221&amp;sourceID=14","0.0221")</f>
        <v>0.0221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HYPERLINK("http://141.218.60.56/~jnz1568/getInfo.php?workbook=14_09.xlsx&amp;sheet=U0&amp;row=660&amp;col=6&amp;number=4.6&amp;sourceID=14","4.6")</f>
        <v>4.6</v>
      </c>
      <c r="G660" s="4" t="str">
        <f>HYPERLINK("http://141.218.60.56/~jnz1568/getInfo.php?workbook=14_09.xlsx&amp;sheet=U0&amp;row=660&amp;col=7&amp;number=0.0215&amp;sourceID=14","0.0215")</f>
        <v>0.0215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HYPERLINK("http://141.218.60.56/~jnz1568/getInfo.php?workbook=14_09.xlsx&amp;sheet=U0&amp;row=661&amp;col=6&amp;number=4.7&amp;sourceID=14","4.7")</f>
        <v>4.7</v>
      </c>
      <c r="G661" s="4" t="str">
        <f>HYPERLINK("http://141.218.60.56/~jnz1568/getInfo.php?workbook=14_09.xlsx&amp;sheet=U0&amp;row=661&amp;col=7&amp;number=0.0207&amp;sourceID=14","0.0207")</f>
        <v>0.0207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HYPERLINK("http://141.218.60.56/~jnz1568/getInfo.php?workbook=14_09.xlsx&amp;sheet=U0&amp;row=662&amp;col=6&amp;number=4.8&amp;sourceID=14","4.8")</f>
        <v>4.8</v>
      </c>
      <c r="G662" s="4" t="str">
        <f>HYPERLINK("http://141.218.60.56/~jnz1568/getInfo.php?workbook=14_09.xlsx&amp;sheet=U0&amp;row=662&amp;col=7&amp;number=0.0199&amp;sourceID=14","0.0199")</f>
        <v>0.0199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HYPERLINK("http://141.218.60.56/~jnz1568/getInfo.php?workbook=14_09.xlsx&amp;sheet=U0&amp;row=663&amp;col=6&amp;number=4.9&amp;sourceID=14","4.9")</f>
        <v>4.9</v>
      </c>
      <c r="G663" s="4" t="str">
        <f>HYPERLINK("http://141.218.60.56/~jnz1568/getInfo.php?workbook=14_09.xlsx&amp;sheet=U0&amp;row=663&amp;col=7&amp;number=0.019&amp;sourceID=14","0.019")</f>
        <v>0.019</v>
      </c>
    </row>
    <row r="664" spans="1:7">
      <c r="A664" s="3">
        <v>14</v>
      </c>
      <c r="B664" s="3">
        <v>9</v>
      </c>
      <c r="C664" s="3">
        <v>1</v>
      </c>
      <c r="D664" s="3">
        <v>35</v>
      </c>
      <c r="E664" s="3">
        <v>1</v>
      </c>
      <c r="F664" s="4" t="str">
        <f>HYPERLINK("http://141.218.60.56/~jnz1568/getInfo.php?workbook=14_09.xlsx&amp;sheet=U0&amp;row=664&amp;col=6&amp;number=3&amp;sourceID=14","3")</f>
        <v>3</v>
      </c>
      <c r="G664" s="4" t="str">
        <f>HYPERLINK("http://141.218.60.56/~jnz1568/getInfo.php?workbook=14_09.xlsx&amp;sheet=U0&amp;row=664&amp;col=7&amp;number=0.125&amp;sourceID=14","0.125")</f>
        <v>0.125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HYPERLINK("http://141.218.60.56/~jnz1568/getInfo.php?workbook=14_09.xlsx&amp;sheet=U0&amp;row=665&amp;col=6&amp;number=3.1&amp;sourceID=14","3.1")</f>
        <v>3.1</v>
      </c>
      <c r="G665" s="4" t="str">
        <f>HYPERLINK("http://141.218.60.56/~jnz1568/getInfo.php?workbook=14_09.xlsx&amp;sheet=U0&amp;row=665&amp;col=7&amp;number=0.124&amp;sourceID=14","0.124")</f>
        <v>0.124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HYPERLINK("http://141.218.60.56/~jnz1568/getInfo.php?workbook=14_09.xlsx&amp;sheet=U0&amp;row=666&amp;col=6&amp;number=3.2&amp;sourceID=14","3.2")</f>
        <v>3.2</v>
      </c>
      <c r="G666" s="4" t="str">
        <f>HYPERLINK("http://141.218.60.56/~jnz1568/getInfo.php?workbook=14_09.xlsx&amp;sheet=U0&amp;row=666&amp;col=7&amp;number=0.124&amp;sourceID=14","0.124")</f>
        <v>0.124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HYPERLINK("http://141.218.60.56/~jnz1568/getInfo.php?workbook=14_09.xlsx&amp;sheet=U0&amp;row=667&amp;col=6&amp;number=3.3&amp;sourceID=14","3.3")</f>
        <v>3.3</v>
      </c>
      <c r="G667" s="4" t="str">
        <f>HYPERLINK("http://141.218.60.56/~jnz1568/getInfo.php?workbook=14_09.xlsx&amp;sheet=U0&amp;row=667&amp;col=7&amp;number=0.124&amp;sourceID=14","0.124")</f>
        <v>0.124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HYPERLINK("http://141.218.60.56/~jnz1568/getInfo.php?workbook=14_09.xlsx&amp;sheet=U0&amp;row=668&amp;col=6&amp;number=3.4&amp;sourceID=14","3.4")</f>
        <v>3.4</v>
      </c>
      <c r="G668" s="4" t="str">
        <f>HYPERLINK("http://141.218.60.56/~jnz1568/getInfo.php?workbook=14_09.xlsx&amp;sheet=U0&amp;row=668&amp;col=7&amp;number=0.124&amp;sourceID=14","0.124")</f>
        <v>0.124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HYPERLINK("http://141.218.60.56/~jnz1568/getInfo.php?workbook=14_09.xlsx&amp;sheet=U0&amp;row=669&amp;col=6&amp;number=3.5&amp;sourceID=14","3.5")</f>
        <v>3.5</v>
      </c>
      <c r="G669" s="4" t="str">
        <f>HYPERLINK("http://141.218.60.56/~jnz1568/getInfo.php?workbook=14_09.xlsx&amp;sheet=U0&amp;row=669&amp;col=7&amp;number=0.123&amp;sourceID=14","0.123")</f>
        <v>0.123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HYPERLINK("http://141.218.60.56/~jnz1568/getInfo.php?workbook=14_09.xlsx&amp;sheet=U0&amp;row=670&amp;col=6&amp;number=3.6&amp;sourceID=14","3.6")</f>
        <v>3.6</v>
      </c>
      <c r="G670" s="4" t="str">
        <f>HYPERLINK("http://141.218.60.56/~jnz1568/getInfo.php?workbook=14_09.xlsx&amp;sheet=U0&amp;row=670&amp;col=7&amp;number=0.123&amp;sourceID=14","0.123")</f>
        <v>0.123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HYPERLINK("http://141.218.60.56/~jnz1568/getInfo.php?workbook=14_09.xlsx&amp;sheet=U0&amp;row=671&amp;col=6&amp;number=3.7&amp;sourceID=14","3.7")</f>
        <v>3.7</v>
      </c>
      <c r="G671" s="4" t="str">
        <f>HYPERLINK("http://141.218.60.56/~jnz1568/getInfo.php?workbook=14_09.xlsx&amp;sheet=U0&amp;row=671&amp;col=7&amp;number=0.122&amp;sourceID=14","0.122")</f>
        <v>0.122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HYPERLINK("http://141.218.60.56/~jnz1568/getInfo.php?workbook=14_09.xlsx&amp;sheet=U0&amp;row=672&amp;col=6&amp;number=3.8&amp;sourceID=14","3.8")</f>
        <v>3.8</v>
      </c>
      <c r="G672" s="4" t="str">
        <f>HYPERLINK("http://141.218.60.56/~jnz1568/getInfo.php?workbook=14_09.xlsx&amp;sheet=U0&amp;row=672&amp;col=7&amp;number=0.121&amp;sourceID=14","0.121")</f>
        <v>0.121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HYPERLINK("http://141.218.60.56/~jnz1568/getInfo.php?workbook=14_09.xlsx&amp;sheet=U0&amp;row=673&amp;col=6&amp;number=3.9&amp;sourceID=14","3.9")</f>
        <v>3.9</v>
      </c>
      <c r="G673" s="4" t="str">
        <f>HYPERLINK("http://141.218.60.56/~jnz1568/getInfo.php?workbook=14_09.xlsx&amp;sheet=U0&amp;row=673&amp;col=7&amp;number=0.12&amp;sourceID=14","0.12")</f>
        <v>0.12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HYPERLINK("http://141.218.60.56/~jnz1568/getInfo.php?workbook=14_09.xlsx&amp;sheet=U0&amp;row=674&amp;col=6&amp;number=4&amp;sourceID=14","4")</f>
        <v>4</v>
      </c>
      <c r="G674" s="4" t="str">
        <f>HYPERLINK("http://141.218.60.56/~jnz1568/getInfo.php?workbook=14_09.xlsx&amp;sheet=U0&amp;row=674&amp;col=7&amp;number=0.119&amp;sourceID=14","0.119")</f>
        <v>0.119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HYPERLINK("http://141.218.60.56/~jnz1568/getInfo.php?workbook=14_09.xlsx&amp;sheet=U0&amp;row=675&amp;col=6&amp;number=4.1&amp;sourceID=14","4.1")</f>
        <v>4.1</v>
      </c>
      <c r="G675" s="4" t="str">
        <f>HYPERLINK("http://141.218.60.56/~jnz1568/getInfo.php?workbook=14_09.xlsx&amp;sheet=U0&amp;row=675&amp;col=7&amp;number=0.117&amp;sourceID=14","0.117")</f>
        <v>0.117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HYPERLINK("http://141.218.60.56/~jnz1568/getInfo.php?workbook=14_09.xlsx&amp;sheet=U0&amp;row=676&amp;col=6&amp;number=4.2&amp;sourceID=14","4.2")</f>
        <v>4.2</v>
      </c>
      <c r="G676" s="4" t="str">
        <f>HYPERLINK("http://141.218.60.56/~jnz1568/getInfo.php?workbook=14_09.xlsx&amp;sheet=U0&amp;row=676&amp;col=7&amp;number=0.115&amp;sourceID=14","0.115")</f>
        <v>0.115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HYPERLINK("http://141.218.60.56/~jnz1568/getInfo.php?workbook=14_09.xlsx&amp;sheet=U0&amp;row=677&amp;col=6&amp;number=4.3&amp;sourceID=14","4.3")</f>
        <v>4.3</v>
      </c>
      <c r="G677" s="4" t="str">
        <f>HYPERLINK("http://141.218.60.56/~jnz1568/getInfo.php?workbook=14_09.xlsx&amp;sheet=U0&amp;row=677&amp;col=7&amp;number=0.113&amp;sourceID=14","0.113")</f>
        <v>0.113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HYPERLINK("http://141.218.60.56/~jnz1568/getInfo.php?workbook=14_09.xlsx&amp;sheet=U0&amp;row=678&amp;col=6&amp;number=4.4&amp;sourceID=14","4.4")</f>
        <v>4.4</v>
      </c>
      <c r="G678" s="4" t="str">
        <f>HYPERLINK("http://141.218.60.56/~jnz1568/getInfo.php?workbook=14_09.xlsx&amp;sheet=U0&amp;row=678&amp;col=7&amp;number=0.11&amp;sourceID=14","0.11")</f>
        <v>0.11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HYPERLINK("http://141.218.60.56/~jnz1568/getInfo.php?workbook=14_09.xlsx&amp;sheet=U0&amp;row=679&amp;col=6&amp;number=4.5&amp;sourceID=14","4.5")</f>
        <v>4.5</v>
      </c>
      <c r="G679" s="4" t="str">
        <f>HYPERLINK("http://141.218.60.56/~jnz1568/getInfo.php?workbook=14_09.xlsx&amp;sheet=U0&amp;row=679&amp;col=7&amp;number=0.106&amp;sourceID=14","0.106")</f>
        <v>0.106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HYPERLINK("http://141.218.60.56/~jnz1568/getInfo.php?workbook=14_09.xlsx&amp;sheet=U0&amp;row=680&amp;col=6&amp;number=4.6&amp;sourceID=14","4.6")</f>
        <v>4.6</v>
      </c>
      <c r="G680" s="4" t="str">
        <f>HYPERLINK("http://141.218.60.56/~jnz1568/getInfo.php?workbook=14_09.xlsx&amp;sheet=U0&amp;row=680&amp;col=7&amp;number=0.102&amp;sourceID=14","0.102")</f>
        <v>0.102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HYPERLINK("http://141.218.60.56/~jnz1568/getInfo.php?workbook=14_09.xlsx&amp;sheet=U0&amp;row=681&amp;col=6&amp;number=4.7&amp;sourceID=14","4.7")</f>
        <v>4.7</v>
      </c>
      <c r="G681" s="4" t="str">
        <f>HYPERLINK("http://141.218.60.56/~jnz1568/getInfo.php?workbook=14_09.xlsx&amp;sheet=U0&amp;row=681&amp;col=7&amp;number=0.0968&amp;sourceID=14","0.0968")</f>
        <v>0.0968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HYPERLINK("http://141.218.60.56/~jnz1568/getInfo.php?workbook=14_09.xlsx&amp;sheet=U0&amp;row=682&amp;col=6&amp;number=4.8&amp;sourceID=14","4.8")</f>
        <v>4.8</v>
      </c>
      <c r="G682" s="4" t="str">
        <f>HYPERLINK("http://141.218.60.56/~jnz1568/getInfo.php?workbook=14_09.xlsx&amp;sheet=U0&amp;row=682&amp;col=7&amp;number=0.0915&amp;sourceID=14","0.0915")</f>
        <v>0.0915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HYPERLINK("http://141.218.60.56/~jnz1568/getInfo.php?workbook=14_09.xlsx&amp;sheet=U0&amp;row=683&amp;col=6&amp;number=4.9&amp;sourceID=14","4.9")</f>
        <v>4.9</v>
      </c>
      <c r="G683" s="4" t="str">
        <f>HYPERLINK("http://141.218.60.56/~jnz1568/getInfo.php?workbook=14_09.xlsx&amp;sheet=U0&amp;row=683&amp;col=7&amp;number=0.0862&amp;sourceID=14","0.0862")</f>
        <v>0.0862</v>
      </c>
    </row>
    <row r="684" spans="1:7">
      <c r="A684" s="3">
        <v>14</v>
      </c>
      <c r="B684" s="3">
        <v>9</v>
      </c>
      <c r="C684" s="3">
        <v>1</v>
      </c>
      <c r="D684" s="3">
        <v>36</v>
      </c>
      <c r="E684" s="3">
        <v>1</v>
      </c>
      <c r="F684" s="4" t="str">
        <f>HYPERLINK("http://141.218.60.56/~jnz1568/getInfo.php?workbook=14_09.xlsx&amp;sheet=U0&amp;row=684&amp;col=6&amp;number=3&amp;sourceID=14","3")</f>
        <v>3</v>
      </c>
      <c r="G684" s="4" t="str">
        <f>HYPERLINK("http://141.218.60.56/~jnz1568/getInfo.php?workbook=14_09.xlsx&amp;sheet=U0&amp;row=684&amp;col=7&amp;number=0.112&amp;sourceID=14","0.112")</f>
        <v>0.112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HYPERLINK("http://141.218.60.56/~jnz1568/getInfo.php?workbook=14_09.xlsx&amp;sheet=U0&amp;row=685&amp;col=6&amp;number=3.1&amp;sourceID=14","3.1")</f>
        <v>3.1</v>
      </c>
      <c r="G685" s="4" t="str">
        <f>HYPERLINK("http://141.218.60.56/~jnz1568/getInfo.php?workbook=14_09.xlsx&amp;sheet=U0&amp;row=685&amp;col=7&amp;number=0.111&amp;sourceID=14","0.111")</f>
        <v>0.111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HYPERLINK("http://141.218.60.56/~jnz1568/getInfo.php?workbook=14_09.xlsx&amp;sheet=U0&amp;row=686&amp;col=6&amp;number=3.2&amp;sourceID=14","3.2")</f>
        <v>3.2</v>
      </c>
      <c r="G686" s="4" t="str">
        <f>HYPERLINK("http://141.218.60.56/~jnz1568/getInfo.php?workbook=14_09.xlsx&amp;sheet=U0&amp;row=686&amp;col=7&amp;number=0.111&amp;sourceID=14","0.111")</f>
        <v>0.111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HYPERLINK("http://141.218.60.56/~jnz1568/getInfo.php?workbook=14_09.xlsx&amp;sheet=U0&amp;row=687&amp;col=6&amp;number=3.3&amp;sourceID=14","3.3")</f>
        <v>3.3</v>
      </c>
      <c r="G687" s="4" t="str">
        <f>HYPERLINK("http://141.218.60.56/~jnz1568/getInfo.php?workbook=14_09.xlsx&amp;sheet=U0&amp;row=687&amp;col=7&amp;number=0.111&amp;sourceID=14","0.111")</f>
        <v>0.111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HYPERLINK("http://141.218.60.56/~jnz1568/getInfo.php?workbook=14_09.xlsx&amp;sheet=U0&amp;row=688&amp;col=6&amp;number=3.4&amp;sourceID=14","3.4")</f>
        <v>3.4</v>
      </c>
      <c r="G688" s="4" t="str">
        <f>HYPERLINK("http://141.218.60.56/~jnz1568/getInfo.php?workbook=14_09.xlsx&amp;sheet=U0&amp;row=688&amp;col=7&amp;number=0.11&amp;sourceID=14","0.11")</f>
        <v>0.11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HYPERLINK("http://141.218.60.56/~jnz1568/getInfo.php?workbook=14_09.xlsx&amp;sheet=U0&amp;row=689&amp;col=6&amp;number=3.5&amp;sourceID=14","3.5")</f>
        <v>3.5</v>
      </c>
      <c r="G689" s="4" t="str">
        <f>HYPERLINK("http://141.218.60.56/~jnz1568/getInfo.php?workbook=14_09.xlsx&amp;sheet=U0&amp;row=689&amp;col=7&amp;number=0.11&amp;sourceID=14","0.11")</f>
        <v>0.11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HYPERLINK("http://141.218.60.56/~jnz1568/getInfo.php?workbook=14_09.xlsx&amp;sheet=U0&amp;row=690&amp;col=6&amp;number=3.6&amp;sourceID=14","3.6")</f>
        <v>3.6</v>
      </c>
      <c r="G690" s="4" t="str">
        <f>HYPERLINK("http://141.218.60.56/~jnz1568/getInfo.php?workbook=14_09.xlsx&amp;sheet=U0&amp;row=690&amp;col=7&amp;number=0.109&amp;sourceID=14","0.109")</f>
        <v>0.109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HYPERLINK("http://141.218.60.56/~jnz1568/getInfo.php?workbook=14_09.xlsx&amp;sheet=U0&amp;row=691&amp;col=6&amp;number=3.7&amp;sourceID=14","3.7")</f>
        <v>3.7</v>
      </c>
      <c r="G691" s="4" t="str">
        <f>HYPERLINK("http://141.218.60.56/~jnz1568/getInfo.php?workbook=14_09.xlsx&amp;sheet=U0&amp;row=691&amp;col=7&amp;number=0.108&amp;sourceID=14","0.108")</f>
        <v>0.108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HYPERLINK("http://141.218.60.56/~jnz1568/getInfo.php?workbook=14_09.xlsx&amp;sheet=U0&amp;row=692&amp;col=6&amp;number=3.8&amp;sourceID=14","3.8")</f>
        <v>3.8</v>
      </c>
      <c r="G692" s="4" t="str">
        <f>HYPERLINK("http://141.218.60.56/~jnz1568/getInfo.php?workbook=14_09.xlsx&amp;sheet=U0&amp;row=692&amp;col=7&amp;number=0.107&amp;sourceID=14","0.107")</f>
        <v>0.107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HYPERLINK("http://141.218.60.56/~jnz1568/getInfo.php?workbook=14_09.xlsx&amp;sheet=U0&amp;row=693&amp;col=6&amp;number=3.9&amp;sourceID=14","3.9")</f>
        <v>3.9</v>
      </c>
      <c r="G693" s="4" t="str">
        <f>HYPERLINK("http://141.218.60.56/~jnz1568/getInfo.php?workbook=14_09.xlsx&amp;sheet=U0&amp;row=693&amp;col=7&amp;number=0.106&amp;sourceID=14","0.106")</f>
        <v>0.106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HYPERLINK("http://141.218.60.56/~jnz1568/getInfo.php?workbook=14_09.xlsx&amp;sheet=U0&amp;row=694&amp;col=6&amp;number=4&amp;sourceID=14","4")</f>
        <v>4</v>
      </c>
      <c r="G694" s="4" t="str">
        <f>HYPERLINK("http://141.218.60.56/~jnz1568/getInfo.php?workbook=14_09.xlsx&amp;sheet=U0&amp;row=694&amp;col=7&amp;number=0.104&amp;sourceID=14","0.104")</f>
        <v>0.104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HYPERLINK("http://141.218.60.56/~jnz1568/getInfo.php?workbook=14_09.xlsx&amp;sheet=U0&amp;row=695&amp;col=6&amp;number=4.1&amp;sourceID=14","4.1")</f>
        <v>4.1</v>
      </c>
      <c r="G695" s="4" t="str">
        <f>HYPERLINK("http://141.218.60.56/~jnz1568/getInfo.php?workbook=14_09.xlsx&amp;sheet=U0&amp;row=695&amp;col=7&amp;number=0.102&amp;sourceID=14","0.102")</f>
        <v>0.102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HYPERLINK("http://141.218.60.56/~jnz1568/getInfo.php?workbook=14_09.xlsx&amp;sheet=U0&amp;row=696&amp;col=6&amp;number=4.2&amp;sourceID=14","4.2")</f>
        <v>4.2</v>
      </c>
      <c r="G696" s="4" t="str">
        <f>HYPERLINK("http://141.218.60.56/~jnz1568/getInfo.php?workbook=14_09.xlsx&amp;sheet=U0&amp;row=696&amp;col=7&amp;number=0.099&amp;sourceID=14","0.099")</f>
        <v>0.099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HYPERLINK("http://141.218.60.56/~jnz1568/getInfo.php?workbook=14_09.xlsx&amp;sheet=U0&amp;row=697&amp;col=6&amp;number=4.3&amp;sourceID=14","4.3")</f>
        <v>4.3</v>
      </c>
      <c r="G697" s="4" t="str">
        <f>HYPERLINK("http://141.218.60.56/~jnz1568/getInfo.php?workbook=14_09.xlsx&amp;sheet=U0&amp;row=697&amp;col=7&amp;number=0.0958&amp;sourceID=14","0.0958")</f>
        <v>0.0958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HYPERLINK("http://141.218.60.56/~jnz1568/getInfo.php?workbook=14_09.xlsx&amp;sheet=U0&amp;row=698&amp;col=6&amp;number=4.4&amp;sourceID=14","4.4")</f>
        <v>4.4</v>
      </c>
      <c r="G698" s="4" t="str">
        <f>HYPERLINK("http://141.218.60.56/~jnz1568/getInfo.php?workbook=14_09.xlsx&amp;sheet=U0&amp;row=698&amp;col=7&amp;number=0.092&amp;sourceID=14","0.092")</f>
        <v>0.092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HYPERLINK("http://141.218.60.56/~jnz1568/getInfo.php?workbook=14_09.xlsx&amp;sheet=U0&amp;row=699&amp;col=6&amp;number=4.5&amp;sourceID=14","4.5")</f>
        <v>4.5</v>
      </c>
      <c r="G699" s="4" t="str">
        <f>HYPERLINK("http://141.218.60.56/~jnz1568/getInfo.php?workbook=14_09.xlsx&amp;sheet=U0&amp;row=699&amp;col=7&amp;number=0.0877&amp;sourceID=14","0.0877")</f>
        <v>0.0877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HYPERLINK("http://141.218.60.56/~jnz1568/getInfo.php?workbook=14_09.xlsx&amp;sheet=U0&amp;row=700&amp;col=6&amp;number=4.6&amp;sourceID=14","4.6")</f>
        <v>4.6</v>
      </c>
      <c r="G700" s="4" t="str">
        <f>HYPERLINK("http://141.218.60.56/~jnz1568/getInfo.php?workbook=14_09.xlsx&amp;sheet=U0&amp;row=700&amp;col=7&amp;number=0.083&amp;sourceID=14","0.083")</f>
        <v>0.083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HYPERLINK("http://141.218.60.56/~jnz1568/getInfo.php?workbook=14_09.xlsx&amp;sheet=U0&amp;row=701&amp;col=6&amp;number=4.7&amp;sourceID=14","4.7")</f>
        <v>4.7</v>
      </c>
      <c r="G701" s="4" t="str">
        <f>HYPERLINK("http://141.218.60.56/~jnz1568/getInfo.php?workbook=14_09.xlsx&amp;sheet=U0&amp;row=701&amp;col=7&amp;number=0.0781&amp;sourceID=14","0.0781")</f>
        <v>0.0781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HYPERLINK("http://141.218.60.56/~jnz1568/getInfo.php?workbook=14_09.xlsx&amp;sheet=U0&amp;row=702&amp;col=6&amp;number=4.8&amp;sourceID=14","4.8")</f>
        <v>4.8</v>
      </c>
      <c r="G702" s="4" t="str">
        <f>HYPERLINK("http://141.218.60.56/~jnz1568/getInfo.php?workbook=14_09.xlsx&amp;sheet=U0&amp;row=702&amp;col=7&amp;number=0.0736&amp;sourceID=14","0.0736")</f>
        <v>0.0736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HYPERLINK("http://141.218.60.56/~jnz1568/getInfo.php?workbook=14_09.xlsx&amp;sheet=U0&amp;row=703&amp;col=6&amp;number=4.9&amp;sourceID=14","4.9")</f>
        <v>4.9</v>
      </c>
      <c r="G703" s="4" t="str">
        <f>HYPERLINK("http://141.218.60.56/~jnz1568/getInfo.php?workbook=14_09.xlsx&amp;sheet=U0&amp;row=703&amp;col=7&amp;number=0.0697&amp;sourceID=14","0.0697")</f>
        <v>0.0697</v>
      </c>
    </row>
    <row r="704" spans="1:7">
      <c r="A704" s="3">
        <v>14</v>
      </c>
      <c r="B704" s="3">
        <v>9</v>
      </c>
      <c r="C704" s="3">
        <v>1</v>
      </c>
      <c r="D704" s="3">
        <v>37</v>
      </c>
      <c r="E704" s="3">
        <v>1</v>
      </c>
      <c r="F704" s="4" t="str">
        <f>HYPERLINK("http://141.218.60.56/~jnz1568/getInfo.php?workbook=14_09.xlsx&amp;sheet=U0&amp;row=704&amp;col=6&amp;number=3&amp;sourceID=14","3")</f>
        <v>3</v>
      </c>
      <c r="G704" s="4" t="str">
        <f>HYPERLINK("http://141.218.60.56/~jnz1568/getInfo.php?workbook=14_09.xlsx&amp;sheet=U0&amp;row=704&amp;col=7&amp;number=0.0816&amp;sourceID=14","0.0816")</f>
        <v>0.0816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HYPERLINK("http://141.218.60.56/~jnz1568/getInfo.php?workbook=14_09.xlsx&amp;sheet=U0&amp;row=705&amp;col=6&amp;number=3.1&amp;sourceID=14","3.1")</f>
        <v>3.1</v>
      </c>
      <c r="G705" s="4" t="str">
        <f>HYPERLINK("http://141.218.60.56/~jnz1568/getInfo.php?workbook=14_09.xlsx&amp;sheet=U0&amp;row=705&amp;col=7&amp;number=0.0814&amp;sourceID=14","0.0814")</f>
        <v>0.0814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HYPERLINK("http://141.218.60.56/~jnz1568/getInfo.php?workbook=14_09.xlsx&amp;sheet=U0&amp;row=706&amp;col=6&amp;number=3.2&amp;sourceID=14","3.2")</f>
        <v>3.2</v>
      </c>
      <c r="G706" s="4" t="str">
        <f>HYPERLINK("http://141.218.60.56/~jnz1568/getInfo.php?workbook=14_09.xlsx&amp;sheet=U0&amp;row=706&amp;col=7&amp;number=0.0811&amp;sourceID=14","0.0811")</f>
        <v>0.0811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HYPERLINK("http://141.218.60.56/~jnz1568/getInfo.php?workbook=14_09.xlsx&amp;sheet=U0&amp;row=707&amp;col=6&amp;number=3.3&amp;sourceID=14","3.3")</f>
        <v>3.3</v>
      </c>
      <c r="G707" s="4" t="str">
        <f>HYPERLINK("http://141.218.60.56/~jnz1568/getInfo.php?workbook=14_09.xlsx&amp;sheet=U0&amp;row=707&amp;col=7&amp;number=0.0808&amp;sourceID=14","0.0808")</f>
        <v>0.0808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HYPERLINK("http://141.218.60.56/~jnz1568/getInfo.php?workbook=14_09.xlsx&amp;sheet=U0&amp;row=708&amp;col=6&amp;number=3.4&amp;sourceID=14","3.4")</f>
        <v>3.4</v>
      </c>
      <c r="G708" s="4" t="str">
        <f>HYPERLINK("http://141.218.60.56/~jnz1568/getInfo.php?workbook=14_09.xlsx&amp;sheet=U0&amp;row=708&amp;col=7&amp;number=0.0804&amp;sourceID=14","0.0804")</f>
        <v>0.0804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HYPERLINK("http://141.218.60.56/~jnz1568/getInfo.php?workbook=14_09.xlsx&amp;sheet=U0&amp;row=709&amp;col=6&amp;number=3.5&amp;sourceID=14","3.5")</f>
        <v>3.5</v>
      </c>
      <c r="G709" s="4" t="str">
        <f>HYPERLINK("http://141.218.60.56/~jnz1568/getInfo.php?workbook=14_09.xlsx&amp;sheet=U0&amp;row=709&amp;col=7&amp;number=0.0799&amp;sourceID=14","0.0799")</f>
        <v>0.0799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HYPERLINK("http://141.218.60.56/~jnz1568/getInfo.php?workbook=14_09.xlsx&amp;sheet=U0&amp;row=710&amp;col=6&amp;number=3.6&amp;sourceID=14","3.6")</f>
        <v>3.6</v>
      </c>
      <c r="G710" s="4" t="str">
        <f>HYPERLINK("http://141.218.60.56/~jnz1568/getInfo.php?workbook=14_09.xlsx&amp;sheet=U0&amp;row=710&amp;col=7&amp;number=0.0793&amp;sourceID=14","0.0793")</f>
        <v>0.0793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HYPERLINK("http://141.218.60.56/~jnz1568/getInfo.php?workbook=14_09.xlsx&amp;sheet=U0&amp;row=711&amp;col=6&amp;number=3.7&amp;sourceID=14","3.7")</f>
        <v>3.7</v>
      </c>
      <c r="G711" s="4" t="str">
        <f>HYPERLINK("http://141.218.60.56/~jnz1568/getInfo.php?workbook=14_09.xlsx&amp;sheet=U0&amp;row=711&amp;col=7&amp;number=0.0785&amp;sourceID=14","0.0785")</f>
        <v>0.0785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HYPERLINK("http://141.218.60.56/~jnz1568/getInfo.php?workbook=14_09.xlsx&amp;sheet=U0&amp;row=712&amp;col=6&amp;number=3.8&amp;sourceID=14","3.8")</f>
        <v>3.8</v>
      </c>
      <c r="G712" s="4" t="str">
        <f>HYPERLINK("http://141.218.60.56/~jnz1568/getInfo.php?workbook=14_09.xlsx&amp;sheet=U0&amp;row=712&amp;col=7&amp;number=0.0775&amp;sourceID=14","0.0775")</f>
        <v>0.0775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HYPERLINK("http://141.218.60.56/~jnz1568/getInfo.php?workbook=14_09.xlsx&amp;sheet=U0&amp;row=713&amp;col=6&amp;number=3.9&amp;sourceID=14","3.9")</f>
        <v>3.9</v>
      </c>
      <c r="G713" s="4" t="str">
        <f>HYPERLINK("http://141.218.60.56/~jnz1568/getInfo.php?workbook=14_09.xlsx&amp;sheet=U0&amp;row=713&amp;col=7&amp;number=0.0762&amp;sourceID=14","0.0762")</f>
        <v>0.0762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HYPERLINK("http://141.218.60.56/~jnz1568/getInfo.php?workbook=14_09.xlsx&amp;sheet=U0&amp;row=714&amp;col=6&amp;number=4&amp;sourceID=14","4")</f>
        <v>4</v>
      </c>
      <c r="G714" s="4" t="str">
        <f>HYPERLINK("http://141.218.60.56/~jnz1568/getInfo.php?workbook=14_09.xlsx&amp;sheet=U0&amp;row=714&amp;col=7&amp;number=0.0747&amp;sourceID=14","0.0747")</f>
        <v>0.0747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HYPERLINK("http://141.218.60.56/~jnz1568/getInfo.php?workbook=14_09.xlsx&amp;sheet=U0&amp;row=715&amp;col=6&amp;number=4.1&amp;sourceID=14","4.1")</f>
        <v>4.1</v>
      </c>
      <c r="G715" s="4" t="str">
        <f>HYPERLINK("http://141.218.60.56/~jnz1568/getInfo.php?workbook=14_09.xlsx&amp;sheet=U0&amp;row=715&amp;col=7&amp;number=0.0728&amp;sourceID=14","0.0728")</f>
        <v>0.0728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HYPERLINK("http://141.218.60.56/~jnz1568/getInfo.php?workbook=14_09.xlsx&amp;sheet=U0&amp;row=716&amp;col=6&amp;number=4.2&amp;sourceID=14","4.2")</f>
        <v>4.2</v>
      </c>
      <c r="G716" s="4" t="str">
        <f>HYPERLINK("http://141.218.60.56/~jnz1568/getInfo.php?workbook=14_09.xlsx&amp;sheet=U0&amp;row=716&amp;col=7&amp;number=0.0705&amp;sourceID=14","0.0705")</f>
        <v>0.0705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HYPERLINK("http://141.218.60.56/~jnz1568/getInfo.php?workbook=14_09.xlsx&amp;sheet=U0&amp;row=717&amp;col=6&amp;number=4.3&amp;sourceID=14","4.3")</f>
        <v>4.3</v>
      </c>
      <c r="G717" s="4" t="str">
        <f>HYPERLINK("http://141.218.60.56/~jnz1568/getInfo.php?workbook=14_09.xlsx&amp;sheet=U0&amp;row=717&amp;col=7&amp;number=0.0678&amp;sourceID=14","0.0678")</f>
        <v>0.0678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HYPERLINK("http://141.218.60.56/~jnz1568/getInfo.php?workbook=14_09.xlsx&amp;sheet=U0&amp;row=718&amp;col=6&amp;number=4.4&amp;sourceID=14","4.4")</f>
        <v>4.4</v>
      </c>
      <c r="G718" s="4" t="str">
        <f>HYPERLINK("http://141.218.60.56/~jnz1568/getInfo.php?workbook=14_09.xlsx&amp;sheet=U0&amp;row=718&amp;col=7&amp;number=0.0646&amp;sourceID=14","0.0646")</f>
        <v>0.0646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HYPERLINK("http://141.218.60.56/~jnz1568/getInfo.php?workbook=14_09.xlsx&amp;sheet=U0&amp;row=719&amp;col=6&amp;number=4.5&amp;sourceID=14","4.5")</f>
        <v>4.5</v>
      </c>
      <c r="G719" s="4" t="str">
        <f>HYPERLINK("http://141.218.60.56/~jnz1568/getInfo.php?workbook=14_09.xlsx&amp;sheet=U0&amp;row=719&amp;col=7&amp;number=0.061&amp;sourceID=14","0.061")</f>
        <v>0.061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HYPERLINK("http://141.218.60.56/~jnz1568/getInfo.php?workbook=14_09.xlsx&amp;sheet=U0&amp;row=720&amp;col=6&amp;number=4.6&amp;sourceID=14","4.6")</f>
        <v>4.6</v>
      </c>
      <c r="G720" s="4" t="str">
        <f>HYPERLINK("http://141.218.60.56/~jnz1568/getInfo.php?workbook=14_09.xlsx&amp;sheet=U0&amp;row=720&amp;col=7&amp;number=0.0572&amp;sourceID=14","0.0572")</f>
        <v>0.0572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HYPERLINK("http://141.218.60.56/~jnz1568/getInfo.php?workbook=14_09.xlsx&amp;sheet=U0&amp;row=721&amp;col=6&amp;number=4.7&amp;sourceID=14","4.7")</f>
        <v>4.7</v>
      </c>
      <c r="G721" s="4" t="str">
        <f>HYPERLINK("http://141.218.60.56/~jnz1568/getInfo.php?workbook=14_09.xlsx&amp;sheet=U0&amp;row=721&amp;col=7&amp;number=0.0536&amp;sourceID=14","0.0536")</f>
        <v>0.0536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HYPERLINK("http://141.218.60.56/~jnz1568/getInfo.php?workbook=14_09.xlsx&amp;sheet=U0&amp;row=722&amp;col=6&amp;number=4.8&amp;sourceID=14","4.8")</f>
        <v>4.8</v>
      </c>
      <c r="G722" s="4" t="str">
        <f>HYPERLINK("http://141.218.60.56/~jnz1568/getInfo.php?workbook=14_09.xlsx&amp;sheet=U0&amp;row=722&amp;col=7&amp;number=0.0507&amp;sourceID=14","0.0507")</f>
        <v>0.0507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HYPERLINK("http://141.218.60.56/~jnz1568/getInfo.php?workbook=14_09.xlsx&amp;sheet=U0&amp;row=723&amp;col=6&amp;number=4.9&amp;sourceID=14","4.9")</f>
        <v>4.9</v>
      </c>
      <c r="G723" s="4" t="str">
        <f>HYPERLINK("http://141.218.60.56/~jnz1568/getInfo.php?workbook=14_09.xlsx&amp;sheet=U0&amp;row=723&amp;col=7&amp;number=0.0488&amp;sourceID=14","0.0488")</f>
        <v>0.0488</v>
      </c>
    </row>
    <row r="724" spans="1:7">
      <c r="A724" s="3">
        <v>14</v>
      </c>
      <c r="B724" s="3">
        <v>9</v>
      </c>
      <c r="C724" s="3">
        <v>1</v>
      </c>
      <c r="D724" s="3">
        <v>38</v>
      </c>
      <c r="E724" s="3">
        <v>1</v>
      </c>
      <c r="F724" s="4" t="str">
        <f>HYPERLINK("http://141.218.60.56/~jnz1568/getInfo.php?workbook=14_09.xlsx&amp;sheet=U0&amp;row=724&amp;col=6&amp;number=3&amp;sourceID=14","3")</f>
        <v>3</v>
      </c>
      <c r="G724" s="4" t="str">
        <f>HYPERLINK("http://141.218.60.56/~jnz1568/getInfo.php?workbook=14_09.xlsx&amp;sheet=U0&amp;row=724&amp;col=7&amp;number=0.0496&amp;sourceID=14","0.0496")</f>
        <v>0.0496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HYPERLINK("http://141.218.60.56/~jnz1568/getInfo.php?workbook=14_09.xlsx&amp;sheet=U0&amp;row=725&amp;col=6&amp;number=3.1&amp;sourceID=14","3.1")</f>
        <v>3.1</v>
      </c>
      <c r="G725" s="4" t="str">
        <f>HYPERLINK("http://141.218.60.56/~jnz1568/getInfo.php?workbook=14_09.xlsx&amp;sheet=U0&amp;row=725&amp;col=7&amp;number=0.0495&amp;sourceID=14","0.0495")</f>
        <v>0.0495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HYPERLINK("http://141.218.60.56/~jnz1568/getInfo.php?workbook=14_09.xlsx&amp;sheet=U0&amp;row=726&amp;col=6&amp;number=3.2&amp;sourceID=14","3.2")</f>
        <v>3.2</v>
      </c>
      <c r="G726" s="4" t="str">
        <f>HYPERLINK("http://141.218.60.56/~jnz1568/getInfo.php?workbook=14_09.xlsx&amp;sheet=U0&amp;row=726&amp;col=7&amp;number=0.0493&amp;sourceID=14","0.0493")</f>
        <v>0.0493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HYPERLINK("http://141.218.60.56/~jnz1568/getInfo.php?workbook=14_09.xlsx&amp;sheet=U0&amp;row=727&amp;col=6&amp;number=3.3&amp;sourceID=14","3.3")</f>
        <v>3.3</v>
      </c>
      <c r="G727" s="4" t="str">
        <f>HYPERLINK("http://141.218.60.56/~jnz1568/getInfo.php?workbook=14_09.xlsx&amp;sheet=U0&amp;row=727&amp;col=7&amp;number=0.0491&amp;sourceID=14","0.0491")</f>
        <v>0.0491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HYPERLINK("http://141.218.60.56/~jnz1568/getInfo.php?workbook=14_09.xlsx&amp;sheet=U0&amp;row=728&amp;col=6&amp;number=3.4&amp;sourceID=14","3.4")</f>
        <v>3.4</v>
      </c>
      <c r="G728" s="4" t="str">
        <f>HYPERLINK("http://141.218.60.56/~jnz1568/getInfo.php?workbook=14_09.xlsx&amp;sheet=U0&amp;row=728&amp;col=7&amp;number=0.0489&amp;sourceID=14","0.0489")</f>
        <v>0.0489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HYPERLINK("http://141.218.60.56/~jnz1568/getInfo.php?workbook=14_09.xlsx&amp;sheet=U0&amp;row=729&amp;col=6&amp;number=3.5&amp;sourceID=14","3.5")</f>
        <v>3.5</v>
      </c>
      <c r="G729" s="4" t="str">
        <f>HYPERLINK("http://141.218.60.56/~jnz1568/getInfo.php?workbook=14_09.xlsx&amp;sheet=U0&amp;row=729&amp;col=7&amp;number=0.0485&amp;sourceID=14","0.0485")</f>
        <v>0.0485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HYPERLINK("http://141.218.60.56/~jnz1568/getInfo.php?workbook=14_09.xlsx&amp;sheet=U0&amp;row=730&amp;col=6&amp;number=3.6&amp;sourceID=14","3.6")</f>
        <v>3.6</v>
      </c>
      <c r="G730" s="4" t="str">
        <f>HYPERLINK("http://141.218.60.56/~jnz1568/getInfo.php?workbook=14_09.xlsx&amp;sheet=U0&amp;row=730&amp;col=7&amp;number=0.0481&amp;sourceID=14","0.0481")</f>
        <v>0.0481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HYPERLINK("http://141.218.60.56/~jnz1568/getInfo.php?workbook=14_09.xlsx&amp;sheet=U0&amp;row=731&amp;col=6&amp;number=3.7&amp;sourceID=14","3.7")</f>
        <v>3.7</v>
      </c>
      <c r="G731" s="4" t="str">
        <f>HYPERLINK("http://141.218.60.56/~jnz1568/getInfo.php?workbook=14_09.xlsx&amp;sheet=U0&amp;row=731&amp;col=7&amp;number=0.0477&amp;sourceID=14","0.0477")</f>
        <v>0.0477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HYPERLINK("http://141.218.60.56/~jnz1568/getInfo.php?workbook=14_09.xlsx&amp;sheet=U0&amp;row=732&amp;col=6&amp;number=3.8&amp;sourceID=14","3.8")</f>
        <v>3.8</v>
      </c>
      <c r="G732" s="4" t="str">
        <f>HYPERLINK("http://141.218.60.56/~jnz1568/getInfo.php?workbook=14_09.xlsx&amp;sheet=U0&amp;row=732&amp;col=7&amp;number=0.047&amp;sourceID=14","0.047")</f>
        <v>0.047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HYPERLINK("http://141.218.60.56/~jnz1568/getInfo.php?workbook=14_09.xlsx&amp;sheet=U0&amp;row=733&amp;col=6&amp;number=3.9&amp;sourceID=14","3.9")</f>
        <v>3.9</v>
      </c>
      <c r="G733" s="4" t="str">
        <f>HYPERLINK("http://141.218.60.56/~jnz1568/getInfo.php?workbook=14_09.xlsx&amp;sheet=U0&amp;row=733&amp;col=7&amp;number=0.0463&amp;sourceID=14","0.0463")</f>
        <v>0.0463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HYPERLINK("http://141.218.60.56/~jnz1568/getInfo.php?workbook=14_09.xlsx&amp;sheet=U0&amp;row=734&amp;col=6&amp;number=4&amp;sourceID=14","4")</f>
        <v>4</v>
      </c>
      <c r="G734" s="4" t="str">
        <f>HYPERLINK("http://141.218.60.56/~jnz1568/getInfo.php?workbook=14_09.xlsx&amp;sheet=U0&amp;row=734&amp;col=7&amp;number=0.0453&amp;sourceID=14","0.0453")</f>
        <v>0.0453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HYPERLINK("http://141.218.60.56/~jnz1568/getInfo.php?workbook=14_09.xlsx&amp;sheet=U0&amp;row=735&amp;col=6&amp;number=4.1&amp;sourceID=14","4.1")</f>
        <v>4.1</v>
      </c>
      <c r="G735" s="4" t="str">
        <f>HYPERLINK("http://141.218.60.56/~jnz1568/getInfo.php?workbook=14_09.xlsx&amp;sheet=U0&amp;row=735&amp;col=7&amp;number=0.0442&amp;sourceID=14","0.0442")</f>
        <v>0.0442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HYPERLINK("http://141.218.60.56/~jnz1568/getInfo.php?workbook=14_09.xlsx&amp;sheet=U0&amp;row=736&amp;col=6&amp;number=4.2&amp;sourceID=14","4.2")</f>
        <v>4.2</v>
      </c>
      <c r="G736" s="4" t="str">
        <f>HYPERLINK("http://141.218.60.56/~jnz1568/getInfo.php?workbook=14_09.xlsx&amp;sheet=U0&amp;row=736&amp;col=7&amp;number=0.0427&amp;sourceID=14","0.0427")</f>
        <v>0.0427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HYPERLINK("http://141.218.60.56/~jnz1568/getInfo.php?workbook=14_09.xlsx&amp;sheet=U0&amp;row=737&amp;col=6&amp;number=4.3&amp;sourceID=14","4.3")</f>
        <v>4.3</v>
      </c>
      <c r="G737" s="4" t="str">
        <f>HYPERLINK("http://141.218.60.56/~jnz1568/getInfo.php?workbook=14_09.xlsx&amp;sheet=U0&amp;row=737&amp;col=7&amp;number=0.0411&amp;sourceID=14","0.0411")</f>
        <v>0.0411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HYPERLINK("http://141.218.60.56/~jnz1568/getInfo.php?workbook=14_09.xlsx&amp;sheet=U0&amp;row=738&amp;col=6&amp;number=4.4&amp;sourceID=14","4.4")</f>
        <v>4.4</v>
      </c>
      <c r="G738" s="4" t="str">
        <f>HYPERLINK("http://141.218.60.56/~jnz1568/getInfo.php?workbook=14_09.xlsx&amp;sheet=U0&amp;row=738&amp;col=7&amp;number=0.0391&amp;sourceID=14","0.0391")</f>
        <v>0.0391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HYPERLINK("http://141.218.60.56/~jnz1568/getInfo.php?workbook=14_09.xlsx&amp;sheet=U0&amp;row=739&amp;col=6&amp;number=4.5&amp;sourceID=14","4.5")</f>
        <v>4.5</v>
      </c>
      <c r="G739" s="4" t="str">
        <f>HYPERLINK("http://141.218.60.56/~jnz1568/getInfo.php?workbook=14_09.xlsx&amp;sheet=U0&amp;row=739&amp;col=7&amp;number=0.0368&amp;sourceID=14","0.0368")</f>
        <v>0.0368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HYPERLINK("http://141.218.60.56/~jnz1568/getInfo.php?workbook=14_09.xlsx&amp;sheet=U0&amp;row=740&amp;col=6&amp;number=4.6&amp;sourceID=14","4.6")</f>
        <v>4.6</v>
      </c>
      <c r="G740" s="4" t="str">
        <f>HYPERLINK("http://141.218.60.56/~jnz1568/getInfo.php?workbook=14_09.xlsx&amp;sheet=U0&amp;row=740&amp;col=7&amp;number=0.0344&amp;sourceID=14","0.0344")</f>
        <v>0.0344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HYPERLINK("http://141.218.60.56/~jnz1568/getInfo.php?workbook=14_09.xlsx&amp;sheet=U0&amp;row=741&amp;col=6&amp;number=4.7&amp;sourceID=14","4.7")</f>
        <v>4.7</v>
      </c>
      <c r="G741" s="4" t="str">
        <f>HYPERLINK("http://141.218.60.56/~jnz1568/getInfo.php?workbook=14_09.xlsx&amp;sheet=U0&amp;row=741&amp;col=7&amp;number=0.0321&amp;sourceID=14","0.0321")</f>
        <v>0.0321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HYPERLINK("http://141.218.60.56/~jnz1568/getInfo.php?workbook=14_09.xlsx&amp;sheet=U0&amp;row=742&amp;col=6&amp;number=4.8&amp;sourceID=14","4.8")</f>
        <v>4.8</v>
      </c>
      <c r="G742" s="4" t="str">
        <f>HYPERLINK("http://141.218.60.56/~jnz1568/getInfo.php?workbook=14_09.xlsx&amp;sheet=U0&amp;row=742&amp;col=7&amp;number=0.0302&amp;sourceID=14","0.0302")</f>
        <v>0.0302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HYPERLINK("http://141.218.60.56/~jnz1568/getInfo.php?workbook=14_09.xlsx&amp;sheet=U0&amp;row=743&amp;col=6&amp;number=4.9&amp;sourceID=14","4.9")</f>
        <v>4.9</v>
      </c>
      <c r="G743" s="4" t="str">
        <f>HYPERLINK("http://141.218.60.56/~jnz1568/getInfo.php?workbook=14_09.xlsx&amp;sheet=U0&amp;row=743&amp;col=7&amp;number=0.0288&amp;sourceID=14","0.0288")</f>
        <v>0.0288</v>
      </c>
    </row>
    <row r="744" spans="1:7">
      <c r="A744" s="3">
        <v>14</v>
      </c>
      <c r="B744" s="3">
        <v>9</v>
      </c>
      <c r="C744" s="3">
        <v>1</v>
      </c>
      <c r="D744" s="3">
        <v>39</v>
      </c>
      <c r="E744" s="3">
        <v>1</v>
      </c>
      <c r="F744" s="4" t="str">
        <f>HYPERLINK("http://141.218.60.56/~jnz1568/getInfo.php?workbook=14_09.xlsx&amp;sheet=U0&amp;row=744&amp;col=6&amp;number=3&amp;sourceID=14","3")</f>
        <v>3</v>
      </c>
      <c r="G744" s="4" t="str">
        <f>HYPERLINK("http://141.218.60.56/~jnz1568/getInfo.php?workbook=14_09.xlsx&amp;sheet=U0&amp;row=744&amp;col=7&amp;number=0.031&amp;sourceID=14","0.031")</f>
        <v>0.031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HYPERLINK("http://141.218.60.56/~jnz1568/getInfo.php?workbook=14_09.xlsx&amp;sheet=U0&amp;row=745&amp;col=6&amp;number=3.1&amp;sourceID=14","3.1")</f>
        <v>3.1</v>
      </c>
      <c r="G745" s="4" t="str">
        <f>HYPERLINK("http://141.218.60.56/~jnz1568/getInfo.php?workbook=14_09.xlsx&amp;sheet=U0&amp;row=745&amp;col=7&amp;number=0.031&amp;sourceID=14","0.031")</f>
        <v>0.031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HYPERLINK("http://141.218.60.56/~jnz1568/getInfo.php?workbook=14_09.xlsx&amp;sheet=U0&amp;row=746&amp;col=6&amp;number=3.2&amp;sourceID=14","3.2")</f>
        <v>3.2</v>
      </c>
      <c r="G746" s="4" t="str">
        <f>HYPERLINK("http://141.218.60.56/~jnz1568/getInfo.php?workbook=14_09.xlsx&amp;sheet=U0&amp;row=746&amp;col=7&amp;number=0.0309&amp;sourceID=14","0.0309")</f>
        <v>0.0309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HYPERLINK("http://141.218.60.56/~jnz1568/getInfo.php?workbook=14_09.xlsx&amp;sheet=U0&amp;row=747&amp;col=6&amp;number=3.3&amp;sourceID=14","3.3")</f>
        <v>3.3</v>
      </c>
      <c r="G747" s="4" t="str">
        <f>HYPERLINK("http://141.218.60.56/~jnz1568/getInfo.php?workbook=14_09.xlsx&amp;sheet=U0&amp;row=747&amp;col=7&amp;number=0.0308&amp;sourceID=14","0.0308")</f>
        <v>0.0308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HYPERLINK("http://141.218.60.56/~jnz1568/getInfo.php?workbook=14_09.xlsx&amp;sheet=U0&amp;row=748&amp;col=6&amp;number=3.4&amp;sourceID=14","3.4")</f>
        <v>3.4</v>
      </c>
      <c r="G748" s="4" t="str">
        <f>HYPERLINK("http://141.218.60.56/~jnz1568/getInfo.php?workbook=14_09.xlsx&amp;sheet=U0&amp;row=748&amp;col=7&amp;number=0.0306&amp;sourceID=14","0.0306")</f>
        <v>0.0306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HYPERLINK("http://141.218.60.56/~jnz1568/getInfo.php?workbook=14_09.xlsx&amp;sheet=U0&amp;row=749&amp;col=6&amp;number=3.5&amp;sourceID=14","3.5")</f>
        <v>3.5</v>
      </c>
      <c r="G749" s="4" t="str">
        <f>HYPERLINK("http://141.218.60.56/~jnz1568/getInfo.php?workbook=14_09.xlsx&amp;sheet=U0&amp;row=749&amp;col=7&amp;number=0.0304&amp;sourceID=14","0.0304")</f>
        <v>0.0304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HYPERLINK("http://141.218.60.56/~jnz1568/getInfo.php?workbook=14_09.xlsx&amp;sheet=U0&amp;row=750&amp;col=6&amp;number=3.6&amp;sourceID=14","3.6")</f>
        <v>3.6</v>
      </c>
      <c r="G750" s="4" t="str">
        <f>HYPERLINK("http://141.218.60.56/~jnz1568/getInfo.php?workbook=14_09.xlsx&amp;sheet=U0&amp;row=750&amp;col=7&amp;number=0.0302&amp;sourceID=14","0.0302")</f>
        <v>0.0302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HYPERLINK("http://141.218.60.56/~jnz1568/getInfo.php?workbook=14_09.xlsx&amp;sheet=U0&amp;row=751&amp;col=6&amp;number=3.7&amp;sourceID=14","3.7")</f>
        <v>3.7</v>
      </c>
      <c r="G751" s="4" t="str">
        <f>HYPERLINK("http://141.218.60.56/~jnz1568/getInfo.php?workbook=14_09.xlsx&amp;sheet=U0&amp;row=751&amp;col=7&amp;number=0.0299&amp;sourceID=14","0.0299")</f>
        <v>0.0299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HYPERLINK("http://141.218.60.56/~jnz1568/getInfo.php?workbook=14_09.xlsx&amp;sheet=U0&amp;row=752&amp;col=6&amp;number=3.8&amp;sourceID=14","3.8")</f>
        <v>3.8</v>
      </c>
      <c r="G752" s="4" t="str">
        <f>HYPERLINK("http://141.218.60.56/~jnz1568/getInfo.php?workbook=14_09.xlsx&amp;sheet=U0&amp;row=752&amp;col=7&amp;number=0.0296&amp;sourceID=14","0.0296")</f>
        <v>0.0296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HYPERLINK("http://141.218.60.56/~jnz1568/getInfo.php?workbook=14_09.xlsx&amp;sheet=U0&amp;row=753&amp;col=6&amp;number=3.9&amp;sourceID=14","3.9")</f>
        <v>3.9</v>
      </c>
      <c r="G753" s="4" t="str">
        <f>HYPERLINK("http://141.218.60.56/~jnz1568/getInfo.php?workbook=14_09.xlsx&amp;sheet=U0&amp;row=753&amp;col=7&amp;number=0.0291&amp;sourceID=14","0.0291")</f>
        <v>0.0291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HYPERLINK("http://141.218.60.56/~jnz1568/getInfo.php?workbook=14_09.xlsx&amp;sheet=U0&amp;row=754&amp;col=6&amp;number=4&amp;sourceID=14","4")</f>
        <v>4</v>
      </c>
      <c r="G754" s="4" t="str">
        <f>HYPERLINK("http://141.218.60.56/~jnz1568/getInfo.php?workbook=14_09.xlsx&amp;sheet=U0&amp;row=754&amp;col=7&amp;number=0.0286&amp;sourceID=14","0.0286")</f>
        <v>0.0286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HYPERLINK("http://141.218.60.56/~jnz1568/getInfo.php?workbook=14_09.xlsx&amp;sheet=U0&amp;row=755&amp;col=6&amp;number=4.1&amp;sourceID=14","4.1")</f>
        <v>4.1</v>
      </c>
      <c r="G755" s="4" t="str">
        <f>HYPERLINK("http://141.218.60.56/~jnz1568/getInfo.php?workbook=14_09.xlsx&amp;sheet=U0&amp;row=755&amp;col=7&amp;number=0.0279&amp;sourceID=14","0.0279")</f>
        <v>0.0279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HYPERLINK("http://141.218.60.56/~jnz1568/getInfo.php?workbook=14_09.xlsx&amp;sheet=U0&amp;row=756&amp;col=6&amp;number=4.2&amp;sourceID=14","4.2")</f>
        <v>4.2</v>
      </c>
      <c r="G756" s="4" t="str">
        <f>HYPERLINK("http://141.218.60.56/~jnz1568/getInfo.php?workbook=14_09.xlsx&amp;sheet=U0&amp;row=756&amp;col=7&amp;number=0.0271&amp;sourceID=14","0.0271")</f>
        <v>0.0271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HYPERLINK("http://141.218.60.56/~jnz1568/getInfo.php?workbook=14_09.xlsx&amp;sheet=U0&amp;row=757&amp;col=6&amp;number=4.3&amp;sourceID=14","4.3")</f>
        <v>4.3</v>
      </c>
      <c r="G757" s="4" t="str">
        <f>HYPERLINK("http://141.218.60.56/~jnz1568/getInfo.php?workbook=14_09.xlsx&amp;sheet=U0&amp;row=757&amp;col=7&amp;number=0.0261&amp;sourceID=14","0.0261")</f>
        <v>0.0261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HYPERLINK("http://141.218.60.56/~jnz1568/getInfo.php?workbook=14_09.xlsx&amp;sheet=U0&amp;row=758&amp;col=6&amp;number=4.4&amp;sourceID=14","4.4")</f>
        <v>4.4</v>
      </c>
      <c r="G758" s="4" t="str">
        <f>HYPERLINK("http://141.218.60.56/~jnz1568/getInfo.php?workbook=14_09.xlsx&amp;sheet=U0&amp;row=758&amp;col=7&amp;number=0.025&amp;sourceID=14","0.025")</f>
        <v>0.025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HYPERLINK("http://141.218.60.56/~jnz1568/getInfo.php?workbook=14_09.xlsx&amp;sheet=U0&amp;row=759&amp;col=6&amp;number=4.5&amp;sourceID=14","4.5")</f>
        <v>4.5</v>
      </c>
      <c r="G759" s="4" t="str">
        <f>HYPERLINK("http://141.218.60.56/~jnz1568/getInfo.php?workbook=14_09.xlsx&amp;sheet=U0&amp;row=759&amp;col=7&amp;number=0.0237&amp;sourceID=14","0.0237")</f>
        <v>0.0237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HYPERLINK("http://141.218.60.56/~jnz1568/getInfo.php?workbook=14_09.xlsx&amp;sheet=U0&amp;row=760&amp;col=6&amp;number=4.6&amp;sourceID=14","4.6")</f>
        <v>4.6</v>
      </c>
      <c r="G760" s="4" t="str">
        <f>HYPERLINK("http://141.218.60.56/~jnz1568/getInfo.php?workbook=14_09.xlsx&amp;sheet=U0&amp;row=760&amp;col=7&amp;number=0.0223&amp;sourceID=14","0.0223")</f>
        <v>0.0223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HYPERLINK("http://141.218.60.56/~jnz1568/getInfo.php?workbook=14_09.xlsx&amp;sheet=U0&amp;row=761&amp;col=6&amp;number=4.7&amp;sourceID=14","4.7")</f>
        <v>4.7</v>
      </c>
      <c r="G761" s="4" t="str">
        <f>HYPERLINK("http://141.218.60.56/~jnz1568/getInfo.php?workbook=14_09.xlsx&amp;sheet=U0&amp;row=761&amp;col=7&amp;number=0.0209&amp;sourceID=14","0.0209")</f>
        <v>0.0209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HYPERLINK("http://141.218.60.56/~jnz1568/getInfo.php?workbook=14_09.xlsx&amp;sheet=U0&amp;row=762&amp;col=6&amp;number=4.8&amp;sourceID=14","4.8")</f>
        <v>4.8</v>
      </c>
      <c r="G762" s="4" t="str">
        <f>HYPERLINK("http://141.218.60.56/~jnz1568/getInfo.php?workbook=14_09.xlsx&amp;sheet=U0&amp;row=762&amp;col=7&amp;number=0.0197&amp;sourceID=14","0.0197")</f>
        <v>0.0197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HYPERLINK("http://141.218.60.56/~jnz1568/getInfo.php?workbook=14_09.xlsx&amp;sheet=U0&amp;row=763&amp;col=6&amp;number=4.9&amp;sourceID=14","4.9")</f>
        <v>4.9</v>
      </c>
      <c r="G763" s="4" t="str">
        <f>HYPERLINK("http://141.218.60.56/~jnz1568/getInfo.php?workbook=14_09.xlsx&amp;sheet=U0&amp;row=763&amp;col=7&amp;number=0.0188&amp;sourceID=14","0.0188")</f>
        <v>0.0188</v>
      </c>
    </row>
    <row r="764" spans="1:7">
      <c r="A764" s="3">
        <v>14</v>
      </c>
      <c r="B764" s="3">
        <v>9</v>
      </c>
      <c r="C764" s="3">
        <v>1</v>
      </c>
      <c r="D764" s="3">
        <v>40</v>
      </c>
      <c r="E764" s="3">
        <v>1</v>
      </c>
      <c r="F764" s="4" t="str">
        <f>HYPERLINK("http://141.218.60.56/~jnz1568/getInfo.php?workbook=14_09.xlsx&amp;sheet=U0&amp;row=764&amp;col=6&amp;number=3&amp;sourceID=14","3")</f>
        <v>3</v>
      </c>
      <c r="G764" s="4" t="str">
        <f>HYPERLINK("http://141.218.60.56/~jnz1568/getInfo.php?workbook=14_09.xlsx&amp;sheet=U0&amp;row=764&amp;col=7&amp;number=0.0581&amp;sourceID=14","0.0581")</f>
        <v>0.0581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HYPERLINK("http://141.218.60.56/~jnz1568/getInfo.php?workbook=14_09.xlsx&amp;sheet=U0&amp;row=765&amp;col=6&amp;number=3.1&amp;sourceID=14","3.1")</f>
        <v>3.1</v>
      </c>
      <c r="G765" s="4" t="str">
        <f>HYPERLINK("http://141.218.60.56/~jnz1568/getInfo.php?workbook=14_09.xlsx&amp;sheet=U0&amp;row=765&amp;col=7&amp;number=0.058&amp;sourceID=14","0.058")</f>
        <v>0.058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HYPERLINK("http://141.218.60.56/~jnz1568/getInfo.php?workbook=14_09.xlsx&amp;sheet=U0&amp;row=766&amp;col=6&amp;number=3.2&amp;sourceID=14","3.2")</f>
        <v>3.2</v>
      </c>
      <c r="G766" s="4" t="str">
        <f>HYPERLINK("http://141.218.60.56/~jnz1568/getInfo.php?workbook=14_09.xlsx&amp;sheet=U0&amp;row=766&amp;col=7&amp;number=0.0578&amp;sourceID=14","0.0578")</f>
        <v>0.0578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HYPERLINK("http://141.218.60.56/~jnz1568/getInfo.php?workbook=14_09.xlsx&amp;sheet=U0&amp;row=767&amp;col=6&amp;number=3.3&amp;sourceID=14","3.3")</f>
        <v>3.3</v>
      </c>
      <c r="G767" s="4" t="str">
        <f>HYPERLINK("http://141.218.60.56/~jnz1568/getInfo.php?workbook=14_09.xlsx&amp;sheet=U0&amp;row=767&amp;col=7&amp;number=0.0576&amp;sourceID=14","0.0576")</f>
        <v>0.0576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HYPERLINK("http://141.218.60.56/~jnz1568/getInfo.php?workbook=14_09.xlsx&amp;sheet=U0&amp;row=768&amp;col=6&amp;number=3.4&amp;sourceID=14","3.4")</f>
        <v>3.4</v>
      </c>
      <c r="G768" s="4" t="str">
        <f>HYPERLINK("http://141.218.60.56/~jnz1568/getInfo.php?workbook=14_09.xlsx&amp;sheet=U0&amp;row=768&amp;col=7&amp;number=0.0573&amp;sourceID=14","0.0573")</f>
        <v>0.0573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HYPERLINK("http://141.218.60.56/~jnz1568/getInfo.php?workbook=14_09.xlsx&amp;sheet=U0&amp;row=769&amp;col=6&amp;number=3.5&amp;sourceID=14","3.5")</f>
        <v>3.5</v>
      </c>
      <c r="G769" s="4" t="str">
        <f>HYPERLINK("http://141.218.60.56/~jnz1568/getInfo.php?workbook=14_09.xlsx&amp;sheet=U0&amp;row=769&amp;col=7&amp;number=0.057&amp;sourceID=14","0.057")</f>
        <v>0.057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HYPERLINK("http://141.218.60.56/~jnz1568/getInfo.php?workbook=14_09.xlsx&amp;sheet=U0&amp;row=770&amp;col=6&amp;number=3.6&amp;sourceID=14","3.6")</f>
        <v>3.6</v>
      </c>
      <c r="G770" s="4" t="str">
        <f>HYPERLINK("http://141.218.60.56/~jnz1568/getInfo.php?workbook=14_09.xlsx&amp;sheet=U0&amp;row=770&amp;col=7&amp;number=0.0566&amp;sourceID=14","0.0566")</f>
        <v>0.0566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HYPERLINK("http://141.218.60.56/~jnz1568/getInfo.php?workbook=14_09.xlsx&amp;sheet=U0&amp;row=771&amp;col=6&amp;number=3.7&amp;sourceID=14","3.7")</f>
        <v>3.7</v>
      </c>
      <c r="G771" s="4" t="str">
        <f>HYPERLINK("http://141.218.60.56/~jnz1568/getInfo.php?workbook=14_09.xlsx&amp;sheet=U0&amp;row=771&amp;col=7&amp;number=0.0561&amp;sourceID=14","0.0561")</f>
        <v>0.0561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HYPERLINK("http://141.218.60.56/~jnz1568/getInfo.php?workbook=14_09.xlsx&amp;sheet=U0&amp;row=772&amp;col=6&amp;number=3.8&amp;sourceID=14","3.8")</f>
        <v>3.8</v>
      </c>
      <c r="G772" s="4" t="str">
        <f>HYPERLINK("http://141.218.60.56/~jnz1568/getInfo.php?workbook=14_09.xlsx&amp;sheet=U0&amp;row=772&amp;col=7&amp;number=0.0555&amp;sourceID=14","0.0555")</f>
        <v>0.0555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HYPERLINK("http://141.218.60.56/~jnz1568/getInfo.php?workbook=14_09.xlsx&amp;sheet=U0&amp;row=773&amp;col=6&amp;number=3.9&amp;sourceID=14","3.9")</f>
        <v>3.9</v>
      </c>
      <c r="G773" s="4" t="str">
        <f>HYPERLINK("http://141.218.60.56/~jnz1568/getInfo.php?workbook=14_09.xlsx&amp;sheet=U0&amp;row=773&amp;col=7&amp;number=0.0547&amp;sourceID=14","0.0547")</f>
        <v>0.0547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HYPERLINK("http://141.218.60.56/~jnz1568/getInfo.php?workbook=14_09.xlsx&amp;sheet=U0&amp;row=774&amp;col=6&amp;number=4&amp;sourceID=14","4")</f>
        <v>4</v>
      </c>
      <c r="G774" s="4" t="str">
        <f>HYPERLINK("http://141.218.60.56/~jnz1568/getInfo.php?workbook=14_09.xlsx&amp;sheet=U0&amp;row=774&amp;col=7&amp;number=0.0538&amp;sourceID=14","0.0538")</f>
        <v>0.0538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HYPERLINK("http://141.218.60.56/~jnz1568/getInfo.php?workbook=14_09.xlsx&amp;sheet=U0&amp;row=775&amp;col=6&amp;number=4.1&amp;sourceID=14","4.1")</f>
        <v>4.1</v>
      </c>
      <c r="G775" s="4" t="str">
        <f>HYPERLINK("http://141.218.60.56/~jnz1568/getInfo.php?workbook=14_09.xlsx&amp;sheet=U0&amp;row=775&amp;col=7&amp;number=0.0526&amp;sourceID=14","0.0526")</f>
        <v>0.0526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HYPERLINK("http://141.218.60.56/~jnz1568/getInfo.php?workbook=14_09.xlsx&amp;sheet=U0&amp;row=776&amp;col=6&amp;number=4.2&amp;sourceID=14","4.2")</f>
        <v>4.2</v>
      </c>
      <c r="G776" s="4" t="str">
        <f>HYPERLINK("http://141.218.60.56/~jnz1568/getInfo.php?workbook=14_09.xlsx&amp;sheet=U0&amp;row=776&amp;col=7&amp;number=0.0512&amp;sourceID=14","0.0512")</f>
        <v>0.0512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HYPERLINK("http://141.218.60.56/~jnz1568/getInfo.php?workbook=14_09.xlsx&amp;sheet=U0&amp;row=777&amp;col=6&amp;number=4.3&amp;sourceID=14","4.3")</f>
        <v>4.3</v>
      </c>
      <c r="G777" s="4" t="str">
        <f>HYPERLINK("http://141.218.60.56/~jnz1568/getInfo.php?workbook=14_09.xlsx&amp;sheet=U0&amp;row=777&amp;col=7&amp;number=0.0495&amp;sourceID=14","0.0495")</f>
        <v>0.0495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HYPERLINK("http://141.218.60.56/~jnz1568/getInfo.php?workbook=14_09.xlsx&amp;sheet=U0&amp;row=778&amp;col=6&amp;number=4.4&amp;sourceID=14","4.4")</f>
        <v>4.4</v>
      </c>
      <c r="G778" s="4" t="str">
        <f>HYPERLINK("http://141.218.60.56/~jnz1568/getInfo.php?workbook=14_09.xlsx&amp;sheet=U0&amp;row=778&amp;col=7&amp;number=0.0474&amp;sourceID=14","0.0474")</f>
        <v>0.0474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HYPERLINK("http://141.218.60.56/~jnz1568/getInfo.php?workbook=14_09.xlsx&amp;sheet=U0&amp;row=779&amp;col=6&amp;number=4.5&amp;sourceID=14","4.5")</f>
        <v>4.5</v>
      </c>
      <c r="G779" s="4" t="str">
        <f>HYPERLINK("http://141.218.60.56/~jnz1568/getInfo.php?workbook=14_09.xlsx&amp;sheet=U0&amp;row=779&amp;col=7&amp;number=0.0451&amp;sourceID=14","0.0451")</f>
        <v>0.0451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HYPERLINK("http://141.218.60.56/~jnz1568/getInfo.php?workbook=14_09.xlsx&amp;sheet=U0&amp;row=780&amp;col=6&amp;number=4.6&amp;sourceID=14","4.6")</f>
        <v>4.6</v>
      </c>
      <c r="G780" s="4" t="str">
        <f>HYPERLINK("http://141.218.60.56/~jnz1568/getInfo.php?workbook=14_09.xlsx&amp;sheet=U0&amp;row=780&amp;col=7&amp;number=0.0426&amp;sourceID=14","0.0426")</f>
        <v>0.0426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HYPERLINK("http://141.218.60.56/~jnz1568/getInfo.php?workbook=14_09.xlsx&amp;sheet=U0&amp;row=781&amp;col=6&amp;number=4.7&amp;sourceID=14","4.7")</f>
        <v>4.7</v>
      </c>
      <c r="G781" s="4" t="str">
        <f>HYPERLINK("http://141.218.60.56/~jnz1568/getInfo.php?workbook=14_09.xlsx&amp;sheet=U0&amp;row=781&amp;col=7&amp;number=0.0401&amp;sourceID=14","0.0401")</f>
        <v>0.0401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HYPERLINK("http://141.218.60.56/~jnz1568/getInfo.php?workbook=14_09.xlsx&amp;sheet=U0&amp;row=782&amp;col=6&amp;number=4.8&amp;sourceID=14","4.8")</f>
        <v>4.8</v>
      </c>
      <c r="G782" s="4" t="str">
        <f>HYPERLINK("http://141.218.60.56/~jnz1568/getInfo.php?workbook=14_09.xlsx&amp;sheet=U0&amp;row=782&amp;col=7&amp;number=0.0379&amp;sourceID=14","0.0379")</f>
        <v>0.0379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HYPERLINK("http://141.218.60.56/~jnz1568/getInfo.php?workbook=14_09.xlsx&amp;sheet=U0&amp;row=783&amp;col=6&amp;number=4.9&amp;sourceID=14","4.9")</f>
        <v>4.9</v>
      </c>
      <c r="G783" s="4" t="str">
        <f>HYPERLINK("http://141.218.60.56/~jnz1568/getInfo.php?workbook=14_09.xlsx&amp;sheet=U0&amp;row=783&amp;col=7&amp;number=0.0362&amp;sourceID=14","0.0362")</f>
        <v>0.0362</v>
      </c>
    </row>
    <row r="784" spans="1:7">
      <c r="A784" s="3">
        <v>14</v>
      </c>
      <c r="B784" s="3">
        <v>9</v>
      </c>
      <c r="C784" s="3">
        <v>1</v>
      </c>
      <c r="D784" s="3">
        <v>41</v>
      </c>
      <c r="E784" s="3">
        <v>1</v>
      </c>
      <c r="F784" s="4" t="str">
        <f>HYPERLINK("http://141.218.60.56/~jnz1568/getInfo.php?workbook=14_09.xlsx&amp;sheet=U0&amp;row=784&amp;col=6&amp;number=3&amp;sourceID=14","3")</f>
        <v>3</v>
      </c>
      <c r="G784" s="4" t="str">
        <f>HYPERLINK("http://141.218.60.56/~jnz1568/getInfo.php?workbook=14_09.xlsx&amp;sheet=U0&amp;row=784&amp;col=7&amp;number=0.137&amp;sourceID=14","0.137")</f>
        <v>0.137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HYPERLINK("http://141.218.60.56/~jnz1568/getInfo.php?workbook=14_09.xlsx&amp;sheet=U0&amp;row=785&amp;col=6&amp;number=3.1&amp;sourceID=14","3.1")</f>
        <v>3.1</v>
      </c>
      <c r="G785" s="4" t="str">
        <f>HYPERLINK("http://141.218.60.56/~jnz1568/getInfo.php?workbook=14_09.xlsx&amp;sheet=U0&amp;row=785&amp;col=7&amp;number=0.137&amp;sourceID=14","0.137")</f>
        <v>0.137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HYPERLINK("http://141.218.60.56/~jnz1568/getInfo.php?workbook=14_09.xlsx&amp;sheet=U0&amp;row=786&amp;col=6&amp;number=3.2&amp;sourceID=14","3.2")</f>
        <v>3.2</v>
      </c>
      <c r="G786" s="4" t="str">
        <f>HYPERLINK("http://141.218.60.56/~jnz1568/getInfo.php?workbook=14_09.xlsx&amp;sheet=U0&amp;row=786&amp;col=7&amp;number=0.136&amp;sourceID=14","0.136")</f>
        <v>0.136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HYPERLINK("http://141.218.60.56/~jnz1568/getInfo.php?workbook=14_09.xlsx&amp;sheet=U0&amp;row=787&amp;col=6&amp;number=3.3&amp;sourceID=14","3.3")</f>
        <v>3.3</v>
      </c>
      <c r="G787" s="4" t="str">
        <f>HYPERLINK("http://141.218.60.56/~jnz1568/getInfo.php?workbook=14_09.xlsx&amp;sheet=U0&amp;row=787&amp;col=7&amp;number=0.136&amp;sourceID=14","0.136")</f>
        <v>0.136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HYPERLINK("http://141.218.60.56/~jnz1568/getInfo.php?workbook=14_09.xlsx&amp;sheet=U0&amp;row=788&amp;col=6&amp;number=3.4&amp;sourceID=14","3.4")</f>
        <v>3.4</v>
      </c>
      <c r="G788" s="4" t="str">
        <f>HYPERLINK("http://141.218.60.56/~jnz1568/getInfo.php?workbook=14_09.xlsx&amp;sheet=U0&amp;row=788&amp;col=7&amp;number=0.135&amp;sourceID=14","0.135")</f>
        <v>0.135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HYPERLINK("http://141.218.60.56/~jnz1568/getInfo.php?workbook=14_09.xlsx&amp;sheet=U0&amp;row=789&amp;col=6&amp;number=3.5&amp;sourceID=14","3.5")</f>
        <v>3.5</v>
      </c>
      <c r="G789" s="4" t="str">
        <f>HYPERLINK("http://141.218.60.56/~jnz1568/getInfo.php?workbook=14_09.xlsx&amp;sheet=U0&amp;row=789&amp;col=7&amp;number=0.134&amp;sourceID=14","0.134")</f>
        <v>0.134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HYPERLINK("http://141.218.60.56/~jnz1568/getInfo.php?workbook=14_09.xlsx&amp;sheet=U0&amp;row=790&amp;col=6&amp;number=3.6&amp;sourceID=14","3.6")</f>
        <v>3.6</v>
      </c>
      <c r="G790" s="4" t="str">
        <f>HYPERLINK("http://141.218.60.56/~jnz1568/getInfo.php?workbook=14_09.xlsx&amp;sheet=U0&amp;row=790&amp;col=7&amp;number=0.133&amp;sourceID=14","0.133")</f>
        <v>0.133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HYPERLINK("http://141.218.60.56/~jnz1568/getInfo.php?workbook=14_09.xlsx&amp;sheet=U0&amp;row=791&amp;col=6&amp;number=3.7&amp;sourceID=14","3.7")</f>
        <v>3.7</v>
      </c>
      <c r="G791" s="4" t="str">
        <f>HYPERLINK("http://141.218.60.56/~jnz1568/getInfo.php?workbook=14_09.xlsx&amp;sheet=U0&amp;row=791&amp;col=7&amp;number=0.132&amp;sourceID=14","0.132")</f>
        <v>0.132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HYPERLINK("http://141.218.60.56/~jnz1568/getInfo.php?workbook=14_09.xlsx&amp;sheet=U0&amp;row=792&amp;col=6&amp;number=3.8&amp;sourceID=14","3.8")</f>
        <v>3.8</v>
      </c>
      <c r="G792" s="4" t="str">
        <f>HYPERLINK("http://141.218.60.56/~jnz1568/getInfo.php?workbook=14_09.xlsx&amp;sheet=U0&amp;row=792&amp;col=7&amp;number=0.13&amp;sourceID=14","0.13")</f>
        <v>0.13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HYPERLINK("http://141.218.60.56/~jnz1568/getInfo.php?workbook=14_09.xlsx&amp;sheet=U0&amp;row=793&amp;col=6&amp;number=3.9&amp;sourceID=14","3.9")</f>
        <v>3.9</v>
      </c>
      <c r="G793" s="4" t="str">
        <f>HYPERLINK("http://141.218.60.56/~jnz1568/getInfo.php?workbook=14_09.xlsx&amp;sheet=U0&amp;row=793&amp;col=7&amp;number=0.129&amp;sourceID=14","0.129")</f>
        <v>0.129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HYPERLINK("http://141.218.60.56/~jnz1568/getInfo.php?workbook=14_09.xlsx&amp;sheet=U0&amp;row=794&amp;col=6&amp;number=4&amp;sourceID=14","4")</f>
        <v>4</v>
      </c>
      <c r="G794" s="4" t="str">
        <f>HYPERLINK("http://141.218.60.56/~jnz1568/getInfo.php?workbook=14_09.xlsx&amp;sheet=U0&amp;row=794&amp;col=7&amp;number=0.126&amp;sourceID=14","0.126")</f>
        <v>0.126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HYPERLINK("http://141.218.60.56/~jnz1568/getInfo.php?workbook=14_09.xlsx&amp;sheet=U0&amp;row=795&amp;col=6&amp;number=4.1&amp;sourceID=14","4.1")</f>
        <v>4.1</v>
      </c>
      <c r="G795" s="4" t="str">
        <f>HYPERLINK("http://141.218.60.56/~jnz1568/getInfo.php?workbook=14_09.xlsx&amp;sheet=U0&amp;row=795&amp;col=7&amp;number=0.123&amp;sourceID=14","0.123")</f>
        <v>0.123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HYPERLINK("http://141.218.60.56/~jnz1568/getInfo.php?workbook=14_09.xlsx&amp;sheet=U0&amp;row=796&amp;col=6&amp;number=4.2&amp;sourceID=14","4.2")</f>
        <v>4.2</v>
      </c>
      <c r="G796" s="4" t="str">
        <f>HYPERLINK("http://141.218.60.56/~jnz1568/getInfo.php?workbook=14_09.xlsx&amp;sheet=U0&amp;row=796&amp;col=7&amp;number=0.12&amp;sourceID=14","0.12")</f>
        <v>0.12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HYPERLINK("http://141.218.60.56/~jnz1568/getInfo.php?workbook=14_09.xlsx&amp;sheet=U0&amp;row=797&amp;col=6&amp;number=4.3&amp;sourceID=14","4.3")</f>
        <v>4.3</v>
      </c>
      <c r="G797" s="4" t="str">
        <f>HYPERLINK("http://141.218.60.56/~jnz1568/getInfo.php?workbook=14_09.xlsx&amp;sheet=U0&amp;row=797&amp;col=7&amp;number=0.115&amp;sourceID=14","0.115")</f>
        <v>0.115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HYPERLINK("http://141.218.60.56/~jnz1568/getInfo.php?workbook=14_09.xlsx&amp;sheet=U0&amp;row=798&amp;col=6&amp;number=4.4&amp;sourceID=14","4.4")</f>
        <v>4.4</v>
      </c>
      <c r="G798" s="4" t="str">
        <f>HYPERLINK("http://141.218.60.56/~jnz1568/getInfo.php?workbook=14_09.xlsx&amp;sheet=U0&amp;row=798&amp;col=7&amp;number=0.11&amp;sourceID=14","0.11")</f>
        <v>0.11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HYPERLINK("http://141.218.60.56/~jnz1568/getInfo.php?workbook=14_09.xlsx&amp;sheet=U0&amp;row=799&amp;col=6&amp;number=4.5&amp;sourceID=14","4.5")</f>
        <v>4.5</v>
      </c>
      <c r="G799" s="4" t="str">
        <f>HYPERLINK("http://141.218.60.56/~jnz1568/getInfo.php?workbook=14_09.xlsx&amp;sheet=U0&amp;row=799&amp;col=7&amp;number=0.104&amp;sourceID=14","0.104")</f>
        <v>0.104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HYPERLINK("http://141.218.60.56/~jnz1568/getInfo.php?workbook=14_09.xlsx&amp;sheet=U0&amp;row=800&amp;col=6&amp;number=4.6&amp;sourceID=14","4.6")</f>
        <v>4.6</v>
      </c>
      <c r="G800" s="4" t="str">
        <f>HYPERLINK("http://141.218.60.56/~jnz1568/getInfo.php?workbook=14_09.xlsx&amp;sheet=U0&amp;row=800&amp;col=7&amp;number=0.0979&amp;sourceID=14","0.0979")</f>
        <v>0.0979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HYPERLINK("http://141.218.60.56/~jnz1568/getInfo.php?workbook=14_09.xlsx&amp;sheet=U0&amp;row=801&amp;col=6&amp;number=4.7&amp;sourceID=14","4.7")</f>
        <v>4.7</v>
      </c>
      <c r="G801" s="4" t="str">
        <f>HYPERLINK("http://141.218.60.56/~jnz1568/getInfo.php?workbook=14_09.xlsx&amp;sheet=U0&amp;row=801&amp;col=7&amp;number=0.0912&amp;sourceID=14","0.0912")</f>
        <v>0.0912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HYPERLINK("http://141.218.60.56/~jnz1568/getInfo.php?workbook=14_09.xlsx&amp;sheet=U0&amp;row=802&amp;col=6&amp;number=4.8&amp;sourceID=14","4.8")</f>
        <v>4.8</v>
      </c>
      <c r="G802" s="4" t="str">
        <f>HYPERLINK("http://141.218.60.56/~jnz1568/getInfo.php?workbook=14_09.xlsx&amp;sheet=U0&amp;row=802&amp;col=7&amp;number=0.0849&amp;sourceID=14","0.0849")</f>
        <v>0.0849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HYPERLINK("http://141.218.60.56/~jnz1568/getInfo.php?workbook=14_09.xlsx&amp;sheet=U0&amp;row=803&amp;col=6&amp;number=4.9&amp;sourceID=14","4.9")</f>
        <v>4.9</v>
      </c>
      <c r="G803" s="4" t="str">
        <f>HYPERLINK("http://141.218.60.56/~jnz1568/getInfo.php?workbook=14_09.xlsx&amp;sheet=U0&amp;row=803&amp;col=7&amp;number=0.0794&amp;sourceID=14","0.0794")</f>
        <v>0.0794</v>
      </c>
    </row>
    <row r="804" spans="1:7">
      <c r="A804" s="3">
        <v>14</v>
      </c>
      <c r="B804" s="3">
        <v>9</v>
      </c>
      <c r="C804" s="3">
        <v>1</v>
      </c>
      <c r="D804" s="3">
        <v>42</v>
      </c>
      <c r="E804" s="3">
        <v>1</v>
      </c>
      <c r="F804" s="4" t="str">
        <f>HYPERLINK("http://141.218.60.56/~jnz1568/getInfo.php?workbook=14_09.xlsx&amp;sheet=U0&amp;row=804&amp;col=6&amp;number=3&amp;sourceID=14","3")</f>
        <v>3</v>
      </c>
      <c r="G804" s="4" t="str">
        <f>HYPERLINK("http://141.218.60.56/~jnz1568/getInfo.php?workbook=14_09.xlsx&amp;sheet=U0&amp;row=804&amp;col=7&amp;number=0.0983&amp;sourceID=14","0.0983")</f>
        <v>0.0983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HYPERLINK("http://141.218.60.56/~jnz1568/getInfo.php?workbook=14_09.xlsx&amp;sheet=U0&amp;row=805&amp;col=6&amp;number=3.1&amp;sourceID=14","3.1")</f>
        <v>3.1</v>
      </c>
      <c r="G805" s="4" t="str">
        <f>HYPERLINK("http://141.218.60.56/~jnz1568/getInfo.php?workbook=14_09.xlsx&amp;sheet=U0&amp;row=805&amp;col=7&amp;number=0.0981&amp;sourceID=14","0.0981")</f>
        <v>0.0981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HYPERLINK("http://141.218.60.56/~jnz1568/getInfo.php?workbook=14_09.xlsx&amp;sheet=U0&amp;row=806&amp;col=6&amp;number=3.2&amp;sourceID=14","3.2")</f>
        <v>3.2</v>
      </c>
      <c r="G806" s="4" t="str">
        <f>HYPERLINK("http://141.218.60.56/~jnz1568/getInfo.php?workbook=14_09.xlsx&amp;sheet=U0&amp;row=806&amp;col=7&amp;number=0.0978&amp;sourceID=14","0.0978")</f>
        <v>0.0978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HYPERLINK("http://141.218.60.56/~jnz1568/getInfo.php?workbook=14_09.xlsx&amp;sheet=U0&amp;row=807&amp;col=6&amp;number=3.3&amp;sourceID=14","3.3")</f>
        <v>3.3</v>
      </c>
      <c r="G807" s="4" t="str">
        <f>HYPERLINK("http://141.218.60.56/~jnz1568/getInfo.php?workbook=14_09.xlsx&amp;sheet=U0&amp;row=807&amp;col=7&amp;number=0.0975&amp;sourceID=14","0.0975")</f>
        <v>0.0975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HYPERLINK("http://141.218.60.56/~jnz1568/getInfo.php?workbook=14_09.xlsx&amp;sheet=U0&amp;row=808&amp;col=6&amp;number=3.4&amp;sourceID=14","3.4")</f>
        <v>3.4</v>
      </c>
      <c r="G808" s="4" t="str">
        <f>HYPERLINK("http://141.218.60.56/~jnz1568/getInfo.php?workbook=14_09.xlsx&amp;sheet=U0&amp;row=808&amp;col=7&amp;number=0.097&amp;sourceID=14","0.097")</f>
        <v>0.097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HYPERLINK("http://141.218.60.56/~jnz1568/getInfo.php?workbook=14_09.xlsx&amp;sheet=U0&amp;row=809&amp;col=6&amp;number=3.5&amp;sourceID=14","3.5")</f>
        <v>3.5</v>
      </c>
      <c r="G809" s="4" t="str">
        <f>HYPERLINK("http://141.218.60.56/~jnz1568/getInfo.php?workbook=14_09.xlsx&amp;sheet=U0&amp;row=809&amp;col=7&amp;number=0.0964&amp;sourceID=14","0.0964")</f>
        <v>0.0964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HYPERLINK("http://141.218.60.56/~jnz1568/getInfo.php?workbook=14_09.xlsx&amp;sheet=U0&amp;row=810&amp;col=6&amp;number=3.6&amp;sourceID=14","3.6")</f>
        <v>3.6</v>
      </c>
      <c r="G810" s="4" t="str">
        <f>HYPERLINK("http://141.218.60.56/~jnz1568/getInfo.php?workbook=14_09.xlsx&amp;sheet=U0&amp;row=810&amp;col=7&amp;number=0.0957&amp;sourceID=14","0.0957")</f>
        <v>0.0957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HYPERLINK("http://141.218.60.56/~jnz1568/getInfo.php?workbook=14_09.xlsx&amp;sheet=U0&amp;row=811&amp;col=6&amp;number=3.7&amp;sourceID=14","3.7")</f>
        <v>3.7</v>
      </c>
      <c r="G811" s="4" t="str">
        <f>HYPERLINK("http://141.218.60.56/~jnz1568/getInfo.php?workbook=14_09.xlsx&amp;sheet=U0&amp;row=811&amp;col=7&amp;number=0.0948&amp;sourceID=14","0.0948")</f>
        <v>0.0948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HYPERLINK("http://141.218.60.56/~jnz1568/getInfo.php?workbook=14_09.xlsx&amp;sheet=U0&amp;row=812&amp;col=6&amp;number=3.8&amp;sourceID=14","3.8")</f>
        <v>3.8</v>
      </c>
      <c r="G812" s="4" t="str">
        <f>HYPERLINK("http://141.218.60.56/~jnz1568/getInfo.php?workbook=14_09.xlsx&amp;sheet=U0&amp;row=812&amp;col=7&amp;number=0.0937&amp;sourceID=14","0.0937")</f>
        <v>0.0937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HYPERLINK("http://141.218.60.56/~jnz1568/getInfo.php?workbook=14_09.xlsx&amp;sheet=U0&amp;row=813&amp;col=6&amp;number=3.9&amp;sourceID=14","3.9")</f>
        <v>3.9</v>
      </c>
      <c r="G813" s="4" t="str">
        <f>HYPERLINK("http://141.218.60.56/~jnz1568/getInfo.php?workbook=14_09.xlsx&amp;sheet=U0&amp;row=813&amp;col=7&amp;number=0.0924&amp;sourceID=14","0.0924")</f>
        <v>0.0924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HYPERLINK("http://141.218.60.56/~jnz1568/getInfo.php?workbook=14_09.xlsx&amp;sheet=U0&amp;row=814&amp;col=6&amp;number=4&amp;sourceID=14","4")</f>
        <v>4</v>
      </c>
      <c r="G814" s="4" t="str">
        <f>HYPERLINK("http://141.218.60.56/~jnz1568/getInfo.php?workbook=14_09.xlsx&amp;sheet=U0&amp;row=814&amp;col=7&amp;number=0.0907&amp;sourceID=14","0.0907")</f>
        <v>0.0907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HYPERLINK("http://141.218.60.56/~jnz1568/getInfo.php?workbook=14_09.xlsx&amp;sheet=U0&amp;row=815&amp;col=6&amp;number=4.1&amp;sourceID=14","4.1")</f>
        <v>4.1</v>
      </c>
      <c r="G815" s="4" t="str">
        <f>HYPERLINK("http://141.218.60.56/~jnz1568/getInfo.php?workbook=14_09.xlsx&amp;sheet=U0&amp;row=815&amp;col=7&amp;number=0.0886&amp;sourceID=14","0.0886")</f>
        <v>0.0886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HYPERLINK("http://141.218.60.56/~jnz1568/getInfo.php?workbook=14_09.xlsx&amp;sheet=U0&amp;row=816&amp;col=6&amp;number=4.2&amp;sourceID=14","4.2")</f>
        <v>4.2</v>
      </c>
      <c r="G816" s="4" t="str">
        <f>HYPERLINK("http://141.218.60.56/~jnz1568/getInfo.php?workbook=14_09.xlsx&amp;sheet=U0&amp;row=816&amp;col=7&amp;number=0.0861&amp;sourceID=14","0.0861")</f>
        <v>0.0861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HYPERLINK("http://141.218.60.56/~jnz1568/getInfo.php?workbook=14_09.xlsx&amp;sheet=U0&amp;row=817&amp;col=6&amp;number=4.3&amp;sourceID=14","4.3")</f>
        <v>4.3</v>
      </c>
      <c r="G817" s="4" t="str">
        <f>HYPERLINK("http://141.218.60.56/~jnz1568/getInfo.php?workbook=14_09.xlsx&amp;sheet=U0&amp;row=817&amp;col=7&amp;number=0.0831&amp;sourceID=14","0.0831")</f>
        <v>0.0831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HYPERLINK("http://141.218.60.56/~jnz1568/getInfo.php?workbook=14_09.xlsx&amp;sheet=U0&amp;row=818&amp;col=6&amp;number=4.4&amp;sourceID=14","4.4")</f>
        <v>4.4</v>
      </c>
      <c r="G818" s="4" t="str">
        <f>HYPERLINK("http://141.218.60.56/~jnz1568/getInfo.php?workbook=14_09.xlsx&amp;sheet=U0&amp;row=818&amp;col=7&amp;number=0.0795&amp;sourceID=14","0.0795")</f>
        <v>0.0795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HYPERLINK("http://141.218.60.56/~jnz1568/getInfo.php?workbook=14_09.xlsx&amp;sheet=U0&amp;row=819&amp;col=6&amp;number=4.5&amp;sourceID=14","4.5")</f>
        <v>4.5</v>
      </c>
      <c r="G819" s="4" t="str">
        <f>HYPERLINK("http://141.218.60.56/~jnz1568/getInfo.php?workbook=14_09.xlsx&amp;sheet=U0&amp;row=819&amp;col=7&amp;number=0.0755&amp;sourceID=14","0.0755")</f>
        <v>0.0755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HYPERLINK("http://141.218.60.56/~jnz1568/getInfo.php?workbook=14_09.xlsx&amp;sheet=U0&amp;row=820&amp;col=6&amp;number=4.6&amp;sourceID=14","4.6")</f>
        <v>4.6</v>
      </c>
      <c r="G820" s="4" t="str">
        <f>HYPERLINK("http://141.218.60.56/~jnz1568/getInfo.php?workbook=14_09.xlsx&amp;sheet=U0&amp;row=820&amp;col=7&amp;number=0.0713&amp;sourceID=14","0.0713")</f>
        <v>0.0713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HYPERLINK("http://141.218.60.56/~jnz1568/getInfo.php?workbook=14_09.xlsx&amp;sheet=U0&amp;row=821&amp;col=6&amp;number=4.7&amp;sourceID=14","4.7")</f>
        <v>4.7</v>
      </c>
      <c r="G821" s="4" t="str">
        <f>HYPERLINK("http://141.218.60.56/~jnz1568/getInfo.php?workbook=14_09.xlsx&amp;sheet=U0&amp;row=821&amp;col=7&amp;number=0.0672&amp;sourceID=14","0.0672")</f>
        <v>0.0672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HYPERLINK("http://141.218.60.56/~jnz1568/getInfo.php?workbook=14_09.xlsx&amp;sheet=U0&amp;row=822&amp;col=6&amp;number=4.8&amp;sourceID=14","4.8")</f>
        <v>4.8</v>
      </c>
      <c r="G822" s="4" t="str">
        <f>HYPERLINK("http://141.218.60.56/~jnz1568/getInfo.php?workbook=14_09.xlsx&amp;sheet=U0&amp;row=822&amp;col=7&amp;number=0.0637&amp;sourceID=14","0.0637")</f>
        <v>0.0637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HYPERLINK("http://141.218.60.56/~jnz1568/getInfo.php?workbook=14_09.xlsx&amp;sheet=U0&amp;row=823&amp;col=6&amp;number=4.9&amp;sourceID=14","4.9")</f>
        <v>4.9</v>
      </c>
      <c r="G823" s="4" t="str">
        <f>HYPERLINK("http://141.218.60.56/~jnz1568/getInfo.php?workbook=14_09.xlsx&amp;sheet=U0&amp;row=823&amp;col=7&amp;number=0.0611&amp;sourceID=14","0.0611")</f>
        <v>0.0611</v>
      </c>
    </row>
    <row r="824" spans="1:7">
      <c r="A824" s="3">
        <v>14</v>
      </c>
      <c r="B824" s="3">
        <v>9</v>
      </c>
      <c r="C824" s="3">
        <v>1</v>
      </c>
      <c r="D824" s="3">
        <v>43</v>
      </c>
      <c r="E824" s="3">
        <v>1</v>
      </c>
      <c r="F824" s="4" t="str">
        <f>HYPERLINK("http://141.218.60.56/~jnz1568/getInfo.php?workbook=14_09.xlsx&amp;sheet=U0&amp;row=824&amp;col=6&amp;number=3&amp;sourceID=14","3")</f>
        <v>3</v>
      </c>
      <c r="G824" s="4" t="str">
        <f>HYPERLINK("http://141.218.60.56/~jnz1568/getInfo.php?workbook=14_09.xlsx&amp;sheet=U0&amp;row=824&amp;col=7&amp;number=0.0896&amp;sourceID=14","0.0896")</f>
        <v>0.0896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HYPERLINK("http://141.218.60.56/~jnz1568/getInfo.php?workbook=14_09.xlsx&amp;sheet=U0&amp;row=825&amp;col=6&amp;number=3.1&amp;sourceID=14","3.1")</f>
        <v>3.1</v>
      </c>
      <c r="G825" s="4" t="str">
        <f>HYPERLINK("http://141.218.60.56/~jnz1568/getInfo.php?workbook=14_09.xlsx&amp;sheet=U0&amp;row=825&amp;col=7&amp;number=0.0895&amp;sourceID=14","0.0895")</f>
        <v>0.0895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HYPERLINK("http://141.218.60.56/~jnz1568/getInfo.php?workbook=14_09.xlsx&amp;sheet=U0&amp;row=826&amp;col=6&amp;number=3.2&amp;sourceID=14","3.2")</f>
        <v>3.2</v>
      </c>
      <c r="G826" s="4" t="str">
        <f>HYPERLINK("http://141.218.60.56/~jnz1568/getInfo.php?workbook=14_09.xlsx&amp;sheet=U0&amp;row=826&amp;col=7&amp;number=0.0893&amp;sourceID=14","0.0893")</f>
        <v>0.0893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HYPERLINK("http://141.218.60.56/~jnz1568/getInfo.php?workbook=14_09.xlsx&amp;sheet=U0&amp;row=827&amp;col=6&amp;number=3.3&amp;sourceID=14","3.3")</f>
        <v>3.3</v>
      </c>
      <c r="G827" s="4" t="str">
        <f>HYPERLINK("http://141.218.60.56/~jnz1568/getInfo.php?workbook=14_09.xlsx&amp;sheet=U0&amp;row=827&amp;col=7&amp;number=0.0891&amp;sourceID=14","0.0891")</f>
        <v>0.0891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HYPERLINK("http://141.218.60.56/~jnz1568/getInfo.php?workbook=14_09.xlsx&amp;sheet=U0&amp;row=828&amp;col=6&amp;number=3.4&amp;sourceID=14","3.4")</f>
        <v>3.4</v>
      </c>
      <c r="G828" s="4" t="str">
        <f>HYPERLINK("http://141.218.60.56/~jnz1568/getInfo.php?workbook=14_09.xlsx&amp;sheet=U0&amp;row=828&amp;col=7&amp;number=0.0888&amp;sourceID=14","0.0888")</f>
        <v>0.0888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HYPERLINK("http://141.218.60.56/~jnz1568/getInfo.php?workbook=14_09.xlsx&amp;sheet=U0&amp;row=829&amp;col=6&amp;number=3.5&amp;sourceID=14","3.5")</f>
        <v>3.5</v>
      </c>
      <c r="G829" s="4" t="str">
        <f>HYPERLINK("http://141.218.60.56/~jnz1568/getInfo.php?workbook=14_09.xlsx&amp;sheet=U0&amp;row=829&amp;col=7&amp;number=0.0884&amp;sourceID=14","0.0884")</f>
        <v>0.0884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HYPERLINK("http://141.218.60.56/~jnz1568/getInfo.php?workbook=14_09.xlsx&amp;sheet=U0&amp;row=830&amp;col=6&amp;number=3.6&amp;sourceID=14","3.6")</f>
        <v>3.6</v>
      </c>
      <c r="G830" s="4" t="str">
        <f>HYPERLINK("http://141.218.60.56/~jnz1568/getInfo.php?workbook=14_09.xlsx&amp;sheet=U0&amp;row=830&amp;col=7&amp;number=0.0879&amp;sourceID=14","0.0879")</f>
        <v>0.0879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HYPERLINK("http://141.218.60.56/~jnz1568/getInfo.php?workbook=14_09.xlsx&amp;sheet=U0&amp;row=831&amp;col=6&amp;number=3.7&amp;sourceID=14","3.7")</f>
        <v>3.7</v>
      </c>
      <c r="G831" s="4" t="str">
        <f>HYPERLINK("http://141.218.60.56/~jnz1568/getInfo.php?workbook=14_09.xlsx&amp;sheet=U0&amp;row=831&amp;col=7&amp;number=0.0874&amp;sourceID=14","0.0874")</f>
        <v>0.0874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HYPERLINK("http://141.218.60.56/~jnz1568/getInfo.php?workbook=14_09.xlsx&amp;sheet=U0&amp;row=832&amp;col=6&amp;number=3.8&amp;sourceID=14","3.8")</f>
        <v>3.8</v>
      </c>
      <c r="G832" s="4" t="str">
        <f>HYPERLINK("http://141.218.60.56/~jnz1568/getInfo.php?workbook=14_09.xlsx&amp;sheet=U0&amp;row=832&amp;col=7&amp;number=0.0867&amp;sourceID=14","0.0867")</f>
        <v>0.0867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HYPERLINK("http://141.218.60.56/~jnz1568/getInfo.php?workbook=14_09.xlsx&amp;sheet=U0&amp;row=833&amp;col=6&amp;number=3.9&amp;sourceID=14","3.9")</f>
        <v>3.9</v>
      </c>
      <c r="G833" s="4" t="str">
        <f>HYPERLINK("http://141.218.60.56/~jnz1568/getInfo.php?workbook=14_09.xlsx&amp;sheet=U0&amp;row=833&amp;col=7&amp;number=0.0858&amp;sourceID=14","0.0858")</f>
        <v>0.0858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HYPERLINK("http://141.218.60.56/~jnz1568/getInfo.php?workbook=14_09.xlsx&amp;sheet=U0&amp;row=834&amp;col=6&amp;number=4&amp;sourceID=14","4")</f>
        <v>4</v>
      </c>
      <c r="G834" s="4" t="str">
        <f>HYPERLINK("http://141.218.60.56/~jnz1568/getInfo.php?workbook=14_09.xlsx&amp;sheet=U0&amp;row=834&amp;col=7&amp;number=0.0846&amp;sourceID=14","0.0846")</f>
        <v>0.0846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HYPERLINK("http://141.218.60.56/~jnz1568/getInfo.php?workbook=14_09.xlsx&amp;sheet=U0&amp;row=835&amp;col=6&amp;number=4.1&amp;sourceID=14","4.1")</f>
        <v>4.1</v>
      </c>
      <c r="G835" s="4" t="str">
        <f>HYPERLINK("http://141.218.60.56/~jnz1568/getInfo.php?workbook=14_09.xlsx&amp;sheet=U0&amp;row=835&amp;col=7&amp;number=0.0833&amp;sourceID=14","0.0833")</f>
        <v>0.0833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HYPERLINK("http://141.218.60.56/~jnz1568/getInfo.php?workbook=14_09.xlsx&amp;sheet=U0&amp;row=836&amp;col=6&amp;number=4.2&amp;sourceID=14","4.2")</f>
        <v>4.2</v>
      </c>
      <c r="G836" s="4" t="str">
        <f>HYPERLINK("http://141.218.60.56/~jnz1568/getInfo.php?workbook=14_09.xlsx&amp;sheet=U0&amp;row=836&amp;col=7&amp;number=0.0815&amp;sourceID=14","0.0815")</f>
        <v>0.0815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HYPERLINK("http://141.218.60.56/~jnz1568/getInfo.php?workbook=14_09.xlsx&amp;sheet=U0&amp;row=837&amp;col=6&amp;number=4.3&amp;sourceID=14","4.3")</f>
        <v>4.3</v>
      </c>
      <c r="G837" s="4" t="str">
        <f>HYPERLINK("http://141.218.60.56/~jnz1568/getInfo.php?workbook=14_09.xlsx&amp;sheet=U0&amp;row=837&amp;col=7&amp;number=0.0794&amp;sourceID=14","0.0794")</f>
        <v>0.0794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HYPERLINK("http://141.218.60.56/~jnz1568/getInfo.php?workbook=14_09.xlsx&amp;sheet=U0&amp;row=838&amp;col=6&amp;number=4.4&amp;sourceID=14","4.4")</f>
        <v>4.4</v>
      </c>
      <c r="G838" s="4" t="str">
        <f>HYPERLINK("http://141.218.60.56/~jnz1568/getInfo.php?workbook=14_09.xlsx&amp;sheet=U0&amp;row=838&amp;col=7&amp;number=0.0769&amp;sourceID=14","0.0769")</f>
        <v>0.0769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HYPERLINK("http://141.218.60.56/~jnz1568/getInfo.php?workbook=14_09.xlsx&amp;sheet=U0&amp;row=839&amp;col=6&amp;number=4.5&amp;sourceID=14","4.5")</f>
        <v>4.5</v>
      </c>
      <c r="G839" s="4" t="str">
        <f>HYPERLINK("http://141.218.60.56/~jnz1568/getInfo.php?workbook=14_09.xlsx&amp;sheet=U0&amp;row=839&amp;col=7&amp;number=0.0739&amp;sourceID=14","0.0739")</f>
        <v>0.0739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HYPERLINK("http://141.218.60.56/~jnz1568/getInfo.php?workbook=14_09.xlsx&amp;sheet=U0&amp;row=840&amp;col=6&amp;number=4.6&amp;sourceID=14","4.6")</f>
        <v>4.6</v>
      </c>
      <c r="G840" s="4" t="str">
        <f>HYPERLINK("http://141.218.60.56/~jnz1568/getInfo.php?workbook=14_09.xlsx&amp;sheet=U0&amp;row=840&amp;col=7&amp;number=0.0703&amp;sourceID=14","0.0703")</f>
        <v>0.0703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HYPERLINK("http://141.218.60.56/~jnz1568/getInfo.php?workbook=14_09.xlsx&amp;sheet=U0&amp;row=841&amp;col=6&amp;number=4.7&amp;sourceID=14","4.7")</f>
        <v>4.7</v>
      </c>
      <c r="G841" s="4" t="str">
        <f>HYPERLINK("http://141.218.60.56/~jnz1568/getInfo.php?workbook=14_09.xlsx&amp;sheet=U0&amp;row=841&amp;col=7&amp;number=0.0664&amp;sourceID=14","0.0664")</f>
        <v>0.0664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HYPERLINK("http://141.218.60.56/~jnz1568/getInfo.php?workbook=14_09.xlsx&amp;sheet=U0&amp;row=842&amp;col=6&amp;number=4.8&amp;sourceID=14","4.8")</f>
        <v>4.8</v>
      </c>
      <c r="G842" s="4" t="str">
        <f>HYPERLINK("http://141.218.60.56/~jnz1568/getInfo.php?workbook=14_09.xlsx&amp;sheet=U0&amp;row=842&amp;col=7&amp;number=0.0622&amp;sourceID=14","0.0622")</f>
        <v>0.0622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HYPERLINK("http://141.218.60.56/~jnz1568/getInfo.php?workbook=14_09.xlsx&amp;sheet=U0&amp;row=843&amp;col=6&amp;number=4.9&amp;sourceID=14","4.9")</f>
        <v>4.9</v>
      </c>
      <c r="G843" s="4" t="str">
        <f>HYPERLINK("http://141.218.60.56/~jnz1568/getInfo.php?workbook=14_09.xlsx&amp;sheet=U0&amp;row=843&amp;col=7&amp;number=0.0583&amp;sourceID=14","0.0583")</f>
        <v>0.0583</v>
      </c>
    </row>
    <row r="844" spans="1:7">
      <c r="A844" s="3">
        <v>14</v>
      </c>
      <c r="B844" s="3">
        <v>9</v>
      </c>
      <c r="C844" s="3">
        <v>1</v>
      </c>
      <c r="D844" s="3">
        <v>44</v>
      </c>
      <c r="E844" s="3">
        <v>1</v>
      </c>
      <c r="F844" s="4" t="str">
        <f>HYPERLINK("http://141.218.60.56/~jnz1568/getInfo.php?workbook=14_09.xlsx&amp;sheet=U0&amp;row=844&amp;col=6&amp;number=3&amp;sourceID=14","3")</f>
        <v>3</v>
      </c>
      <c r="G844" s="4" t="str">
        <f>HYPERLINK("http://141.218.60.56/~jnz1568/getInfo.php?workbook=14_09.xlsx&amp;sheet=U0&amp;row=844&amp;col=7&amp;number=0.0816&amp;sourceID=14","0.0816")</f>
        <v>0.0816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HYPERLINK("http://141.218.60.56/~jnz1568/getInfo.php?workbook=14_09.xlsx&amp;sheet=U0&amp;row=845&amp;col=6&amp;number=3.1&amp;sourceID=14","3.1")</f>
        <v>3.1</v>
      </c>
      <c r="G845" s="4" t="str">
        <f>HYPERLINK("http://141.218.60.56/~jnz1568/getInfo.php?workbook=14_09.xlsx&amp;sheet=U0&amp;row=845&amp;col=7&amp;number=0.0817&amp;sourceID=14","0.0817")</f>
        <v>0.0817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HYPERLINK("http://141.218.60.56/~jnz1568/getInfo.php?workbook=14_09.xlsx&amp;sheet=U0&amp;row=846&amp;col=6&amp;number=3.2&amp;sourceID=14","3.2")</f>
        <v>3.2</v>
      </c>
      <c r="G846" s="4" t="str">
        <f>HYPERLINK("http://141.218.60.56/~jnz1568/getInfo.php?workbook=14_09.xlsx&amp;sheet=U0&amp;row=846&amp;col=7&amp;number=0.0819&amp;sourceID=14","0.0819")</f>
        <v>0.0819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HYPERLINK("http://141.218.60.56/~jnz1568/getInfo.php?workbook=14_09.xlsx&amp;sheet=U0&amp;row=847&amp;col=6&amp;number=3.3&amp;sourceID=14","3.3")</f>
        <v>3.3</v>
      </c>
      <c r="G847" s="4" t="str">
        <f>HYPERLINK("http://141.218.60.56/~jnz1568/getInfo.php?workbook=14_09.xlsx&amp;sheet=U0&amp;row=847&amp;col=7&amp;number=0.0821&amp;sourceID=14","0.0821")</f>
        <v>0.0821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HYPERLINK("http://141.218.60.56/~jnz1568/getInfo.php?workbook=14_09.xlsx&amp;sheet=U0&amp;row=848&amp;col=6&amp;number=3.4&amp;sourceID=14","3.4")</f>
        <v>3.4</v>
      </c>
      <c r="G848" s="4" t="str">
        <f>HYPERLINK("http://141.218.60.56/~jnz1568/getInfo.php?workbook=14_09.xlsx&amp;sheet=U0&amp;row=848&amp;col=7&amp;number=0.0823&amp;sourceID=14","0.0823")</f>
        <v>0.0823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HYPERLINK("http://141.218.60.56/~jnz1568/getInfo.php?workbook=14_09.xlsx&amp;sheet=U0&amp;row=849&amp;col=6&amp;number=3.5&amp;sourceID=14","3.5")</f>
        <v>3.5</v>
      </c>
      <c r="G849" s="4" t="str">
        <f>HYPERLINK("http://141.218.60.56/~jnz1568/getInfo.php?workbook=14_09.xlsx&amp;sheet=U0&amp;row=849&amp;col=7&amp;number=0.0826&amp;sourceID=14","0.0826")</f>
        <v>0.0826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HYPERLINK("http://141.218.60.56/~jnz1568/getInfo.php?workbook=14_09.xlsx&amp;sheet=U0&amp;row=850&amp;col=6&amp;number=3.6&amp;sourceID=14","3.6")</f>
        <v>3.6</v>
      </c>
      <c r="G850" s="4" t="str">
        <f>HYPERLINK("http://141.218.60.56/~jnz1568/getInfo.php?workbook=14_09.xlsx&amp;sheet=U0&amp;row=850&amp;col=7&amp;number=0.083&amp;sourceID=14","0.083")</f>
        <v>0.083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HYPERLINK("http://141.218.60.56/~jnz1568/getInfo.php?workbook=14_09.xlsx&amp;sheet=U0&amp;row=851&amp;col=6&amp;number=3.7&amp;sourceID=14","3.7")</f>
        <v>3.7</v>
      </c>
      <c r="G851" s="4" t="str">
        <f>HYPERLINK("http://141.218.60.56/~jnz1568/getInfo.php?workbook=14_09.xlsx&amp;sheet=U0&amp;row=851&amp;col=7&amp;number=0.0834&amp;sourceID=14","0.0834")</f>
        <v>0.0834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HYPERLINK("http://141.218.60.56/~jnz1568/getInfo.php?workbook=14_09.xlsx&amp;sheet=U0&amp;row=852&amp;col=6&amp;number=3.8&amp;sourceID=14","3.8")</f>
        <v>3.8</v>
      </c>
      <c r="G852" s="4" t="str">
        <f>HYPERLINK("http://141.218.60.56/~jnz1568/getInfo.php?workbook=14_09.xlsx&amp;sheet=U0&amp;row=852&amp;col=7&amp;number=0.084&amp;sourceID=14","0.084")</f>
        <v>0.084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HYPERLINK("http://141.218.60.56/~jnz1568/getInfo.php?workbook=14_09.xlsx&amp;sheet=U0&amp;row=853&amp;col=6&amp;number=3.9&amp;sourceID=14","3.9")</f>
        <v>3.9</v>
      </c>
      <c r="G853" s="4" t="str">
        <f>HYPERLINK("http://141.218.60.56/~jnz1568/getInfo.php?workbook=14_09.xlsx&amp;sheet=U0&amp;row=853&amp;col=7&amp;number=0.0848&amp;sourceID=14","0.0848")</f>
        <v>0.0848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HYPERLINK("http://141.218.60.56/~jnz1568/getInfo.php?workbook=14_09.xlsx&amp;sheet=U0&amp;row=854&amp;col=6&amp;number=4&amp;sourceID=14","4")</f>
        <v>4</v>
      </c>
      <c r="G854" s="4" t="str">
        <f>HYPERLINK("http://141.218.60.56/~jnz1568/getInfo.php?workbook=14_09.xlsx&amp;sheet=U0&amp;row=854&amp;col=7&amp;number=0.0856&amp;sourceID=14","0.0856")</f>
        <v>0.0856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HYPERLINK("http://141.218.60.56/~jnz1568/getInfo.php?workbook=14_09.xlsx&amp;sheet=U0&amp;row=855&amp;col=6&amp;number=4.1&amp;sourceID=14","4.1")</f>
        <v>4.1</v>
      </c>
      <c r="G855" s="4" t="str">
        <f>HYPERLINK("http://141.218.60.56/~jnz1568/getInfo.php?workbook=14_09.xlsx&amp;sheet=U0&amp;row=855&amp;col=7&amp;number=0.0867&amp;sourceID=14","0.0867")</f>
        <v>0.0867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HYPERLINK("http://141.218.60.56/~jnz1568/getInfo.php?workbook=14_09.xlsx&amp;sheet=U0&amp;row=856&amp;col=6&amp;number=4.2&amp;sourceID=14","4.2")</f>
        <v>4.2</v>
      </c>
      <c r="G856" s="4" t="str">
        <f>HYPERLINK("http://141.218.60.56/~jnz1568/getInfo.php?workbook=14_09.xlsx&amp;sheet=U0&amp;row=856&amp;col=7&amp;number=0.088&amp;sourceID=14","0.088")</f>
        <v>0.088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HYPERLINK("http://141.218.60.56/~jnz1568/getInfo.php?workbook=14_09.xlsx&amp;sheet=U0&amp;row=857&amp;col=6&amp;number=4.3&amp;sourceID=14","4.3")</f>
        <v>4.3</v>
      </c>
      <c r="G857" s="4" t="str">
        <f>HYPERLINK("http://141.218.60.56/~jnz1568/getInfo.php?workbook=14_09.xlsx&amp;sheet=U0&amp;row=857&amp;col=7&amp;number=0.0896&amp;sourceID=14","0.0896")</f>
        <v>0.0896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HYPERLINK("http://141.218.60.56/~jnz1568/getInfo.php?workbook=14_09.xlsx&amp;sheet=U0&amp;row=858&amp;col=6&amp;number=4.4&amp;sourceID=14","4.4")</f>
        <v>4.4</v>
      </c>
      <c r="G858" s="4" t="str">
        <f>HYPERLINK("http://141.218.60.56/~jnz1568/getInfo.php?workbook=14_09.xlsx&amp;sheet=U0&amp;row=858&amp;col=7&amp;number=0.0913&amp;sourceID=14","0.0913")</f>
        <v>0.0913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HYPERLINK("http://141.218.60.56/~jnz1568/getInfo.php?workbook=14_09.xlsx&amp;sheet=U0&amp;row=859&amp;col=6&amp;number=4.5&amp;sourceID=14","4.5")</f>
        <v>4.5</v>
      </c>
      <c r="G859" s="4" t="str">
        <f>HYPERLINK("http://141.218.60.56/~jnz1568/getInfo.php?workbook=14_09.xlsx&amp;sheet=U0&amp;row=859&amp;col=7&amp;number=0.0933&amp;sourceID=14","0.0933")</f>
        <v>0.0933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HYPERLINK("http://141.218.60.56/~jnz1568/getInfo.php?workbook=14_09.xlsx&amp;sheet=U0&amp;row=860&amp;col=6&amp;number=4.6&amp;sourceID=14","4.6")</f>
        <v>4.6</v>
      </c>
      <c r="G860" s="4" t="str">
        <f>HYPERLINK("http://141.218.60.56/~jnz1568/getInfo.php?workbook=14_09.xlsx&amp;sheet=U0&amp;row=860&amp;col=7&amp;number=0.0951&amp;sourceID=14","0.0951")</f>
        <v>0.0951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HYPERLINK("http://141.218.60.56/~jnz1568/getInfo.php?workbook=14_09.xlsx&amp;sheet=U0&amp;row=861&amp;col=6&amp;number=4.7&amp;sourceID=14","4.7")</f>
        <v>4.7</v>
      </c>
      <c r="G861" s="4" t="str">
        <f>HYPERLINK("http://141.218.60.56/~jnz1568/getInfo.php?workbook=14_09.xlsx&amp;sheet=U0&amp;row=861&amp;col=7&amp;number=0.0966&amp;sourceID=14","0.0966")</f>
        <v>0.0966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HYPERLINK("http://141.218.60.56/~jnz1568/getInfo.php?workbook=14_09.xlsx&amp;sheet=U0&amp;row=862&amp;col=6&amp;number=4.8&amp;sourceID=14","4.8")</f>
        <v>4.8</v>
      </c>
      <c r="G862" s="4" t="str">
        <f>HYPERLINK("http://141.218.60.56/~jnz1568/getInfo.php?workbook=14_09.xlsx&amp;sheet=U0&amp;row=862&amp;col=7&amp;number=0.0972&amp;sourceID=14","0.0972")</f>
        <v>0.0972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HYPERLINK("http://141.218.60.56/~jnz1568/getInfo.php?workbook=14_09.xlsx&amp;sheet=U0&amp;row=863&amp;col=6&amp;number=4.9&amp;sourceID=14","4.9")</f>
        <v>4.9</v>
      </c>
      <c r="G863" s="4" t="str">
        <f>HYPERLINK("http://141.218.60.56/~jnz1568/getInfo.php?workbook=14_09.xlsx&amp;sheet=U0&amp;row=863&amp;col=7&amp;number=0.0967&amp;sourceID=14","0.0967")</f>
        <v>0.0967</v>
      </c>
    </row>
    <row r="864" spans="1:7">
      <c r="A864" s="3">
        <v>14</v>
      </c>
      <c r="B864" s="3">
        <v>9</v>
      </c>
      <c r="C864" s="3">
        <v>1</v>
      </c>
      <c r="D864" s="3">
        <v>45</v>
      </c>
      <c r="E864" s="3">
        <v>1</v>
      </c>
      <c r="F864" s="4" t="str">
        <f>HYPERLINK("http://141.218.60.56/~jnz1568/getInfo.php?workbook=14_09.xlsx&amp;sheet=U0&amp;row=864&amp;col=6&amp;number=3&amp;sourceID=14","3")</f>
        <v>3</v>
      </c>
      <c r="G864" s="4" t="str">
        <f>HYPERLINK("http://141.218.60.56/~jnz1568/getInfo.php?workbook=14_09.xlsx&amp;sheet=U0&amp;row=864&amp;col=7&amp;number=0.018&amp;sourceID=14","0.018")</f>
        <v>0.018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HYPERLINK("http://141.218.60.56/~jnz1568/getInfo.php?workbook=14_09.xlsx&amp;sheet=U0&amp;row=865&amp;col=6&amp;number=3.1&amp;sourceID=14","3.1")</f>
        <v>3.1</v>
      </c>
      <c r="G865" s="4" t="str">
        <f>HYPERLINK("http://141.218.60.56/~jnz1568/getInfo.php?workbook=14_09.xlsx&amp;sheet=U0&amp;row=865&amp;col=7&amp;number=0.018&amp;sourceID=14","0.018")</f>
        <v>0.018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HYPERLINK("http://141.218.60.56/~jnz1568/getInfo.php?workbook=14_09.xlsx&amp;sheet=U0&amp;row=866&amp;col=6&amp;number=3.2&amp;sourceID=14","3.2")</f>
        <v>3.2</v>
      </c>
      <c r="G866" s="4" t="str">
        <f>HYPERLINK("http://141.218.60.56/~jnz1568/getInfo.php?workbook=14_09.xlsx&amp;sheet=U0&amp;row=866&amp;col=7&amp;number=0.0181&amp;sourceID=14","0.0181")</f>
        <v>0.0181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HYPERLINK("http://141.218.60.56/~jnz1568/getInfo.php?workbook=14_09.xlsx&amp;sheet=U0&amp;row=867&amp;col=6&amp;number=3.3&amp;sourceID=14","3.3")</f>
        <v>3.3</v>
      </c>
      <c r="G867" s="4" t="str">
        <f>HYPERLINK("http://141.218.60.56/~jnz1568/getInfo.php?workbook=14_09.xlsx&amp;sheet=U0&amp;row=867&amp;col=7&amp;number=0.0182&amp;sourceID=14","0.0182")</f>
        <v>0.0182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HYPERLINK("http://141.218.60.56/~jnz1568/getInfo.php?workbook=14_09.xlsx&amp;sheet=U0&amp;row=868&amp;col=6&amp;number=3.4&amp;sourceID=14","3.4")</f>
        <v>3.4</v>
      </c>
      <c r="G868" s="4" t="str">
        <f>HYPERLINK("http://141.218.60.56/~jnz1568/getInfo.php?workbook=14_09.xlsx&amp;sheet=U0&amp;row=868&amp;col=7&amp;number=0.0183&amp;sourceID=14","0.0183")</f>
        <v>0.0183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HYPERLINK("http://141.218.60.56/~jnz1568/getInfo.php?workbook=14_09.xlsx&amp;sheet=U0&amp;row=869&amp;col=6&amp;number=3.5&amp;sourceID=14","3.5")</f>
        <v>3.5</v>
      </c>
      <c r="G869" s="4" t="str">
        <f>HYPERLINK("http://141.218.60.56/~jnz1568/getInfo.php?workbook=14_09.xlsx&amp;sheet=U0&amp;row=869&amp;col=7&amp;number=0.0185&amp;sourceID=14","0.0185")</f>
        <v>0.0185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HYPERLINK("http://141.218.60.56/~jnz1568/getInfo.php?workbook=14_09.xlsx&amp;sheet=U0&amp;row=870&amp;col=6&amp;number=3.6&amp;sourceID=14","3.6")</f>
        <v>3.6</v>
      </c>
      <c r="G870" s="4" t="str">
        <f>HYPERLINK("http://141.218.60.56/~jnz1568/getInfo.php?workbook=14_09.xlsx&amp;sheet=U0&amp;row=870&amp;col=7&amp;number=0.0187&amp;sourceID=14","0.0187")</f>
        <v>0.0187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HYPERLINK("http://141.218.60.56/~jnz1568/getInfo.php?workbook=14_09.xlsx&amp;sheet=U0&amp;row=871&amp;col=6&amp;number=3.7&amp;sourceID=14","3.7")</f>
        <v>3.7</v>
      </c>
      <c r="G871" s="4" t="str">
        <f>HYPERLINK("http://141.218.60.56/~jnz1568/getInfo.php?workbook=14_09.xlsx&amp;sheet=U0&amp;row=871&amp;col=7&amp;number=0.0189&amp;sourceID=14","0.0189")</f>
        <v>0.0189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HYPERLINK("http://141.218.60.56/~jnz1568/getInfo.php?workbook=14_09.xlsx&amp;sheet=U0&amp;row=872&amp;col=6&amp;number=3.8&amp;sourceID=14","3.8")</f>
        <v>3.8</v>
      </c>
      <c r="G872" s="4" t="str">
        <f>HYPERLINK("http://141.218.60.56/~jnz1568/getInfo.php?workbook=14_09.xlsx&amp;sheet=U0&amp;row=872&amp;col=7&amp;number=0.0192&amp;sourceID=14","0.0192")</f>
        <v>0.0192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HYPERLINK("http://141.218.60.56/~jnz1568/getInfo.php?workbook=14_09.xlsx&amp;sheet=U0&amp;row=873&amp;col=6&amp;number=3.9&amp;sourceID=14","3.9")</f>
        <v>3.9</v>
      </c>
      <c r="G873" s="4" t="str">
        <f>HYPERLINK("http://141.218.60.56/~jnz1568/getInfo.php?workbook=14_09.xlsx&amp;sheet=U0&amp;row=873&amp;col=7&amp;number=0.0196&amp;sourceID=14","0.0196")</f>
        <v>0.0196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HYPERLINK("http://141.218.60.56/~jnz1568/getInfo.php?workbook=14_09.xlsx&amp;sheet=U0&amp;row=874&amp;col=6&amp;number=4&amp;sourceID=14","4")</f>
        <v>4</v>
      </c>
      <c r="G874" s="4" t="str">
        <f>HYPERLINK("http://141.218.60.56/~jnz1568/getInfo.php?workbook=14_09.xlsx&amp;sheet=U0&amp;row=874&amp;col=7&amp;number=0.02&amp;sourceID=14","0.02")</f>
        <v>0.02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HYPERLINK("http://141.218.60.56/~jnz1568/getInfo.php?workbook=14_09.xlsx&amp;sheet=U0&amp;row=875&amp;col=6&amp;number=4.1&amp;sourceID=14","4.1")</f>
        <v>4.1</v>
      </c>
      <c r="G875" s="4" t="str">
        <f>HYPERLINK("http://141.218.60.56/~jnz1568/getInfo.php?workbook=14_09.xlsx&amp;sheet=U0&amp;row=875&amp;col=7&amp;number=0.0205&amp;sourceID=14","0.0205")</f>
        <v>0.0205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HYPERLINK("http://141.218.60.56/~jnz1568/getInfo.php?workbook=14_09.xlsx&amp;sheet=U0&amp;row=876&amp;col=6&amp;number=4.2&amp;sourceID=14","4.2")</f>
        <v>4.2</v>
      </c>
      <c r="G876" s="4" t="str">
        <f>HYPERLINK("http://141.218.60.56/~jnz1568/getInfo.php?workbook=14_09.xlsx&amp;sheet=U0&amp;row=876&amp;col=7&amp;number=0.0211&amp;sourceID=14","0.0211")</f>
        <v>0.0211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HYPERLINK("http://141.218.60.56/~jnz1568/getInfo.php?workbook=14_09.xlsx&amp;sheet=U0&amp;row=877&amp;col=6&amp;number=4.3&amp;sourceID=14","4.3")</f>
        <v>4.3</v>
      </c>
      <c r="G877" s="4" t="str">
        <f>HYPERLINK("http://141.218.60.56/~jnz1568/getInfo.php?workbook=14_09.xlsx&amp;sheet=U0&amp;row=877&amp;col=7&amp;number=0.0218&amp;sourceID=14","0.0218")</f>
        <v>0.0218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HYPERLINK("http://141.218.60.56/~jnz1568/getInfo.php?workbook=14_09.xlsx&amp;sheet=U0&amp;row=878&amp;col=6&amp;number=4.4&amp;sourceID=14","4.4")</f>
        <v>4.4</v>
      </c>
      <c r="G878" s="4" t="str">
        <f>HYPERLINK("http://141.218.60.56/~jnz1568/getInfo.php?workbook=14_09.xlsx&amp;sheet=U0&amp;row=878&amp;col=7&amp;number=0.0226&amp;sourceID=14","0.0226")</f>
        <v>0.0226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HYPERLINK("http://141.218.60.56/~jnz1568/getInfo.php?workbook=14_09.xlsx&amp;sheet=U0&amp;row=879&amp;col=6&amp;number=4.5&amp;sourceID=14","4.5")</f>
        <v>4.5</v>
      </c>
      <c r="G879" s="4" t="str">
        <f>HYPERLINK("http://141.218.60.56/~jnz1568/getInfo.php?workbook=14_09.xlsx&amp;sheet=U0&amp;row=879&amp;col=7&amp;number=0.0233&amp;sourceID=14","0.0233")</f>
        <v>0.0233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HYPERLINK("http://141.218.60.56/~jnz1568/getInfo.php?workbook=14_09.xlsx&amp;sheet=U0&amp;row=880&amp;col=6&amp;number=4.6&amp;sourceID=14","4.6")</f>
        <v>4.6</v>
      </c>
      <c r="G880" s="4" t="str">
        <f>HYPERLINK("http://141.218.60.56/~jnz1568/getInfo.php?workbook=14_09.xlsx&amp;sheet=U0&amp;row=880&amp;col=7&amp;number=0.0238&amp;sourceID=14","0.0238")</f>
        <v>0.0238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HYPERLINK("http://141.218.60.56/~jnz1568/getInfo.php?workbook=14_09.xlsx&amp;sheet=U0&amp;row=881&amp;col=6&amp;number=4.7&amp;sourceID=14","4.7")</f>
        <v>4.7</v>
      </c>
      <c r="G881" s="4" t="str">
        <f>HYPERLINK("http://141.218.60.56/~jnz1568/getInfo.php?workbook=14_09.xlsx&amp;sheet=U0&amp;row=881&amp;col=7&amp;number=0.024&amp;sourceID=14","0.024")</f>
        <v>0.024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HYPERLINK("http://141.218.60.56/~jnz1568/getInfo.php?workbook=14_09.xlsx&amp;sheet=U0&amp;row=882&amp;col=6&amp;number=4.8&amp;sourceID=14","4.8")</f>
        <v>4.8</v>
      </c>
      <c r="G882" s="4" t="str">
        <f>HYPERLINK("http://141.218.60.56/~jnz1568/getInfo.php?workbook=14_09.xlsx&amp;sheet=U0&amp;row=882&amp;col=7&amp;number=0.0237&amp;sourceID=14","0.0237")</f>
        <v>0.0237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HYPERLINK("http://141.218.60.56/~jnz1568/getInfo.php?workbook=14_09.xlsx&amp;sheet=U0&amp;row=883&amp;col=6&amp;number=4.9&amp;sourceID=14","4.9")</f>
        <v>4.9</v>
      </c>
      <c r="G883" s="4" t="str">
        <f>HYPERLINK("http://141.218.60.56/~jnz1568/getInfo.php?workbook=14_09.xlsx&amp;sheet=U0&amp;row=883&amp;col=7&amp;number=0.023&amp;sourceID=14","0.023")</f>
        <v>0.023</v>
      </c>
    </row>
    <row r="884" spans="1:7">
      <c r="A884" s="3">
        <v>14</v>
      </c>
      <c r="B884" s="3">
        <v>9</v>
      </c>
      <c r="C884" s="3">
        <v>1</v>
      </c>
      <c r="D884" s="3">
        <v>46</v>
      </c>
      <c r="E884" s="3">
        <v>1</v>
      </c>
      <c r="F884" s="4" t="str">
        <f>HYPERLINK("http://141.218.60.56/~jnz1568/getInfo.php?workbook=14_09.xlsx&amp;sheet=U0&amp;row=884&amp;col=6&amp;number=3&amp;sourceID=14","3")</f>
        <v>3</v>
      </c>
      <c r="G884" s="4" t="str">
        <f>HYPERLINK("http://141.218.60.56/~jnz1568/getInfo.php?workbook=14_09.xlsx&amp;sheet=U0&amp;row=884&amp;col=7&amp;number=0.0409&amp;sourceID=14","0.0409")</f>
        <v>0.0409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HYPERLINK("http://141.218.60.56/~jnz1568/getInfo.php?workbook=14_09.xlsx&amp;sheet=U0&amp;row=885&amp;col=6&amp;number=3.1&amp;sourceID=14","3.1")</f>
        <v>3.1</v>
      </c>
      <c r="G885" s="4" t="str">
        <f>HYPERLINK("http://141.218.60.56/~jnz1568/getInfo.php?workbook=14_09.xlsx&amp;sheet=U0&amp;row=885&amp;col=7&amp;number=0.0409&amp;sourceID=14","0.0409")</f>
        <v>0.0409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HYPERLINK("http://141.218.60.56/~jnz1568/getInfo.php?workbook=14_09.xlsx&amp;sheet=U0&amp;row=886&amp;col=6&amp;number=3.2&amp;sourceID=14","3.2")</f>
        <v>3.2</v>
      </c>
      <c r="G886" s="4" t="str">
        <f>HYPERLINK("http://141.218.60.56/~jnz1568/getInfo.php?workbook=14_09.xlsx&amp;sheet=U0&amp;row=886&amp;col=7&amp;number=0.0408&amp;sourceID=14","0.0408")</f>
        <v>0.0408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HYPERLINK("http://141.218.60.56/~jnz1568/getInfo.php?workbook=14_09.xlsx&amp;sheet=U0&amp;row=887&amp;col=6&amp;number=3.3&amp;sourceID=14","3.3")</f>
        <v>3.3</v>
      </c>
      <c r="G887" s="4" t="str">
        <f>HYPERLINK("http://141.218.60.56/~jnz1568/getInfo.php?workbook=14_09.xlsx&amp;sheet=U0&amp;row=887&amp;col=7&amp;number=0.0408&amp;sourceID=14","0.0408")</f>
        <v>0.0408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HYPERLINK("http://141.218.60.56/~jnz1568/getInfo.php?workbook=14_09.xlsx&amp;sheet=U0&amp;row=888&amp;col=6&amp;number=3.4&amp;sourceID=14","3.4")</f>
        <v>3.4</v>
      </c>
      <c r="G888" s="4" t="str">
        <f>HYPERLINK("http://141.218.60.56/~jnz1568/getInfo.php?workbook=14_09.xlsx&amp;sheet=U0&amp;row=888&amp;col=7&amp;number=0.0407&amp;sourceID=14","0.0407")</f>
        <v>0.0407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HYPERLINK("http://141.218.60.56/~jnz1568/getInfo.php?workbook=14_09.xlsx&amp;sheet=U0&amp;row=889&amp;col=6&amp;number=3.5&amp;sourceID=14","3.5")</f>
        <v>3.5</v>
      </c>
      <c r="G889" s="4" t="str">
        <f>HYPERLINK("http://141.218.60.56/~jnz1568/getInfo.php?workbook=14_09.xlsx&amp;sheet=U0&amp;row=889&amp;col=7&amp;number=0.0406&amp;sourceID=14","0.0406")</f>
        <v>0.0406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HYPERLINK("http://141.218.60.56/~jnz1568/getInfo.php?workbook=14_09.xlsx&amp;sheet=U0&amp;row=890&amp;col=6&amp;number=3.6&amp;sourceID=14","3.6")</f>
        <v>3.6</v>
      </c>
      <c r="G890" s="4" t="str">
        <f>HYPERLINK("http://141.218.60.56/~jnz1568/getInfo.php?workbook=14_09.xlsx&amp;sheet=U0&amp;row=890&amp;col=7&amp;number=0.0405&amp;sourceID=14","0.0405")</f>
        <v>0.0405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HYPERLINK("http://141.218.60.56/~jnz1568/getInfo.php?workbook=14_09.xlsx&amp;sheet=U0&amp;row=891&amp;col=6&amp;number=3.7&amp;sourceID=14","3.7")</f>
        <v>3.7</v>
      </c>
      <c r="G891" s="4" t="str">
        <f>HYPERLINK("http://141.218.60.56/~jnz1568/getInfo.php?workbook=14_09.xlsx&amp;sheet=U0&amp;row=891&amp;col=7&amp;number=0.0404&amp;sourceID=14","0.0404")</f>
        <v>0.0404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HYPERLINK("http://141.218.60.56/~jnz1568/getInfo.php?workbook=14_09.xlsx&amp;sheet=U0&amp;row=892&amp;col=6&amp;number=3.8&amp;sourceID=14","3.8")</f>
        <v>3.8</v>
      </c>
      <c r="G892" s="4" t="str">
        <f>HYPERLINK("http://141.218.60.56/~jnz1568/getInfo.php?workbook=14_09.xlsx&amp;sheet=U0&amp;row=892&amp;col=7&amp;number=0.0403&amp;sourceID=14","0.0403")</f>
        <v>0.0403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HYPERLINK("http://141.218.60.56/~jnz1568/getInfo.php?workbook=14_09.xlsx&amp;sheet=U0&amp;row=893&amp;col=6&amp;number=3.9&amp;sourceID=14","3.9")</f>
        <v>3.9</v>
      </c>
      <c r="G893" s="4" t="str">
        <f>HYPERLINK("http://141.218.60.56/~jnz1568/getInfo.php?workbook=14_09.xlsx&amp;sheet=U0&amp;row=893&amp;col=7&amp;number=0.0401&amp;sourceID=14","0.0401")</f>
        <v>0.0401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HYPERLINK("http://141.218.60.56/~jnz1568/getInfo.php?workbook=14_09.xlsx&amp;sheet=U0&amp;row=894&amp;col=6&amp;number=4&amp;sourceID=14","4")</f>
        <v>4</v>
      </c>
      <c r="G894" s="4" t="str">
        <f>HYPERLINK("http://141.218.60.56/~jnz1568/getInfo.php?workbook=14_09.xlsx&amp;sheet=U0&amp;row=894&amp;col=7&amp;number=0.0398&amp;sourceID=14","0.0398")</f>
        <v>0.0398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HYPERLINK("http://141.218.60.56/~jnz1568/getInfo.php?workbook=14_09.xlsx&amp;sheet=U0&amp;row=895&amp;col=6&amp;number=4.1&amp;sourceID=14","4.1")</f>
        <v>4.1</v>
      </c>
      <c r="G895" s="4" t="str">
        <f>HYPERLINK("http://141.218.60.56/~jnz1568/getInfo.php?workbook=14_09.xlsx&amp;sheet=U0&amp;row=895&amp;col=7&amp;number=0.0396&amp;sourceID=14","0.0396")</f>
        <v>0.0396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HYPERLINK("http://141.218.60.56/~jnz1568/getInfo.php?workbook=14_09.xlsx&amp;sheet=U0&amp;row=896&amp;col=6&amp;number=4.2&amp;sourceID=14","4.2")</f>
        <v>4.2</v>
      </c>
      <c r="G896" s="4" t="str">
        <f>HYPERLINK("http://141.218.60.56/~jnz1568/getInfo.php?workbook=14_09.xlsx&amp;sheet=U0&amp;row=896&amp;col=7&amp;number=0.0392&amp;sourceID=14","0.0392")</f>
        <v>0.0392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HYPERLINK("http://141.218.60.56/~jnz1568/getInfo.php?workbook=14_09.xlsx&amp;sheet=U0&amp;row=897&amp;col=6&amp;number=4.3&amp;sourceID=14","4.3")</f>
        <v>4.3</v>
      </c>
      <c r="G897" s="4" t="str">
        <f>HYPERLINK("http://141.218.60.56/~jnz1568/getInfo.php?workbook=14_09.xlsx&amp;sheet=U0&amp;row=897&amp;col=7&amp;number=0.0387&amp;sourceID=14","0.0387")</f>
        <v>0.0387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HYPERLINK("http://141.218.60.56/~jnz1568/getInfo.php?workbook=14_09.xlsx&amp;sheet=U0&amp;row=898&amp;col=6&amp;number=4.4&amp;sourceID=14","4.4")</f>
        <v>4.4</v>
      </c>
      <c r="G898" s="4" t="str">
        <f>HYPERLINK("http://141.218.60.56/~jnz1568/getInfo.php?workbook=14_09.xlsx&amp;sheet=U0&amp;row=898&amp;col=7&amp;number=0.0382&amp;sourceID=14","0.0382")</f>
        <v>0.0382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HYPERLINK("http://141.218.60.56/~jnz1568/getInfo.php?workbook=14_09.xlsx&amp;sheet=U0&amp;row=899&amp;col=6&amp;number=4.5&amp;sourceID=14","4.5")</f>
        <v>4.5</v>
      </c>
      <c r="G899" s="4" t="str">
        <f>HYPERLINK("http://141.218.60.56/~jnz1568/getInfo.php?workbook=14_09.xlsx&amp;sheet=U0&amp;row=899&amp;col=7&amp;number=0.0375&amp;sourceID=14","0.0375")</f>
        <v>0.0375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HYPERLINK("http://141.218.60.56/~jnz1568/getInfo.php?workbook=14_09.xlsx&amp;sheet=U0&amp;row=900&amp;col=6&amp;number=4.6&amp;sourceID=14","4.6")</f>
        <v>4.6</v>
      </c>
      <c r="G900" s="4" t="str">
        <f>HYPERLINK("http://141.218.60.56/~jnz1568/getInfo.php?workbook=14_09.xlsx&amp;sheet=U0&amp;row=900&amp;col=7&amp;number=0.0367&amp;sourceID=14","0.0367")</f>
        <v>0.0367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HYPERLINK("http://141.218.60.56/~jnz1568/getInfo.php?workbook=14_09.xlsx&amp;sheet=U0&amp;row=901&amp;col=6&amp;number=4.7&amp;sourceID=14","4.7")</f>
        <v>4.7</v>
      </c>
      <c r="G901" s="4" t="str">
        <f>HYPERLINK("http://141.218.60.56/~jnz1568/getInfo.php?workbook=14_09.xlsx&amp;sheet=U0&amp;row=901&amp;col=7&amp;number=0.0357&amp;sourceID=14","0.0357")</f>
        <v>0.0357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HYPERLINK("http://141.218.60.56/~jnz1568/getInfo.php?workbook=14_09.xlsx&amp;sheet=U0&amp;row=902&amp;col=6&amp;number=4.8&amp;sourceID=14","4.8")</f>
        <v>4.8</v>
      </c>
      <c r="G902" s="4" t="str">
        <f>HYPERLINK("http://141.218.60.56/~jnz1568/getInfo.php?workbook=14_09.xlsx&amp;sheet=U0&amp;row=902&amp;col=7&amp;number=0.0345&amp;sourceID=14","0.0345")</f>
        <v>0.0345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HYPERLINK("http://141.218.60.56/~jnz1568/getInfo.php?workbook=14_09.xlsx&amp;sheet=U0&amp;row=903&amp;col=6&amp;number=4.9&amp;sourceID=14","4.9")</f>
        <v>4.9</v>
      </c>
      <c r="G903" s="4" t="str">
        <f>HYPERLINK("http://141.218.60.56/~jnz1568/getInfo.php?workbook=14_09.xlsx&amp;sheet=U0&amp;row=903&amp;col=7&amp;number=0.0332&amp;sourceID=14","0.0332")</f>
        <v>0.0332</v>
      </c>
    </row>
    <row r="904" spans="1:7">
      <c r="A904" s="3">
        <v>14</v>
      </c>
      <c r="B904" s="3">
        <v>9</v>
      </c>
      <c r="C904" s="3">
        <v>1</v>
      </c>
      <c r="D904" s="3">
        <v>47</v>
      </c>
      <c r="E904" s="3">
        <v>1</v>
      </c>
      <c r="F904" s="4" t="str">
        <f>HYPERLINK("http://141.218.60.56/~jnz1568/getInfo.php?workbook=14_09.xlsx&amp;sheet=U0&amp;row=904&amp;col=6&amp;number=3&amp;sourceID=14","3")</f>
        <v>3</v>
      </c>
      <c r="G904" s="4" t="str">
        <f>HYPERLINK("http://141.218.60.56/~jnz1568/getInfo.php?workbook=14_09.xlsx&amp;sheet=U0&amp;row=904&amp;col=7&amp;number=0.113&amp;sourceID=14","0.113")</f>
        <v>0.113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HYPERLINK("http://141.218.60.56/~jnz1568/getInfo.php?workbook=14_09.xlsx&amp;sheet=U0&amp;row=905&amp;col=6&amp;number=3.1&amp;sourceID=14","3.1")</f>
        <v>3.1</v>
      </c>
      <c r="G905" s="4" t="str">
        <f>HYPERLINK("http://141.218.60.56/~jnz1568/getInfo.php?workbook=14_09.xlsx&amp;sheet=U0&amp;row=905&amp;col=7&amp;number=0.113&amp;sourceID=14","0.113")</f>
        <v>0.113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HYPERLINK("http://141.218.60.56/~jnz1568/getInfo.php?workbook=14_09.xlsx&amp;sheet=U0&amp;row=906&amp;col=6&amp;number=3.2&amp;sourceID=14","3.2")</f>
        <v>3.2</v>
      </c>
      <c r="G906" s="4" t="str">
        <f>HYPERLINK("http://141.218.60.56/~jnz1568/getInfo.php?workbook=14_09.xlsx&amp;sheet=U0&amp;row=906&amp;col=7&amp;number=0.113&amp;sourceID=14","0.113")</f>
        <v>0.113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HYPERLINK("http://141.218.60.56/~jnz1568/getInfo.php?workbook=14_09.xlsx&amp;sheet=U0&amp;row=907&amp;col=6&amp;number=3.3&amp;sourceID=14","3.3")</f>
        <v>3.3</v>
      </c>
      <c r="G907" s="4" t="str">
        <f>HYPERLINK("http://141.218.60.56/~jnz1568/getInfo.php?workbook=14_09.xlsx&amp;sheet=U0&amp;row=907&amp;col=7&amp;number=0.113&amp;sourceID=14","0.113")</f>
        <v>0.113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HYPERLINK("http://141.218.60.56/~jnz1568/getInfo.php?workbook=14_09.xlsx&amp;sheet=U0&amp;row=908&amp;col=6&amp;number=3.4&amp;sourceID=14","3.4")</f>
        <v>3.4</v>
      </c>
      <c r="G908" s="4" t="str">
        <f>HYPERLINK("http://141.218.60.56/~jnz1568/getInfo.php?workbook=14_09.xlsx&amp;sheet=U0&amp;row=908&amp;col=7&amp;number=0.113&amp;sourceID=14","0.113")</f>
        <v>0.113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HYPERLINK("http://141.218.60.56/~jnz1568/getInfo.php?workbook=14_09.xlsx&amp;sheet=U0&amp;row=909&amp;col=6&amp;number=3.5&amp;sourceID=14","3.5")</f>
        <v>3.5</v>
      </c>
      <c r="G909" s="4" t="str">
        <f>HYPERLINK("http://141.218.60.56/~jnz1568/getInfo.php?workbook=14_09.xlsx&amp;sheet=U0&amp;row=909&amp;col=7&amp;number=0.112&amp;sourceID=14","0.112")</f>
        <v>0.112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HYPERLINK("http://141.218.60.56/~jnz1568/getInfo.php?workbook=14_09.xlsx&amp;sheet=U0&amp;row=910&amp;col=6&amp;number=3.6&amp;sourceID=14","3.6")</f>
        <v>3.6</v>
      </c>
      <c r="G910" s="4" t="str">
        <f>HYPERLINK("http://141.218.60.56/~jnz1568/getInfo.php?workbook=14_09.xlsx&amp;sheet=U0&amp;row=910&amp;col=7&amp;number=0.112&amp;sourceID=14","0.112")</f>
        <v>0.112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HYPERLINK("http://141.218.60.56/~jnz1568/getInfo.php?workbook=14_09.xlsx&amp;sheet=U0&amp;row=911&amp;col=6&amp;number=3.7&amp;sourceID=14","3.7")</f>
        <v>3.7</v>
      </c>
      <c r="G911" s="4" t="str">
        <f>HYPERLINK("http://141.218.60.56/~jnz1568/getInfo.php?workbook=14_09.xlsx&amp;sheet=U0&amp;row=911&amp;col=7&amp;number=0.112&amp;sourceID=14","0.112")</f>
        <v>0.112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HYPERLINK("http://141.218.60.56/~jnz1568/getInfo.php?workbook=14_09.xlsx&amp;sheet=U0&amp;row=912&amp;col=6&amp;number=3.8&amp;sourceID=14","3.8")</f>
        <v>3.8</v>
      </c>
      <c r="G912" s="4" t="str">
        <f>HYPERLINK("http://141.218.60.56/~jnz1568/getInfo.php?workbook=14_09.xlsx&amp;sheet=U0&amp;row=912&amp;col=7&amp;number=0.111&amp;sourceID=14","0.111")</f>
        <v>0.111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HYPERLINK("http://141.218.60.56/~jnz1568/getInfo.php?workbook=14_09.xlsx&amp;sheet=U0&amp;row=913&amp;col=6&amp;number=3.9&amp;sourceID=14","3.9")</f>
        <v>3.9</v>
      </c>
      <c r="G913" s="4" t="str">
        <f>HYPERLINK("http://141.218.60.56/~jnz1568/getInfo.php?workbook=14_09.xlsx&amp;sheet=U0&amp;row=913&amp;col=7&amp;number=0.111&amp;sourceID=14","0.111")</f>
        <v>0.111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HYPERLINK("http://141.218.60.56/~jnz1568/getInfo.php?workbook=14_09.xlsx&amp;sheet=U0&amp;row=914&amp;col=6&amp;number=4&amp;sourceID=14","4")</f>
        <v>4</v>
      </c>
      <c r="G914" s="4" t="str">
        <f>HYPERLINK("http://141.218.60.56/~jnz1568/getInfo.php?workbook=14_09.xlsx&amp;sheet=U0&amp;row=914&amp;col=7&amp;number=0.11&amp;sourceID=14","0.11")</f>
        <v>0.11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HYPERLINK("http://141.218.60.56/~jnz1568/getInfo.php?workbook=14_09.xlsx&amp;sheet=U0&amp;row=915&amp;col=6&amp;number=4.1&amp;sourceID=14","4.1")</f>
        <v>4.1</v>
      </c>
      <c r="G915" s="4" t="str">
        <f>HYPERLINK("http://141.218.60.56/~jnz1568/getInfo.php?workbook=14_09.xlsx&amp;sheet=U0&amp;row=915&amp;col=7&amp;number=0.109&amp;sourceID=14","0.109")</f>
        <v>0.109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HYPERLINK("http://141.218.60.56/~jnz1568/getInfo.php?workbook=14_09.xlsx&amp;sheet=U0&amp;row=916&amp;col=6&amp;number=4.2&amp;sourceID=14","4.2")</f>
        <v>4.2</v>
      </c>
      <c r="G916" s="4" t="str">
        <f>HYPERLINK("http://141.218.60.56/~jnz1568/getInfo.php?workbook=14_09.xlsx&amp;sheet=U0&amp;row=916&amp;col=7&amp;number=0.108&amp;sourceID=14","0.108")</f>
        <v>0.108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HYPERLINK("http://141.218.60.56/~jnz1568/getInfo.php?workbook=14_09.xlsx&amp;sheet=U0&amp;row=917&amp;col=6&amp;number=4.3&amp;sourceID=14","4.3")</f>
        <v>4.3</v>
      </c>
      <c r="G917" s="4" t="str">
        <f>HYPERLINK("http://141.218.60.56/~jnz1568/getInfo.php?workbook=14_09.xlsx&amp;sheet=U0&amp;row=917&amp;col=7&amp;number=0.107&amp;sourceID=14","0.107")</f>
        <v>0.107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HYPERLINK("http://141.218.60.56/~jnz1568/getInfo.php?workbook=14_09.xlsx&amp;sheet=U0&amp;row=918&amp;col=6&amp;number=4.4&amp;sourceID=14","4.4")</f>
        <v>4.4</v>
      </c>
      <c r="G918" s="4" t="str">
        <f>HYPERLINK("http://141.218.60.56/~jnz1568/getInfo.php?workbook=14_09.xlsx&amp;sheet=U0&amp;row=918&amp;col=7&amp;number=0.105&amp;sourceID=14","0.105")</f>
        <v>0.105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HYPERLINK("http://141.218.60.56/~jnz1568/getInfo.php?workbook=14_09.xlsx&amp;sheet=U0&amp;row=919&amp;col=6&amp;number=4.5&amp;sourceID=14","4.5")</f>
        <v>4.5</v>
      </c>
      <c r="G919" s="4" t="str">
        <f>HYPERLINK("http://141.218.60.56/~jnz1568/getInfo.php?workbook=14_09.xlsx&amp;sheet=U0&amp;row=919&amp;col=7&amp;number=0.103&amp;sourceID=14","0.103")</f>
        <v>0.103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HYPERLINK("http://141.218.60.56/~jnz1568/getInfo.php?workbook=14_09.xlsx&amp;sheet=U0&amp;row=920&amp;col=6&amp;number=4.6&amp;sourceID=14","4.6")</f>
        <v>4.6</v>
      </c>
      <c r="G920" s="4" t="str">
        <f>HYPERLINK("http://141.218.60.56/~jnz1568/getInfo.php?workbook=14_09.xlsx&amp;sheet=U0&amp;row=920&amp;col=7&amp;number=0.101&amp;sourceID=14","0.101")</f>
        <v>0.101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HYPERLINK("http://141.218.60.56/~jnz1568/getInfo.php?workbook=14_09.xlsx&amp;sheet=U0&amp;row=921&amp;col=6&amp;number=4.7&amp;sourceID=14","4.7")</f>
        <v>4.7</v>
      </c>
      <c r="G921" s="4" t="str">
        <f>HYPERLINK("http://141.218.60.56/~jnz1568/getInfo.php?workbook=14_09.xlsx&amp;sheet=U0&amp;row=921&amp;col=7&amp;number=0.0984&amp;sourceID=14","0.0984")</f>
        <v>0.0984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HYPERLINK("http://141.218.60.56/~jnz1568/getInfo.php?workbook=14_09.xlsx&amp;sheet=U0&amp;row=922&amp;col=6&amp;number=4.8&amp;sourceID=14","4.8")</f>
        <v>4.8</v>
      </c>
      <c r="G922" s="4" t="str">
        <f>HYPERLINK("http://141.218.60.56/~jnz1568/getInfo.php?workbook=14_09.xlsx&amp;sheet=U0&amp;row=922&amp;col=7&amp;number=0.0958&amp;sourceID=14","0.0958")</f>
        <v>0.0958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HYPERLINK("http://141.218.60.56/~jnz1568/getInfo.php?workbook=14_09.xlsx&amp;sheet=U0&amp;row=923&amp;col=6&amp;number=4.9&amp;sourceID=14","4.9")</f>
        <v>4.9</v>
      </c>
      <c r="G923" s="4" t="str">
        <f>HYPERLINK("http://141.218.60.56/~jnz1568/getInfo.php?workbook=14_09.xlsx&amp;sheet=U0&amp;row=923&amp;col=7&amp;number=0.0935&amp;sourceID=14","0.0935")</f>
        <v>0.0935</v>
      </c>
    </row>
    <row r="924" spans="1:7">
      <c r="A924" s="3">
        <v>14</v>
      </c>
      <c r="B924" s="3">
        <v>9</v>
      </c>
      <c r="C924" s="3">
        <v>1</v>
      </c>
      <c r="D924" s="3">
        <v>48</v>
      </c>
      <c r="E924" s="3">
        <v>1</v>
      </c>
      <c r="F924" s="4" t="str">
        <f>HYPERLINK("http://141.218.60.56/~jnz1568/getInfo.php?workbook=14_09.xlsx&amp;sheet=U0&amp;row=924&amp;col=6&amp;number=3&amp;sourceID=14","3")</f>
        <v>3</v>
      </c>
      <c r="G924" s="4" t="str">
        <f>HYPERLINK("http://141.218.60.56/~jnz1568/getInfo.php?workbook=14_09.xlsx&amp;sheet=U0&amp;row=924&amp;col=7&amp;number=0.247&amp;sourceID=14","0.247")</f>
        <v>0.247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HYPERLINK("http://141.218.60.56/~jnz1568/getInfo.php?workbook=14_09.xlsx&amp;sheet=U0&amp;row=925&amp;col=6&amp;number=3.1&amp;sourceID=14","3.1")</f>
        <v>3.1</v>
      </c>
      <c r="G925" s="4" t="str">
        <f>HYPERLINK("http://141.218.60.56/~jnz1568/getInfo.php?workbook=14_09.xlsx&amp;sheet=U0&amp;row=925&amp;col=7&amp;number=0.247&amp;sourceID=14","0.247")</f>
        <v>0.247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HYPERLINK("http://141.218.60.56/~jnz1568/getInfo.php?workbook=14_09.xlsx&amp;sheet=U0&amp;row=926&amp;col=6&amp;number=3.2&amp;sourceID=14","3.2")</f>
        <v>3.2</v>
      </c>
      <c r="G926" s="4" t="str">
        <f>HYPERLINK("http://141.218.60.56/~jnz1568/getInfo.php?workbook=14_09.xlsx&amp;sheet=U0&amp;row=926&amp;col=7&amp;number=0.246&amp;sourceID=14","0.246")</f>
        <v>0.246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HYPERLINK("http://141.218.60.56/~jnz1568/getInfo.php?workbook=14_09.xlsx&amp;sheet=U0&amp;row=927&amp;col=6&amp;number=3.3&amp;sourceID=14","3.3")</f>
        <v>3.3</v>
      </c>
      <c r="G927" s="4" t="str">
        <f>HYPERLINK("http://141.218.60.56/~jnz1568/getInfo.php?workbook=14_09.xlsx&amp;sheet=U0&amp;row=927&amp;col=7&amp;number=0.246&amp;sourceID=14","0.246")</f>
        <v>0.246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HYPERLINK("http://141.218.60.56/~jnz1568/getInfo.php?workbook=14_09.xlsx&amp;sheet=U0&amp;row=928&amp;col=6&amp;number=3.4&amp;sourceID=14","3.4")</f>
        <v>3.4</v>
      </c>
      <c r="G928" s="4" t="str">
        <f>HYPERLINK("http://141.218.60.56/~jnz1568/getInfo.php?workbook=14_09.xlsx&amp;sheet=U0&amp;row=928&amp;col=7&amp;number=0.246&amp;sourceID=14","0.246")</f>
        <v>0.246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HYPERLINK("http://141.218.60.56/~jnz1568/getInfo.php?workbook=14_09.xlsx&amp;sheet=U0&amp;row=929&amp;col=6&amp;number=3.5&amp;sourceID=14","3.5")</f>
        <v>3.5</v>
      </c>
      <c r="G929" s="4" t="str">
        <f>HYPERLINK("http://141.218.60.56/~jnz1568/getInfo.php?workbook=14_09.xlsx&amp;sheet=U0&amp;row=929&amp;col=7&amp;number=0.246&amp;sourceID=14","0.246")</f>
        <v>0.246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HYPERLINK("http://141.218.60.56/~jnz1568/getInfo.php?workbook=14_09.xlsx&amp;sheet=U0&amp;row=930&amp;col=6&amp;number=3.6&amp;sourceID=14","3.6")</f>
        <v>3.6</v>
      </c>
      <c r="G930" s="4" t="str">
        <f>HYPERLINK("http://141.218.60.56/~jnz1568/getInfo.php?workbook=14_09.xlsx&amp;sheet=U0&amp;row=930&amp;col=7&amp;number=0.245&amp;sourceID=14","0.245")</f>
        <v>0.245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HYPERLINK("http://141.218.60.56/~jnz1568/getInfo.php?workbook=14_09.xlsx&amp;sheet=U0&amp;row=931&amp;col=6&amp;number=3.7&amp;sourceID=14","3.7")</f>
        <v>3.7</v>
      </c>
      <c r="G931" s="4" t="str">
        <f>HYPERLINK("http://141.218.60.56/~jnz1568/getInfo.php?workbook=14_09.xlsx&amp;sheet=U0&amp;row=931&amp;col=7&amp;number=0.245&amp;sourceID=14","0.245")</f>
        <v>0.245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HYPERLINK("http://141.218.60.56/~jnz1568/getInfo.php?workbook=14_09.xlsx&amp;sheet=U0&amp;row=932&amp;col=6&amp;number=3.8&amp;sourceID=14","3.8")</f>
        <v>3.8</v>
      </c>
      <c r="G932" s="4" t="str">
        <f>HYPERLINK("http://141.218.60.56/~jnz1568/getInfo.php?workbook=14_09.xlsx&amp;sheet=U0&amp;row=932&amp;col=7&amp;number=0.244&amp;sourceID=14","0.244")</f>
        <v>0.244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HYPERLINK("http://141.218.60.56/~jnz1568/getInfo.php?workbook=14_09.xlsx&amp;sheet=U0&amp;row=933&amp;col=6&amp;number=3.9&amp;sourceID=14","3.9")</f>
        <v>3.9</v>
      </c>
      <c r="G933" s="4" t="str">
        <f>HYPERLINK("http://141.218.60.56/~jnz1568/getInfo.php?workbook=14_09.xlsx&amp;sheet=U0&amp;row=933&amp;col=7&amp;number=0.243&amp;sourceID=14","0.243")</f>
        <v>0.243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HYPERLINK("http://141.218.60.56/~jnz1568/getInfo.php?workbook=14_09.xlsx&amp;sheet=U0&amp;row=934&amp;col=6&amp;number=4&amp;sourceID=14","4")</f>
        <v>4</v>
      </c>
      <c r="G934" s="4" t="str">
        <f>HYPERLINK("http://141.218.60.56/~jnz1568/getInfo.php?workbook=14_09.xlsx&amp;sheet=U0&amp;row=934&amp;col=7&amp;number=0.243&amp;sourceID=14","0.243")</f>
        <v>0.243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HYPERLINK("http://141.218.60.56/~jnz1568/getInfo.php?workbook=14_09.xlsx&amp;sheet=U0&amp;row=935&amp;col=6&amp;number=4.1&amp;sourceID=14","4.1")</f>
        <v>4.1</v>
      </c>
      <c r="G935" s="4" t="str">
        <f>HYPERLINK("http://141.218.60.56/~jnz1568/getInfo.php?workbook=14_09.xlsx&amp;sheet=U0&amp;row=935&amp;col=7&amp;number=0.241&amp;sourceID=14","0.241")</f>
        <v>0.241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HYPERLINK("http://141.218.60.56/~jnz1568/getInfo.php?workbook=14_09.xlsx&amp;sheet=U0&amp;row=936&amp;col=6&amp;number=4.2&amp;sourceID=14","4.2")</f>
        <v>4.2</v>
      </c>
      <c r="G936" s="4" t="str">
        <f>HYPERLINK("http://141.218.60.56/~jnz1568/getInfo.php?workbook=14_09.xlsx&amp;sheet=U0&amp;row=936&amp;col=7&amp;number=0.24&amp;sourceID=14","0.24")</f>
        <v>0.24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HYPERLINK("http://141.218.60.56/~jnz1568/getInfo.php?workbook=14_09.xlsx&amp;sheet=U0&amp;row=937&amp;col=6&amp;number=4.3&amp;sourceID=14","4.3")</f>
        <v>4.3</v>
      </c>
      <c r="G937" s="4" t="str">
        <f>HYPERLINK("http://141.218.60.56/~jnz1568/getInfo.php?workbook=14_09.xlsx&amp;sheet=U0&amp;row=937&amp;col=7&amp;number=0.238&amp;sourceID=14","0.238")</f>
        <v>0.238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HYPERLINK("http://141.218.60.56/~jnz1568/getInfo.php?workbook=14_09.xlsx&amp;sheet=U0&amp;row=938&amp;col=6&amp;number=4.4&amp;sourceID=14","4.4")</f>
        <v>4.4</v>
      </c>
      <c r="G938" s="4" t="str">
        <f>HYPERLINK("http://141.218.60.56/~jnz1568/getInfo.php?workbook=14_09.xlsx&amp;sheet=U0&amp;row=938&amp;col=7&amp;number=0.236&amp;sourceID=14","0.236")</f>
        <v>0.236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HYPERLINK("http://141.218.60.56/~jnz1568/getInfo.php?workbook=14_09.xlsx&amp;sheet=U0&amp;row=939&amp;col=6&amp;number=4.5&amp;sourceID=14","4.5")</f>
        <v>4.5</v>
      </c>
      <c r="G939" s="4" t="str">
        <f>HYPERLINK("http://141.218.60.56/~jnz1568/getInfo.php?workbook=14_09.xlsx&amp;sheet=U0&amp;row=939&amp;col=7&amp;number=0.234&amp;sourceID=14","0.234")</f>
        <v>0.234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HYPERLINK("http://141.218.60.56/~jnz1568/getInfo.php?workbook=14_09.xlsx&amp;sheet=U0&amp;row=940&amp;col=6&amp;number=4.6&amp;sourceID=14","4.6")</f>
        <v>4.6</v>
      </c>
      <c r="G940" s="4" t="str">
        <f>HYPERLINK("http://141.218.60.56/~jnz1568/getInfo.php?workbook=14_09.xlsx&amp;sheet=U0&amp;row=940&amp;col=7&amp;number=0.231&amp;sourceID=14","0.231")</f>
        <v>0.231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HYPERLINK("http://141.218.60.56/~jnz1568/getInfo.php?workbook=14_09.xlsx&amp;sheet=U0&amp;row=941&amp;col=6&amp;number=4.7&amp;sourceID=14","4.7")</f>
        <v>4.7</v>
      </c>
      <c r="G941" s="4" t="str">
        <f>HYPERLINK("http://141.218.60.56/~jnz1568/getInfo.php?workbook=14_09.xlsx&amp;sheet=U0&amp;row=941&amp;col=7&amp;number=0.228&amp;sourceID=14","0.228")</f>
        <v>0.228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HYPERLINK("http://141.218.60.56/~jnz1568/getInfo.php?workbook=14_09.xlsx&amp;sheet=U0&amp;row=942&amp;col=6&amp;number=4.8&amp;sourceID=14","4.8")</f>
        <v>4.8</v>
      </c>
      <c r="G942" s="4" t="str">
        <f>HYPERLINK("http://141.218.60.56/~jnz1568/getInfo.php?workbook=14_09.xlsx&amp;sheet=U0&amp;row=942&amp;col=7&amp;number=0.226&amp;sourceID=14","0.226")</f>
        <v>0.226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HYPERLINK("http://141.218.60.56/~jnz1568/getInfo.php?workbook=14_09.xlsx&amp;sheet=U0&amp;row=943&amp;col=6&amp;number=4.9&amp;sourceID=14","4.9")</f>
        <v>4.9</v>
      </c>
      <c r="G943" s="4" t="str">
        <f>HYPERLINK("http://141.218.60.56/~jnz1568/getInfo.php?workbook=14_09.xlsx&amp;sheet=U0&amp;row=943&amp;col=7&amp;number=0.224&amp;sourceID=14","0.224")</f>
        <v>0.224</v>
      </c>
    </row>
    <row r="944" spans="1:7">
      <c r="A944" s="3">
        <v>14</v>
      </c>
      <c r="B944" s="3">
        <v>9</v>
      </c>
      <c r="C944" s="3">
        <v>1</v>
      </c>
      <c r="D944" s="3">
        <v>49</v>
      </c>
      <c r="E944" s="3">
        <v>1</v>
      </c>
      <c r="F944" s="4" t="str">
        <f>HYPERLINK("http://141.218.60.56/~jnz1568/getInfo.php?workbook=14_09.xlsx&amp;sheet=U0&amp;row=944&amp;col=6&amp;number=3&amp;sourceID=14","3")</f>
        <v>3</v>
      </c>
      <c r="G944" s="4" t="str">
        <f>HYPERLINK("http://141.218.60.56/~jnz1568/getInfo.php?workbook=14_09.xlsx&amp;sheet=U0&amp;row=944&amp;col=7&amp;number=0.0779&amp;sourceID=14","0.0779")</f>
        <v>0.0779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HYPERLINK("http://141.218.60.56/~jnz1568/getInfo.php?workbook=14_09.xlsx&amp;sheet=U0&amp;row=945&amp;col=6&amp;number=3.1&amp;sourceID=14","3.1")</f>
        <v>3.1</v>
      </c>
      <c r="G945" s="4" t="str">
        <f>HYPERLINK("http://141.218.60.56/~jnz1568/getInfo.php?workbook=14_09.xlsx&amp;sheet=U0&amp;row=945&amp;col=7&amp;number=0.0777&amp;sourceID=14","0.0777")</f>
        <v>0.0777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HYPERLINK("http://141.218.60.56/~jnz1568/getInfo.php?workbook=14_09.xlsx&amp;sheet=U0&amp;row=946&amp;col=6&amp;number=3.2&amp;sourceID=14","3.2")</f>
        <v>3.2</v>
      </c>
      <c r="G946" s="4" t="str">
        <f>HYPERLINK("http://141.218.60.56/~jnz1568/getInfo.php?workbook=14_09.xlsx&amp;sheet=U0&amp;row=946&amp;col=7&amp;number=0.0775&amp;sourceID=14","0.0775")</f>
        <v>0.0775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HYPERLINK("http://141.218.60.56/~jnz1568/getInfo.php?workbook=14_09.xlsx&amp;sheet=U0&amp;row=947&amp;col=6&amp;number=3.3&amp;sourceID=14","3.3")</f>
        <v>3.3</v>
      </c>
      <c r="G947" s="4" t="str">
        <f>HYPERLINK("http://141.218.60.56/~jnz1568/getInfo.php?workbook=14_09.xlsx&amp;sheet=U0&amp;row=947&amp;col=7&amp;number=0.0773&amp;sourceID=14","0.0773")</f>
        <v>0.0773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HYPERLINK("http://141.218.60.56/~jnz1568/getInfo.php?workbook=14_09.xlsx&amp;sheet=U0&amp;row=948&amp;col=6&amp;number=3.4&amp;sourceID=14","3.4")</f>
        <v>3.4</v>
      </c>
      <c r="G948" s="4" t="str">
        <f>HYPERLINK("http://141.218.60.56/~jnz1568/getInfo.php?workbook=14_09.xlsx&amp;sheet=U0&amp;row=948&amp;col=7&amp;number=0.0769&amp;sourceID=14","0.0769")</f>
        <v>0.0769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HYPERLINK("http://141.218.60.56/~jnz1568/getInfo.php?workbook=14_09.xlsx&amp;sheet=U0&amp;row=949&amp;col=6&amp;number=3.5&amp;sourceID=14","3.5")</f>
        <v>3.5</v>
      </c>
      <c r="G949" s="4" t="str">
        <f>HYPERLINK("http://141.218.60.56/~jnz1568/getInfo.php?workbook=14_09.xlsx&amp;sheet=U0&amp;row=949&amp;col=7&amp;number=0.0765&amp;sourceID=14","0.0765")</f>
        <v>0.0765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HYPERLINK("http://141.218.60.56/~jnz1568/getInfo.php?workbook=14_09.xlsx&amp;sheet=U0&amp;row=950&amp;col=6&amp;number=3.6&amp;sourceID=14","3.6")</f>
        <v>3.6</v>
      </c>
      <c r="G950" s="4" t="str">
        <f>HYPERLINK("http://141.218.60.56/~jnz1568/getInfo.php?workbook=14_09.xlsx&amp;sheet=U0&amp;row=950&amp;col=7&amp;number=0.076&amp;sourceID=14","0.076")</f>
        <v>0.076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HYPERLINK("http://141.218.60.56/~jnz1568/getInfo.php?workbook=14_09.xlsx&amp;sheet=U0&amp;row=951&amp;col=6&amp;number=3.7&amp;sourceID=14","3.7")</f>
        <v>3.7</v>
      </c>
      <c r="G951" s="4" t="str">
        <f>HYPERLINK("http://141.218.60.56/~jnz1568/getInfo.php?workbook=14_09.xlsx&amp;sheet=U0&amp;row=951&amp;col=7&amp;number=0.0753&amp;sourceID=14","0.0753")</f>
        <v>0.0753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HYPERLINK("http://141.218.60.56/~jnz1568/getInfo.php?workbook=14_09.xlsx&amp;sheet=U0&amp;row=952&amp;col=6&amp;number=3.8&amp;sourceID=14","3.8")</f>
        <v>3.8</v>
      </c>
      <c r="G952" s="4" t="str">
        <f>HYPERLINK("http://141.218.60.56/~jnz1568/getInfo.php?workbook=14_09.xlsx&amp;sheet=U0&amp;row=952&amp;col=7&amp;number=0.0745&amp;sourceID=14","0.0745")</f>
        <v>0.0745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HYPERLINK("http://141.218.60.56/~jnz1568/getInfo.php?workbook=14_09.xlsx&amp;sheet=U0&amp;row=953&amp;col=6&amp;number=3.9&amp;sourceID=14","3.9")</f>
        <v>3.9</v>
      </c>
      <c r="G953" s="4" t="str">
        <f>HYPERLINK("http://141.218.60.56/~jnz1568/getInfo.php?workbook=14_09.xlsx&amp;sheet=U0&amp;row=953&amp;col=7&amp;number=0.0735&amp;sourceID=14","0.0735")</f>
        <v>0.0735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HYPERLINK("http://141.218.60.56/~jnz1568/getInfo.php?workbook=14_09.xlsx&amp;sheet=U0&amp;row=954&amp;col=6&amp;number=4&amp;sourceID=14","4")</f>
        <v>4</v>
      </c>
      <c r="G954" s="4" t="str">
        <f>HYPERLINK("http://141.218.60.56/~jnz1568/getInfo.php?workbook=14_09.xlsx&amp;sheet=U0&amp;row=954&amp;col=7&amp;number=0.0722&amp;sourceID=14","0.0722")</f>
        <v>0.0722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HYPERLINK("http://141.218.60.56/~jnz1568/getInfo.php?workbook=14_09.xlsx&amp;sheet=U0&amp;row=955&amp;col=6&amp;number=4.1&amp;sourceID=14","4.1")</f>
        <v>4.1</v>
      </c>
      <c r="G955" s="4" t="str">
        <f>HYPERLINK("http://141.218.60.56/~jnz1568/getInfo.php?workbook=14_09.xlsx&amp;sheet=U0&amp;row=955&amp;col=7&amp;number=0.0706&amp;sourceID=14","0.0706")</f>
        <v>0.0706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HYPERLINK("http://141.218.60.56/~jnz1568/getInfo.php?workbook=14_09.xlsx&amp;sheet=U0&amp;row=956&amp;col=6&amp;number=4.2&amp;sourceID=14","4.2")</f>
        <v>4.2</v>
      </c>
      <c r="G956" s="4" t="str">
        <f>HYPERLINK("http://141.218.60.56/~jnz1568/getInfo.php?workbook=14_09.xlsx&amp;sheet=U0&amp;row=956&amp;col=7&amp;number=0.0687&amp;sourceID=14","0.0687")</f>
        <v>0.0687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HYPERLINK("http://141.218.60.56/~jnz1568/getInfo.php?workbook=14_09.xlsx&amp;sheet=U0&amp;row=957&amp;col=6&amp;number=4.3&amp;sourceID=14","4.3")</f>
        <v>4.3</v>
      </c>
      <c r="G957" s="4" t="str">
        <f>HYPERLINK("http://141.218.60.56/~jnz1568/getInfo.php?workbook=14_09.xlsx&amp;sheet=U0&amp;row=957&amp;col=7&amp;number=0.0664&amp;sourceID=14","0.0664")</f>
        <v>0.0664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HYPERLINK("http://141.218.60.56/~jnz1568/getInfo.php?workbook=14_09.xlsx&amp;sheet=U0&amp;row=958&amp;col=6&amp;number=4.4&amp;sourceID=14","4.4")</f>
        <v>4.4</v>
      </c>
      <c r="G958" s="4" t="str">
        <f>HYPERLINK("http://141.218.60.56/~jnz1568/getInfo.php?workbook=14_09.xlsx&amp;sheet=U0&amp;row=958&amp;col=7&amp;number=0.0637&amp;sourceID=14","0.0637")</f>
        <v>0.0637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HYPERLINK("http://141.218.60.56/~jnz1568/getInfo.php?workbook=14_09.xlsx&amp;sheet=U0&amp;row=959&amp;col=6&amp;number=4.5&amp;sourceID=14","4.5")</f>
        <v>4.5</v>
      </c>
      <c r="G959" s="4" t="str">
        <f>HYPERLINK("http://141.218.60.56/~jnz1568/getInfo.php?workbook=14_09.xlsx&amp;sheet=U0&amp;row=959&amp;col=7&amp;number=0.0605&amp;sourceID=14","0.0605")</f>
        <v>0.0605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HYPERLINK("http://141.218.60.56/~jnz1568/getInfo.php?workbook=14_09.xlsx&amp;sheet=U0&amp;row=960&amp;col=6&amp;number=4.6&amp;sourceID=14","4.6")</f>
        <v>4.6</v>
      </c>
      <c r="G960" s="4" t="str">
        <f>HYPERLINK("http://141.218.60.56/~jnz1568/getInfo.php?workbook=14_09.xlsx&amp;sheet=U0&amp;row=960&amp;col=7&amp;number=0.0571&amp;sourceID=14","0.0571")</f>
        <v>0.0571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HYPERLINK("http://141.218.60.56/~jnz1568/getInfo.php?workbook=14_09.xlsx&amp;sheet=U0&amp;row=961&amp;col=6&amp;number=4.7&amp;sourceID=14","4.7")</f>
        <v>4.7</v>
      </c>
      <c r="G961" s="4" t="str">
        <f>HYPERLINK("http://141.218.60.56/~jnz1568/getInfo.php?workbook=14_09.xlsx&amp;sheet=U0&amp;row=961&amp;col=7&amp;number=0.0535&amp;sourceID=14","0.0535")</f>
        <v>0.0535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HYPERLINK("http://141.218.60.56/~jnz1568/getInfo.php?workbook=14_09.xlsx&amp;sheet=U0&amp;row=962&amp;col=6&amp;number=4.8&amp;sourceID=14","4.8")</f>
        <v>4.8</v>
      </c>
      <c r="G962" s="4" t="str">
        <f>HYPERLINK("http://141.218.60.56/~jnz1568/getInfo.php?workbook=14_09.xlsx&amp;sheet=U0&amp;row=962&amp;col=7&amp;number=0.0503&amp;sourceID=14","0.0503")</f>
        <v>0.0503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HYPERLINK("http://141.218.60.56/~jnz1568/getInfo.php?workbook=14_09.xlsx&amp;sheet=U0&amp;row=963&amp;col=6&amp;number=4.9&amp;sourceID=14","4.9")</f>
        <v>4.9</v>
      </c>
      <c r="G963" s="4" t="str">
        <f>HYPERLINK("http://141.218.60.56/~jnz1568/getInfo.php?workbook=14_09.xlsx&amp;sheet=U0&amp;row=963&amp;col=7&amp;number=0.0478&amp;sourceID=14","0.0478")</f>
        <v>0.0478</v>
      </c>
    </row>
    <row r="964" spans="1:7">
      <c r="A964" s="3">
        <v>14</v>
      </c>
      <c r="B964" s="3">
        <v>9</v>
      </c>
      <c r="C964" s="3">
        <v>1</v>
      </c>
      <c r="D964" s="3">
        <v>50</v>
      </c>
      <c r="E964" s="3">
        <v>1</v>
      </c>
      <c r="F964" s="4" t="str">
        <f>HYPERLINK("http://141.218.60.56/~jnz1568/getInfo.php?workbook=14_09.xlsx&amp;sheet=U0&amp;row=964&amp;col=6&amp;number=3&amp;sourceID=14","3")</f>
        <v>3</v>
      </c>
      <c r="G964" s="4" t="str">
        <f>HYPERLINK("http://141.218.60.56/~jnz1568/getInfo.php?workbook=14_09.xlsx&amp;sheet=U0&amp;row=964&amp;col=7&amp;number=0.0892&amp;sourceID=14","0.0892")</f>
        <v>0.0892</v>
      </c>
    </row>
    <row r="965" spans="1:7">
      <c r="A965" s="3"/>
      <c r="B965" s="3"/>
      <c r="C965" s="3"/>
      <c r="D965" s="3"/>
      <c r="E965" s="3">
        <v>2</v>
      </c>
      <c r="F965" s="4" t="str">
        <f>HYPERLINK("http://141.218.60.56/~jnz1568/getInfo.php?workbook=14_09.xlsx&amp;sheet=U0&amp;row=965&amp;col=6&amp;number=3.1&amp;sourceID=14","3.1")</f>
        <v>3.1</v>
      </c>
      <c r="G965" s="4" t="str">
        <f>HYPERLINK("http://141.218.60.56/~jnz1568/getInfo.php?workbook=14_09.xlsx&amp;sheet=U0&amp;row=965&amp;col=7&amp;number=0.089&amp;sourceID=14","0.089")</f>
        <v>0.089</v>
      </c>
    </row>
    <row r="966" spans="1:7">
      <c r="A966" s="3"/>
      <c r="B966" s="3"/>
      <c r="C966" s="3"/>
      <c r="D966" s="3"/>
      <c r="E966" s="3">
        <v>3</v>
      </c>
      <c r="F966" s="4" t="str">
        <f>HYPERLINK("http://141.218.60.56/~jnz1568/getInfo.php?workbook=14_09.xlsx&amp;sheet=U0&amp;row=966&amp;col=6&amp;number=3.2&amp;sourceID=14","3.2")</f>
        <v>3.2</v>
      </c>
      <c r="G966" s="4" t="str">
        <f>HYPERLINK("http://141.218.60.56/~jnz1568/getInfo.php?workbook=14_09.xlsx&amp;sheet=U0&amp;row=966&amp;col=7&amp;number=0.0888&amp;sourceID=14","0.0888")</f>
        <v>0.0888</v>
      </c>
    </row>
    <row r="967" spans="1:7">
      <c r="A967" s="3"/>
      <c r="B967" s="3"/>
      <c r="C967" s="3"/>
      <c r="D967" s="3"/>
      <c r="E967" s="3">
        <v>4</v>
      </c>
      <c r="F967" s="4" t="str">
        <f>HYPERLINK("http://141.218.60.56/~jnz1568/getInfo.php?workbook=14_09.xlsx&amp;sheet=U0&amp;row=967&amp;col=6&amp;number=3.3&amp;sourceID=14","3.3")</f>
        <v>3.3</v>
      </c>
      <c r="G967" s="4" t="str">
        <f>HYPERLINK("http://141.218.60.56/~jnz1568/getInfo.php?workbook=14_09.xlsx&amp;sheet=U0&amp;row=967&amp;col=7&amp;number=0.0885&amp;sourceID=14","0.0885")</f>
        <v>0.0885</v>
      </c>
    </row>
    <row r="968" spans="1:7">
      <c r="A968" s="3"/>
      <c r="B968" s="3"/>
      <c r="C968" s="3"/>
      <c r="D968" s="3"/>
      <c r="E968" s="3">
        <v>5</v>
      </c>
      <c r="F968" s="4" t="str">
        <f>HYPERLINK("http://141.218.60.56/~jnz1568/getInfo.php?workbook=14_09.xlsx&amp;sheet=U0&amp;row=968&amp;col=6&amp;number=3.4&amp;sourceID=14","3.4")</f>
        <v>3.4</v>
      </c>
      <c r="G968" s="4" t="str">
        <f>HYPERLINK("http://141.218.60.56/~jnz1568/getInfo.php?workbook=14_09.xlsx&amp;sheet=U0&amp;row=968&amp;col=7&amp;number=0.0881&amp;sourceID=14","0.0881")</f>
        <v>0.0881</v>
      </c>
    </row>
    <row r="969" spans="1:7">
      <c r="A969" s="3"/>
      <c r="B969" s="3"/>
      <c r="C969" s="3"/>
      <c r="D969" s="3"/>
      <c r="E969" s="3">
        <v>6</v>
      </c>
      <c r="F969" s="4" t="str">
        <f>HYPERLINK("http://141.218.60.56/~jnz1568/getInfo.php?workbook=14_09.xlsx&amp;sheet=U0&amp;row=969&amp;col=6&amp;number=3.5&amp;sourceID=14","3.5")</f>
        <v>3.5</v>
      </c>
      <c r="G969" s="4" t="str">
        <f>HYPERLINK("http://141.218.60.56/~jnz1568/getInfo.php?workbook=14_09.xlsx&amp;sheet=U0&amp;row=969&amp;col=7&amp;number=0.0876&amp;sourceID=14","0.0876")</f>
        <v>0.0876</v>
      </c>
    </row>
    <row r="970" spans="1:7">
      <c r="A970" s="3"/>
      <c r="B970" s="3"/>
      <c r="C970" s="3"/>
      <c r="D970" s="3"/>
      <c r="E970" s="3">
        <v>7</v>
      </c>
      <c r="F970" s="4" t="str">
        <f>HYPERLINK("http://141.218.60.56/~jnz1568/getInfo.php?workbook=14_09.xlsx&amp;sheet=U0&amp;row=970&amp;col=6&amp;number=3.6&amp;sourceID=14","3.6")</f>
        <v>3.6</v>
      </c>
      <c r="G970" s="4" t="str">
        <f>HYPERLINK("http://141.218.60.56/~jnz1568/getInfo.php?workbook=14_09.xlsx&amp;sheet=U0&amp;row=970&amp;col=7&amp;number=0.0869&amp;sourceID=14","0.0869")</f>
        <v>0.0869</v>
      </c>
    </row>
    <row r="971" spans="1:7">
      <c r="A971" s="3"/>
      <c r="B971" s="3"/>
      <c r="C971" s="3"/>
      <c r="D971" s="3"/>
      <c r="E971" s="3">
        <v>8</v>
      </c>
      <c r="F971" s="4" t="str">
        <f>HYPERLINK("http://141.218.60.56/~jnz1568/getInfo.php?workbook=14_09.xlsx&amp;sheet=U0&amp;row=971&amp;col=6&amp;number=3.7&amp;sourceID=14","3.7")</f>
        <v>3.7</v>
      </c>
      <c r="G971" s="4" t="str">
        <f>HYPERLINK("http://141.218.60.56/~jnz1568/getInfo.php?workbook=14_09.xlsx&amp;sheet=U0&amp;row=971&amp;col=7&amp;number=0.0862&amp;sourceID=14","0.0862")</f>
        <v>0.0862</v>
      </c>
    </row>
    <row r="972" spans="1:7">
      <c r="A972" s="3"/>
      <c r="B972" s="3"/>
      <c r="C972" s="3"/>
      <c r="D972" s="3"/>
      <c r="E972" s="3">
        <v>9</v>
      </c>
      <c r="F972" s="4" t="str">
        <f>HYPERLINK("http://141.218.60.56/~jnz1568/getInfo.php?workbook=14_09.xlsx&amp;sheet=U0&amp;row=972&amp;col=6&amp;number=3.8&amp;sourceID=14","3.8")</f>
        <v>3.8</v>
      </c>
      <c r="G972" s="4" t="str">
        <f>HYPERLINK("http://141.218.60.56/~jnz1568/getInfo.php?workbook=14_09.xlsx&amp;sheet=U0&amp;row=972&amp;col=7&amp;number=0.0852&amp;sourceID=14","0.0852")</f>
        <v>0.0852</v>
      </c>
    </row>
    <row r="973" spans="1:7">
      <c r="A973" s="3"/>
      <c r="B973" s="3"/>
      <c r="C973" s="3"/>
      <c r="D973" s="3"/>
      <c r="E973" s="3">
        <v>10</v>
      </c>
      <c r="F973" s="4" t="str">
        <f>HYPERLINK("http://141.218.60.56/~jnz1568/getInfo.php?workbook=14_09.xlsx&amp;sheet=U0&amp;row=973&amp;col=6&amp;number=3.9&amp;sourceID=14","3.9")</f>
        <v>3.9</v>
      </c>
      <c r="G973" s="4" t="str">
        <f>HYPERLINK("http://141.218.60.56/~jnz1568/getInfo.php?workbook=14_09.xlsx&amp;sheet=U0&amp;row=973&amp;col=7&amp;number=0.084&amp;sourceID=14","0.084")</f>
        <v>0.084</v>
      </c>
    </row>
    <row r="974" spans="1:7">
      <c r="A974" s="3"/>
      <c r="B974" s="3"/>
      <c r="C974" s="3"/>
      <c r="D974" s="3"/>
      <c r="E974" s="3">
        <v>11</v>
      </c>
      <c r="F974" s="4" t="str">
        <f>HYPERLINK("http://141.218.60.56/~jnz1568/getInfo.php?workbook=14_09.xlsx&amp;sheet=U0&amp;row=974&amp;col=6&amp;number=4&amp;sourceID=14","4")</f>
        <v>4</v>
      </c>
      <c r="G974" s="4" t="str">
        <f>HYPERLINK("http://141.218.60.56/~jnz1568/getInfo.php?workbook=14_09.xlsx&amp;sheet=U0&amp;row=974&amp;col=7&amp;number=0.0825&amp;sourceID=14","0.0825")</f>
        <v>0.0825</v>
      </c>
    </row>
    <row r="975" spans="1:7">
      <c r="A975" s="3"/>
      <c r="B975" s="3"/>
      <c r="C975" s="3"/>
      <c r="D975" s="3"/>
      <c r="E975" s="3">
        <v>12</v>
      </c>
      <c r="F975" s="4" t="str">
        <f>HYPERLINK("http://141.218.60.56/~jnz1568/getInfo.php?workbook=14_09.xlsx&amp;sheet=U0&amp;row=975&amp;col=6&amp;number=4.1&amp;sourceID=14","4.1")</f>
        <v>4.1</v>
      </c>
      <c r="G975" s="4" t="str">
        <f>HYPERLINK("http://141.218.60.56/~jnz1568/getInfo.php?workbook=14_09.xlsx&amp;sheet=U0&amp;row=975&amp;col=7&amp;number=0.0806&amp;sourceID=14","0.0806")</f>
        <v>0.0806</v>
      </c>
    </row>
    <row r="976" spans="1:7">
      <c r="A976" s="3"/>
      <c r="B976" s="3"/>
      <c r="C976" s="3"/>
      <c r="D976" s="3"/>
      <c r="E976" s="3">
        <v>13</v>
      </c>
      <c r="F976" s="4" t="str">
        <f>HYPERLINK("http://141.218.60.56/~jnz1568/getInfo.php?workbook=14_09.xlsx&amp;sheet=U0&amp;row=976&amp;col=6&amp;number=4.2&amp;sourceID=14","4.2")</f>
        <v>4.2</v>
      </c>
      <c r="G976" s="4" t="str">
        <f>HYPERLINK("http://141.218.60.56/~jnz1568/getInfo.php?workbook=14_09.xlsx&amp;sheet=U0&amp;row=976&amp;col=7&amp;number=0.0784&amp;sourceID=14","0.0784")</f>
        <v>0.0784</v>
      </c>
    </row>
    <row r="977" spans="1:7">
      <c r="A977" s="3"/>
      <c r="B977" s="3"/>
      <c r="C977" s="3"/>
      <c r="D977" s="3"/>
      <c r="E977" s="3">
        <v>14</v>
      </c>
      <c r="F977" s="4" t="str">
        <f>HYPERLINK("http://141.218.60.56/~jnz1568/getInfo.php?workbook=14_09.xlsx&amp;sheet=U0&amp;row=977&amp;col=6&amp;number=4.3&amp;sourceID=14","4.3")</f>
        <v>4.3</v>
      </c>
      <c r="G977" s="4" t="str">
        <f>HYPERLINK("http://141.218.60.56/~jnz1568/getInfo.php?workbook=14_09.xlsx&amp;sheet=U0&amp;row=977&amp;col=7&amp;number=0.0757&amp;sourceID=14","0.0757")</f>
        <v>0.0757</v>
      </c>
    </row>
    <row r="978" spans="1:7">
      <c r="A978" s="3"/>
      <c r="B978" s="3"/>
      <c r="C978" s="3"/>
      <c r="D978" s="3"/>
      <c r="E978" s="3">
        <v>15</v>
      </c>
      <c r="F978" s="4" t="str">
        <f>HYPERLINK("http://141.218.60.56/~jnz1568/getInfo.php?workbook=14_09.xlsx&amp;sheet=U0&amp;row=978&amp;col=6&amp;number=4.4&amp;sourceID=14","4.4")</f>
        <v>4.4</v>
      </c>
      <c r="G978" s="4" t="str">
        <f>HYPERLINK("http://141.218.60.56/~jnz1568/getInfo.php?workbook=14_09.xlsx&amp;sheet=U0&amp;row=978&amp;col=7&amp;number=0.0726&amp;sourceID=14","0.0726")</f>
        <v>0.0726</v>
      </c>
    </row>
    <row r="979" spans="1:7">
      <c r="A979" s="3"/>
      <c r="B979" s="3"/>
      <c r="C979" s="3"/>
      <c r="D979" s="3"/>
      <c r="E979" s="3">
        <v>16</v>
      </c>
      <c r="F979" s="4" t="str">
        <f>HYPERLINK("http://141.218.60.56/~jnz1568/getInfo.php?workbook=14_09.xlsx&amp;sheet=U0&amp;row=979&amp;col=6&amp;number=4.5&amp;sourceID=14","4.5")</f>
        <v>4.5</v>
      </c>
      <c r="G979" s="4" t="str">
        <f>HYPERLINK("http://141.218.60.56/~jnz1568/getInfo.php?workbook=14_09.xlsx&amp;sheet=U0&amp;row=979&amp;col=7&amp;number=0.069&amp;sourceID=14","0.069")</f>
        <v>0.069</v>
      </c>
    </row>
    <row r="980" spans="1:7">
      <c r="A980" s="3"/>
      <c r="B980" s="3"/>
      <c r="C980" s="3"/>
      <c r="D980" s="3"/>
      <c r="E980" s="3">
        <v>17</v>
      </c>
      <c r="F980" s="4" t="str">
        <f>HYPERLINK("http://141.218.60.56/~jnz1568/getInfo.php?workbook=14_09.xlsx&amp;sheet=U0&amp;row=980&amp;col=6&amp;number=4.6&amp;sourceID=14","4.6")</f>
        <v>4.6</v>
      </c>
      <c r="G980" s="4" t="str">
        <f>HYPERLINK("http://141.218.60.56/~jnz1568/getInfo.php?workbook=14_09.xlsx&amp;sheet=U0&amp;row=980&amp;col=7&amp;number=0.0651&amp;sourceID=14","0.0651")</f>
        <v>0.0651</v>
      </c>
    </row>
    <row r="981" spans="1:7">
      <c r="A981" s="3"/>
      <c r="B981" s="3"/>
      <c r="C981" s="3"/>
      <c r="D981" s="3"/>
      <c r="E981" s="3">
        <v>18</v>
      </c>
      <c r="F981" s="4" t="str">
        <f>HYPERLINK("http://141.218.60.56/~jnz1568/getInfo.php?workbook=14_09.xlsx&amp;sheet=U0&amp;row=981&amp;col=6&amp;number=4.7&amp;sourceID=14","4.7")</f>
        <v>4.7</v>
      </c>
      <c r="G981" s="4" t="str">
        <f>HYPERLINK("http://141.218.60.56/~jnz1568/getInfo.php?workbook=14_09.xlsx&amp;sheet=U0&amp;row=981&amp;col=7&amp;number=0.0613&amp;sourceID=14","0.0613")</f>
        <v>0.0613</v>
      </c>
    </row>
    <row r="982" spans="1:7">
      <c r="A982" s="3"/>
      <c r="B982" s="3"/>
      <c r="C982" s="3"/>
      <c r="D982" s="3"/>
      <c r="E982" s="3">
        <v>19</v>
      </c>
      <c r="F982" s="4" t="str">
        <f>HYPERLINK("http://141.218.60.56/~jnz1568/getInfo.php?workbook=14_09.xlsx&amp;sheet=U0&amp;row=982&amp;col=6&amp;number=4.8&amp;sourceID=14","4.8")</f>
        <v>4.8</v>
      </c>
      <c r="G982" s="4" t="str">
        <f>HYPERLINK("http://141.218.60.56/~jnz1568/getInfo.php?workbook=14_09.xlsx&amp;sheet=U0&amp;row=982&amp;col=7&amp;number=0.0582&amp;sourceID=14","0.0582")</f>
        <v>0.0582</v>
      </c>
    </row>
    <row r="983" spans="1:7">
      <c r="A983" s="3"/>
      <c r="B983" s="3"/>
      <c r="C983" s="3"/>
      <c r="D983" s="3"/>
      <c r="E983" s="3">
        <v>20</v>
      </c>
      <c r="F983" s="4" t="str">
        <f>HYPERLINK("http://141.218.60.56/~jnz1568/getInfo.php?workbook=14_09.xlsx&amp;sheet=U0&amp;row=983&amp;col=6&amp;number=4.9&amp;sourceID=14","4.9")</f>
        <v>4.9</v>
      </c>
      <c r="G983" s="4" t="str">
        <f>HYPERLINK("http://141.218.60.56/~jnz1568/getInfo.php?workbook=14_09.xlsx&amp;sheet=U0&amp;row=983&amp;col=7&amp;number=0.056&amp;sourceID=14","0.056")</f>
        <v>0.056</v>
      </c>
    </row>
    <row r="984" spans="1:7">
      <c r="A984" s="3">
        <v>14</v>
      </c>
      <c r="B984" s="3">
        <v>9</v>
      </c>
      <c r="C984" s="3">
        <v>1</v>
      </c>
      <c r="D984" s="3">
        <v>51</v>
      </c>
      <c r="E984" s="3">
        <v>1</v>
      </c>
      <c r="F984" s="4" t="str">
        <f>HYPERLINK("http://141.218.60.56/~jnz1568/getInfo.php?workbook=14_09.xlsx&amp;sheet=U0&amp;row=984&amp;col=6&amp;number=3&amp;sourceID=14","3")</f>
        <v>3</v>
      </c>
      <c r="G984" s="4" t="str">
        <f>HYPERLINK("http://141.218.60.56/~jnz1568/getInfo.php?workbook=14_09.xlsx&amp;sheet=U0&amp;row=984&amp;col=7&amp;number=0.134&amp;sourceID=14","0.134")</f>
        <v>0.134</v>
      </c>
    </row>
    <row r="985" spans="1:7">
      <c r="A985" s="3"/>
      <c r="B985" s="3"/>
      <c r="C985" s="3"/>
      <c r="D985" s="3"/>
      <c r="E985" s="3">
        <v>2</v>
      </c>
      <c r="F985" s="4" t="str">
        <f>HYPERLINK("http://141.218.60.56/~jnz1568/getInfo.php?workbook=14_09.xlsx&amp;sheet=U0&amp;row=985&amp;col=6&amp;number=3.1&amp;sourceID=14","3.1")</f>
        <v>3.1</v>
      </c>
      <c r="G985" s="4" t="str">
        <f>HYPERLINK("http://141.218.60.56/~jnz1568/getInfo.php?workbook=14_09.xlsx&amp;sheet=U0&amp;row=985&amp;col=7&amp;number=0.134&amp;sourceID=14","0.134")</f>
        <v>0.134</v>
      </c>
    </row>
    <row r="986" spans="1:7">
      <c r="A986" s="3"/>
      <c r="B986" s="3"/>
      <c r="C986" s="3"/>
      <c r="D986" s="3"/>
      <c r="E986" s="3">
        <v>3</v>
      </c>
      <c r="F986" s="4" t="str">
        <f>HYPERLINK("http://141.218.60.56/~jnz1568/getInfo.php?workbook=14_09.xlsx&amp;sheet=U0&amp;row=986&amp;col=6&amp;number=3.2&amp;sourceID=14","3.2")</f>
        <v>3.2</v>
      </c>
      <c r="G986" s="4" t="str">
        <f>HYPERLINK("http://141.218.60.56/~jnz1568/getInfo.php?workbook=14_09.xlsx&amp;sheet=U0&amp;row=986&amp;col=7&amp;number=0.133&amp;sourceID=14","0.133")</f>
        <v>0.133</v>
      </c>
    </row>
    <row r="987" spans="1:7">
      <c r="A987" s="3"/>
      <c r="B987" s="3"/>
      <c r="C987" s="3"/>
      <c r="D987" s="3"/>
      <c r="E987" s="3">
        <v>4</v>
      </c>
      <c r="F987" s="4" t="str">
        <f>HYPERLINK("http://141.218.60.56/~jnz1568/getInfo.php?workbook=14_09.xlsx&amp;sheet=U0&amp;row=987&amp;col=6&amp;number=3.3&amp;sourceID=14","3.3")</f>
        <v>3.3</v>
      </c>
      <c r="G987" s="4" t="str">
        <f>HYPERLINK("http://141.218.60.56/~jnz1568/getInfo.php?workbook=14_09.xlsx&amp;sheet=U0&amp;row=987&amp;col=7&amp;number=0.132&amp;sourceID=14","0.132")</f>
        <v>0.132</v>
      </c>
    </row>
    <row r="988" spans="1:7">
      <c r="A988" s="3"/>
      <c r="B988" s="3"/>
      <c r="C988" s="3"/>
      <c r="D988" s="3"/>
      <c r="E988" s="3">
        <v>5</v>
      </c>
      <c r="F988" s="4" t="str">
        <f>HYPERLINK("http://141.218.60.56/~jnz1568/getInfo.php?workbook=14_09.xlsx&amp;sheet=U0&amp;row=988&amp;col=6&amp;number=3.4&amp;sourceID=14","3.4")</f>
        <v>3.4</v>
      </c>
      <c r="G988" s="4" t="str">
        <f>HYPERLINK("http://141.218.60.56/~jnz1568/getInfo.php?workbook=14_09.xlsx&amp;sheet=U0&amp;row=988&amp;col=7&amp;number=0.13&amp;sourceID=14","0.13")</f>
        <v>0.13</v>
      </c>
    </row>
    <row r="989" spans="1:7">
      <c r="A989" s="3"/>
      <c r="B989" s="3"/>
      <c r="C989" s="3"/>
      <c r="D989" s="3"/>
      <c r="E989" s="3">
        <v>6</v>
      </c>
      <c r="F989" s="4" t="str">
        <f>HYPERLINK("http://141.218.60.56/~jnz1568/getInfo.php?workbook=14_09.xlsx&amp;sheet=U0&amp;row=989&amp;col=6&amp;number=3.5&amp;sourceID=14","3.5")</f>
        <v>3.5</v>
      </c>
      <c r="G989" s="4" t="str">
        <f>HYPERLINK("http://141.218.60.56/~jnz1568/getInfo.php?workbook=14_09.xlsx&amp;sheet=U0&amp;row=989&amp;col=7&amp;number=0.129&amp;sourceID=14","0.129")</f>
        <v>0.129</v>
      </c>
    </row>
    <row r="990" spans="1:7">
      <c r="A990" s="3"/>
      <c r="B990" s="3"/>
      <c r="C990" s="3"/>
      <c r="D990" s="3"/>
      <c r="E990" s="3">
        <v>7</v>
      </c>
      <c r="F990" s="4" t="str">
        <f>HYPERLINK("http://141.218.60.56/~jnz1568/getInfo.php?workbook=14_09.xlsx&amp;sheet=U0&amp;row=990&amp;col=6&amp;number=3.6&amp;sourceID=14","3.6")</f>
        <v>3.6</v>
      </c>
      <c r="G990" s="4" t="str">
        <f>HYPERLINK("http://141.218.60.56/~jnz1568/getInfo.php?workbook=14_09.xlsx&amp;sheet=U0&amp;row=990&amp;col=7&amp;number=0.127&amp;sourceID=14","0.127")</f>
        <v>0.127</v>
      </c>
    </row>
    <row r="991" spans="1:7">
      <c r="A991" s="3"/>
      <c r="B991" s="3"/>
      <c r="C991" s="3"/>
      <c r="D991" s="3"/>
      <c r="E991" s="3">
        <v>8</v>
      </c>
      <c r="F991" s="4" t="str">
        <f>HYPERLINK("http://141.218.60.56/~jnz1568/getInfo.php?workbook=14_09.xlsx&amp;sheet=U0&amp;row=991&amp;col=6&amp;number=3.7&amp;sourceID=14","3.7")</f>
        <v>3.7</v>
      </c>
      <c r="G991" s="4" t="str">
        <f>HYPERLINK("http://141.218.60.56/~jnz1568/getInfo.php?workbook=14_09.xlsx&amp;sheet=U0&amp;row=991&amp;col=7&amp;number=0.124&amp;sourceID=14","0.124")</f>
        <v>0.124</v>
      </c>
    </row>
    <row r="992" spans="1:7">
      <c r="A992" s="3"/>
      <c r="B992" s="3"/>
      <c r="C992" s="3"/>
      <c r="D992" s="3"/>
      <c r="E992" s="3">
        <v>9</v>
      </c>
      <c r="F992" s="4" t="str">
        <f>HYPERLINK("http://141.218.60.56/~jnz1568/getInfo.php?workbook=14_09.xlsx&amp;sheet=U0&amp;row=992&amp;col=6&amp;number=3.8&amp;sourceID=14","3.8")</f>
        <v>3.8</v>
      </c>
      <c r="G992" s="4" t="str">
        <f>HYPERLINK("http://141.218.60.56/~jnz1568/getInfo.php?workbook=14_09.xlsx&amp;sheet=U0&amp;row=992&amp;col=7&amp;number=0.121&amp;sourceID=14","0.121")</f>
        <v>0.121</v>
      </c>
    </row>
    <row r="993" spans="1:7">
      <c r="A993" s="3"/>
      <c r="B993" s="3"/>
      <c r="C993" s="3"/>
      <c r="D993" s="3"/>
      <c r="E993" s="3">
        <v>10</v>
      </c>
      <c r="F993" s="4" t="str">
        <f>HYPERLINK("http://141.218.60.56/~jnz1568/getInfo.php?workbook=14_09.xlsx&amp;sheet=U0&amp;row=993&amp;col=6&amp;number=3.9&amp;sourceID=14","3.9")</f>
        <v>3.9</v>
      </c>
      <c r="G993" s="4" t="str">
        <f>HYPERLINK("http://141.218.60.56/~jnz1568/getInfo.php?workbook=14_09.xlsx&amp;sheet=U0&amp;row=993&amp;col=7&amp;number=0.117&amp;sourceID=14","0.117")</f>
        <v>0.117</v>
      </c>
    </row>
    <row r="994" spans="1:7">
      <c r="A994" s="3"/>
      <c r="B994" s="3"/>
      <c r="C994" s="3"/>
      <c r="D994" s="3"/>
      <c r="E994" s="3">
        <v>11</v>
      </c>
      <c r="F994" s="4" t="str">
        <f>HYPERLINK("http://141.218.60.56/~jnz1568/getInfo.php?workbook=14_09.xlsx&amp;sheet=U0&amp;row=994&amp;col=6&amp;number=4&amp;sourceID=14","4")</f>
        <v>4</v>
      </c>
      <c r="G994" s="4" t="str">
        <f>HYPERLINK("http://141.218.60.56/~jnz1568/getInfo.php?workbook=14_09.xlsx&amp;sheet=U0&amp;row=994&amp;col=7&amp;number=0.113&amp;sourceID=14","0.113")</f>
        <v>0.113</v>
      </c>
    </row>
    <row r="995" spans="1:7">
      <c r="A995" s="3"/>
      <c r="B995" s="3"/>
      <c r="C995" s="3"/>
      <c r="D995" s="3"/>
      <c r="E995" s="3">
        <v>12</v>
      </c>
      <c r="F995" s="4" t="str">
        <f>HYPERLINK("http://141.218.60.56/~jnz1568/getInfo.php?workbook=14_09.xlsx&amp;sheet=U0&amp;row=995&amp;col=6&amp;number=4.1&amp;sourceID=14","4.1")</f>
        <v>4.1</v>
      </c>
      <c r="G995" s="4" t="str">
        <f>HYPERLINK("http://141.218.60.56/~jnz1568/getInfo.php?workbook=14_09.xlsx&amp;sheet=U0&amp;row=995&amp;col=7&amp;number=0.107&amp;sourceID=14","0.107")</f>
        <v>0.107</v>
      </c>
    </row>
    <row r="996" spans="1:7">
      <c r="A996" s="3"/>
      <c r="B996" s="3"/>
      <c r="C996" s="3"/>
      <c r="D996" s="3"/>
      <c r="E996" s="3">
        <v>13</v>
      </c>
      <c r="F996" s="4" t="str">
        <f>HYPERLINK("http://141.218.60.56/~jnz1568/getInfo.php?workbook=14_09.xlsx&amp;sheet=U0&amp;row=996&amp;col=6&amp;number=4.2&amp;sourceID=14","4.2")</f>
        <v>4.2</v>
      </c>
      <c r="G996" s="4" t="str">
        <f>HYPERLINK("http://141.218.60.56/~jnz1568/getInfo.php?workbook=14_09.xlsx&amp;sheet=U0&amp;row=996&amp;col=7&amp;number=0.101&amp;sourceID=14","0.101")</f>
        <v>0.101</v>
      </c>
    </row>
    <row r="997" spans="1:7">
      <c r="A997" s="3"/>
      <c r="B997" s="3"/>
      <c r="C997" s="3"/>
      <c r="D997" s="3"/>
      <c r="E997" s="3">
        <v>14</v>
      </c>
      <c r="F997" s="4" t="str">
        <f>HYPERLINK("http://141.218.60.56/~jnz1568/getInfo.php?workbook=14_09.xlsx&amp;sheet=U0&amp;row=997&amp;col=6&amp;number=4.3&amp;sourceID=14","4.3")</f>
        <v>4.3</v>
      </c>
      <c r="G997" s="4" t="str">
        <f>HYPERLINK("http://141.218.60.56/~jnz1568/getInfo.php?workbook=14_09.xlsx&amp;sheet=U0&amp;row=997&amp;col=7&amp;number=0.0943&amp;sourceID=14","0.0943")</f>
        <v>0.0943</v>
      </c>
    </row>
    <row r="998" spans="1:7">
      <c r="A998" s="3"/>
      <c r="B998" s="3"/>
      <c r="C998" s="3"/>
      <c r="D998" s="3"/>
      <c r="E998" s="3">
        <v>15</v>
      </c>
      <c r="F998" s="4" t="str">
        <f>HYPERLINK("http://141.218.60.56/~jnz1568/getInfo.php?workbook=14_09.xlsx&amp;sheet=U0&amp;row=998&amp;col=6&amp;number=4.4&amp;sourceID=14","4.4")</f>
        <v>4.4</v>
      </c>
      <c r="G998" s="4" t="str">
        <f>HYPERLINK("http://141.218.60.56/~jnz1568/getInfo.php?workbook=14_09.xlsx&amp;sheet=U0&amp;row=998&amp;col=7&amp;number=0.0875&amp;sourceID=14","0.0875")</f>
        <v>0.0875</v>
      </c>
    </row>
    <row r="999" spans="1:7">
      <c r="A999" s="3"/>
      <c r="B999" s="3"/>
      <c r="C999" s="3"/>
      <c r="D999" s="3"/>
      <c r="E999" s="3">
        <v>16</v>
      </c>
      <c r="F999" s="4" t="str">
        <f>HYPERLINK("http://141.218.60.56/~jnz1568/getInfo.php?workbook=14_09.xlsx&amp;sheet=U0&amp;row=999&amp;col=6&amp;number=4.5&amp;sourceID=14","4.5")</f>
        <v>4.5</v>
      </c>
      <c r="G999" s="4" t="str">
        <f>HYPERLINK("http://141.218.60.56/~jnz1568/getInfo.php?workbook=14_09.xlsx&amp;sheet=U0&amp;row=999&amp;col=7&amp;number=0.0816&amp;sourceID=14","0.0816")</f>
        <v>0.0816</v>
      </c>
    </row>
    <row r="1000" spans="1:7">
      <c r="A1000" s="3"/>
      <c r="B1000" s="3"/>
      <c r="C1000" s="3"/>
      <c r="D1000" s="3"/>
      <c r="E1000" s="3">
        <v>17</v>
      </c>
      <c r="F1000" s="4" t="str">
        <f>HYPERLINK("http://141.218.60.56/~jnz1568/getInfo.php?workbook=14_09.xlsx&amp;sheet=U0&amp;row=1000&amp;col=6&amp;number=4.6&amp;sourceID=14","4.6")</f>
        <v>4.6</v>
      </c>
      <c r="G1000" s="4" t="str">
        <f>HYPERLINK("http://141.218.60.56/~jnz1568/getInfo.php?workbook=14_09.xlsx&amp;sheet=U0&amp;row=1000&amp;col=7&amp;number=0.077&amp;sourceID=14","0.077")</f>
        <v>0.077</v>
      </c>
    </row>
    <row r="1001" spans="1:7">
      <c r="A1001" s="3"/>
      <c r="B1001" s="3"/>
      <c r="C1001" s="3"/>
      <c r="D1001" s="3"/>
      <c r="E1001" s="3">
        <v>18</v>
      </c>
      <c r="F1001" s="4" t="str">
        <f>HYPERLINK("http://141.218.60.56/~jnz1568/getInfo.php?workbook=14_09.xlsx&amp;sheet=U0&amp;row=1001&amp;col=6&amp;number=4.7&amp;sourceID=14","4.7")</f>
        <v>4.7</v>
      </c>
      <c r="G1001" s="4" t="str">
        <f>HYPERLINK("http://141.218.60.56/~jnz1568/getInfo.php?workbook=14_09.xlsx&amp;sheet=U0&amp;row=1001&amp;col=7&amp;number=0.0737&amp;sourceID=14","0.0737")</f>
        <v>0.0737</v>
      </c>
    </row>
    <row r="1002" spans="1:7">
      <c r="A1002" s="3"/>
      <c r="B1002" s="3"/>
      <c r="C1002" s="3"/>
      <c r="D1002" s="3"/>
      <c r="E1002" s="3">
        <v>19</v>
      </c>
      <c r="F1002" s="4" t="str">
        <f>HYPERLINK("http://141.218.60.56/~jnz1568/getInfo.php?workbook=14_09.xlsx&amp;sheet=U0&amp;row=1002&amp;col=6&amp;number=4.8&amp;sourceID=14","4.8")</f>
        <v>4.8</v>
      </c>
      <c r="G1002" s="4" t="str">
        <f>HYPERLINK("http://141.218.60.56/~jnz1568/getInfo.php?workbook=14_09.xlsx&amp;sheet=U0&amp;row=1002&amp;col=7&amp;number=0.0712&amp;sourceID=14","0.0712")</f>
        <v>0.0712</v>
      </c>
    </row>
    <row r="1003" spans="1:7">
      <c r="A1003" s="3"/>
      <c r="B1003" s="3"/>
      <c r="C1003" s="3"/>
      <c r="D1003" s="3"/>
      <c r="E1003" s="3">
        <v>20</v>
      </c>
      <c r="F1003" s="4" t="str">
        <f>HYPERLINK("http://141.218.60.56/~jnz1568/getInfo.php?workbook=14_09.xlsx&amp;sheet=U0&amp;row=1003&amp;col=6&amp;number=4.9&amp;sourceID=14","4.9")</f>
        <v>4.9</v>
      </c>
      <c r="G1003" s="4" t="str">
        <f>HYPERLINK("http://141.218.60.56/~jnz1568/getInfo.php?workbook=14_09.xlsx&amp;sheet=U0&amp;row=1003&amp;col=7&amp;number=0.0683&amp;sourceID=14","0.0683")</f>
        <v>0.0683</v>
      </c>
    </row>
    <row r="1004" spans="1:7">
      <c r="A1004" s="3">
        <v>14</v>
      </c>
      <c r="B1004" s="3">
        <v>9</v>
      </c>
      <c r="C1004" s="3">
        <v>1</v>
      </c>
      <c r="D1004" s="3">
        <v>52</v>
      </c>
      <c r="E1004" s="3">
        <v>1</v>
      </c>
      <c r="F1004" s="4" t="str">
        <f>HYPERLINK("http://141.218.60.56/~jnz1568/getInfo.php?workbook=14_09.xlsx&amp;sheet=U0&amp;row=1004&amp;col=6&amp;number=3&amp;sourceID=14","3")</f>
        <v>3</v>
      </c>
      <c r="G1004" s="4" t="str">
        <f>HYPERLINK("http://141.218.60.56/~jnz1568/getInfo.php?workbook=14_09.xlsx&amp;sheet=U0&amp;row=1004&amp;col=7&amp;number=0.0928&amp;sourceID=14","0.0928")</f>
        <v>0.0928</v>
      </c>
    </row>
    <row r="1005" spans="1:7">
      <c r="A1005" s="3"/>
      <c r="B1005" s="3"/>
      <c r="C1005" s="3"/>
      <c r="D1005" s="3"/>
      <c r="E1005" s="3">
        <v>2</v>
      </c>
      <c r="F1005" s="4" t="str">
        <f>HYPERLINK("http://141.218.60.56/~jnz1568/getInfo.php?workbook=14_09.xlsx&amp;sheet=U0&amp;row=1005&amp;col=6&amp;number=3.1&amp;sourceID=14","3.1")</f>
        <v>3.1</v>
      </c>
      <c r="G1005" s="4" t="str">
        <f>HYPERLINK("http://141.218.60.56/~jnz1568/getInfo.php?workbook=14_09.xlsx&amp;sheet=U0&amp;row=1005&amp;col=7&amp;number=0.0928&amp;sourceID=14","0.0928")</f>
        <v>0.0928</v>
      </c>
    </row>
    <row r="1006" spans="1:7">
      <c r="A1006" s="3"/>
      <c r="B1006" s="3"/>
      <c r="C1006" s="3"/>
      <c r="D1006" s="3"/>
      <c r="E1006" s="3">
        <v>3</v>
      </c>
      <c r="F1006" s="4" t="str">
        <f>HYPERLINK("http://141.218.60.56/~jnz1568/getInfo.php?workbook=14_09.xlsx&amp;sheet=U0&amp;row=1006&amp;col=6&amp;number=3.2&amp;sourceID=14","3.2")</f>
        <v>3.2</v>
      </c>
      <c r="G1006" s="4" t="str">
        <f>HYPERLINK("http://141.218.60.56/~jnz1568/getInfo.php?workbook=14_09.xlsx&amp;sheet=U0&amp;row=1006&amp;col=7&amp;number=0.0928&amp;sourceID=14","0.0928")</f>
        <v>0.0928</v>
      </c>
    </row>
    <row r="1007" spans="1:7">
      <c r="A1007" s="3"/>
      <c r="B1007" s="3"/>
      <c r="C1007" s="3"/>
      <c r="D1007" s="3"/>
      <c r="E1007" s="3">
        <v>4</v>
      </c>
      <c r="F1007" s="4" t="str">
        <f>HYPERLINK("http://141.218.60.56/~jnz1568/getInfo.php?workbook=14_09.xlsx&amp;sheet=U0&amp;row=1007&amp;col=6&amp;number=3.3&amp;sourceID=14","3.3")</f>
        <v>3.3</v>
      </c>
      <c r="G1007" s="4" t="str">
        <f>HYPERLINK("http://141.218.60.56/~jnz1568/getInfo.php?workbook=14_09.xlsx&amp;sheet=U0&amp;row=1007&amp;col=7&amp;number=0.0928&amp;sourceID=14","0.0928")</f>
        <v>0.0928</v>
      </c>
    </row>
    <row r="1008" spans="1:7">
      <c r="A1008" s="3"/>
      <c r="B1008" s="3"/>
      <c r="C1008" s="3"/>
      <c r="D1008" s="3"/>
      <c r="E1008" s="3">
        <v>5</v>
      </c>
      <c r="F1008" s="4" t="str">
        <f>HYPERLINK("http://141.218.60.56/~jnz1568/getInfo.php?workbook=14_09.xlsx&amp;sheet=U0&amp;row=1008&amp;col=6&amp;number=3.4&amp;sourceID=14","3.4")</f>
        <v>3.4</v>
      </c>
      <c r="G1008" s="4" t="str">
        <f>HYPERLINK("http://141.218.60.56/~jnz1568/getInfo.php?workbook=14_09.xlsx&amp;sheet=U0&amp;row=1008&amp;col=7&amp;number=0.0928&amp;sourceID=14","0.0928")</f>
        <v>0.0928</v>
      </c>
    </row>
    <row r="1009" spans="1:7">
      <c r="A1009" s="3"/>
      <c r="B1009" s="3"/>
      <c r="C1009" s="3"/>
      <c r="D1009" s="3"/>
      <c r="E1009" s="3">
        <v>6</v>
      </c>
      <c r="F1009" s="4" t="str">
        <f>HYPERLINK("http://141.218.60.56/~jnz1568/getInfo.php?workbook=14_09.xlsx&amp;sheet=U0&amp;row=1009&amp;col=6&amp;number=3.5&amp;sourceID=14","3.5")</f>
        <v>3.5</v>
      </c>
      <c r="G1009" s="4" t="str">
        <f>HYPERLINK("http://141.218.60.56/~jnz1568/getInfo.php?workbook=14_09.xlsx&amp;sheet=U0&amp;row=1009&amp;col=7&amp;number=0.0928&amp;sourceID=14","0.0928")</f>
        <v>0.0928</v>
      </c>
    </row>
    <row r="1010" spans="1:7">
      <c r="A1010" s="3"/>
      <c r="B1010" s="3"/>
      <c r="C1010" s="3"/>
      <c r="D1010" s="3"/>
      <c r="E1010" s="3">
        <v>7</v>
      </c>
      <c r="F1010" s="4" t="str">
        <f>HYPERLINK("http://141.218.60.56/~jnz1568/getInfo.php?workbook=14_09.xlsx&amp;sheet=U0&amp;row=1010&amp;col=6&amp;number=3.6&amp;sourceID=14","3.6")</f>
        <v>3.6</v>
      </c>
      <c r="G1010" s="4" t="str">
        <f>HYPERLINK("http://141.218.60.56/~jnz1568/getInfo.php?workbook=14_09.xlsx&amp;sheet=U0&amp;row=1010&amp;col=7&amp;number=0.0928&amp;sourceID=14","0.0928")</f>
        <v>0.0928</v>
      </c>
    </row>
    <row r="1011" spans="1:7">
      <c r="A1011" s="3"/>
      <c r="B1011" s="3"/>
      <c r="C1011" s="3"/>
      <c r="D1011" s="3"/>
      <c r="E1011" s="3">
        <v>8</v>
      </c>
      <c r="F1011" s="4" t="str">
        <f>HYPERLINK("http://141.218.60.56/~jnz1568/getInfo.php?workbook=14_09.xlsx&amp;sheet=U0&amp;row=1011&amp;col=6&amp;number=3.7&amp;sourceID=14","3.7")</f>
        <v>3.7</v>
      </c>
      <c r="G1011" s="4" t="str">
        <f>HYPERLINK("http://141.218.60.56/~jnz1568/getInfo.php?workbook=14_09.xlsx&amp;sheet=U0&amp;row=1011&amp;col=7&amp;number=0.0928&amp;sourceID=14","0.0928")</f>
        <v>0.0928</v>
      </c>
    </row>
    <row r="1012" spans="1:7">
      <c r="A1012" s="3"/>
      <c r="B1012" s="3"/>
      <c r="C1012" s="3"/>
      <c r="D1012" s="3"/>
      <c r="E1012" s="3">
        <v>9</v>
      </c>
      <c r="F1012" s="4" t="str">
        <f>HYPERLINK("http://141.218.60.56/~jnz1568/getInfo.php?workbook=14_09.xlsx&amp;sheet=U0&amp;row=1012&amp;col=6&amp;number=3.8&amp;sourceID=14","3.8")</f>
        <v>3.8</v>
      </c>
      <c r="G1012" s="4" t="str">
        <f>HYPERLINK("http://141.218.60.56/~jnz1568/getInfo.php?workbook=14_09.xlsx&amp;sheet=U0&amp;row=1012&amp;col=7&amp;number=0.0928&amp;sourceID=14","0.0928")</f>
        <v>0.0928</v>
      </c>
    </row>
    <row r="1013" spans="1:7">
      <c r="A1013" s="3"/>
      <c r="B1013" s="3"/>
      <c r="C1013" s="3"/>
      <c r="D1013" s="3"/>
      <c r="E1013" s="3">
        <v>10</v>
      </c>
      <c r="F1013" s="4" t="str">
        <f>HYPERLINK("http://141.218.60.56/~jnz1568/getInfo.php?workbook=14_09.xlsx&amp;sheet=U0&amp;row=1013&amp;col=6&amp;number=3.9&amp;sourceID=14","3.9")</f>
        <v>3.9</v>
      </c>
      <c r="G1013" s="4" t="str">
        <f>HYPERLINK("http://141.218.60.56/~jnz1568/getInfo.php?workbook=14_09.xlsx&amp;sheet=U0&amp;row=1013&amp;col=7&amp;number=0.0928&amp;sourceID=14","0.0928")</f>
        <v>0.0928</v>
      </c>
    </row>
    <row r="1014" spans="1:7">
      <c r="A1014" s="3"/>
      <c r="B1014" s="3"/>
      <c r="C1014" s="3"/>
      <c r="D1014" s="3"/>
      <c r="E1014" s="3">
        <v>11</v>
      </c>
      <c r="F1014" s="4" t="str">
        <f>HYPERLINK("http://141.218.60.56/~jnz1568/getInfo.php?workbook=14_09.xlsx&amp;sheet=U0&amp;row=1014&amp;col=6&amp;number=4&amp;sourceID=14","4")</f>
        <v>4</v>
      </c>
      <c r="G1014" s="4" t="str">
        <f>HYPERLINK("http://141.218.60.56/~jnz1568/getInfo.php?workbook=14_09.xlsx&amp;sheet=U0&amp;row=1014&amp;col=7&amp;number=0.0928&amp;sourceID=14","0.0928")</f>
        <v>0.0928</v>
      </c>
    </row>
    <row r="1015" spans="1:7">
      <c r="A1015" s="3"/>
      <c r="B1015" s="3"/>
      <c r="C1015" s="3"/>
      <c r="D1015" s="3"/>
      <c r="E1015" s="3">
        <v>12</v>
      </c>
      <c r="F1015" s="4" t="str">
        <f>HYPERLINK("http://141.218.60.56/~jnz1568/getInfo.php?workbook=14_09.xlsx&amp;sheet=U0&amp;row=1015&amp;col=6&amp;number=4.1&amp;sourceID=14","4.1")</f>
        <v>4.1</v>
      </c>
      <c r="G1015" s="4" t="str">
        <f>HYPERLINK("http://141.218.60.56/~jnz1568/getInfo.php?workbook=14_09.xlsx&amp;sheet=U0&amp;row=1015&amp;col=7&amp;number=0.0928&amp;sourceID=14","0.0928")</f>
        <v>0.0928</v>
      </c>
    </row>
    <row r="1016" spans="1:7">
      <c r="A1016" s="3"/>
      <c r="B1016" s="3"/>
      <c r="C1016" s="3"/>
      <c r="D1016" s="3"/>
      <c r="E1016" s="3">
        <v>13</v>
      </c>
      <c r="F1016" s="4" t="str">
        <f>HYPERLINK("http://141.218.60.56/~jnz1568/getInfo.php?workbook=14_09.xlsx&amp;sheet=U0&amp;row=1016&amp;col=6&amp;number=4.2&amp;sourceID=14","4.2")</f>
        <v>4.2</v>
      </c>
      <c r="G1016" s="4" t="str">
        <f>HYPERLINK("http://141.218.60.56/~jnz1568/getInfo.php?workbook=14_09.xlsx&amp;sheet=U0&amp;row=1016&amp;col=7&amp;number=0.0929&amp;sourceID=14","0.0929")</f>
        <v>0.0929</v>
      </c>
    </row>
    <row r="1017" spans="1:7">
      <c r="A1017" s="3"/>
      <c r="B1017" s="3"/>
      <c r="C1017" s="3"/>
      <c r="D1017" s="3"/>
      <c r="E1017" s="3">
        <v>14</v>
      </c>
      <c r="F1017" s="4" t="str">
        <f>HYPERLINK("http://141.218.60.56/~jnz1568/getInfo.php?workbook=14_09.xlsx&amp;sheet=U0&amp;row=1017&amp;col=6&amp;number=4.3&amp;sourceID=14","4.3")</f>
        <v>4.3</v>
      </c>
      <c r="G1017" s="4" t="str">
        <f>HYPERLINK("http://141.218.60.56/~jnz1568/getInfo.php?workbook=14_09.xlsx&amp;sheet=U0&amp;row=1017&amp;col=7&amp;number=0.0929&amp;sourceID=14","0.0929")</f>
        <v>0.0929</v>
      </c>
    </row>
    <row r="1018" spans="1:7">
      <c r="A1018" s="3"/>
      <c r="B1018" s="3"/>
      <c r="C1018" s="3"/>
      <c r="D1018" s="3"/>
      <c r="E1018" s="3">
        <v>15</v>
      </c>
      <c r="F1018" s="4" t="str">
        <f>HYPERLINK("http://141.218.60.56/~jnz1568/getInfo.php?workbook=14_09.xlsx&amp;sheet=U0&amp;row=1018&amp;col=6&amp;number=4.4&amp;sourceID=14","4.4")</f>
        <v>4.4</v>
      </c>
      <c r="G1018" s="4" t="str">
        <f>HYPERLINK("http://141.218.60.56/~jnz1568/getInfo.php?workbook=14_09.xlsx&amp;sheet=U0&amp;row=1018&amp;col=7&amp;number=0.0929&amp;sourceID=14","0.0929")</f>
        <v>0.0929</v>
      </c>
    </row>
    <row r="1019" spans="1:7">
      <c r="A1019" s="3"/>
      <c r="B1019" s="3"/>
      <c r="C1019" s="3"/>
      <c r="D1019" s="3"/>
      <c r="E1019" s="3">
        <v>16</v>
      </c>
      <c r="F1019" s="4" t="str">
        <f>HYPERLINK("http://141.218.60.56/~jnz1568/getInfo.php?workbook=14_09.xlsx&amp;sheet=U0&amp;row=1019&amp;col=6&amp;number=4.5&amp;sourceID=14","4.5")</f>
        <v>4.5</v>
      </c>
      <c r="G1019" s="4" t="str">
        <f>HYPERLINK("http://141.218.60.56/~jnz1568/getInfo.php?workbook=14_09.xlsx&amp;sheet=U0&amp;row=1019&amp;col=7&amp;number=0.0929&amp;sourceID=14","0.0929")</f>
        <v>0.0929</v>
      </c>
    </row>
    <row r="1020" spans="1:7">
      <c r="A1020" s="3"/>
      <c r="B1020" s="3"/>
      <c r="C1020" s="3"/>
      <c r="D1020" s="3"/>
      <c r="E1020" s="3">
        <v>17</v>
      </c>
      <c r="F1020" s="4" t="str">
        <f>HYPERLINK("http://141.218.60.56/~jnz1568/getInfo.php?workbook=14_09.xlsx&amp;sheet=U0&amp;row=1020&amp;col=6&amp;number=4.6&amp;sourceID=14","4.6")</f>
        <v>4.6</v>
      </c>
      <c r="G1020" s="4" t="str">
        <f>HYPERLINK("http://141.218.60.56/~jnz1568/getInfo.php?workbook=14_09.xlsx&amp;sheet=U0&amp;row=1020&amp;col=7&amp;number=0.093&amp;sourceID=14","0.093")</f>
        <v>0.093</v>
      </c>
    </row>
    <row r="1021" spans="1:7">
      <c r="A1021" s="3"/>
      <c r="B1021" s="3"/>
      <c r="C1021" s="3"/>
      <c r="D1021" s="3"/>
      <c r="E1021" s="3">
        <v>18</v>
      </c>
      <c r="F1021" s="4" t="str">
        <f>HYPERLINK("http://141.218.60.56/~jnz1568/getInfo.php?workbook=14_09.xlsx&amp;sheet=U0&amp;row=1021&amp;col=6&amp;number=4.7&amp;sourceID=14","4.7")</f>
        <v>4.7</v>
      </c>
      <c r="G1021" s="4" t="str">
        <f>HYPERLINK("http://141.218.60.56/~jnz1568/getInfo.php?workbook=14_09.xlsx&amp;sheet=U0&amp;row=1021&amp;col=7&amp;number=0.0931&amp;sourceID=14","0.0931")</f>
        <v>0.0931</v>
      </c>
    </row>
    <row r="1022" spans="1:7">
      <c r="A1022" s="3"/>
      <c r="B1022" s="3"/>
      <c r="C1022" s="3"/>
      <c r="D1022" s="3"/>
      <c r="E1022" s="3">
        <v>19</v>
      </c>
      <c r="F1022" s="4" t="str">
        <f>HYPERLINK("http://141.218.60.56/~jnz1568/getInfo.php?workbook=14_09.xlsx&amp;sheet=U0&amp;row=1022&amp;col=6&amp;number=4.8&amp;sourceID=14","4.8")</f>
        <v>4.8</v>
      </c>
      <c r="G1022" s="4" t="str">
        <f>HYPERLINK("http://141.218.60.56/~jnz1568/getInfo.php?workbook=14_09.xlsx&amp;sheet=U0&amp;row=1022&amp;col=7&amp;number=0.0933&amp;sourceID=14","0.0933")</f>
        <v>0.0933</v>
      </c>
    </row>
    <row r="1023" spans="1:7">
      <c r="A1023" s="3"/>
      <c r="B1023" s="3"/>
      <c r="C1023" s="3"/>
      <c r="D1023" s="3"/>
      <c r="E1023" s="3">
        <v>20</v>
      </c>
      <c r="F1023" s="4" t="str">
        <f>HYPERLINK("http://141.218.60.56/~jnz1568/getInfo.php?workbook=14_09.xlsx&amp;sheet=U0&amp;row=1023&amp;col=6&amp;number=4.9&amp;sourceID=14","4.9")</f>
        <v>4.9</v>
      </c>
      <c r="G1023" s="4" t="str">
        <f>HYPERLINK("http://141.218.60.56/~jnz1568/getInfo.php?workbook=14_09.xlsx&amp;sheet=U0&amp;row=1023&amp;col=7&amp;number=0.0936&amp;sourceID=14","0.0936")</f>
        <v>0.0936</v>
      </c>
    </row>
    <row r="1024" spans="1:7">
      <c r="A1024" s="3">
        <v>14</v>
      </c>
      <c r="B1024" s="3">
        <v>9</v>
      </c>
      <c r="C1024" s="3">
        <v>1</v>
      </c>
      <c r="D1024" s="3">
        <v>53</v>
      </c>
      <c r="E1024" s="3">
        <v>1</v>
      </c>
      <c r="F1024" s="4" t="str">
        <f>HYPERLINK("http://141.218.60.56/~jnz1568/getInfo.php?workbook=14_09.xlsx&amp;sheet=U0&amp;row=1024&amp;col=6&amp;number=3&amp;sourceID=14","3")</f>
        <v>3</v>
      </c>
      <c r="G1024" s="4" t="str">
        <f>HYPERLINK("http://141.218.60.56/~jnz1568/getInfo.php?workbook=14_09.xlsx&amp;sheet=U0&amp;row=1024&amp;col=7&amp;number=0.158&amp;sourceID=14","0.158")</f>
        <v>0.158</v>
      </c>
    </row>
    <row r="1025" spans="1:7">
      <c r="A1025" s="3"/>
      <c r="B1025" s="3"/>
      <c r="C1025" s="3"/>
      <c r="D1025" s="3"/>
      <c r="E1025" s="3">
        <v>2</v>
      </c>
      <c r="F1025" s="4" t="str">
        <f>HYPERLINK("http://141.218.60.56/~jnz1568/getInfo.php?workbook=14_09.xlsx&amp;sheet=U0&amp;row=1025&amp;col=6&amp;number=3.1&amp;sourceID=14","3.1")</f>
        <v>3.1</v>
      </c>
      <c r="G1025" s="4" t="str">
        <f>HYPERLINK("http://141.218.60.56/~jnz1568/getInfo.php?workbook=14_09.xlsx&amp;sheet=U0&amp;row=1025&amp;col=7&amp;number=0.158&amp;sourceID=14","0.158")</f>
        <v>0.158</v>
      </c>
    </row>
    <row r="1026" spans="1:7">
      <c r="A1026" s="3"/>
      <c r="B1026" s="3"/>
      <c r="C1026" s="3"/>
      <c r="D1026" s="3"/>
      <c r="E1026" s="3">
        <v>3</v>
      </c>
      <c r="F1026" s="4" t="str">
        <f>HYPERLINK("http://141.218.60.56/~jnz1568/getInfo.php?workbook=14_09.xlsx&amp;sheet=U0&amp;row=1026&amp;col=6&amp;number=3.2&amp;sourceID=14","3.2")</f>
        <v>3.2</v>
      </c>
      <c r="G1026" s="4" t="str">
        <f>HYPERLINK("http://141.218.60.56/~jnz1568/getInfo.php?workbook=14_09.xlsx&amp;sheet=U0&amp;row=1026&amp;col=7&amp;number=0.158&amp;sourceID=14","0.158")</f>
        <v>0.158</v>
      </c>
    </row>
    <row r="1027" spans="1:7">
      <c r="A1027" s="3"/>
      <c r="B1027" s="3"/>
      <c r="C1027" s="3"/>
      <c r="D1027" s="3"/>
      <c r="E1027" s="3">
        <v>4</v>
      </c>
      <c r="F1027" s="4" t="str">
        <f>HYPERLINK("http://141.218.60.56/~jnz1568/getInfo.php?workbook=14_09.xlsx&amp;sheet=U0&amp;row=1027&amp;col=6&amp;number=3.3&amp;sourceID=14","3.3")</f>
        <v>3.3</v>
      </c>
      <c r="G1027" s="4" t="str">
        <f>HYPERLINK("http://141.218.60.56/~jnz1568/getInfo.php?workbook=14_09.xlsx&amp;sheet=U0&amp;row=1027&amp;col=7&amp;number=0.158&amp;sourceID=14","0.158")</f>
        <v>0.158</v>
      </c>
    </row>
    <row r="1028" spans="1:7">
      <c r="A1028" s="3"/>
      <c r="B1028" s="3"/>
      <c r="C1028" s="3"/>
      <c r="D1028" s="3"/>
      <c r="E1028" s="3">
        <v>5</v>
      </c>
      <c r="F1028" s="4" t="str">
        <f>HYPERLINK("http://141.218.60.56/~jnz1568/getInfo.php?workbook=14_09.xlsx&amp;sheet=U0&amp;row=1028&amp;col=6&amp;number=3.4&amp;sourceID=14","3.4")</f>
        <v>3.4</v>
      </c>
      <c r="G1028" s="4" t="str">
        <f>HYPERLINK("http://141.218.60.56/~jnz1568/getInfo.php?workbook=14_09.xlsx&amp;sheet=U0&amp;row=1028&amp;col=7&amp;number=0.158&amp;sourceID=14","0.158")</f>
        <v>0.158</v>
      </c>
    </row>
    <row r="1029" spans="1:7">
      <c r="A1029" s="3"/>
      <c r="B1029" s="3"/>
      <c r="C1029" s="3"/>
      <c r="D1029" s="3"/>
      <c r="E1029" s="3">
        <v>6</v>
      </c>
      <c r="F1029" s="4" t="str">
        <f>HYPERLINK("http://141.218.60.56/~jnz1568/getInfo.php?workbook=14_09.xlsx&amp;sheet=U0&amp;row=1029&amp;col=6&amp;number=3.5&amp;sourceID=14","3.5")</f>
        <v>3.5</v>
      </c>
      <c r="G1029" s="4" t="str">
        <f>HYPERLINK("http://141.218.60.56/~jnz1568/getInfo.php?workbook=14_09.xlsx&amp;sheet=U0&amp;row=1029&amp;col=7&amp;number=0.159&amp;sourceID=14","0.159")</f>
        <v>0.159</v>
      </c>
    </row>
    <row r="1030" spans="1:7">
      <c r="A1030" s="3"/>
      <c r="B1030" s="3"/>
      <c r="C1030" s="3"/>
      <c r="D1030" s="3"/>
      <c r="E1030" s="3">
        <v>7</v>
      </c>
      <c r="F1030" s="4" t="str">
        <f>HYPERLINK("http://141.218.60.56/~jnz1568/getInfo.php?workbook=14_09.xlsx&amp;sheet=U0&amp;row=1030&amp;col=6&amp;number=3.6&amp;sourceID=14","3.6")</f>
        <v>3.6</v>
      </c>
      <c r="G1030" s="4" t="str">
        <f>HYPERLINK("http://141.218.60.56/~jnz1568/getInfo.php?workbook=14_09.xlsx&amp;sheet=U0&amp;row=1030&amp;col=7&amp;number=0.159&amp;sourceID=14","0.159")</f>
        <v>0.159</v>
      </c>
    </row>
    <row r="1031" spans="1:7">
      <c r="A1031" s="3"/>
      <c r="B1031" s="3"/>
      <c r="C1031" s="3"/>
      <c r="D1031" s="3"/>
      <c r="E1031" s="3">
        <v>8</v>
      </c>
      <c r="F1031" s="4" t="str">
        <f>HYPERLINK("http://141.218.60.56/~jnz1568/getInfo.php?workbook=14_09.xlsx&amp;sheet=U0&amp;row=1031&amp;col=6&amp;number=3.7&amp;sourceID=14","3.7")</f>
        <v>3.7</v>
      </c>
      <c r="G1031" s="4" t="str">
        <f>HYPERLINK("http://141.218.60.56/~jnz1568/getInfo.php?workbook=14_09.xlsx&amp;sheet=U0&amp;row=1031&amp;col=7&amp;number=0.159&amp;sourceID=14","0.159")</f>
        <v>0.159</v>
      </c>
    </row>
    <row r="1032" spans="1:7">
      <c r="A1032" s="3"/>
      <c r="B1032" s="3"/>
      <c r="C1032" s="3"/>
      <c r="D1032" s="3"/>
      <c r="E1032" s="3">
        <v>9</v>
      </c>
      <c r="F1032" s="4" t="str">
        <f>HYPERLINK("http://141.218.60.56/~jnz1568/getInfo.php?workbook=14_09.xlsx&amp;sheet=U0&amp;row=1032&amp;col=6&amp;number=3.8&amp;sourceID=14","3.8")</f>
        <v>3.8</v>
      </c>
      <c r="G1032" s="4" t="str">
        <f>HYPERLINK("http://141.218.60.56/~jnz1568/getInfo.php?workbook=14_09.xlsx&amp;sheet=U0&amp;row=1032&amp;col=7&amp;number=0.159&amp;sourceID=14","0.159")</f>
        <v>0.159</v>
      </c>
    </row>
    <row r="1033" spans="1:7">
      <c r="A1033" s="3"/>
      <c r="B1033" s="3"/>
      <c r="C1033" s="3"/>
      <c r="D1033" s="3"/>
      <c r="E1033" s="3">
        <v>10</v>
      </c>
      <c r="F1033" s="4" t="str">
        <f>HYPERLINK("http://141.218.60.56/~jnz1568/getInfo.php?workbook=14_09.xlsx&amp;sheet=U0&amp;row=1033&amp;col=6&amp;number=3.9&amp;sourceID=14","3.9")</f>
        <v>3.9</v>
      </c>
      <c r="G1033" s="4" t="str">
        <f>HYPERLINK("http://141.218.60.56/~jnz1568/getInfo.php?workbook=14_09.xlsx&amp;sheet=U0&amp;row=1033&amp;col=7&amp;number=0.159&amp;sourceID=14","0.159")</f>
        <v>0.159</v>
      </c>
    </row>
    <row r="1034" spans="1:7">
      <c r="A1034" s="3"/>
      <c r="B1034" s="3"/>
      <c r="C1034" s="3"/>
      <c r="D1034" s="3"/>
      <c r="E1034" s="3">
        <v>11</v>
      </c>
      <c r="F1034" s="4" t="str">
        <f>HYPERLINK("http://141.218.60.56/~jnz1568/getInfo.php?workbook=14_09.xlsx&amp;sheet=U0&amp;row=1034&amp;col=6&amp;number=4&amp;sourceID=14","4")</f>
        <v>4</v>
      </c>
      <c r="G1034" s="4" t="str">
        <f>HYPERLINK("http://141.218.60.56/~jnz1568/getInfo.php?workbook=14_09.xlsx&amp;sheet=U0&amp;row=1034&amp;col=7&amp;number=0.159&amp;sourceID=14","0.159")</f>
        <v>0.159</v>
      </c>
    </row>
    <row r="1035" spans="1:7">
      <c r="A1035" s="3"/>
      <c r="B1035" s="3"/>
      <c r="C1035" s="3"/>
      <c r="D1035" s="3"/>
      <c r="E1035" s="3">
        <v>12</v>
      </c>
      <c r="F1035" s="4" t="str">
        <f>HYPERLINK("http://141.218.60.56/~jnz1568/getInfo.php?workbook=14_09.xlsx&amp;sheet=U0&amp;row=1035&amp;col=6&amp;number=4.1&amp;sourceID=14","4.1")</f>
        <v>4.1</v>
      </c>
      <c r="G1035" s="4" t="str">
        <f>HYPERLINK("http://141.218.60.56/~jnz1568/getInfo.php?workbook=14_09.xlsx&amp;sheet=U0&amp;row=1035&amp;col=7&amp;number=0.159&amp;sourceID=14","0.159")</f>
        <v>0.159</v>
      </c>
    </row>
    <row r="1036" spans="1:7">
      <c r="A1036" s="3"/>
      <c r="B1036" s="3"/>
      <c r="C1036" s="3"/>
      <c r="D1036" s="3"/>
      <c r="E1036" s="3">
        <v>13</v>
      </c>
      <c r="F1036" s="4" t="str">
        <f>HYPERLINK("http://141.218.60.56/~jnz1568/getInfo.php?workbook=14_09.xlsx&amp;sheet=U0&amp;row=1036&amp;col=6&amp;number=4.2&amp;sourceID=14","4.2")</f>
        <v>4.2</v>
      </c>
      <c r="G1036" s="4" t="str">
        <f>HYPERLINK("http://141.218.60.56/~jnz1568/getInfo.php?workbook=14_09.xlsx&amp;sheet=U0&amp;row=1036&amp;col=7&amp;number=0.16&amp;sourceID=14","0.16")</f>
        <v>0.16</v>
      </c>
    </row>
    <row r="1037" spans="1:7">
      <c r="A1037" s="3"/>
      <c r="B1037" s="3"/>
      <c r="C1037" s="3"/>
      <c r="D1037" s="3"/>
      <c r="E1037" s="3">
        <v>14</v>
      </c>
      <c r="F1037" s="4" t="str">
        <f>HYPERLINK("http://141.218.60.56/~jnz1568/getInfo.php?workbook=14_09.xlsx&amp;sheet=U0&amp;row=1037&amp;col=6&amp;number=4.3&amp;sourceID=14","4.3")</f>
        <v>4.3</v>
      </c>
      <c r="G1037" s="4" t="str">
        <f>HYPERLINK("http://141.218.60.56/~jnz1568/getInfo.php?workbook=14_09.xlsx&amp;sheet=U0&amp;row=1037&amp;col=7&amp;number=0.16&amp;sourceID=14","0.16")</f>
        <v>0.16</v>
      </c>
    </row>
    <row r="1038" spans="1:7">
      <c r="A1038" s="3"/>
      <c r="B1038" s="3"/>
      <c r="C1038" s="3"/>
      <c r="D1038" s="3"/>
      <c r="E1038" s="3">
        <v>15</v>
      </c>
      <c r="F1038" s="4" t="str">
        <f>HYPERLINK("http://141.218.60.56/~jnz1568/getInfo.php?workbook=14_09.xlsx&amp;sheet=U0&amp;row=1038&amp;col=6&amp;number=4.4&amp;sourceID=14","4.4")</f>
        <v>4.4</v>
      </c>
      <c r="G1038" s="4" t="str">
        <f>HYPERLINK("http://141.218.60.56/~jnz1568/getInfo.php?workbook=14_09.xlsx&amp;sheet=U0&amp;row=1038&amp;col=7&amp;number=0.161&amp;sourceID=14","0.161")</f>
        <v>0.161</v>
      </c>
    </row>
    <row r="1039" spans="1:7">
      <c r="A1039" s="3"/>
      <c r="B1039" s="3"/>
      <c r="C1039" s="3"/>
      <c r="D1039" s="3"/>
      <c r="E1039" s="3">
        <v>16</v>
      </c>
      <c r="F1039" s="4" t="str">
        <f>HYPERLINK("http://141.218.60.56/~jnz1568/getInfo.php?workbook=14_09.xlsx&amp;sheet=U0&amp;row=1039&amp;col=6&amp;number=4.5&amp;sourceID=14","4.5")</f>
        <v>4.5</v>
      </c>
      <c r="G1039" s="4" t="str">
        <f>HYPERLINK("http://141.218.60.56/~jnz1568/getInfo.php?workbook=14_09.xlsx&amp;sheet=U0&amp;row=1039&amp;col=7&amp;number=0.161&amp;sourceID=14","0.161")</f>
        <v>0.161</v>
      </c>
    </row>
    <row r="1040" spans="1:7">
      <c r="A1040" s="3"/>
      <c r="B1040" s="3"/>
      <c r="C1040" s="3"/>
      <c r="D1040" s="3"/>
      <c r="E1040" s="3">
        <v>17</v>
      </c>
      <c r="F1040" s="4" t="str">
        <f>HYPERLINK("http://141.218.60.56/~jnz1568/getInfo.php?workbook=14_09.xlsx&amp;sheet=U0&amp;row=1040&amp;col=6&amp;number=4.6&amp;sourceID=14","4.6")</f>
        <v>4.6</v>
      </c>
      <c r="G1040" s="4" t="str">
        <f>HYPERLINK("http://141.218.60.56/~jnz1568/getInfo.php?workbook=14_09.xlsx&amp;sheet=U0&amp;row=1040&amp;col=7&amp;number=0.162&amp;sourceID=14","0.162")</f>
        <v>0.162</v>
      </c>
    </row>
    <row r="1041" spans="1:7">
      <c r="A1041" s="3"/>
      <c r="B1041" s="3"/>
      <c r="C1041" s="3"/>
      <c r="D1041" s="3"/>
      <c r="E1041" s="3">
        <v>18</v>
      </c>
      <c r="F1041" s="4" t="str">
        <f>HYPERLINK("http://141.218.60.56/~jnz1568/getInfo.php?workbook=14_09.xlsx&amp;sheet=U0&amp;row=1041&amp;col=6&amp;number=4.7&amp;sourceID=14","4.7")</f>
        <v>4.7</v>
      </c>
      <c r="G1041" s="4" t="str">
        <f>HYPERLINK("http://141.218.60.56/~jnz1568/getInfo.php?workbook=14_09.xlsx&amp;sheet=U0&amp;row=1041&amp;col=7&amp;number=0.163&amp;sourceID=14","0.163")</f>
        <v>0.163</v>
      </c>
    </row>
    <row r="1042" spans="1:7">
      <c r="A1042" s="3"/>
      <c r="B1042" s="3"/>
      <c r="C1042" s="3"/>
      <c r="D1042" s="3"/>
      <c r="E1042" s="3">
        <v>19</v>
      </c>
      <c r="F1042" s="4" t="str">
        <f>HYPERLINK("http://141.218.60.56/~jnz1568/getInfo.php?workbook=14_09.xlsx&amp;sheet=U0&amp;row=1042&amp;col=6&amp;number=4.8&amp;sourceID=14","4.8")</f>
        <v>4.8</v>
      </c>
      <c r="G1042" s="4" t="str">
        <f>HYPERLINK("http://141.218.60.56/~jnz1568/getInfo.php?workbook=14_09.xlsx&amp;sheet=U0&amp;row=1042&amp;col=7&amp;number=0.164&amp;sourceID=14","0.164")</f>
        <v>0.164</v>
      </c>
    </row>
    <row r="1043" spans="1:7">
      <c r="A1043" s="3"/>
      <c r="B1043" s="3"/>
      <c r="C1043" s="3"/>
      <c r="D1043" s="3"/>
      <c r="E1043" s="3">
        <v>20</v>
      </c>
      <c r="F1043" s="4" t="str">
        <f>HYPERLINK("http://141.218.60.56/~jnz1568/getInfo.php?workbook=14_09.xlsx&amp;sheet=U0&amp;row=1043&amp;col=6&amp;number=4.9&amp;sourceID=14","4.9")</f>
        <v>4.9</v>
      </c>
      <c r="G1043" s="4" t="str">
        <f>HYPERLINK("http://141.218.60.56/~jnz1568/getInfo.php?workbook=14_09.xlsx&amp;sheet=U0&amp;row=1043&amp;col=7&amp;number=0.166&amp;sourceID=14","0.166")</f>
        <v>0.166</v>
      </c>
    </row>
    <row r="1044" spans="1:7">
      <c r="A1044" s="3">
        <v>14</v>
      </c>
      <c r="B1044" s="3">
        <v>9</v>
      </c>
      <c r="C1044" s="3">
        <v>1</v>
      </c>
      <c r="D1044" s="3">
        <v>54</v>
      </c>
      <c r="E1044" s="3">
        <v>1</v>
      </c>
      <c r="F1044" s="4" t="str">
        <f>HYPERLINK("http://141.218.60.56/~jnz1568/getInfo.php?workbook=14_09.xlsx&amp;sheet=U0&amp;row=1044&amp;col=6&amp;number=3&amp;sourceID=14","3")</f>
        <v>3</v>
      </c>
      <c r="G1044" s="4" t="str">
        <f>HYPERLINK("http://141.218.60.56/~jnz1568/getInfo.php?workbook=14_09.xlsx&amp;sheet=U0&amp;row=1044&amp;col=7&amp;number=0.0402&amp;sourceID=14","0.0402")</f>
        <v>0.0402</v>
      </c>
    </row>
    <row r="1045" spans="1:7">
      <c r="A1045" s="3"/>
      <c r="B1045" s="3"/>
      <c r="C1045" s="3"/>
      <c r="D1045" s="3"/>
      <c r="E1045" s="3">
        <v>2</v>
      </c>
      <c r="F1045" s="4" t="str">
        <f>HYPERLINK("http://141.218.60.56/~jnz1568/getInfo.php?workbook=14_09.xlsx&amp;sheet=U0&amp;row=1045&amp;col=6&amp;number=3.1&amp;sourceID=14","3.1")</f>
        <v>3.1</v>
      </c>
      <c r="G1045" s="4" t="str">
        <f>HYPERLINK("http://141.218.60.56/~jnz1568/getInfo.php?workbook=14_09.xlsx&amp;sheet=U0&amp;row=1045&amp;col=7&amp;number=0.0402&amp;sourceID=14","0.0402")</f>
        <v>0.0402</v>
      </c>
    </row>
    <row r="1046" spans="1:7">
      <c r="A1046" s="3"/>
      <c r="B1046" s="3"/>
      <c r="C1046" s="3"/>
      <c r="D1046" s="3"/>
      <c r="E1046" s="3">
        <v>3</v>
      </c>
      <c r="F1046" s="4" t="str">
        <f>HYPERLINK("http://141.218.60.56/~jnz1568/getInfo.php?workbook=14_09.xlsx&amp;sheet=U0&amp;row=1046&amp;col=6&amp;number=3.2&amp;sourceID=14","3.2")</f>
        <v>3.2</v>
      </c>
      <c r="G1046" s="4" t="str">
        <f>HYPERLINK("http://141.218.60.56/~jnz1568/getInfo.php?workbook=14_09.xlsx&amp;sheet=U0&amp;row=1046&amp;col=7&amp;number=0.0402&amp;sourceID=14","0.0402")</f>
        <v>0.0402</v>
      </c>
    </row>
    <row r="1047" spans="1:7">
      <c r="A1047" s="3"/>
      <c r="B1047" s="3"/>
      <c r="C1047" s="3"/>
      <c r="D1047" s="3"/>
      <c r="E1047" s="3">
        <v>4</v>
      </c>
      <c r="F1047" s="4" t="str">
        <f>HYPERLINK("http://141.218.60.56/~jnz1568/getInfo.php?workbook=14_09.xlsx&amp;sheet=U0&amp;row=1047&amp;col=6&amp;number=3.3&amp;sourceID=14","3.3")</f>
        <v>3.3</v>
      </c>
      <c r="G1047" s="4" t="str">
        <f>HYPERLINK("http://141.218.60.56/~jnz1568/getInfo.php?workbook=14_09.xlsx&amp;sheet=U0&amp;row=1047&amp;col=7&amp;number=0.0402&amp;sourceID=14","0.0402")</f>
        <v>0.0402</v>
      </c>
    </row>
    <row r="1048" spans="1:7">
      <c r="A1048" s="3"/>
      <c r="B1048" s="3"/>
      <c r="C1048" s="3"/>
      <c r="D1048" s="3"/>
      <c r="E1048" s="3">
        <v>5</v>
      </c>
      <c r="F1048" s="4" t="str">
        <f>HYPERLINK("http://141.218.60.56/~jnz1568/getInfo.php?workbook=14_09.xlsx&amp;sheet=U0&amp;row=1048&amp;col=6&amp;number=3.4&amp;sourceID=14","3.4")</f>
        <v>3.4</v>
      </c>
      <c r="G1048" s="4" t="str">
        <f>HYPERLINK("http://141.218.60.56/~jnz1568/getInfo.php?workbook=14_09.xlsx&amp;sheet=U0&amp;row=1048&amp;col=7&amp;number=0.0402&amp;sourceID=14","0.0402")</f>
        <v>0.0402</v>
      </c>
    </row>
    <row r="1049" spans="1:7">
      <c r="A1049" s="3"/>
      <c r="B1049" s="3"/>
      <c r="C1049" s="3"/>
      <c r="D1049" s="3"/>
      <c r="E1049" s="3">
        <v>6</v>
      </c>
      <c r="F1049" s="4" t="str">
        <f>HYPERLINK("http://141.218.60.56/~jnz1568/getInfo.php?workbook=14_09.xlsx&amp;sheet=U0&amp;row=1049&amp;col=6&amp;number=3.5&amp;sourceID=14","3.5")</f>
        <v>3.5</v>
      </c>
      <c r="G1049" s="4" t="str">
        <f>HYPERLINK("http://141.218.60.56/~jnz1568/getInfo.php?workbook=14_09.xlsx&amp;sheet=U0&amp;row=1049&amp;col=7&amp;number=0.0402&amp;sourceID=14","0.0402")</f>
        <v>0.0402</v>
      </c>
    </row>
    <row r="1050" spans="1:7">
      <c r="A1050" s="3"/>
      <c r="B1050" s="3"/>
      <c r="C1050" s="3"/>
      <c r="D1050" s="3"/>
      <c r="E1050" s="3">
        <v>7</v>
      </c>
      <c r="F1050" s="4" t="str">
        <f>HYPERLINK("http://141.218.60.56/~jnz1568/getInfo.php?workbook=14_09.xlsx&amp;sheet=U0&amp;row=1050&amp;col=6&amp;number=3.6&amp;sourceID=14","3.6")</f>
        <v>3.6</v>
      </c>
      <c r="G1050" s="4" t="str">
        <f>HYPERLINK("http://141.218.60.56/~jnz1568/getInfo.php?workbook=14_09.xlsx&amp;sheet=U0&amp;row=1050&amp;col=7&amp;number=0.0402&amp;sourceID=14","0.0402")</f>
        <v>0.0402</v>
      </c>
    </row>
    <row r="1051" spans="1:7">
      <c r="A1051" s="3"/>
      <c r="B1051" s="3"/>
      <c r="C1051" s="3"/>
      <c r="D1051" s="3"/>
      <c r="E1051" s="3">
        <v>8</v>
      </c>
      <c r="F1051" s="4" t="str">
        <f>HYPERLINK("http://141.218.60.56/~jnz1568/getInfo.php?workbook=14_09.xlsx&amp;sheet=U0&amp;row=1051&amp;col=6&amp;number=3.7&amp;sourceID=14","3.7")</f>
        <v>3.7</v>
      </c>
      <c r="G1051" s="4" t="str">
        <f>HYPERLINK("http://141.218.60.56/~jnz1568/getInfo.php?workbook=14_09.xlsx&amp;sheet=U0&amp;row=1051&amp;col=7&amp;number=0.0402&amp;sourceID=14","0.0402")</f>
        <v>0.0402</v>
      </c>
    </row>
    <row r="1052" spans="1:7">
      <c r="A1052" s="3"/>
      <c r="B1052" s="3"/>
      <c r="C1052" s="3"/>
      <c r="D1052" s="3"/>
      <c r="E1052" s="3">
        <v>9</v>
      </c>
      <c r="F1052" s="4" t="str">
        <f>HYPERLINK("http://141.218.60.56/~jnz1568/getInfo.php?workbook=14_09.xlsx&amp;sheet=U0&amp;row=1052&amp;col=6&amp;number=3.8&amp;sourceID=14","3.8")</f>
        <v>3.8</v>
      </c>
      <c r="G1052" s="4" t="str">
        <f>HYPERLINK("http://141.218.60.56/~jnz1568/getInfo.php?workbook=14_09.xlsx&amp;sheet=U0&amp;row=1052&amp;col=7&amp;number=0.0401&amp;sourceID=14","0.0401")</f>
        <v>0.0401</v>
      </c>
    </row>
    <row r="1053" spans="1:7">
      <c r="A1053" s="3"/>
      <c r="B1053" s="3"/>
      <c r="C1053" s="3"/>
      <c r="D1053" s="3"/>
      <c r="E1053" s="3">
        <v>10</v>
      </c>
      <c r="F1053" s="4" t="str">
        <f>HYPERLINK("http://141.218.60.56/~jnz1568/getInfo.php?workbook=14_09.xlsx&amp;sheet=U0&amp;row=1053&amp;col=6&amp;number=3.9&amp;sourceID=14","3.9")</f>
        <v>3.9</v>
      </c>
      <c r="G1053" s="4" t="str">
        <f>HYPERLINK("http://141.218.60.56/~jnz1568/getInfo.php?workbook=14_09.xlsx&amp;sheet=U0&amp;row=1053&amp;col=7&amp;number=0.0401&amp;sourceID=14","0.0401")</f>
        <v>0.0401</v>
      </c>
    </row>
    <row r="1054" spans="1:7">
      <c r="A1054" s="3"/>
      <c r="B1054" s="3"/>
      <c r="C1054" s="3"/>
      <c r="D1054" s="3"/>
      <c r="E1054" s="3">
        <v>11</v>
      </c>
      <c r="F1054" s="4" t="str">
        <f>HYPERLINK("http://141.218.60.56/~jnz1568/getInfo.php?workbook=14_09.xlsx&amp;sheet=U0&amp;row=1054&amp;col=6&amp;number=4&amp;sourceID=14","4")</f>
        <v>4</v>
      </c>
      <c r="G1054" s="4" t="str">
        <f>HYPERLINK("http://141.218.60.56/~jnz1568/getInfo.php?workbook=14_09.xlsx&amp;sheet=U0&amp;row=1054&amp;col=7&amp;number=0.0401&amp;sourceID=14","0.0401")</f>
        <v>0.0401</v>
      </c>
    </row>
    <row r="1055" spans="1:7">
      <c r="A1055" s="3"/>
      <c r="B1055" s="3"/>
      <c r="C1055" s="3"/>
      <c r="D1055" s="3"/>
      <c r="E1055" s="3">
        <v>12</v>
      </c>
      <c r="F1055" s="4" t="str">
        <f>HYPERLINK("http://141.218.60.56/~jnz1568/getInfo.php?workbook=14_09.xlsx&amp;sheet=U0&amp;row=1055&amp;col=6&amp;number=4.1&amp;sourceID=14","4.1")</f>
        <v>4.1</v>
      </c>
      <c r="G1055" s="4" t="str">
        <f>HYPERLINK("http://141.218.60.56/~jnz1568/getInfo.php?workbook=14_09.xlsx&amp;sheet=U0&amp;row=1055&amp;col=7&amp;number=0.0401&amp;sourceID=14","0.0401")</f>
        <v>0.0401</v>
      </c>
    </row>
    <row r="1056" spans="1:7">
      <c r="A1056" s="3"/>
      <c r="B1056" s="3"/>
      <c r="C1056" s="3"/>
      <c r="D1056" s="3"/>
      <c r="E1056" s="3">
        <v>13</v>
      </c>
      <c r="F1056" s="4" t="str">
        <f>HYPERLINK("http://141.218.60.56/~jnz1568/getInfo.php?workbook=14_09.xlsx&amp;sheet=U0&amp;row=1056&amp;col=6&amp;number=4.2&amp;sourceID=14","4.2")</f>
        <v>4.2</v>
      </c>
      <c r="G1056" s="4" t="str">
        <f>HYPERLINK("http://141.218.60.56/~jnz1568/getInfo.php?workbook=14_09.xlsx&amp;sheet=U0&amp;row=1056&amp;col=7&amp;number=0.04&amp;sourceID=14","0.04")</f>
        <v>0.04</v>
      </c>
    </row>
    <row r="1057" spans="1:7">
      <c r="A1057" s="3"/>
      <c r="B1057" s="3"/>
      <c r="C1057" s="3"/>
      <c r="D1057" s="3"/>
      <c r="E1057" s="3">
        <v>14</v>
      </c>
      <c r="F1057" s="4" t="str">
        <f>HYPERLINK("http://141.218.60.56/~jnz1568/getInfo.php?workbook=14_09.xlsx&amp;sheet=U0&amp;row=1057&amp;col=6&amp;number=4.3&amp;sourceID=14","4.3")</f>
        <v>4.3</v>
      </c>
      <c r="G1057" s="4" t="str">
        <f>HYPERLINK("http://141.218.60.56/~jnz1568/getInfo.php?workbook=14_09.xlsx&amp;sheet=U0&amp;row=1057&amp;col=7&amp;number=0.04&amp;sourceID=14","0.04")</f>
        <v>0.04</v>
      </c>
    </row>
    <row r="1058" spans="1:7">
      <c r="A1058" s="3"/>
      <c r="B1058" s="3"/>
      <c r="C1058" s="3"/>
      <c r="D1058" s="3"/>
      <c r="E1058" s="3">
        <v>15</v>
      </c>
      <c r="F1058" s="4" t="str">
        <f>HYPERLINK("http://141.218.60.56/~jnz1568/getInfo.php?workbook=14_09.xlsx&amp;sheet=U0&amp;row=1058&amp;col=6&amp;number=4.4&amp;sourceID=14","4.4")</f>
        <v>4.4</v>
      </c>
      <c r="G1058" s="4" t="str">
        <f>HYPERLINK("http://141.218.60.56/~jnz1568/getInfo.php?workbook=14_09.xlsx&amp;sheet=U0&amp;row=1058&amp;col=7&amp;number=0.0399&amp;sourceID=14","0.0399")</f>
        <v>0.0399</v>
      </c>
    </row>
    <row r="1059" spans="1:7">
      <c r="A1059" s="3"/>
      <c r="B1059" s="3"/>
      <c r="C1059" s="3"/>
      <c r="D1059" s="3"/>
      <c r="E1059" s="3">
        <v>16</v>
      </c>
      <c r="F1059" s="4" t="str">
        <f>HYPERLINK("http://141.218.60.56/~jnz1568/getInfo.php?workbook=14_09.xlsx&amp;sheet=U0&amp;row=1059&amp;col=6&amp;number=4.5&amp;sourceID=14","4.5")</f>
        <v>4.5</v>
      </c>
      <c r="G1059" s="4" t="str">
        <f>HYPERLINK("http://141.218.60.56/~jnz1568/getInfo.php?workbook=14_09.xlsx&amp;sheet=U0&amp;row=1059&amp;col=7&amp;number=0.0398&amp;sourceID=14","0.0398")</f>
        <v>0.0398</v>
      </c>
    </row>
    <row r="1060" spans="1:7">
      <c r="A1060" s="3"/>
      <c r="B1060" s="3"/>
      <c r="C1060" s="3"/>
      <c r="D1060" s="3"/>
      <c r="E1060" s="3">
        <v>17</v>
      </c>
      <c r="F1060" s="4" t="str">
        <f>HYPERLINK("http://141.218.60.56/~jnz1568/getInfo.php?workbook=14_09.xlsx&amp;sheet=U0&amp;row=1060&amp;col=6&amp;number=4.6&amp;sourceID=14","4.6")</f>
        <v>4.6</v>
      </c>
      <c r="G1060" s="4" t="str">
        <f>HYPERLINK("http://141.218.60.56/~jnz1568/getInfo.php?workbook=14_09.xlsx&amp;sheet=U0&amp;row=1060&amp;col=7&amp;number=0.0397&amp;sourceID=14","0.0397")</f>
        <v>0.0397</v>
      </c>
    </row>
    <row r="1061" spans="1:7">
      <c r="A1061" s="3"/>
      <c r="B1061" s="3"/>
      <c r="C1061" s="3"/>
      <c r="D1061" s="3"/>
      <c r="E1061" s="3">
        <v>18</v>
      </c>
      <c r="F1061" s="4" t="str">
        <f>HYPERLINK("http://141.218.60.56/~jnz1568/getInfo.php?workbook=14_09.xlsx&amp;sheet=U0&amp;row=1061&amp;col=6&amp;number=4.7&amp;sourceID=14","4.7")</f>
        <v>4.7</v>
      </c>
      <c r="G1061" s="4" t="str">
        <f>HYPERLINK("http://141.218.60.56/~jnz1568/getInfo.php?workbook=14_09.xlsx&amp;sheet=U0&amp;row=1061&amp;col=7&amp;number=0.0396&amp;sourceID=14","0.0396")</f>
        <v>0.0396</v>
      </c>
    </row>
    <row r="1062" spans="1:7">
      <c r="A1062" s="3"/>
      <c r="B1062" s="3"/>
      <c r="C1062" s="3"/>
      <c r="D1062" s="3"/>
      <c r="E1062" s="3">
        <v>19</v>
      </c>
      <c r="F1062" s="4" t="str">
        <f>HYPERLINK("http://141.218.60.56/~jnz1568/getInfo.php?workbook=14_09.xlsx&amp;sheet=U0&amp;row=1062&amp;col=6&amp;number=4.8&amp;sourceID=14","4.8")</f>
        <v>4.8</v>
      </c>
      <c r="G1062" s="4" t="str">
        <f>HYPERLINK("http://141.218.60.56/~jnz1568/getInfo.php?workbook=14_09.xlsx&amp;sheet=U0&amp;row=1062&amp;col=7&amp;number=0.0394&amp;sourceID=14","0.0394")</f>
        <v>0.0394</v>
      </c>
    </row>
    <row r="1063" spans="1:7">
      <c r="A1063" s="3"/>
      <c r="B1063" s="3"/>
      <c r="C1063" s="3"/>
      <c r="D1063" s="3"/>
      <c r="E1063" s="3">
        <v>20</v>
      </c>
      <c r="F1063" s="4" t="str">
        <f>HYPERLINK("http://141.218.60.56/~jnz1568/getInfo.php?workbook=14_09.xlsx&amp;sheet=U0&amp;row=1063&amp;col=6&amp;number=4.9&amp;sourceID=14","4.9")</f>
        <v>4.9</v>
      </c>
      <c r="G1063" s="4" t="str">
        <f>HYPERLINK("http://141.218.60.56/~jnz1568/getInfo.php?workbook=14_09.xlsx&amp;sheet=U0&amp;row=1063&amp;col=7&amp;number=0.0392&amp;sourceID=14","0.0392")</f>
        <v>0.0392</v>
      </c>
    </row>
    <row r="1064" spans="1:7">
      <c r="A1064" s="3">
        <v>14</v>
      </c>
      <c r="B1064" s="3">
        <v>9</v>
      </c>
      <c r="C1064" s="3">
        <v>1</v>
      </c>
      <c r="D1064" s="3">
        <v>55</v>
      </c>
      <c r="E1064" s="3">
        <v>1</v>
      </c>
      <c r="F1064" s="4" t="str">
        <f>HYPERLINK("http://141.218.60.56/~jnz1568/getInfo.php?workbook=14_09.xlsx&amp;sheet=U0&amp;row=1064&amp;col=6&amp;number=3&amp;sourceID=14","3")</f>
        <v>3</v>
      </c>
      <c r="G1064" s="4" t="str">
        <f>HYPERLINK("http://141.218.60.56/~jnz1568/getInfo.php?workbook=14_09.xlsx&amp;sheet=U0&amp;row=1064&amp;col=7&amp;number=0.0314&amp;sourceID=14","0.0314")</f>
        <v>0.0314</v>
      </c>
    </row>
    <row r="1065" spans="1:7">
      <c r="A1065" s="3"/>
      <c r="B1065" s="3"/>
      <c r="C1065" s="3"/>
      <c r="D1065" s="3"/>
      <c r="E1065" s="3">
        <v>2</v>
      </c>
      <c r="F1065" s="4" t="str">
        <f>HYPERLINK("http://141.218.60.56/~jnz1568/getInfo.php?workbook=14_09.xlsx&amp;sheet=U0&amp;row=1065&amp;col=6&amp;number=3.1&amp;sourceID=14","3.1")</f>
        <v>3.1</v>
      </c>
      <c r="G1065" s="4" t="str">
        <f>HYPERLINK("http://141.218.60.56/~jnz1568/getInfo.php?workbook=14_09.xlsx&amp;sheet=U0&amp;row=1065&amp;col=7&amp;number=0.0314&amp;sourceID=14","0.0314")</f>
        <v>0.0314</v>
      </c>
    </row>
    <row r="1066" spans="1:7">
      <c r="A1066" s="3"/>
      <c r="B1066" s="3"/>
      <c r="C1066" s="3"/>
      <c r="D1066" s="3"/>
      <c r="E1066" s="3">
        <v>3</v>
      </c>
      <c r="F1066" s="4" t="str">
        <f>HYPERLINK("http://141.218.60.56/~jnz1568/getInfo.php?workbook=14_09.xlsx&amp;sheet=U0&amp;row=1066&amp;col=6&amp;number=3.2&amp;sourceID=14","3.2")</f>
        <v>3.2</v>
      </c>
      <c r="G1066" s="4" t="str">
        <f>HYPERLINK("http://141.218.60.56/~jnz1568/getInfo.php?workbook=14_09.xlsx&amp;sheet=U0&amp;row=1066&amp;col=7&amp;number=0.0314&amp;sourceID=14","0.0314")</f>
        <v>0.0314</v>
      </c>
    </row>
    <row r="1067" spans="1:7">
      <c r="A1067" s="3"/>
      <c r="B1067" s="3"/>
      <c r="C1067" s="3"/>
      <c r="D1067" s="3"/>
      <c r="E1067" s="3">
        <v>4</v>
      </c>
      <c r="F1067" s="4" t="str">
        <f>HYPERLINK("http://141.218.60.56/~jnz1568/getInfo.php?workbook=14_09.xlsx&amp;sheet=U0&amp;row=1067&amp;col=6&amp;number=3.3&amp;sourceID=14","3.3")</f>
        <v>3.3</v>
      </c>
      <c r="G1067" s="4" t="str">
        <f>HYPERLINK("http://141.218.60.56/~jnz1568/getInfo.php?workbook=14_09.xlsx&amp;sheet=U0&amp;row=1067&amp;col=7&amp;number=0.0314&amp;sourceID=14","0.0314")</f>
        <v>0.0314</v>
      </c>
    </row>
    <row r="1068" spans="1:7">
      <c r="A1068" s="3"/>
      <c r="B1068" s="3"/>
      <c r="C1068" s="3"/>
      <c r="D1068" s="3"/>
      <c r="E1068" s="3">
        <v>5</v>
      </c>
      <c r="F1068" s="4" t="str">
        <f>HYPERLINK("http://141.218.60.56/~jnz1568/getInfo.php?workbook=14_09.xlsx&amp;sheet=U0&amp;row=1068&amp;col=6&amp;number=3.4&amp;sourceID=14","3.4")</f>
        <v>3.4</v>
      </c>
      <c r="G1068" s="4" t="str">
        <f>HYPERLINK("http://141.218.60.56/~jnz1568/getInfo.php?workbook=14_09.xlsx&amp;sheet=U0&amp;row=1068&amp;col=7&amp;number=0.0315&amp;sourceID=14","0.0315")</f>
        <v>0.0315</v>
      </c>
    </row>
    <row r="1069" spans="1:7">
      <c r="A1069" s="3"/>
      <c r="B1069" s="3"/>
      <c r="C1069" s="3"/>
      <c r="D1069" s="3"/>
      <c r="E1069" s="3">
        <v>6</v>
      </c>
      <c r="F1069" s="4" t="str">
        <f>HYPERLINK("http://141.218.60.56/~jnz1568/getInfo.php?workbook=14_09.xlsx&amp;sheet=U0&amp;row=1069&amp;col=6&amp;number=3.5&amp;sourceID=14","3.5")</f>
        <v>3.5</v>
      </c>
      <c r="G1069" s="4" t="str">
        <f>HYPERLINK("http://141.218.60.56/~jnz1568/getInfo.php?workbook=14_09.xlsx&amp;sheet=U0&amp;row=1069&amp;col=7&amp;number=0.0315&amp;sourceID=14","0.0315")</f>
        <v>0.0315</v>
      </c>
    </row>
    <row r="1070" spans="1:7">
      <c r="A1070" s="3"/>
      <c r="B1070" s="3"/>
      <c r="C1070" s="3"/>
      <c r="D1070" s="3"/>
      <c r="E1070" s="3">
        <v>7</v>
      </c>
      <c r="F1070" s="4" t="str">
        <f>HYPERLINK("http://141.218.60.56/~jnz1568/getInfo.php?workbook=14_09.xlsx&amp;sheet=U0&amp;row=1070&amp;col=6&amp;number=3.6&amp;sourceID=14","3.6")</f>
        <v>3.6</v>
      </c>
      <c r="G1070" s="4" t="str">
        <f>HYPERLINK("http://141.218.60.56/~jnz1568/getInfo.php?workbook=14_09.xlsx&amp;sheet=U0&amp;row=1070&amp;col=7&amp;number=0.0315&amp;sourceID=14","0.0315")</f>
        <v>0.0315</v>
      </c>
    </row>
    <row r="1071" spans="1:7">
      <c r="A1071" s="3"/>
      <c r="B1071" s="3"/>
      <c r="C1071" s="3"/>
      <c r="D1071" s="3"/>
      <c r="E1071" s="3">
        <v>8</v>
      </c>
      <c r="F1071" s="4" t="str">
        <f>HYPERLINK("http://141.218.60.56/~jnz1568/getInfo.php?workbook=14_09.xlsx&amp;sheet=U0&amp;row=1071&amp;col=6&amp;number=3.7&amp;sourceID=14","3.7")</f>
        <v>3.7</v>
      </c>
      <c r="G1071" s="4" t="str">
        <f>HYPERLINK("http://141.218.60.56/~jnz1568/getInfo.php?workbook=14_09.xlsx&amp;sheet=U0&amp;row=1071&amp;col=7&amp;number=0.0315&amp;sourceID=14","0.0315")</f>
        <v>0.0315</v>
      </c>
    </row>
    <row r="1072" spans="1:7">
      <c r="A1072" s="3"/>
      <c r="B1072" s="3"/>
      <c r="C1072" s="3"/>
      <c r="D1072" s="3"/>
      <c r="E1072" s="3">
        <v>9</v>
      </c>
      <c r="F1072" s="4" t="str">
        <f>HYPERLINK("http://141.218.60.56/~jnz1568/getInfo.php?workbook=14_09.xlsx&amp;sheet=U0&amp;row=1072&amp;col=6&amp;number=3.8&amp;sourceID=14","3.8")</f>
        <v>3.8</v>
      </c>
      <c r="G1072" s="4" t="str">
        <f>HYPERLINK("http://141.218.60.56/~jnz1568/getInfo.php?workbook=14_09.xlsx&amp;sheet=U0&amp;row=1072&amp;col=7&amp;number=0.0315&amp;sourceID=14","0.0315")</f>
        <v>0.0315</v>
      </c>
    </row>
    <row r="1073" spans="1:7">
      <c r="A1073" s="3"/>
      <c r="B1073" s="3"/>
      <c r="C1073" s="3"/>
      <c r="D1073" s="3"/>
      <c r="E1073" s="3">
        <v>10</v>
      </c>
      <c r="F1073" s="4" t="str">
        <f>HYPERLINK("http://141.218.60.56/~jnz1568/getInfo.php?workbook=14_09.xlsx&amp;sheet=U0&amp;row=1073&amp;col=6&amp;number=3.9&amp;sourceID=14","3.9")</f>
        <v>3.9</v>
      </c>
      <c r="G1073" s="4" t="str">
        <f>HYPERLINK("http://141.218.60.56/~jnz1568/getInfo.php?workbook=14_09.xlsx&amp;sheet=U0&amp;row=1073&amp;col=7&amp;number=0.0316&amp;sourceID=14","0.0316")</f>
        <v>0.0316</v>
      </c>
    </row>
    <row r="1074" spans="1:7">
      <c r="A1074" s="3"/>
      <c r="B1074" s="3"/>
      <c r="C1074" s="3"/>
      <c r="D1074" s="3"/>
      <c r="E1074" s="3">
        <v>11</v>
      </c>
      <c r="F1074" s="4" t="str">
        <f>HYPERLINK("http://141.218.60.56/~jnz1568/getInfo.php?workbook=14_09.xlsx&amp;sheet=U0&amp;row=1074&amp;col=6&amp;number=4&amp;sourceID=14","4")</f>
        <v>4</v>
      </c>
      <c r="G1074" s="4" t="str">
        <f>HYPERLINK("http://141.218.60.56/~jnz1568/getInfo.php?workbook=14_09.xlsx&amp;sheet=U0&amp;row=1074&amp;col=7&amp;number=0.0316&amp;sourceID=14","0.0316")</f>
        <v>0.0316</v>
      </c>
    </row>
    <row r="1075" spans="1:7">
      <c r="A1075" s="3"/>
      <c r="B1075" s="3"/>
      <c r="C1075" s="3"/>
      <c r="D1075" s="3"/>
      <c r="E1075" s="3">
        <v>12</v>
      </c>
      <c r="F1075" s="4" t="str">
        <f>HYPERLINK("http://141.218.60.56/~jnz1568/getInfo.php?workbook=14_09.xlsx&amp;sheet=U0&amp;row=1075&amp;col=6&amp;number=4.1&amp;sourceID=14","4.1")</f>
        <v>4.1</v>
      </c>
      <c r="G1075" s="4" t="str">
        <f>HYPERLINK("http://141.218.60.56/~jnz1568/getInfo.php?workbook=14_09.xlsx&amp;sheet=U0&amp;row=1075&amp;col=7&amp;number=0.0317&amp;sourceID=14","0.0317")</f>
        <v>0.0317</v>
      </c>
    </row>
    <row r="1076" spans="1:7">
      <c r="A1076" s="3"/>
      <c r="B1076" s="3"/>
      <c r="C1076" s="3"/>
      <c r="D1076" s="3"/>
      <c r="E1076" s="3">
        <v>13</v>
      </c>
      <c r="F1076" s="4" t="str">
        <f>HYPERLINK("http://141.218.60.56/~jnz1568/getInfo.php?workbook=14_09.xlsx&amp;sheet=U0&amp;row=1076&amp;col=6&amp;number=4.2&amp;sourceID=14","4.2")</f>
        <v>4.2</v>
      </c>
      <c r="G1076" s="4" t="str">
        <f>HYPERLINK("http://141.218.60.56/~jnz1568/getInfo.php?workbook=14_09.xlsx&amp;sheet=U0&amp;row=1076&amp;col=7&amp;number=0.0317&amp;sourceID=14","0.0317")</f>
        <v>0.0317</v>
      </c>
    </row>
    <row r="1077" spans="1:7">
      <c r="A1077" s="3"/>
      <c r="B1077" s="3"/>
      <c r="C1077" s="3"/>
      <c r="D1077" s="3"/>
      <c r="E1077" s="3">
        <v>14</v>
      </c>
      <c r="F1077" s="4" t="str">
        <f>HYPERLINK("http://141.218.60.56/~jnz1568/getInfo.php?workbook=14_09.xlsx&amp;sheet=U0&amp;row=1077&amp;col=6&amp;number=4.3&amp;sourceID=14","4.3")</f>
        <v>4.3</v>
      </c>
      <c r="G1077" s="4" t="str">
        <f>HYPERLINK("http://141.218.60.56/~jnz1568/getInfo.php?workbook=14_09.xlsx&amp;sheet=U0&amp;row=1077&amp;col=7&amp;number=0.0318&amp;sourceID=14","0.0318")</f>
        <v>0.0318</v>
      </c>
    </row>
    <row r="1078" spans="1:7">
      <c r="A1078" s="3"/>
      <c r="B1078" s="3"/>
      <c r="C1078" s="3"/>
      <c r="D1078" s="3"/>
      <c r="E1078" s="3">
        <v>15</v>
      </c>
      <c r="F1078" s="4" t="str">
        <f>HYPERLINK("http://141.218.60.56/~jnz1568/getInfo.php?workbook=14_09.xlsx&amp;sheet=U0&amp;row=1078&amp;col=6&amp;number=4.4&amp;sourceID=14","4.4")</f>
        <v>4.4</v>
      </c>
      <c r="G1078" s="4" t="str">
        <f>HYPERLINK("http://141.218.60.56/~jnz1568/getInfo.php?workbook=14_09.xlsx&amp;sheet=U0&amp;row=1078&amp;col=7&amp;number=0.0319&amp;sourceID=14","0.0319")</f>
        <v>0.0319</v>
      </c>
    </row>
    <row r="1079" spans="1:7">
      <c r="A1079" s="3"/>
      <c r="B1079" s="3"/>
      <c r="C1079" s="3"/>
      <c r="D1079" s="3"/>
      <c r="E1079" s="3">
        <v>16</v>
      </c>
      <c r="F1079" s="4" t="str">
        <f>HYPERLINK("http://141.218.60.56/~jnz1568/getInfo.php?workbook=14_09.xlsx&amp;sheet=U0&amp;row=1079&amp;col=6&amp;number=4.5&amp;sourceID=14","4.5")</f>
        <v>4.5</v>
      </c>
      <c r="G1079" s="4" t="str">
        <f>HYPERLINK("http://141.218.60.56/~jnz1568/getInfo.php?workbook=14_09.xlsx&amp;sheet=U0&amp;row=1079&amp;col=7&amp;number=0.0321&amp;sourceID=14","0.0321")</f>
        <v>0.0321</v>
      </c>
    </row>
    <row r="1080" spans="1:7">
      <c r="A1080" s="3"/>
      <c r="B1080" s="3"/>
      <c r="C1080" s="3"/>
      <c r="D1080" s="3"/>
      <c r="E1080" s="3">
        <v>17</v>
      </c>
      <c r="F1080" s="4" t="str">
        <f>HYPERLINK("http://141.218.60.56/~jnz1568/getInfo.php?workbook=14_09.xlsx&amp;sheet=U0&amp;row=1080&amp;col=6&amp;number=4.6&amp;sourceID=14","4.6")</f>
        <v>4.6</v>
      </c>
      <c r="G1080" s="4" t="str">
        <f>HYPERLINK("http://141.218.60.56/~jnz1568/getInfo.php?workbook=14_09.xlsx&amp;sheet=U0&amp;row=1080&amp;col=7&amp;number=0.0322&amp;sourceID=14","0.0322")</f>
        <v>0.0322</v>
      </c>
    </row>
    <row r="1081" spans="1:7">
      <c r="A1081" s="3"/>
      <c r="B1081" s="3"/>
      <c r="C1081" s="3"/>
      <c r="D1081" s="3"/>
      <c r="E1081" s="3">
        <v>18</v>
      </c>
      <c r="F1081" s="4" t="str">
        <f>HYPERLINK("http://141.218.60.56/~jnz1568/getInfo.php?workbook=14_09.xlsx&amp;sheet=U0&amp;row=1081&amp;col=6&amp;number=4.7&amp;sourceID=14","4.7")</f>
        <v>4.7</v>
      </c>
      <c r="G1081" s="4" t="str">
        <f>HYPERLINK("http://141.218.60.56/~jnz1568/getInfo.php?workbook=14_09.xlsx&amp;sheet=U0&amp;row=1081&amp;col=7&amp;number=0.0324&amp;sourceID=14","0.0324")</f>
        <v>0.0324</v>
      </c>
    </row>
    <row r="1082" spans="1:7">
      <c r="A1082" s="3"/>
      <c r="B1082" s="3"/>
      <c r="C1082" s="3"/>
      <c r="D1082" s="3"/>
      <c r="E1082" s="3">
        <v>19</v>
      </c>
      <c r="F1082" s="4" t="str">
        <f>HYPERLINK("http://141.218.60.56/~jnz1568/getInfo.php?workbook=14_09.xlsx&amp;sheet=U0&amp;row=1082&amp;col=6&amp;number=4.8&amp;sourceID=14","4.8")</f>
        <v>4.8</v>
      </c>
      <c r="G1082" s="4" t="str">
        <f>HYPERLINK("http://141.218.60.56/~jnz1568/getInfo.php?workbook=14_09.xlsx&amp;sheet=U0&amp;row=1082&amp;col=7&amp;number=0.0326&amp;sourceID=14","0.0326")</f>
        <v>0.0326</v>
      </c>
    </row>
    <row r="1083" spans="1:7">
      <c r="A1083" s="3"/>
      <c r="B1083" s="3"/>
      <c r="C1083" s="3"/>
      <c r="D1083" s="3"/>
      <c r="E1083" s="3">
        <v>20</v>
      </c>
      <c r="F1083" s="4" t="str">
        <f>HYPERLINK("http://141.218.60.56/~jnz1568/getInfo.php?workbook=14_09.xlsx&amp;sheet=U0&amp;row=1083&amp;col=6&amp;number=4.9&amp;sourceID=14","4.9")</f>
        <v>4.9</v>
      </c>
      <c r="G1083" s="4" t="str">
        <f>HYPERLINK("http://141.218.60.56/~jnz1568/getInfo.php?workbook=14_09.xlsx&amp;sheet=U0&amp;row=1083&amp;col=7&amp;number=0.0327&amp;sourceID=14","0.0327")</f>
        <v>0.0327</v>
      </c>
    </row>
    <row r="1084" spans="1:7">
      <c r="A1084" s="3">
        <v>14</v>
      </c>
      <c r="B1084" s="3">
        <v>9</v>
      </c>
      <c r="C1084" s="3">
        <v>1</v>
      </c>
      <c r="D1084" s="3">
        <v>56</v>
      </c>
      <c r="E1084" s="3">
        <v>1</v>
      </c>
      <c r="F1084" s="4" t="str">
        <f>HYPERLINK("http://141.218.60.56/~jnz1568/getInfo.php?workbook=14_09.xlsx&amp;sheet=U0&amp;row=1084&amp;col=6&amp;number=3&amp;sourceID=14","3")</f>
        <v>3</v>
      </c>
      <c r="G1084" s="4" t="str">
        <f>HYPERLINK("http://141.218.60.56/~jnz1568/getInfo.php?workbook=14_09.xlsx&amp;sheet=U0&amp;row=1084&amp;col=7&amp;number=0.0491&amp;sourceID=14","0.0491")</f>
        <v>0.0491</v>
      </c>
    </row>
    <row r="1085" spans="1:7">
      <c r="A1085" s="3"/>
      <c r="B1085" s="3"/>
      <c r="C1085" s="3"/>
      <c r="D1085" s="3"/>
      <c r="E1085" s="3">
        <v>2</v>
      </c>
      <c r="F1085" s="4" t="str">
        <f>HYPERLINK("http://141.218.60.56/~jnz1568/getInfo.php?workbook=14_09.xlsx&amp;sheet=U0&amp;row=1085&amp;col=6&amp;number=3.1&amp;sourceID=14","3.1")</f>
        <v>3.1</v>
      </c>
      <c r="G1085" s="4" t="str">
        <f>HYPERLINK("http://141.218.60.56/~jnz1568/getInfo.php?workbook=14_09.xlsx&amp;sheet=U0&amp;row=1085&amp;col=7&amp;number=0.049&amp;sourceID=14","0.049")</f>
        <v>0.049</v>
      </c>
    </row>
    <row r="1086" spans="1:7">
      <c r="A1086" s="3"/>
      <c r="B1086" s="3"/>
      <c r="C1086" s="3"/>
      <c r="D1086" s="3"/>
      <c r="E1086" s="3">
        <v>3</v>
      </c>
      <c r="F1086" s="4" t="str">
        <f>HYPERLINK("http://141.218.60.56/~jnz1568/getInfo.php?workbook=14_09.xlsx&amp;sheet=U0&amp;row=1086&amp;col=6&amp;number=3.2&amp;sourceID=14","3.2")</f>
        <v>3.2</v>
      </c>
      <c r="G1086" s="4" t="str">
        <f>HYPERLINK("http://141.218.60.56/~jnz1568/getInfo.php?workbook=14_09.xlsx&amp;sheet=U0&amp;row=1086&amp;col=7&amp;number=0.0488&amp;sourceID=14","0.0488")</f>
        <v>0.0488</v>
      </c>
    </row>
    <row r="1087" spans="1:7">
      <c r="A1087" s="3"/>
      <c r="B1087" s="3"/>
      <c r="C1087" s="3"/>
      <c r="D1087" s="3"/>
      <c r="E1087" s="3">
        <v>4</v>
      </c>
      <c r="F1087" s="4" t="str">
        <f>HYPERLINK("http://141.218.60.56/~jnz1568/getInfo.php?workbook=14_09.xlsx&amp;sheet=U0&amp;row=1087&amp;col=6&amp;number=3.3&amp;sourceID=14","3.3")</f>
        <v>3.3</v>
      </c>
      <c r="G1087" s="4" t="str">
        <f>HYPERLINK("http://141.218.60.56/~jnz1568/getInfo.php?workbook=14_09.xlsx&amp;sheet=U0&amp;row=1087&amp;col=7&amp;number=0.0485&amp;sourceID=14","0.0485")</f>
        <v>0.0485</v>
      </c>
    </row>
    <row r="1088" spans="1:7">
      <c r="A1088" s="3"/>
      <c r="B1088" s="3"/>
      <c r="C1088" s="3"/>
      <c r="D1088" s="3"/>
      <c r="E1088" s="3">
        <v>5</v>
      </c>
      <c r="F1088" s="4" t="str">
        <f>HYPERLINK("http://141.218.60.56/~jnz1568/getInfo.php?workbook=14_09.xlsx&amp;sheet=U0&amp;row=1088&amp;col=6&amp;number=3.4&amp;sourceID=14","3.4")</f>
        <v>3.4</v>
      </c>
      <c r="G1088" s="4" t="str">
        <f>HYPERLINK("http://141.218.60.56/~jnz1568/getInfo.php?workbook=14_09.xlsx&amp;sheet=U0&amp;row=1088&amp;col=7&amp;number=0.0482&amp;sourceID=14","0.0482")</f>
        <v>0.0482</v>
      </c>
    </row>
    <row r="1089" spans="1:7">
      <c r="A1089" s="3"/>
      <c r="B1089" s="3"/>
      <c r="C1089" s="3"/>
      <c r="D1089" s="3"/>
      <c r="E1089" s="3">
        <v>6</v>
      </c>
      <c r="F1089" s="4" t="str">
        <f>HYPERLINK("http://141.218.60.56/~jnz1568/getInfo.php?workbook=14_09.xlsx&amp;sheet=U0&amp;row=1089&amp;col=6&amp;number=3.5&amp;sourceID=14","3.5")</f>
        <v>3.5</v>
      </c>
      <c r="G1089" s="4" t="str">
        <f>HYPERLINK("http://141.218.60.56/~jnz1568/getInfo.php?workbook=14_09.xlsx&amp;sheet=U0&amp;row=1089&amp;col=7&amp;number=0.0479&amp;sourceID=14","0.0479")</f>
        <v>0.0479</v>
      </c>
    </row>
    <row r="1090" spans="1:7">
      <c r="A1090" s="3"/>
      <c r="B1090" s="3"/>
      <c r="C1090" s="3"/>
      <c r="D1090" s="3"/>
      <c r="E1090" s="3">
        <v>7</v>
      </c>
      <c r="F1090" s="4" t="str">
        <f>HYPERLINK("http://141.218.60.56/~jnz1568/getInfo.php?workbook=14_09.xlsx&amp;sheet=U0&amp;row=1090&amp;col=6&amp;number=3.6&amp;sourceID=14","3.6")</f>
        <v>3.6</v>
      </c>
      <c r="G1090" s="4" t="str">
        <f>HYPERLINK("http://141.218.60.56/~jnz1568/getInfo.php?workbook=14_09.xlsx&amp;sheet=U0&amp;row=1090&amp;col=7&amp;number=0.0474&amp;sourceID=14","0.0474")</f>
        <v>0.0474</v>
      </c>
    </row>
    <row r="1091" spans="1:7">
      <c r="A1091" s="3"/>
      <c r="B1091" s="3"/>
      <c r="C1091" s="3"/>
      <c r="D1091" s="3"/>
      <c r="E1091" s="3">
        <v>8</v>
      </c>
      <c r="F1091" s="4" t="str">
        <f>HYPERLINK("http://141.218.60.56/~jnz1568/getInfo.php?workbook=14_09.xlsx&amp;sheet=U0&amp;row=1091&amp;col=6&amp;number=3.7&amp;sourceID=14","3.7")</f>
        <v>3.7</v>
      </c>
      <c r="G1091" s="4" t="str">
        <f>HYPERLINK("http://141.218.60.56/~jnz1568/getInfo.php?workbook=14_09.xlsx&amp;sheet=U0&amp;row=1091&amp;col=7&amp;number=0.0468&amp;sourceID=14","0.0468")</f>
        <v>0.0468</v>
      </c>
    </row>
    <row r="1092" spans="1:7">
      <c r="A1092" s="3"/>
      <c r="B1092" s="3"/>
      <c r="C1092" s="3"/>
      <c r="D1092" s="3"/>
      <c r="E1092" s="3">
        <v>9</v>
      </c>
      <c r="F1092" s="4" t="str">
        <f>HYPERLINK("http://141.218.60.56/~jnz1568/getInfo.php?workbook=14_09.xlsx&amp;sheet=U0&amp;row=1092&amp;col=6&amp;number=3.8&amp;sourceID=14","3.8")</f>
        <v>3.8</v>
      </c>
      <c r="G1092" s="4" t="str">
        <f>HYPERLINK("http://141.218.60.56/~jnz1568/getInfo.php?workbook=14_09.xlsx&amp;sheet=U0&amp;row=1092&amp;col=7&amp;number=0.0462&amp;sourceID=14","0.0462")</f>
        <v>0.0462</v>
      </c>
    </row>
    <row r="1093" spans="1:7">
      <c r="A1093" s="3"/>
      <c r="B1093" s="3"/>
      <c r="C1093" s="3"/>
      <c r="D1093" s="3"/>
      <c r="E1093" s="3">
        <v>10</v>
      </c>
      <c r="F1093" s="4" t="str">
        <f>HYPERLINK("http://141.218.60.56/~jnz1568/getInfo.php?workbook=14_09.xlsx&amp;sheet=U0&amp;row=1093&amp;col=6&amp;number=3.9&amp;sourceID=14","3.9")</f>
        <v>3.9</v>
      </c>
      <c r="G1093" s="4" t="str">
        <f>HYPERLINK("http://141.218.60.56/~jnz1568/getInfo.php?workbook=14_09.xlsx&amp;sheet=U0&amp;row=1093&amp;col=7&amp;number=0.0453&amp;sourceID=14","0.0453")</f>
        <v>0.0453</v>
      </c>
    </row>
    <row r="1094" spans="1:7">
      <c r="A1094" s="3"/>
      <c r="B1094" s="3"/>
      <c r="C1094" s="3"/>
      <c r="D1094" s="3"/>
      <c r="E1094" s="3">
        <v>11</v>
      </c>
      <c r="F1094" s="4" t="str">
        <f>HYPERLINK("http://141.218.60.56/~jnz1568/getInfo.php?workbook=14_09.xlsx&amp;sheet=U0&amp;row=1094&amp;col=6&amp;number=4&amp;sourceID=14","4")</f>
        <v>4</v>
      </c>
      <c r="G1094" s="4" t="str">
        <f>HYPERLINK("http://141.218.60.56/~jnz1568/getInfo.php?workbook=14_09.xlsx&amp;sheet=U0&amp;row=1094&amp;col=7&amp;number=0.0443&amp;sourceID=14","0.0443")</f>
        <v>0.0443</v>
      </c>
    </row>
    <row r="1095" spans="1:7">
      <c r="A1095" s="3"/>
      <c r="B1095" s="3"/>
      <c r="C1095" s="3"/>
      <c r="D1095" s="3"/>
      <c r="E1095" s="3">
        <v>12</v>
      </c>
      <c r="F1095" s="4" t="str">
        <f>HYPERLINK("http://141.218.60.56/~jnz1568/getInfo.php?workbook=14_09.xlsx&amp;sheet=U0&amp;row=1095&amp;col=6&amp;number=4.1&amp;sourceID=14","4.1")</f>
        <v>4.1</v>
      </c>
      <c r="G1095" s="4" t="str">
        <f>HYPERLINK("http://141.218.60.56/~jnz1568/getInfo.php?workbook=14_09.xlsx&amp;sheet=U0&amp;row=1095&amp;col=7&amp;number=0.0432&amp;sourceID=14","0.0432")</f>
        <v>0.0432</v>
      </c>
    </row>
    <row r="1096" spans="1:7">
      <c r="A1096" s="3"/>
      <c r="B1096" s="3"/>
      <c r="C1096" s="3"/>
      <c r="D1096" s="3"/>
      <c r="E1096" s="3">
        <v>13</v>
      </c>
      <c r="F1096" s="4" t="str">
        <f>HYPERLINK("http://141.218.60.56/~jnz1568/getInfo.php?workbook=14_09.xlsx&amp;sheet=U0&amp;row=1096&amp;col=6&amp;number=4.2&amp;sourceID=14","4.2")</f>
        <v>4.2</v>
      </c>
      <c r="G1096" s="4" t="str">
        <f>HYPERLINK("http://141.218.60.56/~jnz1568/getInfo.php?workbook=14_09.xlsx&amp;sheet=U0&amp;row=1096&amp;col=7&amp;number=0.042&amp;sourceID=14","0.042")</f>
        <v>0.042</v>
      </c>
    </row>
    <row r="1097" spans="1:7">
      <c r="A1097" s="3"/>
      <c r="B1097" s="3"/>
      <c r="C1097" s="3"/>
      <c r="D1097" s="3"/>
      <c r="E1097" s="3">
        <v>14</v>
      </c>
      <c r="F1097" s="4" t="str">
        <f>HYPERLINK("http://141.218.60.56/~jnz1568/getInfo.php?workbook=14_09.xlsx&amp;sheet=U0&amp;row=1097&amp;col=6&amp;number=4.3&amp;sourceID=14","4.3")</f>
        <v>4.3</v>
      </c>
      <c r="G1097" s="4" t="str">
        <f>HYPERLINK("http://141.218.60.56/~jnz1568/getInfo.php?workbook=14_09.xlsx&amp;sheet=U0&amp;row=1097&amp;col=7&amp;number=0.0407&amp;sourceID=14","0.0407")</f>
        <v>0.0407</v>
      </c>
    </row>
    <row r="1098" spans="1:7">
      <c r="A1098" s="3"/>
      <c r="B1098" s="3"/>
      <c r="C1098" s="3"/>
      <c r="D1098" s="3"/>
      <c r="E1098" s="3">
        <v>15</v>
      </c>
      <c r="F1098" s="4" t="str">
        <f>HYPERLINK("http://141.218.60.56/~jnz1568/getInfo.php?workbook=14_09.xlsx&amp;sheet=U0&amp;row=1098&amp;col=6&amp;number=4.4&amp;sourceID=14","4.4")</f>
        <v>4.4</v>
      </c>
      <c r="G1098" s="4" t="str">
        <f>HYPERLINK("http://141.218.60.56/~jnz1568/getInfo.php?workbook=14_09.xlsx&amp;sheet=U0&amp;row=1098&amp;col=7&amp;number=0.0396&amp;sourceID=14","0.0396")</f>
        <v>0.0396</v>
      </c>
    </row>
    <row r="1099" spans="1:7">
      <c r="A1099" s="3"/>
      <c r="B1099" s="3"/>
      <c r="C1099" s="3"/>
      <c r="D1099" s="3"/>
      <c r="E1099" s="3">
        <v>16</v>
      </c>
      <c r="F1099" s="4" t="str">
        <f>HYPERLINK("http://141.218.60.56/~jnz1568/getInfo.php?workbook=14_09.xlsx&amp;sheet=U0&amp;row=1099&amp;col=6&amp;number=4.5&amp;sourceID=14","4.5")</f>
        <v>4.5</v>
      </c>
      <c r="G1099" s="4" t="str">
        <f>HYPERLINK("http://141.218.60.56/~jnz1568/getInfo.php?workbook=14_09.xlsx&amp;sheet=U0&amp;row=1099&amp;col=7&amp;number=0.0391&amp;sourceID=14","0.0391")</f>
        <v>0.0391</v>
      </c>
    </row>
    <row r="1100" spans="1:7">
      <c r="A1100" s="3"/>
      <c r="B1100" s="3"/>
      <c r="C1100" s="3"/>
      <c r="D1100" s="3"/>
      <c r="E1100" s="3">
        <v>17</v>
      </c>
      <c r="F1100" s="4" t="str">
        <f>HYPERLINK("http://141.218.60.56/~jnz1568/getInfo.php?workbook=14_09.xlsx&amp;sheet=U0&amp;row=1100&amp;col=6&amp;number=4.6&amp;sourceID=14","4.6")</f>
        <v>4.6</v>
      </c>
      <c r="G1100" s="4" t="str">
        <f>HYPERLINK("http://141.218.60.56/~jnz1568/getInfo.php?workbook=14_09.xlsx&amp;sheet=U0&amp;row=1100&amp;col=7&amp;number=0.0393&amp;sourceID=14","0.0393")</f>
        <v>0.0393</v>
      </c>
    </row>
    <row r="1101" spans="1:7">
      <c r="A1101" s="3"/>
      <c r="B1101" s="3"/>
      <c r="C1101" s="3"/>
      <c r="D1101" s="3"/>
      <c r="E1101" s="3">
        <v>18</v>
      </c>
      <c r="F1101" s="4" t="str">
        <f>HYPERLINK("http://141.218.60.56/~jnz1568/getInfo.php?workbook=14_09.xlsx&amp;sheet=U0&amp;row=1101&amp;col=6&amp;number=4.7&amp;sourceID=14","4.7")</f>
        <v>4.7</v>
      </c>
      <c r="G1101" s="4" t="str">
        <f>HYPERLINK("http://141.218.60.56/~jnz1568/getInfo.php?workbook=14_09.xlsx&amp;sheet=U0&amp;row=1101&amp;col=7&amp;number=0.04&amp;sourceID=14","0.04")</f>
        <v>0.04</v>
      </c>
    </row>
    <row r="1102" spans="1:7">
      <c r="A1102" s="3"/>
      <c r="B1102" s="3"/>
      <c r="C1102" s="3"/>
      <c r="D1102" s="3"/>
      <c r="E1102" s="3">
        <v>19</v>
      </c>
      <c r="F1102" s="4" t="str">
        <f>HYPERLINK("http://141.218.60.56/~jnz1568/getInfo.php?workbook=14_09.xlsx&amp;sheet=U0&amp;row=1102&amp;col=6&amp;number=4.8&amp;sourceID=14","4.8")</f>
        <v>4.8</v>
      </c>
      <c r="G1102" s="4" t="str">
        <f>HYPERLINK("http://141.218.60.56/~jnz1568/getInfo.php?workbook=14_09.xlsx&amp;sheet=U0&amp;row=1102&amp;col=7&amp;number=0.0408&amp;sourceID=14","0.0408")</f>
        <v>0.0408</v>
      </c>
    </row>
    <row r="1103" spans="1:7">
      <c r="A1103" s="3"/>
      <c r="B1103" s="3"/>
      <c r="C1103" s="3"/>
      <c r="D1103" s="3"/>
      <c r="E1103" s="3">
        <v>20</v>
      </c>
      <c r="F1103" s="4" t="str">
        <f>HYPERLINK("http://141.218.60.56/~jnz1568/getInfo.php?workbook=14_09.xlsx&amp;sheet=U0&amp;row=1103&amp;col=6&amp;number=4.9&amp;sourceID=14","4.9")</f>
        <v>4.9</v>
      </c>
      <c r="G1103" s="4" t="str">
        <f>HYPERLINK("http://141.218.60.56/~jnz1568/getInfo.php?workbook=14_09.xlsx&amp;sheet=U0&amp;row=1103&amp;col=7&amp;number=0.041&amp;sourceID=14","0.041")</f>
        <v>0.041</v>
      </c>
    </row>
    <row r="1104" spans="1:7">
      <c r="A1104" s="3">
        <v>14</v>
      </c>
      <c r="B1104" s="3">
        <v>9</v>
      </c>
      <c r="C1104" s="3">
        <v>1</v>
      </c>
      <c r="D1104" s="3">
        <v>57</v>
      </c>
      <c r="E1104" s="3">
        <v>1</v>
      </c>
      <c r="F1104" s="4" t="str">
        <f>HYPERLINK("http://141.218.60.56/~jnz1568/getInfo.php?workbook=14_09.xlsx&amp;sheet=U0&amp;row=1104&amp;col=6&amp;number=3&amp;sourceID=14","3")</f>
        <v>3</v>
      </c>
      <c r="G1104" s="4" t="str">
        <f>HYPERLINK("http://141.218.60.56/~jnz1568/getInfo.php?workbook=14_09.xlsx&amp;sheet=U0&amp;row=1104&amp;col=7&amp;number=0.147&amp;sourceID=14","0.147")</f>
        <v>0.147</v>
      </c>
    </row>
    <row r="1105" spans="1:7">
      <c r="A1105" s="3"/>
      <c r="B1105" s="3"/>
      <c r="C1105" s="3"/>
      <c r="D1105" s="3"/>
      <c r="E1105" s="3">
        <v>2</v>
      </c>
      <c r="F1105" s="4" t="str">
        <f>HYPERLINK("http://141.218.60.56/~jnz1568/getInfo.php?workbook=14_09.xlsx&amp;sheet=U0&amp;row=1105&amp;col=6&amp;number=3.1&amp;sourceID=14","3.1")</f>
        <v>3.1</v>
      </c>
      <c r="G1105" s="4" t="str">
        <f>HYPERLINK("http://141.218.60.56/~jnz1568/getInfo.php?workbook=14_09.xlsx&amp;sheet=U0&amp;row=1105&amp;col=7&amp;number=0.147&amp;sourceID=14","0.147")</f>
        <v>0.147</v>
      </c>
    </row>
    <row r="1106" spans="1:7">
      <c r="A1106" s="3"/>
      <c r="B1106" s="3"/>
      <c r="C1106" s="3"/>
      <c r="D1106" s="3"/>
      <c r="E1106" s="3">
        <v>3</v>
      </c>
      <c r="F1106" s="4" t="str">
        <f>HYPERLINK("http://141.218.60.56/~jnz1568/getInfo.php?workbook=14_09.xlsx&amp;sheet=U0&amp;row=1106&amp;col=6&amp;number=3.2&amp;sourceID=14","3.2")</f>
        <v>3.2</v>
      </c>
      <c r="G1106" s="4" t="str">
        <f>HYPERLINK("http://141.218.60.56/~jnz1568/getInfo.php?workbook=14_09.xlsx&amp;sheet=U0&amp;row=1106&amp;col=7&amp;number=0.147&amp;sourceID=14","0.147")</f>
        <v>0.147</v>
      </c>
    </row>
    <row r="1107" spans="1:7">
      <c r="A1107" s="3"/>
      <c r="B1107" s="3"/>
      <c r="C1107" s="3"/>
      <c r="D1107" s="3"/>
      <c r="E1107" s="3">
        <v>4</v>
      </c>
      <c r="F1107" s="4" t="str">
        <f>HYPERLINK("http://141.218.60.56/~jnz1568/getInfo.php?workbook=14_09.xlsx&amp;sheet=U0&amp;row=1107&amp;col=6&amp;number=3.3&amp;sourceID=14","3.3")</f>
        <v>3.3</v>
      </c>
      <c r="G1107" s="4" t="str">
        <f>HYPERLINK("http://141.218.60.56/~jnz1568/getInfo.php?workbook=14_09.xlsx&amp;sheet=U0&amp;row=1107&amp;col=7&amp;number=0.147&amp;sourceID=14","0.147")</f>
        <v>0.147</v>
      </c>
    </row>
    <row r="1108" spans="1:7">
      <c r="A1108" s="3"/>
      <c r="B1108" s="3"/>
      <c r="C1108" s="3"/>
      <c r="D1108" s="3"/>
      <c r="E1108" s="3">
        <v>5</v>
      </c>
      <c r="F1108" s="4" t="str">
        <f>HYPERLINK("http://141.218.60.56/~jnz1568/getInfo.php?workbook=14_09.xlsx&amp;sheet=U0&amp;row=1108&amp;col=6&amp;number=3.4&amp;sourceID=14","3.4")</f>
        <v>3.4</v>
      </c>
      <c r="G1108" s="4" t="str">
        <f>HYPERLINK("http://141.218.60.56/~jnz1568/getInfo.php?workbook=14_09.xlsx&amp;sheet=U0&amp;row=1108&amp;col=7&amp;number=0.147&amp;sourceID=14","0.147")</f>
        <v>0.147</v>
      </c>
    </row>
    <row r="1109" spans="1:7">
      <c r="A1109" s="3"/>
      <c r="B1109" s="3"/>
      <c r="C1109" s="3"/>
      <c r="D1109" s="3"/>
      <c r="E1109" s="3">
        <v>6</v>
      </c>
      <c r="F1109" s="4" t="str">
        <f>HYPERLINK("http://141.218.60.56/~jnz1568/getInfo.php?workbook=14_09.xlsx&amp;sheet=U0&amp;row=1109&amp;col=6&amp;number=3.5&amp;sourceID=14","3.5")</f>
        <v>3.5</v>
      </c>
      <c r="G1109" s="4" t="str">
        <f>HYPERLINK("http://141.218.60.56/~jnz1568/getInfo.php?workbook=14_09.xlsx&amp;sheet=U0&amp;row=1109&amp;col=7&amp;number=0.148&amp;sourceID=14","0.148")</f>
        <v>0.148</v>
      </c>
    </row>
    <row r="1110" spans="1:7">
      <c r="A1110" s="3"/>
      <c r="B1110" s="3"/>
      <c r="C1110" s="3"/>
      <c r="D1110" s="3"/>
      <c r="E1110" s="3">
        <v>7</v>
      </c>
      <c r="F1110" s="4" t="str">
        <f>HYPERLINK("http://141.218.60.56/~jnz1568/getInfo.php?workbook=14_09.xlsx&amp;sheet=U0&amp;row=1110&amp;col=6&amp;number=3.6&amp;sourceID=14","3.6")</f>
        <v>3.6</v>
      </c>
      <c r="G1110" s="4" t="str">
        <f>HYPERLINK("http://141.218.60.56/~jnz1568/getInfo.php?workbook=14_09.xlsx&amp;sheet=U0&amp;row=1110&amp;col=7&amp;number=0.148&amp;sourceID=14","0.148")</f>
        <v>0.148</v>
      </c>
    </row>
    <row r="1111" spans="1:7">
      <c r="A1111" s="3"/>
      <c r="B1111" s="3"/>
      <c r="C1111" s="3"/>
      <c r="D1111" s="3"/>
      <c r="E1111" s="3">
        <v>8</v>
      </c>
      <c r="F1111" s="4" t="str">
        <f>HYPERLINK("http://141.218.60.56/~jnz1568/getInfo.php?workbook=14_09.xlsx&amp;sheet=U0&amp;row=1111&amp;col=6&amp;number=3.7&amp;sourceID=14","3.7")</f>
        <v>3.7</v>
      </c>
      <c r="G1111" s="4" t="str">
        <f>HYPERLINK("http://141.218.60.56/~jnz1568/getInfo.php?workbook=14_09.xlsx&amp;sheet=U0&amp;row=1111&amp;col=7&amp;number=0.148&amp;sourceID=14","0.148")</f>
        <v>0.148</v>
      </c>
    </row>
    <row r="1112" spans="1:7">
      <c r="A1112" s="3"/>
      <c r="B1112" s="3"/>
      <c r="C1112" s="3"/>
      <c r="D1112" s="3"/>
      <c r="E1112" s="3">
        <v>9</v>
      </c>
      <c r="F1112" s="4" t="str">
        <f>HYPERLINK("http://141.218.60.56/~jnz1568/getInfo.php?workbook=14_09.xlsx&amp;sheet=U0&amp;row=1112&amp;col=6&amp;number=3.8&amp;sourceID=14","3.8")</f>
        <v>3.8</v>
      </c>
      <c r="G1112" s="4" t="str">
        <f>HYPERLINK("http://141.218.60.56/~jnz1568/getInfo.php?workbook=14_09.xlsx&amp;sheet=U0&amp;row=1112&amp;col=7&amp;number=0.148&amp;sourceID=14","0.148")</f>
        <v>0.148</v>
      </c>
    </row>
    <row r="1113" spans="1:7">
      <c r="A1113" s="3"/>
      <c r="B1113" s="3"/>
      <c r="C1113" s="3"/>
      <c r="D1113" s="3"/>
      <c r="E1113" s="3">
        <v>10</v>
      </c>
      <c r="F1113" s="4" t="str">
        <f>HYPERLINK("http://141.218.60.56/~jnz1568/getInfo.php?workbook=14_09.xlsx&amp;sheet=U0&amp;row=1113&amp;col=6&amp;number=3.9&amp;sourceID=14","3.9")</f>
        <v>3.9</v>
      </c>
      <c r="G1113" s="4" t="str">
        <f>HYPERLINK("http://141.218.60.56/~jnz1568/getInfo.php?workbook=14_09.xlsx&amp;sheet=U0&amp;row=1113&amp;col=7&amp;number=0.149&amp;sourceID=14","0.149")</f>
        <v>0.149</v>
      </c>
    </row>
    <row r="1114" spans="1:7">
      <c r="A1114" s="3"/>
      <c r="B1114" s="3"/>
      <c r="C1114" s="3"/>
      <c r="D1114" s="3"/>
      <c r="E1114" s="3">
        <v>11</v>
      </c>
      <c r="F1114" s="4" t="str">
        <f>HYPERLINK("http://141.218.60.56/~jnz1568/getInfo.php?workbook=14_09.xlsx&amp;sheet=U0&amp;row=1114&amp;col=6&amp;number=4&amp;sourceID=14","4")</f>
        <v>4</v>
      </c>
      <c r="G1114" s="4" t="str">
        <f>HYPERLINK("http://141.218.60.56/~jnz1568/getInfo.php?workbook=14_09.xlsx&amp;sheet=U0&amp;row=1114&amp;col=7&amp;number=0.149&amp;sourceID=14","0.149")</f>
        <v>0.149</v>
      </c>
    </row>
    <row r="1115" spans="1:7">
      <c r="A1115" s="3"/>
      <c r="B1115" s="3"/>
      <c r="C1115" s="3"/>
      <c r="D1115" s="3"/>
      <c r="E1115" s="3">
        <v>12</v>
      </c>
      <c r="F1115" s="4" t="str">
        <f>HYPERLINK("http://141.218.60.56/~jnz1568/getInfo.php?workbook=14_09.xlsx&amp;sheet=U0&amp;row=1115&amp;col=6&amp;number=4.1&amp;sourceID=14","4.1")</f>
        <v>4.1</v>
      </c>
      <c r="G1115" s="4" t="str">
        <f>HYPERLINK("http://141.218.60.56/~jnz1568/getInfo.php?workbook=14_09.xlsx&amp;sheet=U0&amp;row=1115&amp;col=7&amp;number=0.149&amp;sourceID=14","0.149")</f>
        <v>0.149</v>
      </c>
    </row>
    <row r="1116" spans="1:7">
      <c r="A1116" s="3"/>
      <c r="B1116" s="3"/>
      <c r="C1116" s="3"/>
      <c r="D1116" s="3"/>
      <c r="E1116" s="3">
        <v>13</v>
      </c>
      <c r="F1116" s="4" t="str">
        <f>HYPERLINK("http://141.218.60.56/~jnz1568/getInfo.php?workbook=14_09.xlsx&amp;sheet=U0&amp;row=1116&amp;col=6&amp;number=4.2&amp;sourceID=14","4.2")</f>
        <v>4.2</v>
      </c>
      <c r="G1116" s="4" t="str">
        <f>HYPERLINK("http://141.218.60.56/~jnz1568/getInfo.php?workbook=14_09.xlsx&amp;sheet=U0&amp;row=1116&amp;col=7&amp;number=0.15&amp;sourceID=14","0.15")</f>
        <v>0.15</v>
      </c>
    </row>
    <row r="1117" spans="1:7">
      <c r="A1117" s="3"/>
      <c r="B1117" s="3"/>
      <c r="C1117" s="3"/>
      <c r="D1117" s="3"/>
      <c r="E1117" s="3">
        <v>14</v>
      </c>
      <c r="F1117" s="4" t="str">
        <f>HYPERLINK("http://141.218.60.56/~jnz1568/getInfo.php?workbook=14_09.xlsx&amp;sheet=U0&amp;row=1117&amp;col=6&amp;number=4.3&amp;sourceID=14","4.3")</f>
        <v>4.3</v>
      </c>
      <c r="G1117" s="4" t="str">
        <f>HYPERLINK("http://141.218.60.56/~jnz1568/getInfo.php?workbook=14_09.xlsx&amp;sheet=U0&amp;row=1117&amp;col=7&amp;number=0.151&amp;sourceID=14","0.151")</f>
        <v>0.151</v>
      </c>
    </row>
    <row r="1118" spans="1:7">
      <c r="A1118" s="3"/>
      <c r="B1118" s="3"/>
      <c r="C1118" s="3"/>
      <c r="D1118" s="3"/>
      <c r="E1118" s="3">
        <v>15</v>
      </c>
      <c r="F1118" s="4" t="str">
        <f>HYPERLINK("http://141.218.60.56/~jnz1568/getInfo.php?workbook=14_09.xlsx&amp;sheet=U0&amp;row=1118&amp;col=6&amp;number=4.4&amp;sourceID=14","4.4")</f>
        <v>4.4</v>
      </c>
      <c r="G1118" s="4" t="str">
        <f>HYPERLINK("http://141.218.60.56/~jnz1568/getInfo.php?workbook=14_09.xlsx&amp;sheet=U0&amp;row=1118&amp;col=7&amp;number=0.152&amp;sourceID=14","0.152")</f>
        <v>0.152</v>
      </c>
    </row>
    <row r="1119" spans="1:7">
      <c r="A1119" s="3"/>
      <c r="B1119" s="3"/>
      <c r="C1119" s="3"/>
      <c r="D1119" s="3"/>
      <c r="E1119" s="3">
        <v>16</v>
      </c>
      <c r="F1119" s="4" t="str">
        <f>HYPERLINK("http://141.218.60.56/~jnz1568/getInfo.php?workbook=14_09.xlsx&amp;sheet=U0&amp;row=1119&amp;col=6&amp;number=4.5&amp;sourceID=14","4.5")</f>
        <v>4.5</v>
      </c>
      <c r="G1119" s="4" t="str">
        <f>HYPERLINK("http://141.218.60.56/~jnz1568/getInfo.php?workbook=14_09.xlsx&amp;sheet=U0&amp;row=1119&amp;col=7&amp;number=0.153&amp;sourceID=14","0.153")</f>
        <v>0.153</v>
      </c>
    </row>
    <row r="1120" spans="1:7">
      <c r="A1120" s="3"/>
      <c r="B1120" s="3"/>
      <c r="C1120" s="3"/>
      <c r="D1120" s="3"/>
      <c r="E1120" s="3">
        <v>17</v>
      </c>
      <c r="F1120" s="4" t="str">
        <f>HYPERLINK("http://141.218.60.56/~jnz1568/getInfo.php?workbook=14_09.xlsx&amp;sheet=U0&amp;row=1120&amp;col=6&amp;number=4.6&amp;sourceID=14","4.6")</f>
        <v>4.6</v>
      </c>
      <c r="G1120" s="4" t="str">
        <f>HYPERLINK("http://141.218.60.56/~jnz1568/getInfo.php?workbook=14_09.xlsx&amp;sheet=U0&amp;row=1120&amp;col=7&amp;number=0.154&amp;sourceID=14","0.154")</f>
        <v>0.154</v>
      </c>
    </row>
    <row r="1121" spans="1:7">
      <c r="A1121" s="3"/>
      <c r="B1121" s="3"/>
      <c r="C1121" s="3"/>
      <c r="D1121" s="3"/>
      <c r="E1121" s="3">
        <v>18</v>
      </c>
      <c r="F1121" s="4" t="str">
        <f>HYPERLINK("http://141.218.60.56/~jnz1568/getInfo.php?workbook=14_09.xlsx&amp;sheet=U0&amp;row=1121&amp;col=6&amp;number=4.7&amp;sourceID=14","4.7")</f>
        <v>4.7</v>
      </c>
      <c r="G1121" s="4" t="str">
        <f>HYPERLINK("http://141.218.60.56/~jnz1568/getInfo.php?workbook=14_09.xlsx&amp;sheet=U0&amp;row=1121&amp;col=7&amp;number=0.156&amp;sourceID=14","0.156")</f>
        <v>0.156</v>
      </c>
    </row>
    <row r="1122" spans="1:7">
      <c r="A1122" s="3"/>
      <c r="B1122" s="3"/>
      <c r="C1122" s="3"/>
      <c r="D1122" s="3"/>
      <c r="E1122" s="3">
        <v>19</v>
      </c>
      <c r="F1122" s="4" t="str">
        <f>HYPERLINK("http://141.218.60.56/~jnz1568/getInfo.php?workbook=14_09.xlsx&amp;sheet=U0&amp;row=1122&amp;col=6&amp;number=4.8&amp;sourceID=14","4.8")</f>
        <v>4.8</v>
      </c>
      <c r="G1122" s="4" t="str">
        <f>HYPERLINK("http://141.218.60.56/~jnz1568/getInfo.php?workbook=14_09.xlsx&amp;sheet=U0&amp;row=1122&amp;col=7&amp;number=0.158&amp;sourceID=14","0.158")</f>
        <v>0.158</v>
      </c>
    </row>
    <row r="1123" spans="1:7">
      <c r="A1123" s="3"/>
      <c r="B1123" s="3"/>
      <c r="C1123" s="3"/>
      <c r="D1123" s="3"/>
      <c r="E1123" s="3">
        <v>20</v>
      </c>
      <c r="F1123" s="4" t="str">
        <f>HYPERLINK("http://141.218.60.56/~jnz1568/getInfo.php?workbook=14_09.xlsx&amp;sheet=U0&amp;row=1123&amp;col=6&amp;number=4.9&amp;sourceID=14","4.9")</f>
        <v>4.9</v>
      </c>
      <c r="G1123" s="4" t="str">
        <f>HYPERLINK("http://141.218.60.56/~jnz1568/getInfo.php?workbook=14_09.xlsx&amp;sheet=U0&amp;row=1123&amp;col=7&amp;number=0.161&amp;sourceID=14","0.161")</f>
        <v>0.161</v>
      </c>
    </row>
    <row r="1124" spans="1:7">
      <c r="A1124" s="3">
        <v>14</v>
      </c>
      <c r="B1124" s="3">
        <v>9</v>
      </c>
      <c r="C1124" s="3">
        <v>1</v>
      </c>
      <c r="D1124" s="3">
        <v>58</v>
      </c>
      <c r="E1124" s="3">
        <v>1</v>
      </c>
      <c r="F1124" s="4" t="str">
        <f>HYPERLINK("http://141.218.60.56/~jnz1568/getInfo.php?workbook=14_09.xlsx&amp;sheet=U0&amp;row=1124&amp;col=6&amp;number=3&amp;sourceID=14","3")</f>
        <v>3</v>
      </c>
      <c r="G1124" s="4" t="str">
        <f>HYPERLINK("http://141.218.60.56/~jnz1568/getInfo.php?workbook=14_09.xlsx&amp;sheet=U0&amp;row=1124&amp;col=7&amp;number=0.0419&amp;sourceID=14","0.0419")</f>
        <v>0.0419</v>
      </c>
    </row>
    <row r="1125" spans="1:7">
      <c r="A1125" s="3"/>
      <c r="B1125" s="3"/>
      <c r="C1125" s="3"/>
      <c r="D1125" s="3"/>
      <c r="E1125" s="3">
        <v>2</v>
      </c>
      <c r="F1125" s="4" t="str">
        <f>HYPERLINK("http://141.218.60.56/~jnz1568/getInfo.php?workbook=14_09.xlsx&amp;sheet=U0&amp;row=1125&amp;col=6&amp;number=3.1&amp;sourceID=14","3.1")</f>
        <v>3.1</v>
      </c>
      <c r="G1125" s="4" t="str">
        <f>HYPERLINK("http://141.218.60.56/~jnz1568/getInfo.php?workbook=14_09.xlsx&amp;sheet=U0&amp;row=1125&amp;col=7&amp;number=0.042&amp;sourceID=14","0.042")</f>
        <v>0.042</v>
      </c>
    </row>
    <row r="1126" spans="1:7">
      <c r="A1126" s="3"/>
      <c r="B1126" s="3"/>
      <c r="C1126" s="3"/>
      <c r="D1126" s="3"/>
      <c r="E1126" s="3">
        <v>3</v>
      </c>
      <c r="F1126" s="4" t="str">
        <f>HYPERLINK("http://141.218.60.56/~jnz1568/getInfo.php?workbook=14_09.xlsx&amp;sheet=U0&amp;row=1126&amp;col=6&amp;number=3.2&amp;sourceID=14","3.2")</f>
        <v>3.2</v>
      </c>
      <c r="G1126" s="4" t="str">
        <f>HYPERLINK("http://141.218.60.56/~jnz1568/getInfo.php?workbook=14_09.xlsx&amp;sheet=U0&amp;row=1126&amp;col=7&amp;number=0.042&amp;sourceID=14","0.042")</f>
        <v>0.042</v>
      </c>
    </row>
    <row r="1127" spans="1:7">
      <c r="A1127" s="3"/>
      <c r="B1127" s="3"/>
      <c r="C1127" s="3"/>
      <c r="D1127" s="3"/>
      <c r="E1127" s="3">
        <v>4</v>
      </c>
      <c r="F1127" s="4" t="str">
        <f>HYPERLINK("http://141.218.60.56/~jnz1568/getInfo.php?workbook=14_09.xlsx&amp;sheet=U0&amp;row=1127&amp;col=6&amp;number=3.3&amp;sourceID=14","3.3")</f>
        <v>3.3</v>
      </c>
      <c r="G1127" s="4" t="str">
        <f>HYPERLINK("http://141.218.60.56/~jnz1568/getInfo.php?workbook=14_09.xlsx&amp;sheet=U0&amp;row=1127&amp;col=7&amp;number=0.042&amp;sourceID=14","0.042")</f>
        <v>0.042</v>
      </c>
    </row>
    <row r="1128" spans="1:7">
      <c r="A1128" s="3"/>
      <c r="B1128" s="3"/>
      <c r="C1128" s="3"/>
      <c r="D1128" s="3"/>
      <c r="E1128" s="3">
        <v>5</v>
      </c>
      <c r="F1128" s="4" t="str">
        <f>HYPERLINK("http://141.218.60.56/~jnz1568/getInfo.php?workbook=14_09.xlsx&amp;sheet=U0&amp;row=1128&amp;col=6&amp;number=3.4&amp;sourceID=14","3.4")</f>
        <v>3.4</v>
      </c>
      <c r="G1128" s="4" t="str">
        <f>HYPERLINK("http://141.218.60.56/~jnz1568/getInfo.php?workbook=14_09.xlsx&amp;sheet=U0&amp;row=1128&amp;col=7&amp;number=0.042&amp;sourceID=14","0.042")</f>
        <v>0.042</v>
      </c>
    </row>
    <row r="1129" spans="1:7">
      <c r="A1129" s="3"/>
      <c r="B1129" s="3"/>
      <c r="C1129" s="3"/>
      <c r="D1129" s="3"/>
      <c r="E1129" s="3">
        <v>6</v>
      </c>
      <c r="F1129" s="4" t="str">
        <f>HYPERLINK("http://141.218.60.56/~jnz1568/getInfo.php?workbook=14_09.xlsx&amp;sheet=U0&amp;row=1129&amp;col=6&amp;number=3.5&amp;sourceID=14","3.5")</f>
        <v>3.5</v>
      </c>
      <c r="G1129" s="4" t="str">
        <f>HYPERLINK("http://141.218.60.56/~jnz1568/getInfo.php?workbook=14_09.xlsx&amp;sheet=U0&amp;row=1129&amp;col=7&amp;number=0.042&amp;sourceID=14","0.042")</f>
        <v>0.042</v>
      </c>
    </row>
    <row r="1130" spans="1:7">
      <c r="A1130" s="3"/>
      <c r="B1130" s="3"/>
      <c r="C1130" s="3"/>
      <c r="D1130" s="3"/>
      <c r="E1130" s="3">
        <v>7</v>
      </c>
      <c r="F1130" s="4" t="str">
        <f>HYPERLINK("http://141.218.60.56/~jnz1568/getInfo.php?workbook=14_09.xlsx&amp;sheet=U0&amp;row=1130&amp;col=6&amp;number=3.6&amp;sourceID=14","3.6")</f>
        <v>3.6</v>
      </c>
      <c r="G1130" s="4" t="str">
        <f>HYPERLINK("http://141.218.60.56/~jnz1568/getInfo.php?workbook=14_09.xlsx&amp;sheet=U0&amp;row=1130&amp;col=7&amp;number=0.0421&amp;sourceID=14","0.0421")</f>
        <v>0.0421</v>
      </c>
    </row>
    <row r="1131" spans="1:7">
      <c r="A1131" s="3"/>
      <c r="B1131" s="3"/>
      <c r="C1131" s="3"/>
      <c r="D1131" s="3"/>
      <c r="E1131" s="3">
        <v>8</v>
      </c>
      <c r="F1131" s="4" t="str">
        <f>HYPERLINK("http://141.218.60.56/~jnz1568/getInfo.php?workbook=14_09.xlsx&amp;sheet=U0&amp;row=1131&amp;col=6&amp;number=3.7&amp;sourceID=14","3.7")</f>
        <v>3.7</v>
      </c>
      <c r="G1131" s="4" t="str">
        <f>HYPERLINK("http://141.218.60.56/~jnz1568/getInfo.php?workbook=14_09.xlsx&amp;sheet=U0&amp;row=1131&amp;col=7&amp;number=0.0421&amp;sourceID=14","0.0421")</f>
        <v>0.0421</v>
      </c>
    </row>
    <row r="1132" spans="1:7">
      <c r="A1132" s="3"/>
      <c r="B1132" s="3"/>
      <c r="C1132" s="3"/>
      <c r="D1132" s="3"/>
      <c r="E1132" s="3">
        <v>9</v>
      </c>
      <c r="F1132" s="4" t="str">
        <f>HYPERLINK("http://141.218.60.56/~jnz1568/getInfo.php?workbook=14_09.xlsx&amp;sheet=U0&amp;row=1132&amp;col=6&amp;number=3.8&amp;sourceID=14","3.8")</f>
        <v>3.8</v>
      </c>
      <c r="G1132" s="4" t="str">
        <f>HYPERLINK("http://141.218.60.56/~jnz1568/getInfo.php?workbook=14_09.xlsx&amp;sheet=U0&amp;row=1132&amp;col=7&amp;number=0.0422&amp;sourceID=14","0.0422")</f>
        <v>0.0422</v>
      </c>
    </row>
    <row r="1133" spans="1:7">
      <c r="A1133" s="3"/>
      <c r="B1133" s="3"/>
      <c r="C1133" s="3"/>
      <c r="D1133" s="3"/>
      <c r="E1133" s="3">
        <v>10</v>
      </c>
      <c r="F1133" s="4" t="str">
        <f>HYPERLINK("http://141.218.60.56/~jnz1568/getInfo.php?workbook=14_09.xlsx&amp;sheet=U0&amp;row=1133&amp;col=6&amp;number=3.9&amp;sourceID=14","3.9")</f>
        <v>3.9</v>
      </c>
      <c r="G1133" s="4" t="str">
        <f>HYPERLINK("http://141.218.60.56/~jnz1568/getInfo.php?workbook=14_09.xlsx&amp;sheet=U0&amp;row=1133&amp;col=7&amp;number=0.0422&amp;sourceID=14","0.0422")</f>
        <v>0.0422</v>
      </c>
    </row>
    <row r="1134" spans="1:7">
      <c r="A1134" s="3"/>
      <c r="B1134" s="3"/>
      <c r="C1134" s="3"/>
      <c r="D1134" s="3"/>
      <c r="E1134" s="3">
        <v>11</v>
      </c>
      <c r="F1134" s="4" t="str">
        <f>HYPERLINK("http://141.218.60.56/~jnz1568/getInfo.php?workbook=14_09.xlsx&amp;sheet=U0&amp;row=1134&amp;col=6&amp;number=4&amp;sourceID=14","4")</f>
        <v>4</v>
      </c>
      <c r="G1134" s="4" t="str">
        <f>HYPERLINK("http://141.218.60.56/~jnz1568/getInfo.php?workbook=14_09.xlsx&amp;sheet=U0&amp;row=1134&amp;col=7&amp;number=0.0423&amp;sourceID=14","0.0423")</f>
        <v>0.0423</v>
      </c>
    </row>
    <row r="1135" spans="1:7">
      <c r="A1135" s="3"/>
      <c r="B1135" s="3"/>
      <c r="C1135" s="3"/>
      <c r="D1135" s="3"/>
      <c r="E1135" s="3">
        <v>12</v>
      </c>
      <c r="F1135" s="4" t="str">
        <f>HYPERLINK("http://141.218.60.56/~jnz1568/getInfo.php?workbook=14_09.xlsx&amp;sheet=U0&amp;row=1135&amp;col=6&amp;number=4.1&amp;sourceID=14","4.1")</f>
        <v>4.1</v>
      </c>
      <c r="G1135" s="4" t="str">
        <f>HYPERLINK("http://141.218.60.56/~jnz1568/getInfo.php?workbook=14_09.xlsx&amp;sheet=U0&amp;row=1135&amp;col=7&amp;number=0.0424&amp;sourceID=14","0.0424")</f>
        <v>0.0424</v>
      </c>
    </row>
    <row r="1136" spans="1:7">
      <c r="A1136" s="3"/>
      <c r="B1136" s="3"/>
      <c r="C1136" s="3"/>
      <c r="D1136" s="3"/>
      <c r="E1136" s="3">
        <v>13</v>
      </c>
      <c r="F1136" s="4" t="str">
        <f>HYPERLINK("http://141.218.60.56/~jnz1568/getInfo.php?workbook=14_09.xlsx&amp;sheet=U0&amp;row=1136&amp;col=6&amp;number=4.2&amp;sourceID=14","4.2")</f>
        <v>4.2</v>
      </c>
      <c r="G1136" s="4" t="str">
        <f>HYPERLINK("http://141.218.60.56/~jnz1568/getInfo.php?workbook=14_09.xlsx&amp;sheet=U0&amp;row=1136&amp;col=7&amp;number=0.0425&amp;sourceID=14","0.0425")</f>
        <v>0.0425</v>
      </c>
    </row>
    <row r="1137" spans="1:7">
      <c r="A1137" s="3"/>
      <c r="B1137" s="3"/>
      <c r="C1137" s="3"/>
      <c r="D1137" s="3"/>
      <c r="E1137" s="3">
        <v>14</v>
      </c>
      <c r="F1137" s="4" t="str">
        <f>HYPERLINK("http://141.218.60.56/~jnz1568/getInfo.php?workbook=14_09.xlsx&amp;sheet=U0&amp;row=1137&amp;col=6&amp;number=4.3&amp;sourceID=14","4.3")</f>
        <v>4.3</v>
      </c>
      <c r="G1137" s="4" t="str">
        <f>HYPERLINK("http://141.218.60.56/~jnz1568/getInfo.php?workbook=14_09.xlsx&amp;sheet=U0&amp;row=1137&amp;col=7&amp;number=0.0427&amp;sourceID=14","0.0427")</f>
        <v>0.0427</v>
      </c>
    </row>
    <row r="1138" spans="1:7">
      <c r="A1138" s="3"/>
      <c r="B1138" s="3"/>
      <c r="C1138" s="3"/>
      <c r="D1138" s="3"/>
      <c r="E1138" s="3">
        <v>15</v>
      </c>
      <c r="F1138" s="4" t="str">
        <f>HYPERLINK("http://141.218.60.56/~jnz1568/getInfo.php?workbook=14_09.xlsx&amp;sheet=U0&amp;row=1138&amp;col=6&amp;number=4.4&amp;sourceID=14","4.4")</f>
        <v>4.4</v>
      </c>
      <c r="G1138" s="4" t="str">
        <f>HYPERLINK("http://141.218.60.56/~jnz1568/getInfo.php?workbook=14_09.xlsx&amp;sheet=U0&amp;row=1138&amp;col=7&amp;number=0.0429&amp;sourceID=14","0.0429")</f>
        <v>0.0429</v>
      </c>
    </row>
    <row r="1139" spans="1:7">
      <c r="A1139" s="3"/>
      <c r="B1139" s="3"/>
      <c r="C1139" s="3"/>
      <c r="D1139" s="3"/>
      <c r="E1139" s="3">
        <v>16</v>
      </c>
      <c r="F1139" s="4" t="str">
        <f>HYPERLINK("http://141.218.60.56/~jnz1568/getInfo.php?workbook=14_09.xlsx&amp;sheet=U0&amp;row=1139&amp;col=6&amp;number=4.5&amp;sourceID=14","4.5")</f>
        <v>4.5</v>
      </c>
      <c r="G1139" s="4" t="str">
        <f>HYPERLINK("http://141.218.60.56/~jnz1568/getInfo.php?workbook=14_09.xlsx&amp;sheet=U0&amp;row=1139&amp;col=7&amp;number=0.0431&amp;sourceID=14","0.0431")</f>
        <v>0.0431</v>
      </c>
    </row>
    <row r="1140" spans="1:7">
      <c r="A1140" s="3"/>
      <c r="B1140" s="3"/>
      <c r="C1140" s="3"/>
      <c r="D1140" s="3"/>
      <c r="E1140" s="3">
        <v>17</v>
      </c>
      <c r="F1140" s="4" t="str">
        <f>HYPERLINK("http://141.218.60.56/~jnz1568/getInfo.php?workbook=14_09.xlsx&amp;sheet=U0&amp;row=1140&amp;col=6&amp;number=4.6&amp;sourceID=14","4.6")</f>
        <v>4.6</v>
      </c>
      <c r="G1140" s="4" t="str">
        <f>HYPERLINK("http://141.218.60.56/~jnz1568/getInfo.php?workbook=14_09.xlsx&amp;sheet=U0&amp;row=1140&amp;col=7&amp;number=0.0434&amp;sourceID=14","0.0434")</f>
        <v>0.0434</v>
      </c>
    </row>
    <row r="1141" spans="1:7">
      <c r="A1141" s="3"/>
      <c r="B1141" s="3"/>
      <c r="C1141" s="3"/>
      <c r="D1141" s="3"/>
      <c r="E1141" s="3">
        <v>18</v>
      </c>
      <c r="F1141" s="4" t="str">
        <f>HYPERLINK("http://141.218.60.56/~jnz1568/getInfo.php?workbook=14_09.xlsx&amp;sheet=U0&amp;row=1141&amp;col=6&amp;number=4.7&amp;sourceID=14","4.7")</f>
        <v>4.7</v>
      </c>
      <c r="G1141" s="4" t="str">
        <f>HYPERLINK("http://141.218.60.56/~jnz1568/getInfo.php?workbook=14_09.xlsx&amp;sheet=U0&amp;row=1141&amp;col=7&amp;number=0.0438&amp;sourceID=14","0.0438")</f>
        <v>0.0438</v>
      </c>
    </row>
    <row r="1142" spans="1:7">
      <c r="A1142" s="3"/>
      <c r="B1142" s="3"/>
      <c r="C1142" s="3"/>
      <c r="D1142" s="3"/>
      <c r="E1142" s="3">
        <v>19</v>
      </c>
      <c r="F1142" s="4" t="str">
        <f>HYPERLINK("http://141.218.60.56/~jnz1568/getInfo.php?workbook=14_09.xlsx&amp;sheet=U0&amp;row=1142&amp;col=6&amp;number=4.8&amp;sourceID=14","4.8")</f>
        <v>4.8</v>
      </c>
      <c r="G1142" s="4" t="str">
        <f>HYPERLINK("http://141.218.60.56/~jnz1568/getInfo.php?workbook=14_09.xlsx&amp;sheet=U0&amp;row=1142&amp;col=7&amp;number=0.0441&amp;sourceID=14","0.0441")</f>
        <v>0.0441</v>
      </c>
    </row>
    <row r="1143" spans="1:7">
      <c r="A1143" s="3"/>
      <c r="B1143" s="3"/>
      <c r="C1143" s="3"/>
      <c r="D1143" s="3"/>
      <c r="E1143" s="3">
        <v>20</v>
      </c>
      <c r="F1143" s="4" t="str">
        <f>HYPERLINK("http://141.218.60.56/~jnz1568/getInfo.php?workbook=14_09.xlsx&amp;sheet=U0&amp;row=1143&amp;col=6&amp;number=4.9&amp;sourceID=14","4.9")</f>
        <v>4.9</v>
      </c>
      <c r="G1143" s="4" t="str">
        <f>HYPERLINK("http://141.218.60.56/~jnz1568/getInfo.php?workbook=14_09.xlsx&amp;sheet=U0&amp;row=1143&amp;col=7&amp;number=0.0445&amp;sourceID=14","0.0445")</f>
        <v>0.0445</v>
      </c>
    </row>
    <row r="1144" spans="1:7">
      <c r="A1144" s="3">
        <v>14</v>
      </c>
      <c r="B1144" s="3">
        <v>9</v>
      </c>
      <c r="C1144" s="3">
        <v>1</v>
      </c>
      <c r="D1144" s="3">
        <v>59</v>
      </c>
      <c r="E1144" s="3">
        <v>1</v>
      </c>
      <c r="F1144" s="4" t="str">
        <f>HYPERLINK("http://141.218.60.56/~jnz1568/getInfo.php?workbook=14_09.xlsx&amp;sheet=U0&amp;row=1144&amp;col=6&amp;number=3&amp;sourceID=14","3")</f>
        <v>3</v>
      </c>
      <c r="G1144" s="4" t="str">
        <f>HYPERLINK("http://141.218.60.56/~jnz1568/getInfo.php?workbook=14_09.xlsx&amp;sheet=U0&amp;row=1144&amp;col=7&amp;number=0.0845&amp;sourceID=14","0.0845")</f>
        <v>0.0845</v>
      </c>
    </row>
    <row r="1145" spans="1:7">
      <c r="A1145" s="3"/>
      <c r="B1145" s="3"/>
      <c r="C1145" s="3"/>
      <c r="D1145" s="3"/>
      <c r="E1145" s="3">
        <v>2</v>
      </c>
      <c r="F1145" s="4" t="str">
        <f>HYPERLINK("http://141.218.60.56/~jnz1568/getInfo.php?workbook=14_09.xlsx&amp;sheet=U0&amp;row=1145&amp;col=6&amp;number=3.1&amp;sourceID=14","3.1")</f>
        <v>3.1</v>
      </c>
      <c r="G1145" s="4" t="str">
        <f>HYPERLINK("http://141.218.60.56/~jnz1568/getInfo.php?workbook=14_09.xlsx&amp;sheet=U0&amp;row=1145&amp;col=7&amp;number=0.0845&amp;sourceID=14","0.0845")</f>
        <v>0.0845</v>
      </c>
    </row>
    <row r="1146" spans="1:7">
      <c r="A1146" s="3"/>
      <c r="B1146" s="3"/>
      <c r="C1146" s="3"/>
      <c r="D1146" s="3"/>
      <c r="E1146" s="3">
        <v>3</v>
      </c>
      <c r="F1146" s="4" t="str">
        <f>HYPERLINK("http://141.218.60.56/~jnz1568/getInfo.php?workbook=14_09.xlsx&amp;sheet=U0&amp;row=1146&amp;col=6&amp;number=3.2&amp;sourceID=14","3.2")</f>
        <v>3.2</v>
      </c>
      <c r="G1146" s="4" t="str">
        <f>HYPERLINK("http://141.218.60.56/~jnz1568/getInfo.php?workbook=14_09.xlsx&amp;sheet=U0&amp;row=1146&amp;col=7&amp;number=0.0844&amp;sourceID=14","0.0844")</f>
        <v>0.0844</v>
      </c>
    </row>
    <row r="1147" spans="1:7">
      <c r="A1147" s="3"/>
      <c r="B1147" s="3"/>
      <c r="C1147" s="3"/>
      <c r="D1147" s="3"/>
      <c r="E1147" s="3">
        <v>4</v>
      </c>
      <c r="F1147" s="4" t="str">
        <f>HYPERLINK("http://141.218.60.56/~jnz1568/getInfo.php?workbook=14_09.xlsx&amp;sheet=U0&amp;row=1147&amp;col=6&amp;number=3.3&amp;sourceID=14","3.3")</f>
        <v>3.3</v>
      </c>
      <c r="G1147" s="4" t="str">
        <f>HYPERLINK("http://141.218.60.56/~jnz1568/getInfo.php?workbook=14_09.xlsx&amp;sheet=U0&amp;row=1147&amp;col=7&amp;number=0.0843&amp;sourceID=14","0.0843")</f>
        <v>0.0843</v>
      </c>
    </row>
    <row r="1148" spans="1:7">
      <c r="A1148" s="3"/>
      <c r="B1148" s="3"/>
      <c r="C1148" s="3"/>
      <c r="D1148" s="3"/>
      <c r="E1148" s="3">
        <v>5</v>
      </c>
      <c r="F1148" s="4" t="str">
        <f>HYPERLINK("http://141.218.60.56/~jnz1568/getInfo.php?workbook=14_09.xlsx&amp;sheet=U0&amp;row=1148&amp;col=6&amp;number=3.4&amp;sourceID=14","3.4")</f>
        <v>3.4</v>
      </c>
      <c r="G1148" s="4" t="str">
        <f>HYPERLINK("http://141.218.60.56/~jnz1568/getInfo.php?workbook=14_09.xlsx&amp;sheet=U0&amp;row=1148&amp;col=7&amp;number=0.0842&amp;sourceID=14","0.0842")</f>
        <v>0.0842</v>
      </c>
    </row>
    <row r="1149" spans="1:7">
      <c r="A1149" s="3"/>
      <c r="B1149" s="3"/>
      <c r="C1149" s="3"/>
      <c r="D1149" s="3"/>
      <c r="E1149" s="3">
        <v>6</v>
      </c>
      <c r="F1149" s="4" t="str">
        <f>HYPERLINK("http://141.218.60.56/~jnz1568/getInfo.php?workbook=14_09.xlsx&amp;sheet=U0&amp;row=1149&amp;col=6&amp;number=3.5&amp;sourceID=14","3.5")</f>
        <v>3.5</v>
      </c>
      <c r="G1149" s="4" t="str">
        <f>HYPERLINK("http://141.218.60.56/~jnz1568/getInfo.php?workbook=14_09.xlsx&amp;sheet=U0&amp;row=1149&amp;col=7&amp;number=0.0841&amp;sourceID=14","0.0841")</f>
        <v>0.0841</v>
      </c>
    </row>
    <row r="1150" spans="1:7">
      <c r="A1150" s="3"/>
      <c r="B1150" s="3"/>
      <c r="C1150" s="3"/>
      <c r="D1150" s="3"/>
      <c r="E1150" s="3">
        <v>7</v>
      </c>
      <c r="F1150" s="4" t="str">
        <f>HYPERLINK("http://141.218.60.56/~jnz1568/getInfo.php?workbook=14_09.xlsx&amp;sheet=U0&amp;row=1150&amp;col=6&amp;number=3.6&amp;sourceID=14","3.6")</f>
        <v>3.6</v>
      </c>
      <c r="G1150" s="4" t="str">
        <f>HYPERLINK("http://141.218.60.56/~jnz1568/getInfo.php?workbook=14_09.xlsx&amp;sheet=U0&amp;row=1150&amp;col=7&amp;number=0.0839&amp;sourceID=14","0.0839")</f>
        <v>0.0839</v>
      </c>
    </row>
    <row r="1151" spans="1:7">
      <c r="A1151" s="3"/>
      <c r="B1151" s="3"/>
      <c r="C1151" s="3"/>
      <c r="D1151" s="3"/>
      <c r="E1151" s="3">
        <v>8</v>
      </c>
      <c r="F1151" s="4" t="str">
        <f>HYPERLINK("http://141.218.60.56/~jnz1568/getInfo.php?workbook=14_09.xlsx&amp;sheet=U0&amp;row=1151&amp;col=6&amp;number=3.7&amp;sourceID=14","3.7")</f>
        <v>3.7</v>
      </c>
      <c r="G1151" s="4" t="str">
        <f>HYPERLINK("http://141.218.60.56/~jnz1568/getInfo.php?workbook=14_09.xlsx&amp;sheet=U0&amp;row=1151&amp;col=7&amp;number=0.0837&amp;sourceID=14","0.0837")</f>
        <v>0.0837</v>
      </c>
    </row>
    <row r="1152" spans="1:7">
      <c r="A1152" s="3"/>
      <c r="B1152" s="3"/>
      <c r="C1152" s="3"/>
      <c r="D1152" s="3"/>
      <c r="E1152" s="3">
        <v>9</v>
      </c>
      <c r="F1152" s="4" t="str">
        <f>HYPERLINK("http://141.218.60.56/~jnz1568/getInfo.php?workbook=14_09.xlsx&amp;sheet=U0&amp;row=1152&amp;col=6&amp;number=3.8&amp;sourceID=14","3.8")</f>
        <v>3.8</v>
      </c>
      <c r="G1152" s="4" t="str">
        <f>HYPERLINK("http://141.218.60.56/~jnz1568/getInfo.php?workbook=14_09.xlsx&amp;sheet=U0&amp;row=1152&amp;col=7&amp;number=0.0834&amp;sourceID=14","0.0834")</f>
        <v>0.0834</v>
      </c>
    </row>
    <row r="1153" spans="1:7">
      <c r="A1153" s="3"/>
      <c r="B1153" s="3"/>
      <c r="C1153" s="3"/>
      <c r="D1153" s="3"/>
      <c r="E1153" s="3">
        <v>10</v>
      </c>
      <c r="F1153" s="4" t="str">
        <f>HYPERLINK("http://141.218.60.56/~jnz1568/getInfo.php?workbook=14_09.xlsx&amp;sheet=U0&amp;row=1153&amp;col=6&amp;number=3.9&amp;sourceID=14","3.9")</f>
        <v>3.9</v>
      </c>
      <c r="G1153" s="4" t="str">
        <f>HYPERLINK("http://141.218.60.56/~jnz1568/getInfo.php?workbook=14_09.xlsx&amp;sheet=U0&amp;row=1153&amp;col=7&amp;number=0.083&amp;sourceID=14","0.083")</f>
        <v>0.083</v>
      </c>
    </row>
    <row r="1154" spans="1:7">
      <c r="A1154" s="3"/>
      <c r="B1154" s="3"/>
      <c r="C1154" s="3"/>
      <c r="D1154" s="3"/>
      <c r="E1154" s="3">
        <v>11</v>
      </c>
      <c r="F1154" s="4" t="str">
        <f>HYPERLINK("http://141.218.60.56/~jnz1568/getInfo.php?workbook=14_09.xlsx&amp;sheet=U0&amp;row=1154&amp;col=6&amp;number=4&amp;sourceID=14","4")</f>
        <v>4</v>
      </c>
      <c r="G1154" s="4" t="str">
        <f>HYPERLINK("http://141.218.60.56/~jnz1568/getInfo.php?workbook=14_09.xlsx&amp;sheet=U0&amp;row=1154&amp;col=7&amp;number=0.0826&amp;sourceID=14","0.0826")</f>
        <v>0.0826</v>
      </c>
    </row>
    <row r="1155" spans="1:7">
      <c r="A1155" s="3"/>
      <c r="B1155" s="3"/>
      <c r="C1155" s="3"/>
      <c r="D1155" s="3"/>
      <c r="E1155" s="3">
        <v>12</v>
      </c>
      <c r="F1155" s="4" t="str">
        <f>HYPERLINK("http://141.218.60.56/~jnz1568/getInfo.php?workbook=14_09.xlsx&amp;sheet=U0&amp;row=1155&amp;col=6&amp;number=4.1&amp;sourceID=14","4.1")</f>
        <v>4.1</v>
      </c>
      <c r="G1155" s="4" t="str">
        <f>HYPERLINK("http://141.218.60.56/~jnz1568/getInfo.php?workbook=14_09.xlsx&amp;sheet=U0&amp;row=1155&amp;col=7&amp;number=0.082&amp;sourceID=14","0.082")</f>
        <v>0.082</v>
      </c>
    </row>
    <row r="1156" spans="1:7">
      <c r="A1156" s="3"/>
      <c r="B1156" s="3"/>
      <c r="C1156" s="3"/>
      <c r="D1156" s="3"/>
      <c r="E1156" s="3">
        <v>13</v>
      </c>
      <c r="F1156" s="4" t="str">
        <f>HYPERLINK("http://141.218.60.56/~jnz1568/getInfo.php?workbook=14_09.xlsx&amp;sheet=U0&amp;row=1156&amp;col=6&amp;number=4.2&amp;sourceID=14","4.2")</f>
        <v>4.2</v>
      </c>
      <c r="G1156" s="4" t="str">
        <f>HYPERLINK("http://141.218.60.56/~jnz1568/getInfo.php?workbook=14_09.xlsx&amp;sheet=U0&amp;row=1156&amp;col=7&amp;number=0.0814&amp;sourceID=14","0.0814")</f>
        <v>0.0814</v>
      </c>
    </row>
    <row r="1157" spans="1:7">
      <c r="A1157" s="3"/>
      <c r="B1157" s="3"/>
      <c r="C1157" s="3"/>
      <c r="D1157" s="3"/>
      <c r="E1157" s="3">
        <v>14</v>
      </c>
      <c r="F1157" s="4" t="str">
        <f>HYPERLINK("http://141.218.60.56/~jnz1568/getInfo.php?workbook=14_09.xlsx&amp;sheet=U0&amp;row=1157&amp;col=6&amp;number=4.3&amp;sourceID=14","4.3")</f>
        <v>4.3</v>
      </c>
      <c r="G1157" s="4" t="str">
        <f>HYPERLINK("http://141.218.60.56/~jnz1568/getInfo.php?workbook=14_09.xlsx&amp;sheet=U0&amp;row=1157&amp;col=7&amp;number=0.0805&amp;sourceID=14","0.0805")</f>
        <v>0.0805</v>
      </c>
    </row>
    <row r="1158" spans="1:7">
      <c r="A1158" s="3"/>
      <c r="B1158" s="3"/>
      <c r="C1158" s="3"/>
      <c r="D1158" s="3"/>
      <c r="E1158" s="3">
        <v>15</v>
      </c>
      <c r="F1158" s="4" t="str">
        <f>HYPERLINK("http://141.218.60.56/~jnz1568/getInfo.php?workbook=14_09.xlsx&amp;sheet=U0&amp;row=1158&amp;col=6&amp;number=4.4&amp;sourceID=14","4.4")</f>
        <v>4.4</v>
      </c>
      <c r="G1158" s="4" t="str">
        <f>HYPERLINK("http://141.218.60.56/~jnz1568/getInfo.php?workbook=14_09.xlsx&amp;sheet=U0&amp;row=1158&amp;col=7&amp;number=0.0795&amp;sourceID=14","0.0795")</f>
        <v>0.0795</v>
      </c>
    </row>
    <row r="1159" spans="1:7">
      <c r="A1159" s="3"/>
      <c r="B1159" s="3"/>
      <c r="C1159" s="3"/>
      <c r="D1159" s="3"/>
      <c r="E1159" s="3">
        <v>16</v>
      </c>
      <c r="F1159" s="4" t="str">
        <f>HYPERLINK("http://141.218.60.56/~jnz1568/getInfo.php?workbook=14_09.xlsx&amp;sheet=U0&amp;row=1159&amp;col=6&amp;number=4.5&amp;sourceID=14","4.5")</f>
        <v>4.5</v>
      </c>
      <c r="G1159" s="4" t="str">
        <f>HYPERLINK("http://141.218.60.56/~jnz1568/getInfo.php?workbook=14_09.xlsx&amp;sheet=U0&amp;row=1159&amp;col=7&amp;number=0.0783&amp;sourceID=14","0.0783")</f>
        <v>0.0783</v>
      </c>
    </row>
    <row r="1160" spans="1:7">
      <c r="A1160" s="3"/>
      <c r="B1160" s="3"/>
      <c r="C1160" s="3"/>
      <c r="D1160" s="3"/>
      <c r="E1160" s="3">
        <v>17</v>
      </c>
      <c r="F1160" s="4" t="str">
        <f>HYPERLINK("http://141.218.60.56/~jnz1568/getInfo.php?workbook=14_09.xlsx&amp;sheet=U0&amp;row=1160&amp;col=6&amp;number=4.6&amp;sourceID=14","4.6")</f>
        <v>4.6</v>
      </c>
      <c r="G1160" s="4" t="str">
        <f>HYPERLINK("http://141.218.60.56/~jnz1568/getInfo.php?workbook=14_09.xlsx&amp;sheet=U0&amp;row=1160&amp;col=7&amp;number=0.0768&amp;sourceID=14","0.0768")</f>
        <v>0.0768</v>
      </c>
    </row>
    <row r="1161" spans="1:7">
      <c r="A1161" s="3"/>
      <c r="B1161" s="3"/>
      <c r="C1161" s="3"/>
      <c r="D1161" s="3"/>
      <c r="E1161" s="3">
        <v>18</v>
      </c>
      <c r="F1161" s="4" t="str">
        <f>HYPERLINK("http://141.218.60.56/~jnz1568/getInfo.php?workbook=14_09.xlsx&amp;sheet=U0&amp;row=1161&amp;col=6&amp;number=4.7&amp;sourceID=14","4.7")</f>
        <v>4.7</v>
      </c>
      <c r="G1161" s="4" t="str">
        <f>HYPERLINK("http://141.218.60.56/~jnz1568/getInfo.php?workbook=14_09.xlsx&amp;sheet=U0&amp;row=1161&amp;col=7&amp;number=0.0751&amp;sourceID=14","0.0751")</f>
        <v>0.0751</v>
      </c>
    </row>
    <row r="1162" spans="1:7">
      <c r="A1162" s="3"/>
      <c r="B1162" s="3"/>
      <c r="C1162" s="3"/>
      <c r="D1162" s="3"/>
      <c r="E1162" s="3">
        <v>19</v>
      </c>
      <c r="F1162" s="4" t="str">
        <f>HYPERLINK("http://141.218.60.56/~jnz1568/getInfo.php?workbook=14_09.xlsx&amp;sheet=U0&amp;row=1162&amp;col=6&amp;number=4.8&amp;sourceID=14","4.8")</f>
        <v>4.8</v>
      </c>
      <c r="G1162" s="4" t="str">
        <f>HYPERLINK("http://141.218.60.56/~jnz1568/getInfo.php?workbook=14_09.xlsx&amp;sheet=U0&amp;row=1162&amp;col=7&amp;number=0.0732&amp;sourceID=14","0.0732")</f>
        <v>0.0732</v>
      </c>
    </row>
    <row r="1163" spans="1:7">
      <c r="A1163" s="3"/>
      <c r="B1163" s="3"/>
      <c r="C1163" s="3"/>
      <c r="D1163" s="3"/>
      <c r="E1163" s="3">
        <v>20</v>
      </c>
      <c r="F1163" s="4" t="str">
        <f>HYPERLINK("http://141.218.60.56/~jnz1568/getInfo.php?workbook=14_09.xlsx&amp;sheet=U0&amp;row=1163&amp;col=6&amp;number=4.9&amp;sourceID=14","4.9")</f>
        <v>4.9</v>
      </c>
      <c r="G1163" s="4" t="str">
        <f>HYPERLINK("http://141.218.60.56/~jnz1568/getInfo.php?workbook=14_09.xlsx&amp;sheet=U0&amp;row=1163&amp;col=7&amp;number=0.0712&amp;sourceID=14","0.0712")</f>
        <v>0.0712</v>
      </c>
    </row>
    <row r="1164" spans="1:7">
      <c r="A1164" s="3">
        <v>14</v>
      </c>
      <c r="B1164" s="3">
        <v>9</v>
      </c>
      <c r="C1164" s="3">
        <v>1</v>
      </c>
      <c r="D1164" s="3">
        <v>60</v>
      </c>
      <c r="E1164" s="3">
        <v>1</v>
      </c>
      <c r="F1164" s="4" t="str">
        <f>HYPERLINK("http://141.218.60.56/~jnz1568/getInfo.php?workbook=14_09.xlsx&amp;sheet=U0&amp;row=1164&amp;col=6&amp;number=3&amp;sourceID=14","3")</f>
        <v>3</v>
      </c>
      <c r="G1164" s="4" t="str">
        <f>HYPERLINK("http://141.218.60.56/~jnz1568/getInfo.php?workbook=14_09.xlsx&amp;sheet=U0&amp;row=1164&amp;col=7&amp;number=0.041&amp;sourceID=14","0.041")</f>
        <v>0.041</v>
      </c>
    </row>
    <row r="1165" spans="1:7">
      <c r="A1165" s="3"/>
      <c r="B1165" s="3"/>
      <c r="C1165" s="3"/>
      <c r="D1165" s="3"/>
      <c r="E1165" s="3">
        <v>2</v>
      </c>
      <c r="F1165" s="4" t="str">
        <f>HYPERLINK("http://141.218.60.56/~jnz1568/getInfo.php?workbook=14_09.xlsx&amp;sheet=U0&amp;row=1165&amp;col=6&amp;number=3.1&amp;sourceID=14","3.1")</f>
        <v>3.1</v>
      </c>
      <c r="G1165" s="4" t="str">
        <f>HYPERLINK("http://141.218.60.56/~jnz1568/getInfo.php?workbook=14_09.xlsx&amp;sheet=U0&amp;row=1165&amp;col=7&amp;number=0.041&amp;sourceID=14","0.041")</f>
        <v>0.041</v>
      </c>
    </row>
    <row r="1166" spans="1:7">
      <c r="A1166" s="3"/>
      <c r="B1166" s="3"/>
      <c r="C1166" s="3"/>
      <c r="D1166" s="3"/>
      <c r="E1166" s="3">
        <v>3</v>
      </c>
      <c r="F1166" s="4" t="str">
        <f>HYPERLINK("http://141.218.60.56/~jnz1568/getInfo.php?workbook=14_09.xlsx&amp;sheet=U0&amp;row=1166&amp;col=6&amp;number=3.2&amp;sourceID=14","3.2")</f>
        <v>3.2</v>
      </c>
      <c r="G1166" s="4" t="str">
        <f>HYPERLINK("http://141.218.60.56/~jnz1568/getInfo.php?workbook=14_09.xlsx&amp;sheet=U0&amp;row=1166&amp;col=7&amp;number=0.0409&amp;sourceID=14","0.0409")</f>
        <v>0.0409</v>
      </c>
    </row>
    <row r="1167" spans="1:7">
      <c r="A1167" s="3"/>
      <c r="B1167" s="3"/>
      <c r="C1167" s="3"/>
      <c r="D1167" s="3"/>
      <c r="E1167" s="3">
        <v>4</v>
      </c>
      <c r="F1167" s="4" t="str">
        <f>HYPERLINK("http://141.218.60.56/~jnz1568/getInfo.php?workbook=14_09.xlsx&amp;sheet=U0&amp;row=1167&amp;col=6&amp;number=3.3&amp;sourceID=14","3.3")</f>
        <v>3.3</v>
      </c>
      <c r="G1167" s="4" t="str">
        <f>HYPERLINK("http://141.218.60.56/~jnz1568/getInfo.php?workbook=14_09.xlsx&amp;sheet=U0&amp;row=1167&amp;col=7&amp;number=0.0409&amp;sourceID=14","0.0409")</f>
        <v>0.0409</v>
      </c>
    </row>
    <row r="1168" spans="1:7">
      <c r="A1168" s="3"/>
      <c r="B1168" s="3"/>
      <c r="C1168" s="3"/>
      <c r="D1168" s="3"/>
      <c r="E1168" s="3">
        <v>5</v>
      </c>
      <c r="F1168" s="4" t="str">
        <f>HYPERLINK("http://141.218.60.56/~jnz1568/getInfo.php?workbook=14_09.xlsx&amp;sheet=U0&amp;row=1168&amp;col=6&amp;number=3.4&amp;sourceID=14","3.4")</f>
        <v>3.4</v>
      </c>
      <c r="G1168" s="4" t="str">
        <f>HYPERLINK("http://141.218.60.56/~jnz1568/getInfo.php?workbook=14_09.xlsx&amp;sheet=U0&amp;row=1168&amp;col=7&amp;number=0.0408&amp;sourceID=14","0.0408")</f>
        <v>0.0408</v>
      </c>
    </row>
    <row r="1169" spans="1:7">
      <c r="A1169" s="3"/>
      <c r="B1169" s="3"/>
      <c r="C1169" s="3"/>
      <c r="D1169" s="3"/>
      <c r="E1169" s="3">
        <v>6</v>
      </c>
      <c r="F1169" s="4" t="str">
        <f>HYPERLINK("http://141.218.60.56/~jnz1568/getInfo.php?workbook=14_09.xlsx&amp;sheet=U0&amp;row=1169&amp;col=6&amp;number=3.5&amp;sourceID=14","3.5")</f>
        <v>3.5</v>
      </c>
      <c r="G1169" s="4" t="str">
        <f>HYPERLINK("http://141.218.60.56/~jnz1568/getInfo.php?workbook=14_09.xlsx&amp;sheet=U0&amp;row=1169&amp;col=7&amp;number=0.0407&amp;sourceID=14","0.0407")</f>
        <v>0.0407</v>
      </c>
    </row>
    <row r="1170" spans="1:7">
      <c r="A1170" s="3"/>
      <c r="B1170" s="3"/>
      <c r="C1170" s="3"/>
      <c r="D1170" s="3"/>
      <c r="E1170" s="3">
        <v>7</v>
      </c>
      <c r="F1170" s="4" t="str">
        <f>HYPERLINK("http://141.218.60.56/~jnz1568/getInfo.php?workbook=14_09.xlsx&amp;sheet=U0&amp;row=1170&amp;col=6&amp;number=3.6&amp;sourceID=14","3.6")</f>
        <v>3.6</v>
      </c>
      <c r="G1170" s="4" t="str">
        <f>HYPERLINK("http://141.218.60.56/~jnz1568/getInfo.php?workbook=14_09.xlsx&amp;sheet=U0&amp;row=1170&amp;col=7&amp;number=0.0406&amp;sourceID=14","0.0406")</f>
        <v>0.0406</v>
      </c>
    </row>
    <row r="1171" spans="1:7">
      <c r="A1171" s="3"/>
      <c r="B1171" s="3"/>
      <c r="C1171" s="3"/>
      <c r="D1171" s="3"/>
      <c r="E1171" s="3">
        <v>8</v>
      </c>
      <c r="F1171" s="4" t="str">
        <f>HYPERLINK("http://141.218.60.56/~jnz1568/getInfo.php?workbook=14_09.xlsx&amp;sheet=U0&amp;row=1171&amp;col=6&amp;number=3.7&amp;sourceID=14","3.7")</f>
        <v>3.7</v>
      </c>
      <c r="G1171" s="4" t="str">
        <f>HYPERLINK("http://141.218.60.56/~jnz1568/getInfo.php?workbook=14_09.xlsx&amp;sheet=U0&amp;row=1171&amp;col=7&amp;number=0.0404&amp;sourceID=14","0.0404")</f>
        <v>0.0404</v>
      </c>
    </row>
    <row r="1172" spans="1:7">
      <c r="A1172" s="3"/>
      <c r="B1172" s="3"/>
      <c r="C1172" s="3"/>
      <c r="D1172" s="3"/>
      <c r="E1172" s="3">
        <v>9</v>
      </c>
      <c r="F1172" s="4" t="str">
        <f>HYPERLINK("http://141.218.60.56/~jnz1568/getInfo.php?workbook=14_09.xlsx&amp;sheet=U0&amp;row=1172&amp;col=6&amp;number=3.8&amp;sourceID=14","3.8")</f>
        <v>3.8</v>
      </c>
      <c r="G1172" s="4" t="str">
        <f>HYPERLINK("http://141.218.60.56/~jnz1568/getInfo.php?workbook=14_09.xlsx&amp;sheet=U0&amp;row=1172&amp;col=7&amp;number=0.0402&amp;sourceID=14","0.0402")</f>
        <v>0.0402</v>
      </c>
    </row>
    <row r="1173" spans="1:7">
      <c r="A1173" s="3"/>
      <c r="B1173" s="3"/>
      <c r="C1173" s="3"/>
      <c r="D1173" s="3"/>
      <c r="E1173" s="3">
        <v>10</v>
      </c>
      <c r="F1173" s="4" t="str">
        <f>HYPERLINK("http://141.218.60.56/~jnz1568/getInfo.php?workbook=14_09.xlsx&amp;sheet=U0&amp;row=1173&amp;col=6&amp;number=3.9&amp;sourceID=14","3.9")</f>
        <v>3.9</v>
      </c>
      <c r="G1173" s="4" t="str">
        <f>HYPERLINK("http://141.218.60.56/~jnz1568/getInfo.php?workbook=14_09.xlsx&amp;sheet=U0&amp;row=1173&amp;col=7&amp;number=0.04&amp;sourceID=14","0.04")</f>
        <v>0.04</v>
      </c>
    </row>
    <row r="1174" spans="1:7">
      <c r="A1174" s="3"/>
      <c r="B1174" s="3"/>
      <c r="C1174" s="3"/>
      <c r="D1174" s="3"/>
      <c r="E1174" s="3">
        <v>11</v>
      </c>
      <c r="F1174" s="4" t="str">
        <f>HYPERLINK("http://141.218.60.56/~jnz1568/getInfo.php?workbook=14_09.xlsx&amp;sheet=U0&amp;row=1174&amp;col=6&amp;number=4&amp;sourceID=14","4")</f>
        <v>4</v>
      </c>
      <c r="G1174" s="4" t="str">
        <f>HYPERLINK("http://141.218.60.56/~jnz1568/getInfo.php?workbook=14_09.xlsx&amp;sheet=U0&amp;row=1174&amp;col=7&amp;number=0.0397&amp;sourceID=14","0.0397")</f>
        <v>0.0397</v>
      </c>
    </row>
    <row r="1175" spans="1:7">
      <c r="A1175" s="3"/>
      <c r="B1175" s="3"/>
      <c r="C1175" s="3"/>
      <c r="D1175" s="3"/>
      <c r="E1175" s="3">
        <v>12</v>
      </c>
      <c r="F1175" s="4" t="str">
        <f>HYPERLINK("http://141.218.60.56/~jnz1568/getInfo.php?workbook=14_09.xlsx&amp;sheet=U0&amp;row=1175&amp;col=6&amp;number=4.1&amp;sourceID=14","4.1")</f>
        <v>4.1</v>
      </c>
      <c r="G1175" s="4" t="str">
        <f>HYPERLINK("http://141.218.60.56/~jnz1568/getInfo.php?workbook=14_09.xlsx&amp;sheet=U0&amp;row=1175&amp;col=7&amp;number=0.0393&amp;sourceID=14","0.0393")</f>
        <v>0.0393</v>
      </c>
    </row>
    <row r="1176" spans="1:7">
      <c r="A1176" s="3"/>
      <c r="B1176" s="3"/>
      <c r="C1176" s="3"/>
      <c r="D1176" s="3"/>
      <c r="E1176" s="3">
        <v>13</v>
      </c>
      <c r="F1176" s="4" t="str">
        <f>HYPERLINK("http://141.218.60.56/~jnz1568/getInfo.php?workbook=14_09.xlsx&amp;sheet=U0&amp;row=1176&amp;col=6&amp;number=4.2&amp;sourceID=14","4.2")</f>
        <v>4.2</v>
      </c>
      <c r="G1176" s="4" t="str">
        <f>HYPERLINK("http://141.218.60.56/~jnz1568/getInfo.php?workbook=14_09.xlsx&amp;sheet=U0&amp;row=1176&amp;col=7&amp;number=0.0389&amp;sourceID=14","0.0389")</f>
        <v>0.0389</v>
      </c>
    </row>
    <row r="1177" spans="1:7">
      <c r="A1177" s="3"/>
      <c r="B1177" s="3"/>
      <c r="C1177" s="3"/>
      <c r="D1177" s="3"/>
      <c r="E1177" s="3">
        <v>14</v>
      </c>
      <c r="F1177" s="4" t="str">
        <f>HYPERLINK("http://141.218.60.56/~jnz1568/getInfo.php?workbook=14_09.xlsx&amp;sheet=U0&amp;row=1177&amp;col=6&amp;number=4.3&amp;sourceID=14","4.3")</f>
        <v>4.3</v>
      </c>
      <c r="G1177" s="4" t="str">
        <f>HYPERLINK("http://141.218.60.56/~jnz1568/getInfo.php?workbook=14_09.xlsx&amp;sheet=U0&amp;row=1177&amp;col=7&amp;number=0.0383&amp;sourceID=14","0.0383")</f>
        <v>0.0383</v>
      </c>
    </row>
    <row r="1178" spans="1:7">
      <c r="A1178" s="3"/>
      <c r="B1178" s="3"/>
      <c r="C1178" s="3"/>
      <c r="D1178" s="3"/>
      <c r="E1178" s="3">
        <v>15</v>
      </c>
      <c r="F1178" s="4" t="str">
        <f>HYPERLINK("http://141.218.60.56/~jnz1568/getInfo.php?workbook=14_09.xlsx&amp;sheet=U0&amp;row=1178&amp;col=6&amp;number=4.4&amp;sourceID=14","4.4")</f>
        <v>4.4</v>
      </c>
      <c r="G1178" s="4" t="str">
        <f>HYPERLINK("http://141.218.60.56/~jnz1568/getInfo.php?workbook=14_09.xlsx&amp;sheet=U0&amp;row=1178&amp;col=7&amp;number=0.0376&amp;sourceID=14","0.0376")</f>
        <v>0.0376</v>
      </c>
    </row>
    <row r="1179" spans="1:7">
      <c r="A1179" s="3"/>
      <c r="B1179" s="3"/>
      <c r="C1179" s="3"/>
      <c r="D1179" s="3"/>
      <c r="E1179" s="3">
        <v>16</v>
      </c>
      <c r="F1179" s="4" t="str">
        <f>HYPERLINK("http://141.218.60.56/~jnz1568/getInfo.php?workbook=14_09.xlsx&amp;sheet=U0&amp;row=1179&amp;col=6&amp;number=4.5&amp;sourceID=14","4.5")</f>
        <v>4.5</v>
      </c>
      <c r="G1179" s="4" t="str">
        <f>HYPERLINK("http://141.218.60.56/~jnz1568/getInfo.php?workbook=14_09.xlsx&amp;sheet=U0&amp;row=1179&amp;col=7&amp;number=0.0368&amp;sourceID=14","0.0368")</f>
        <v>0.0368</v>
      </c>
    </row>
    <row r="1180" spans="1:7">
      <c r="A1180" s="3"/>
      <c r="B1180" s="3"/>
      <c r="C1180" s="3"/>
      <c r="D1180" s="3"/>
      <c r="E1180" s="3">
        <v>17</v>
      </c>
      <c r="F1180" s="4" t="str">
        <f>HYPERLINK("http://141.218.60.56/~jnz1568/getInfo.php?workbook=14_09.xlsx&amp;sheet=U0&amp;row=1180&amp;col=6&amp;number=4.6&amp;sourceID=14","4.6")</f>
        <v>4.6</v>
      </c>
      <c r="G1180" s="4" t="str">
        <f>HYPERLINK("http://141.218.60.56/~jnz1568/getInfo.php?workbook=14_09.xlsx&amp;sheet=U0&amp;row=1180&amp;col=7&amp;number=0.0358&amp;sourceID=14","0.0358")</f>
        <v>0.0358</v>
      </c>
    </row>
    <row r="1181" spans="1:7">
      <c r="A1181" s="3"/>
      <c r="B1181" s="3"/>
      <c r="C1181" s="3"/>
      <c r="D1181" s="3"/>
      <c r="E1181" s="3">
        <v>18</v>
      </c>
      <c r="F1181" s="4" t="str">
        <f>HYPERLINK("http://141.218.60.56/~jnz1568/getInfo.php?workbook=14_09.xlsx&amp;sheet=U0&amp;row=1181&amp;col=6&amp;number=4.7&amp;sourceID=14","4.7")</f>
        <v>4.7</v>
      </c>
      <c r="G1181" s="4" t="str">
        <f>HYPERLINK("http://141.218.60.56/~jnz1568/getInfo.php?workbook=14_09.xlsx&amp;sheet=U0&amp;row=1181&amp;col=7&amp;number=0.0346&amp;sourceID=14","0.0346")</f>
        <v>0.0346</v>
      </c>
    </row>
    <row r="1182" spans="1:7">
      <c r="A1182" s="3"/>
      <c r="B1182" s="3"/>
      <c r="C1182" s="3"/>
      <c r="D1182" s="3"/>
      <c r="E1182" s="3">
        <v>19</v>
      </c>
      <c r="F1182" s="4" t="str">
        <f>HYPERLINK("http://141.218.60.56/~jnz1568/getInfo.php?workbook=14_09.xlsx&amp;sheet=U0&amp;row=1182&amp;col=6&amp;number=4.8&amp;sourceID=14","4.8")</f>
        <v>4.8</v>
      </c>
      <c r="G1182" s="4" t="str">
        <f>HYPERLINK("http://141.218.60.56/~jnz1568/getInfo.php?workbook=14_09.xlsx&amp;sheet=U0&amp;row=1182&amp;col=7&amp;number=0.0332&amp;sourceID=14","0.0332")</f>
        <v>0.0332</v>
      </c>
    </row>
    <row r="1183" spans="1:7">
      <c r="A1183" s="3"/>
      <c r="B1183" s="3"/>
      <c r="C1183" s="3"/>
      <c r="D1183" s="3"/>
      <c r="E1183" s="3">
        <v>20</v>
      </c>
      <c r="F1183" s="4" t="str">
        <f>HYPERLINK("http://141.218.60.56/~jnz1568/getInfo.php?workbook=14_09.xlsx&amp;sheet=U0&amp;row=1183&amp;col=6&amp;number=4.9&amp;sourceID=14","4.9")</f>
        <v>4.9</v>
      </c>
      <c r="G1183" s="4" t="str">
        <f>HYPERLINK("http://141.218.60.56/~jnz1568/getInfo.php?workbook=14_09.xlsx&amp;sheet=U0&amp;row=1183&amp;col=7&amp;number=0.0317&amp;sourceID=14","0.0317")</f>
        <v>0.0317</v>
      </c>
    </row>
    <row r="1184" spans="1:7">
      <c r="A1184" s="3">
        <v>14</v>
      </c>
      <c r="B1184" s="3">
        <v>9</v>
      </c>
      <c r="C1184" s="3">
        <v>1</v>
      </c>
      <c r="D1184" s="3">
        <v>61</v>
      </c>
      <c r="E1184" s="3">
        <v>1</v>
      </c>
      <c r="F1184" s="4" t="str">
        <f>HYPERLINK("http://141.218.60.56/~jnz1568/getInfo.php?workbook=14_09.xlsx&amp;sheet=U0&amp;row=1184&amp;col=6&amp;number=3&amp;sourceID=14","3")</f>
        <v>3</v>
      </c>
      <c r="G1184" s="4" t="str">
        <f>HYPERLINK("http://141.218.60.56/~jnz1568/getInfo.php?workbook=14_09.xlsx&amp;sheet=U0&amp;row=1184&amp;col=7&amp;number=0.129&amp;sourceID=14","0.129")</f>
        <v>0.129</v>
      </c>
    </row>
    <row r="1185" spans="1:7">
      <c r="A1185" s="3"/>
      <c r="B1185" s="3"/>
      <c r="C1185" s="3"/>
      <c r="D1185" s="3"/>
      <c r="E1185" s="3">
        <v>2</v>
      </c>
      <c r="F1185" s="4" t="str">
        <f>HYPERLINK("http://141.218.60.56/~jnz1568/getInfo.php?workbook=14_09.xlsx&amp;sheet=U0&amp;row=1185&amp;col=6&amp;number=3.1&amp;sourceID=14","3.1")</f>
        <v>3.1</v>
      </c>
      <c r="G1185" s="4" t="str">
        <f>HYPERLINK("http://141.218.60.56/~jnz1568/getInfo.php?workbook=14_09.xlsx&amp;sheet=U0&amp;row=1185&amp;col=7&amp;number=0.128&amp;sourceID=14","0.128")</f>
        <v>0.128</v>
      </c>
    </row>
    <row r="1186" spans="1:7">
      <c r="A1186" s="3"/>
      <c r="B1186" s="3"/>
      <c r="C1186" s="3"/>
      <c r="D1186" s="3"/>
      <c r="E1186" s="3">
        <v>3</v>
      </c>
      <c r="F1186" s="4" t="str">
        <f>HYPERLINK("http://141.218.60.56/~jnz1568/getInfo.php?workbook=14_09.xlsx&amp;sheet=U0&amp;row=1186&amp;col=6&amp;number=3.2&amp;sourceID=14","3.2")</f>
        <v>3.2</v>
      </c>
      <c r="G1186" s="4" t="str">
        <f>HYPERLINK("http://141.218.60.56/~jnz1568/getInfo.php?workbook=14_09.xlsx&amp;sheet=U0&amp;row=1186&amp;col=7&amp;number=0.128&amp;sourceID=14","0.128")</f>
        <v>0.128</v>
      </c>
    </row>
    <row r="1187" spans="1:7">
      <c r="A1187" s="3"/>
      <c r="B1187" s="3"/>
      <c r="C1187" s="3"/>
      <c r="D1187" s="3"/>
      <c r="E1187" s="3">
        <v>4</v>
      </c>
      <c r="F1187" s="4" t="str">
        <f>HYPERLINK("http://141.218.60.56/~jnz1568/getInfo.php?workbook=14_09.xlsx&amp;sheet=U0&amp;row=1187&amp;col=6&amp;number=3.3&amp;sourceID=14","3.3")</f>
        <v>3.3</v>
      </c>
      <c r="G1187" s="4" t="str">
        <f>HYPERLINK("http://141.218.60.56/~jnz1568/getInfo.php?workbook=14_09.xlsx&amp;sheet=U0&amp;row=1187&amp;col=7&amp;number=0.127&amp;sourceID=14","0.127")</f>
        <v>0.127</v>
      </c>
    </row>
    <row r="1188" spans="1:7">
      <c r="A1188" s="3"/>
      <c r="B1188" s="3"/>
      <c r="C1188" s="3"/>
      <c r="D1188" s="3"/>
      <c r="E1188" s="3">
        <v>5</v>
      </c>
      <c r="F1188" s="4" t="str">
        <f>HYPERLINK("http://141.218.60.56/~jnz1568/getInfo.php?workbook=14_09.xlsx&amp;sheet=U0&amp;row=1188&amp;col=6&amp;number=3.4&amp;sourceID=14","3.4")</f>
        <v>3.4</v>
      </c>
      <c r="G1188" s="4" t="str">
        <f>HYPERLINK("http://141.218.60.56/~jnz1568/getInfo.php?workbook=14_09.xlsx&amp;sheet=U0&amp;row=1188&amp;col=7&amp;number=0.127&amp;sourceID=14","0.127")</f>
        <v>0.127</v>
      </c>
    </row>
    <row r="1189" spans="1:7">
      <c r="A1189" s="3"/>
      <c r="B1189" s="3"/>
      <c r="C1189" s="3"/>
      <c r="D1189" s="3"/>
      <c r="E1189" s="3">
        <v>6</v>
      </c>
      <c r="F1189" s="4" t="str">
        <f>HYPERLINK("http://141.218.60.56/~jnz1568/getInfo.php?workbook=14_09.xlsx&amp;sheet=U0&amp;row=1189&amp;col=6&amp;number=3.5&amp;sourceID=14","3.5")</f>
        <v>3.5</v>
      </c>
      <c r="G1189" s="4" t="str">
        <f>HYPERLINK("http://141.218.60.56/~jnz1568/getInfo.php?workbook=14_09.xlsx&amp;sheet=U0&amp;row=1189&amp;col=7&amp;number=0.126&amp;sourceID=14","0.126")</f>
        <v>0.126</v>
      </c>
    </row>
    <row r="1190" spans="1:7">
      <c r="A1190" s="3"/>
      <c r="B1190" s="3"/>
      <c r="C1190" s="3"/>
      <c r="D1190" s="3"/>
      <c r="E1190" s="3">
        <v>7</v>
      </c>
      <c r="F1190" s="4" t="str">
        <f>HYPERLINK("http://141.218.60.56/~jnz1568/getInfo.php?workbook=14_09.xlsx&amp;sheet=U0&amp;row=1190&amp;col=6&amp;number=3.6&amp;sourceID=14","3.6")</f>
        <v>3.6</v>
      </c>
      <c r="G1190" s="4" t="str">
        <f>HYPERLINK("http://141.218.60.56/~jnz1568/getInfo.php?workbook=14_09.xlsx&amp;sheet=U0&amp;row=1190&amp;col=7&amp;number=0.125&amp;sourceID=14","0.125")</f>
        <v>0.125</v>
      </c>
    </row>
    <row r="1191" spans="1:7">
      <c r="A1191" s="3"/>
      <c r="B1191" s="3"/>
      <c r="C1191" s="3"/>
      <c r="D1191" s="3"/>
      <c r="E1191" s="3">
        <v>8</v>
      </c>
      <c r="F1191" s="4" t="str">
        <f>HYPERLINK("http://141.218.60.56/~jnz1568/getInfo.php?workbook=14_09.xlsx&amp;sheet=U0&amp;row=1191&amp;col=6&amp;number=3.7&amp;sourceID=14","3.7")</f>
        <v>3.7</v>
      </c>
      <c r="G1191" s="4" t="str">
        <f>HYPERLINK("http://141.218.60.56/~jnz1568/getInfo.php?workbook=14_09.xlsx&amp;sheet=U0&amp;row=1191&amp;col=7&amp;number=0.123&amp;sourceID=14","0.123")</f>
        <v>0.123</v>
      </c>
    </row>
    <row r="1192" spans="1:7">
      <c r="A1192" s="3"/>
      <c r="B1192" s="3"/>
      <c r="C1192" s="3"/>
      <c r="D1192" s="3"/>
      <c r="E1192" s="3">
        <v>9</v>
      </c>
      <c r="F1192" s="4" t="str">
        <f>HYPERLINK("http://141.218.60.56/~jnz1568/getInfo.php?workbook=14_09.xlsx&amp;sheet=U0&amp;row=1192&amp;col=6&amp;number=3.8&amp;sourceID=14","3.8")</f>
        <v>3.8</v>
      </c>
      <c r="G1192" s="4" t="str">
        <f>HYPERLINK("http://141.218.60.56/~jnz1568/getInfo.php?workbook=14_09.xlsx&amp;sheet=U0&amp;row=1192&amp;col=7&amp;number=0.122&amp;sourceID=14","0.122")</f>
        <v>0.122</v>
      </c>
    </row>
    <row r="1193" spans="1:7">
      <c r="A1193" s="3"/>
      <c r="B1193" s="3"/>
      <c r="C1193" s="3"/>
      <c r="D1193" s="3"/>
      <c r="E1193" s="3">
        <v>10</v>
      </c>
      <c r="F1193" s="4" t="str">
        <f>HYPERLINK("http://141.218.60.56/~jnz1568/getInfo.php?workbook=14_09.xlsx&amp;sheet=U0&amp;row=1193&amp;col=6&amp;number=3.9&amp;sourceID=14","3.9")</f>
        <v>3.9</v>
      </c>
      <c r="G1193" s="4" t="str">
        <f>HYPERLINK("http://141.218.60.56/~jnz1568/getInfo.php?workbook=14_09.xlsx&amp;sheet=U0&amp;row=1193&amp;col=7&amp;number=0.119&amp;sourceID=14","0.119")</f>
        <v>0.119</v>
      </c>
    </row>
    <row r="1194" spans="1:7">
      <c r="A1194" s="3"/>
      <c r="B1194" s="3"/>
      <c r="C1194" s="3"/>
      <c r="D1194" s="3"/>
      <c r="E1194" s="3">
        <v>11</v>
      </c>
      <c r="F1194" s="4" t="str">
        <f>HYPERLINK("http://141.218.60.56/~jnz1568/getInfo.php?workbook=14_09.xlsx&amp;sheet=U0&amp;row=1194&amp;col=6&amp;number=4&amp;sourceID=14","4")</f>
        <v>4</v>
      </c>
      <c r="G1194" s="4" t="str">
        <f>HYPERLINK("http://141.218.60.56/~jnz1568/getInfo.php?workbook=14_09.xlsx&amp;sheet=U0&amp;row=1194&amp;col=7&amp;number=0.117&amp;sourceID=14","0.117")</f>
        <v>0.117</v>
      </c>
    </row>
    <row r="1195" spans="1:7">
      <c r="A1195" s="3"/>
      <c r="B1195" s="3"/>
      <c r="C1195" s="3"/>
      <c r="D1195" s="3"/>
      <c r="E1195" s="3">
        <v>12</v>
      </c>
      <c r="F1195" s="4" t="str">
        <f>HYPERLINK("http://141.218.60.56/~jnz1568/getInfo.php?workbook=14_09.xlsx&amp;sheet=U0&amp;row=1195&amp;col=6&amp;number=4.1&amp;sourceID=14","4.1")</f>
        <v>4.1</v>
      </c>
      <c r="G1195" s="4" t="str">
        <f>HYPERLINK("http://141.218.60.56/~jnz1568/getInfo.php?workbook=14_09.xlsx&amp;sheet=U0&amp;row=1195&amp;col=7&amp;number=0.114&amp;sourceID=14","0.114")</f>
        <v>0.114</v>
      </c>
    </row>
    <row r="1196" spans="1:7">
      <c r="A1196" s="3"/>
      <c r="B1196" s="3"/>
      <c r="C1196" s="3"/>
      <c r="D1196" s="3"/>
      <c r="E1196" s="3">
        <v>13</v>
      </c>
      <c r="F1196" s="4" t="str">
        <f>HYPERLINK("http://141.218.60.56/~jnz1568/getInfo.php?workbook=14_09.xlsx&amp;sheet=U0&amp;row=1196&amp;col=6&amp;number=4.2&amp;sourceID=14","4.2")</f>
        <v>4.2</v>
      </c>
      <c r="G1196" s="4" t="str">
        <f>HYPERLINK("http://141.218.60.56/~jnz1568/getInfo.php?workbook=14_09.xlsx&amp;sheet=U0&amp;row=1196&amp;col=7&amp;number=0.11&amp;sourceID=14","0.11")</f>
        <v>0.11</v>
      </c>
    </row>
    <row r="1197" spans="1:7">
      <c r="A1197" s="3"/>
      <c r="B1197" s="3"/>
      <c r="C1197" s="3"/>
      <c r="D1197" s="3"/>
      <c r="E1197" s="3">
        <v>14</v>
      </c>
      <c r="F1197" s="4" t="str">
        <f>HYPERLINK("http://141.218.60.56/~jnz1568/getInfo.php?workbook=14_09.xlsx&amp;sheet=U0&amp;row=1197&amp;col=6&amp;number=4.3&amp;sourceID=14","4.3")</f>
        <v>4.3</v>
      </c>
      <c r="G1197" s="4" t="str">
        <f>HYPERLINK("http://141.218.60.56/~jnz1568/getInfo.php?workbook=14_09.xlsx&amp;sheet=U0&amp;row=1197&amp;col=7&amp;number=0.105&amp;sourceID=14","0.105")</f>
        <v>0.105</v>
      </c>
    </row>
    <row r="1198" spans="1:7">
      <c r="A1198" s="3"/>
      <c r="B1198" s="3"/>
      <c r="C1198" s="3"/>
      <c r="D1198" s="3"/>
      <c r="E1198" s="3">
        <v>15</v>
      </c>
      <c r="F1198" s="4" t="str">
        <f>HYPERLINK("http://141.218.60.56/~jnz1568/getInfo.php?workbook=14_09.xlsx&amp;sheet=U0&amp;row=1198&amp;col=6&amp;number=4.4&amp;sourceID=14","4.4")</f>
        <v>4.4</v>
      </c>
      <c r="G1198" s="4" t="str">
        <f>HYPERLINK("http://141.218.60.56/~jnz1568/getInfo.php?workbook=14_09.xlsx&amp;sheet=U0&amp;row=1198&amp;col=7&amp;number=0.0991&amp;sourceID=14","0.0991")</f>
        <v>0.0991</v>
      </c>
    </row>
    <row r="1199" spans="1:7">
      <c r="A1199" s="3"/>
      <c r="B1199" s="3"/>
      <c r="C1199" s="3"/>
      <c r="D1199" s="3"/>
      <c r="E1199" s="3">
        <v>16</v>
      </c>
      <c r="F1199" s="4" t="str">
        <f>HYPERLINK("http://141.218.60.56/~jnz1568/getInfo.php?workbook=14_09.xlsx&amp;sheet=U0&amp;row=1199&amp;col=6&amp;number=4.5&amp;sourceID=14","4.5")</f>
        <v>4.5</v>
      </c>
      <c r="G1199" s="4" t="str">
        <f>HYPERLINK("http://141.218.60.56/~jnz1568/getInfo.php?workbook=14_09.xlsx&amp;sheet=U0&amp;row=1199&amp;col=7&amp;number=0.0923&amp;sourceID=14","0.0923")</f>
        <v>0.0923</v>
      </c>
    </row>
    <row r="1200" spans="1:7">
      <c r="A1200" s="3"/>
      <c r="B1200" s="3"/>
      <c r="C1200" s="3"/>
      <c r="D1200" s="3"/>
      <c r="E1200" s="3">
        <v>17</v>
      </c>
      <c r="F1200" s="4" t="str">
        <f>HYPERLINK("http://141.218.60.56/~jnz1568/getInfo.php?workbook=14_09.xlsx&amp;sheet=U0&amp;row=1200&amp;col=6&amp;number=4.6&amp;sourceID=14","4.6")</f>
        <v>4.6</v>
      </c>
      <c r="G1200" s="4" t="str">
        <f>HYPERLINK("http://141.218.60.56/~jnz1568/getInfo.php?workbook=14_09.xlsx&amp;sheet=U0&amp;row=1200&amp;col=7&amp;number=0.0847&amp;sourceID=14","0.0847")</f>
        <v>0.0847</v>
      </c>
    </row>
    <row r="1201" spans="1:7">
      <c r="A1201" s="3"/>
      <c r="B1201" s="3"/>
      <c r="C1201" s="3"/>
      <c r="D1201" s="3"/>
      <c r="E1201" s="3">
        <v>18</v>
      </c>
      <c r="F1201" s="4" t="str">
        <f>HYPERLINK("http://141.218.60.56/~jnz1568/getInfo.php?workbook=14_09.xlsx&amp;sheet=U0&amp;row=1201&amp;col=6&amp;number=4.7&amp;sourceID=14","4.7")</f>
        <v>4.7</v>
      </c>
      <c r="G1201" s="4" t="str">
        <f>HYPERLINK("http://141.218.60.56/~jnz1568/getInfo.php?workbook=14_09.xlsx&amp;sheet=U0&amp;row=1201&amp;col=7&amp;number=0.0764&amp;sourceID=14","0.0764")</f>
        <v>0.0764</v>
      </c>
    </row>
    <row r="1202" spans="1:7">
      <c r="A1202" s="3"/>
      <c r="B1202" s="3"/>
      <c r="C1202" s="3"/>
      <c r="D1202" s="3"/>
      <c r="E1202" s="3">
        <v>19</v>
      </c>
      <c r="F1202" s="4" t="str">
        <f>HYPERLINK("http://141.218.60.56/~jnz1568/getInfo.php?workbook=14_09.xlsx&amp;sheet=U0&amp;row=1202&amp;col=6&amp;number=4.8&amp;sourceID=14","4.8")</f>
        <v>4.8</v>
      </c>
      <c r="G1202" s="4" t="str">
        <f>HYPERLINK("http://141.218.60.56/~jnz1568/getInfo.php?workbook=14_09.xlsx&amp;sheet=U0&amp;row=1202&amp;col=7&amp;number=0.0681&amp;sourceID=14","0.0681")</f>
        <v>0.0681</v>
      </c>
    </row>
    <row r="1203" spans="1:7">
      <c r="A1203" s="3"/>
      <c r="B1203" s="3"/>
      <c r="C1203" s="3"/>
      <c r="D1203" s="3"/>
      <c r="E1203" s="3">
        <v>20</v>
      </c>
      <c r="F1203" s="4" t="str">
        <f>HYPERLINK("http://141.218.60.56/~jnz1568/getInfo.php?workbook=14_09.xlsx&amp;sheet=U0&amp;row=1203&amp;col=6&amp;number=4.9&amp;sourceID=14","4.9")</f>
        <v>4.9</v>
      </c>
      <c r="G1203" s="4" t="str">
        <f>HYPERLINK("http://141.218.60.56/~jnz1568/getInfo.php?workbook=14_09.xlsx&amp;sheet=U0&amp;row=1203&amp;col=7&amp;number=0.0604&amp;sourceID=14","0.0604")</f>
        <v>0.0604</v>
      </c>
    </row>
    <row r="1204" spans="1:7">
      <c r="A1204" s="3">
        <v>14</v>
      </c>
      <c r="B1204" s="3">
        <v>9</v>
      </c>
      <c r="C1204" s="3">
        <v>1</v>
      </c>
      <c r="D1204" s="3">
        <v>62</v>
      </c>
      <c r="E1204" s="3">
        <v>1</v>
      </c>
      <c r="F1204" s="4" t="str">
        <f>HYPERLINK("http://141.218.60.56/~jnz1568/getInfo.php?workbook=14_09.xlsx&amp;sheet=U0&amp;row=1204&amp;col=6&amp;number=3&amp;sourceID=14","3")</f>
        <v>3</v>
      </c>
      <c r="G1204" s="4" t="str">
        <f>HYPERLINK("http://141.218.60.56/~jnz1568/getInfo.php?workbook=14_09.xlsx&amp;sheet=U0&amp;row=1204&amp;col=7&amp;number=0.0809&amp;sourceID=14","0.0809")</f>
        <v>0.0809</v>
      </c>
    </row>
    <row r="1205" spans="1:7">
      <c r="A1205" s="3"/>
      <c r="B1205" s="3"/>
      <c r="C1205" s="3"/>
      <c r="D1205" s="3"/>
      <c r="E1205" s="3">
        <v>2</v>
      </c>
      <c r="F1205" s="4" t="str">
        <f>HYPERLINK("http://141.218.60.56/~jnz1568/getInfo.php?workbook=14_09.xlsx&amp;sheet=U0&amp;row=1205&amp;col=6&amp;number=3.1&amp;sourceID=14","3.1")</f>
        <v>3.1</v>
      </c>
      <c r="G1205" s="4" t="str">
        <f>HYPERLINK("http://141.218.60.56/~jnz1568/getInfo.php?workbook=14_09.xlsx&amp;sheet=U0&amp;row=1205&amp;col=7&amp;number=0.0807&amp;sourceID=14","0.0807")</f>
        <v>0.0807</v>
      </c>
    </row>
    <row r="1206" spans="1:7">
      <c r="A1206" s="3"/>
      <c r="B1206" s="3"/>
      <c r="C1206" s="3"/>
      <c r="D1206" s="3"/>
      <c r="E1206" s="3">
        <v>3</v>
      </c>
      <c r="F1206" s="4" t="str">
        <f>HYPERLINK("http://141.218.60.56/~jnz1568/getInfo.php?workbook=14_09.xlsx&amp;sheet=U0&amp;row=1206&amp;col=6&amp;number=3.2&amp;sourceID=14","3.2")</f>
        <v>3.2</v>
      </c>
      <c r="G1206" s="4" t="str">
        <f>HYPERLINK("http://141.218.60.56/~jnz1568/getInfo.php?workbook=14_09.xlsx&amp;sheet=U0&amp;row=1206&amp;col=7&amp;number=0.0805&amp;sourceID=14","0.0805")</f>
        <v>0.0805</v>
      </c>
    </row>
    <row r="1207" spans="1:7">
      <c r="A1207" s="3"/>
      <c r="B1207" s="3"/>
      <c r="C1207" s="3"/>
      <c r="D1207" s="3"/>
      <c r="E1207" s="3">
        <v>4</v>
      </c>
      <c r="F1207" s="4" t="str">
        <f>HYPERLINK("http://141.218.60.56/~jnz1568/getInfo.php?workbook=14_09.xlsx&amp;sheet=U0&amp;row=1207&amp;col=6&amp;number=3.3&amp;sourceID=14","3.3")</f>
        <v>3.3</v>
      </c>
      <c r="G1207" s="4" t="str">
        <f>HYPERLINK("http://141.218.60.56/~jnz1568/getInfo.php?workbook=14_09.xlsx&amp;sheet=U0&amp;row=1207&amp;col=7&amp;number=0.0803&amp;sourceID=14","0.0803")</f>
        <v>0.0803</v>
      </c>
    </row>
    <row r="1208" spans="1:7">
      <c r="A1208" s="3"/>
      <c r="B1208" s="3"/>
      <c r="C1208" s="3"/>
      <c r="D1208" s="3"/>
      <c r="E1208" s="3">
        <v>5</v>
      </c>
      <c r="F1208" s="4" t="str">
        <f>HYPERLINK("http://141.218.60.56/~jnz1568/getInfo.php?workbook=14_09.xlsx&amp;sheet=U0&amp;row=1208&amp;col=6&amp;number=3.4&amp;sourceID=14","3.4")</f>
        <v>3.4</v>
      </c>
      <c r="G1208" s="4" t="str">
        <f>HYPERLINK("http://141.218.60.56/~jnz1568/getInfo.php?workbook=14_09.xlsx&amp;sheet=U0&amp;row=1208&amp;col=7&amp;number=0.0799&amp;sourceID=14","0.0799")</f>
        <v>0.0799</v>
      </c>
    </row>
    <row r="1209" spans="1:7">
      <c r="A1209" s="3"/>
      <c r="B1209" s="3"/>
      <c r="C1209" s="3"/>
      <c r="D1209" s="3"/>
      <c r="E1209" s="3">
        <v>6</v>
      </c>
      <c r="F1209" s="4" t="str">
        <f>HYPERLINK("http://141.218.60.56/~jnz1568/getInfo.php?workbook=14_09.xlsx&amp;sheet=U0&amp;row=1209&amp;col=6&amp;number=3.5&amp;sourceID=14","3.5")</f>
        <v>3.5</v>
      </c>
      <c r="G1209" s="4" t="str">
        <f>HYPERLINK("http://141.218.60.56/~jnz1568/getInfo.php?workbook=14_09.xlsx&amp;sheet=U0&amp;row=1209&amp;col=7&amp;number=0.0795&amp;sourceID=14","0.0795")</f>
        <v>0.0795</v>
      </c>
    </row>
    <row r="1210" spans="1:7">
      <c r="A1210" s="3"/>
      <c r="B1210" s="3"/>
      <c r="C1210" s="3"/>
      <c r="D1210" s="3"/>
      <c r="E1210" s="3">
        <v>7</v>
      </c>
      <c r="F1210" s="4" t="str">
        <f>HYPERLINK("http://141.218.60.56/~jnz1568/getInfo.php?workbook=14_09.xlsx&amp;sheet=U0&amp;row=1210&amp;col=6&amp;number=3.6&amp;sourceID=14","3.6")</f>
        <v>3.6</v>
      </c>
      <c r="G1210" s="4" t="str">
        <f>HYPERLINK("http://141.218.60.56/~jnz1568/getInfo.php?workbook=14_09.xlsx&amp;sheet=U0&amp;row=1210&amp;col=7&amp;number=0.079&amp;sourceID=14","0.079")</f>
        <v>0.079</v>
      </c>
    </row>
    <row r="1211" spans="1:7">
      <c r="A1211" s="3"/>
      <c r="B1211" s="3"/>
      <c r="C1211" s="3"/>
      <c r="D1211" s="3"/>
      <c r="E1211" s="3">
        <v>8</v>
      </c>
      <c r="F1211" s="4" t="str">
        <f>HYPERLINK("http://141.218.60.56/~jnz1568/getInfo.php?workbook=14_09.xlsx&amp;sheet=U0&amp;row=1211&amp;col=6&amp;number=3.7&amp;sourceID=14","3.7")</f>
        <v>3.7</v>
      </c>
      <c r="G1211" s="4" t="str">
        <f>HYPERLINK("http://141.218.60.56/~jnz1568/getInfo.php?workbook=14_09.xlsx&amp;sheet=U0&amp;row=1211&amp;col=7&amp;number=0.0783&amp;sourceID=14","0.0783")</f>
        <v>0.0783</v>
      </c>
    </row>
    <row r="1212" spans="1:7">
      <c r="A1212" s="3"/>
      <c r="B1212" s="3"/>
      <c r="C1212" s="3"/>
      <c r="D1212" s="3"/>
      <c r="E1212" s="3">
        <v>9</v>
      </c>
      <c r="F1212" s="4" t="str">
        <f>HYPERLINK("http://141.218.60.56/~jnz1568/getInfo.php?workbook=14_09.xlsx&amp;sheet=U0&amp;row=1212&amp;col=6&amp;number=3.8&amp;sourceID=14","3.8")</f>
        <v>3.8</v>
      </c>
      <c r="G1212" s="4" t="str">
        <f>HYPERLINK("http://141.218.60.56/~jnz1568/getInfo.php?workbook=14_09.xlsx&amp;sheet=U0&amp;row=1212&amp;col=7&amp;number=0.0774&amp;sourceID=14","0.0774")</f>
        <v>0.0774</v>
      </c>
    </row>
    <row r="1213" spans="1:7">
      <c r="A1213" s="3"/>
      <c r="B1213" s="3"/>
      <c r="C1213" s="3"/>
      <c r="D1213" s="3"/>
      <c r="E1213" s="3">
        <v>10</v>
      </c>
      <c r="F1213" s="4" t="str">
        <f>HYPERLINK("http://141.218.60.56/~jnz1568/getInfo.php?workbook=14_09.xlsx&amp;sheet=U0&amp;row=1213&amp;col=6&amp;number=3.9&amp;sourceID=14","3.9")</f>
        <v>3.9</v>
      </c>
      <c r="G1213" s="4" t="str">
        <f>HYPERLINK("http://141.218.60.56/~jnz1568/getInfo.php?workbook=14_09.xlsx&amp;sheet=U0&amp;row=1213&amp;col=7&amp;number=0.0764&amp;sourceID=14","0.0764")</f>
        <v>0.0764</v>
      </c>
    </row>
    <row r="1214" spans="1:7">
      <c r="A1214" s="3"/>
      <c r="B1214" s="3"/>
      <c r="C1214" s="3"/>
      <c r="D1214" s="3"/>
      <c r="E1214" s="3">
        <v>11</v>
      </c>
      <c r="F1214" s="4" t="str">
        <f>HYPERLINK("http://141.218.60.56/~jnz1568/getInfo.php?workbook=14_09.xlsx&amp;sheet=U0&amp;row=1214&amp;col=6&amp;number=4&amp;sourceID=14","4")</f>
        <v>4</v>
      </c>
      <c r="G1214" s="4" t="str">
        <f>HYPERLINK("http://141.218.60.56/~jnz1568/getInfo.php?workbook=14_09.xlsx&amp;sheet=U0&amp;row=1214&amp;col=7&amp;number=0.0751&amp;sourceID=14","0.0751")</f>
        <v>0.0751</v>
      </c>
    </row>
    <row r="1215" spans="1:7">
      <c r="A1215" s="3"/>
      <c r="B1215" s="3"/>
      <c r="C1215" s="3"/>
      <c r="D1215" s="3"/>
      <c r="E1215" s="3">
        <v>12</v>
      </c>
      <c r="F1215" s="4" t="str">
        <f>HYPERLINK("http://141.218.60.56/~jnz1568/getInfo.php?workbook=14_09.xlsx&amp;sheet=U0&amp;row=1215&amp;col=6&amp;number=4.1&amp;sourceID=14","4.1")</f>
        <v>4.1</v>
      </c>
      <c r="G1215" s="4" t="str">
        <f>HYPERLINK("http://141.218.60.56/~jnz1568/getInfo.php?workbook=14_09.xlsx&amp;sheet=U0&amp;row=1215&amp;col=7&amp;number=0.0734&amp;sourceID=14","0.0734")</f>
        <v>0.0734</v>
      </c>
    </row>
    <row r="1216" spans="1:7">
      <c r="A1216" s="3"/>
      <c r="B1216" s="3"/>
      <c r="C1216" s="3"/>
      <c r="D1216" s="3"/>
      <c r="E1216" s="3">
        <v>13</v>
      </c>
      <c r="F1216" s="4" t="str">
        <f>HYPERLINK("http://141.218.60.56/~jnz1568/getInfo.php?workbook=14_09.xlsx&amp;sheet=U0&amp;row=1216&amp;col=6&amp;number=4.2&amp;sourceID=14","4.2")</f>
        <v>4.2</v>
      </c>
      <c r="G1216" s="4" t="str">
        <f>HYPERLINK("http://141.218.60.56/~jnz1568/getInfo.php?workbook=14_09.xlsx&amp;sheet=U0&amp;row=1216&amp;col=7&amp;number=0.0714&amp;sourceID=14","0.0714")</f>
        <v>0.0714</v>
      </c>
    </row>
    <row r="1217" spans="1:7">
      <c r="A1217" s="3"/>
      <c r="B1217" s="3"/>
      <c r="C1217" s="3"/>
      <c r="D1217" s="3"/>
      <c r="E1217" s="3">
        <v>14</v>
      </c>
      <c r="F1217" s="4" t="str">
        <f>HYPERLINK("http://141.218.60.56/~jnz1568/getInfo.php?workbook=14_09.xlsx&amp;sheet=U0&amp;row=1217&amp;col=6&amp;number=4.3&amp;sourceID=14","4.3")</f>
        <v>4.3</v>
      </c>
      <c r="G1217" s="4" t="str">
        <f>HYPERLINK("http://141.218.60.56/~jnz1568/getInfo.php?workbook=14_09.xlsx&amp;sheet=U0&amp;row=1217&amp;col=7&amp;number=0.0689&amp;sourceID=14","0.0689")</f>
        <v>0.0689</v>
      </c>
    </row>
    <row r="1218" spans="1:7">
      <c r="A1218" s="3"/>
      <c r="B1218" s="3"/>
      <c r="C1218" s="3"/>
      <c r="D1218" s="3"/>
      <c r="E1218" s="3">
        <v>15</v>
      </c>
      <c r="F1218" s="4" t="str">
        <f>HYPERLINK("http://141.218.60.56/~jnz1568/getInfo.php?workbook=14_09.xlsx&amp;sheet=U0&amp;row=1218&amp;col=6&amp;number=4.4&amp;sourceID=14","4.4")</f>
        <v>4.4</v>
      </c>
      <c r="G1218" s="4" t="str">
        <f>HYPERLINK("http://141.218.60.56/~jnz1568/getInfo.php?workbook=14_09.xlsx&amp;sheet=U0&amp;row=1218&amp;col=7&amp;number=0.0658&amp;sourceID=14","0.0658")</f>
        <v>0.0658</v>
      </c>
    </row>
    <row r="1219" spans="1:7">
      <c r="A1219" s="3"/>
      <c r="B1219" s="3"/>
      <c r="C1219" s="3"/>
      <c r="D1219" s="3"/>
      <c r="E1219" s="3">
        <v>16</v>
      </c>
      <c r="F1219" s="4" t="str">
        <f>HYPERLINK("http://141.218.60.56/~jnz1568/getInfo.php?workbook=14_09.xlsx&amp;sheet=U0&amp;row=1219&amp;col=6&amp;number=4.5&amp;sourceID=14","4.5")</f>
        <v>4.5</v>
      </c>
      <c r="G1219" s="4" t="str">
        <f>HYPERLINK("http://141.218.60.56/~jnz1568/getInfo.php?workbook=14_09.xlsx&amp;sheet=U0&amp;row=1219&amp;col=7&amp;number=0.0621&amp;sourceID=14","0.0621")</f>
        <v>0.0621</v>
      </c>
    </row>
    <row r="1220" spans="1:7">
      <c r="A1220" s="3"/>
      <c r="B1220" s="3"/>
      <c r="C1220" s="3"/>
      <c r="D1220" s="3"/>
      <c r="E1220" s="3">
        <v>17</v>
      </c>
      <c r="F1220" s="4" t="str">
        <f>HYPERLINK("http://141.218.60.56/~jnz1568/getInfo.php?workbook=14_09.xlsx&amp;sheet=U0&amp;row=1220&amp;col=6&amp;number=4.6&amp;sourceID=14","4.6")</f>
        <v>4.6</v>
      </c>
      <c r="G1220" s="4" t="str">
        <f>HYPERLINK("http://141.218.60.56/~jnz1568/getInfo.php?workbook=14_09.xlsx&amp;sheet=U0&amp;row=1220&amp;col=7&amp;number=0.0578&amp;sourceID=14","0.0578")</f>
        <v>0.0578</v>
      </c>
    </row>
    <row r="1221" spans="1:7">
      <c r="A1221" s="3"/>
      <c r="B1221" s="3"/>
      <c r="C1221" s="3"/>
      <c r="D1221" s="3"/>
      <c r="E1221" s="3">
        <v>18</v>
      </c>
      <c r="F1221" s="4" t="str">
        <f>HYPERLINK("http://141.218.60.56/~jnz1568/getInfo.php?workbook=14_09.xlsx&amp;sheet=U0&amp;row=1221&amp;col=6&amp;number=4.7&amp;sourceID=14","4.7")</f>
        <v>4.7</v>
      </c>
      <c r="G1221" s="4" t="str">
        <f>HYPERLINK("http://141.218.60.56/~jnz1568/getInfo.php?workbook=14_09.xlsx&amp;sheet=U0&amp;row=1221&amp;col=7&amp;number=0.0527&amp;sourceID=14","0.0527")</f>
        <v>0.0527</v>
      </c>
    </row>
    <row r="1222" spans="1:7">
      <c r="A1222" s="3"/>
      <c r="B1222" s="3"/>
      <c r="C1222" s="3"/>
      <c r="D1222" s="3"/>
      <c r="E1222" s="3">
        <v>19</v>
      </c>
      <c r="F1222" s="4" t="str">
        <f>HYPERLINK("http://141.218.60.56/~jnz1568/getInfo.php?workbook=14_09.xlsx&amp;sheet=U0&amp;row=1222&amp;col=6&amp;number=4.8&amp;sourceID=14","4.8")</f>
        <v>4.8</v>
      </c>
      <c r="G1222" s="4" t="str">
        <f>HYPERLINK("http://141.218.60.56/~jnz1568/getInfo.php?workbook=14_09.xlsx&amp;sheet=U0&amp;row=1222&amp;col=7&amp;number=0.0471&amp;sourceID=14","0.0471")</f>
        <v>0.0471</v>
      </c>
    </row>
    <row r="1223" spans="1:7">
      <c r="A1223" s="3"/>
      <c r="B1223" s="3"/>
      <c r="C1223" s="3"/>
      <c r="D1223" s="3"/>
      <c r="E1223" s="3">
        <v>20</v>
      </c>
      <c r="F1223" s="4" t="str">
        <f>HYPERLINK("http://141.218.60.56/~jnz1568/getInfo.php?workbook=14_09.xlsx&amp;sheet=U0&amp;row=1223&amp;col=6&amp;number=4.9&amp;sourceID=14","4.9")</f>
        <v>4.9</v>
      </c>
      <c r="G1223" s="4" t="str">
        <f>HYPERLINK("http://141.218.60.56/~jnz1568/getInfo.php?workbook=14_09.xlsx&amp;sheet=U0&amp;row=1223&amp;col=7&amp;number=0.0413&amp;sourceID=14","0.0413")</f>
        <v>0.0413</v>
      </c>
    </row>
    <row r="1224" spans="1:7">
      <c r="A1224" s="3">
        <v>14</v>
      </c>
      <c r="B1224" s="3">
        <v>9</v>
      </c>
      <c r="C1224" s="3">
        <v>1</v>
      </c>
      <c r="D1224" s="3">
        <v>63</v>
      </c>
      <c r="E1224" s="3">
        <v>1</v>
      </c>
      <c r="F1224" s="4" t="str">
        <f>HYPERLINK("http://141.218.60.56/~jnz1568/getInfo.php?workbook=14_09.xlsx&amp;sheet=U0&amp;row=1224&amp;col=6&amp;number=3&amp;sourceID=14","3")</f>
        <v>3</v>
      </c>
      <c r="G1224" s="4" t="str">
        <f>HYPERLINK("http://141.218.60.56/~jnz1568/getInfo.php?workbook=14_09.xlsx&amp;sheet=U0&amp;row=1224&amp;col=7&amp;number=0.0309&amp;sourceID=14","0.0309")</f>
        <v>0.0309</v>
      </c>
    </row>
    <row r="1225" spans="1:7">
      <c r="A1225" s="3"/>
      <c r="B1225" s="3"/>
      <c r="C1225" s="3"/>
      <c r="D1225" s="3"/>
      <c r="E1225" s="3">
        <v>2</v>
      </c>
      <c r="F1225" s="4" t="str">
        <f>HYPERLINK("http://141.218.60.56/~jnz1568/getInfo.php?workbook=14_09.xlsx&amp;sheet=U0&amp;row=1225&amp;col=6&amp;number=3.1&amp;sourceID=14","3.1")</f>
        <v>3.1</v>
      </c>
      <c r="G1225" s="4" t="str">
        <f>HYPERLINK("http://141.218.60.56/~jnz1568/getInfo.php?workbook=14_09.xlsx&amp;sheet=U0&amp;row=1225&amp;col=7&amp;number=0.0309&amp;sourceID=14","0.0309")</f>
        <v>0.0309</v>
      </c>
    </row>
    <row r="1226" spans="1:7">
      <c r="A1226" s="3"/>
      <c r="B1226" s="3"/>
      <c r="C1226" s="3"/>
      <c r="D1226" s="3"/>
      <c r="E1226" s="3">
        <v>3</v>
      </c>
      <c r="F1226" s="4" t="str">
        <f>HYPERLINK("http://141.218.60.56/~jnz1568/getInfo.php?workbook=14_09.xlsx&amp;sheet=U0&amp;row=1226&amp;col=6&amp;number=3.2&amp;sourceID=14","3.2")</f>
        <v>3.2</v>
      </c>
      <c r="G1226" s="4" t="str">
        <f>HYPERLINK("http://141.218.60.56/~jnz1568/getInfo.php?workbook=14_09.xlsx&amp;sheet=U0&amp;row=1226&amp;col=7&amp;number=0.0308&amp;sourceID=14","0.0308")</f>
        <v>0.0308</v>
      </c>
    </row>
    <row r="1227" spans="1:7">
      <c r="A1227" s="3"/>
      <c r="B1227" s="3"/>
      <c r="C1227" s="3"/>
      <c r="D1227" s="3"/>
      <c r="E1227" s="3">
        <v>4</v>
      </c>
      <c r="F1227" s="4" t="str">
        <f>HYPERLINK("http://141.218.60.56/~jnz1568/getInfo.php?workbook=14_09.xlsx&amp;sheet=U0&amp;row=1227&amp;col=6&amp;number=3.3&amp;sourceID=14","3.3")</f>
        <v>3.3</v>
      </c>
      <c r="G1227" s="4" t="str">
        <f>HYPERLINK("http://141.218.60.56/~jnz1568/getInfo.php?workbook=14_09.xlsx&amp;sheet=U0&amp;row=1227&amp;col=7&amp;number=0.0307&amp;sourceID=14","0.0307")</f>
        <v>0.0307</v>
      </c>
    </row>
    <row r="1228" spans="1:7">
      <c r="A1228" s="3"/>
      <c r="B1228" s="3"/>
      <c r="C1228" s="3"/>
      <c r="D1228" s="3"/>
      <c r="E1228" s="3">
        <v>5</v>
      </c>
      <c r="F1228" s="4" t="str">
        <f>HYPERLINK("http://141.218.60.56/~jnz1568/getInfo.php?workbook=14_09.xlsx&amp;sheet=U0&amp;row=1228&amp;col=6&amp;number=3.4&amp;sourceID=14","3.4")</f>
        <v>3.4</v>
      </c>
      <c r="G1228" s="4" t="str">
        <f>HYPERLINK("http://141.218.60.56/~jnz1568/getInfo.php?workbook=14_09.xlsx&amp;sheet=U0&amp;row=1228&amp;col=7&amp;number=0.0306&amp;sourceID=14","0.0306")</f>
        <v>0.0306</v>
      </c>
    </row>
    <row r="1229" spans="1:7">
      <c r="A1229" s="3"/>
      <c r="B1229" s="3"/>
      <c r="C1229" s="3"/>
      <c r="D1229" s="3"/>
      <c r="E1229" s="3">
        <v>6</v>
      </c>
      <c r="F1229" s="4" t="str">
        <f>HYPERLINK("http://141.218.60.56/~jnz1568/getInfo.php?workbook=14_09.xlsx&amp;sheet=U0&amp;row=1229&amp;col=6&amp;number=3.5&amp;sourceID=14","3.5")</f>
        <v>3.5</v>
      </c>
      <c r="G1229" s="4" t="str">
        <f>HYPERLINK("http://141.218.60.56/~jnz1568/getInfo.php?workbook=14_09.xlsx&amp;sheet=U0&amp;row=1229&amp;col=7&amp;number=0.0305&amp;sourceID=14","0.0305")</f>
        <v>0.0305</v>
      </c>
    </row>
    <row r="1230" spans="1:7">
      <c r="A1230" s="3"/>
      <c r="B1230" s="3"/>
      <c r="C1230" s="3"/>
      <c r="D1230" s="3"/>
      <c r="E1230" s="3">
        <v>7</v>
      </c>
      <c r="F1230" s="4" t="str">
        <f>HYPERLINK("http://141.218.60.56/~jnz1568/getInfo.php?workbook=14_09.xlsx&amp;sheet=U0&amp;row=1230&amp;col=6&amp;number=3.6&amp;sourceID=14","3.6")</f>
        <v>3.6</v>
      </c>
      <c r="G1230" s="4" t="str">
        <f>HYPERLINK("http://141.218.60.56/~jnz1568/getInfo.php?workbook=14_09.xlsx&amp;sheet=U0&amp;row=1230&amp;col=7&amp;number=0.0303&amp;sourceID=14","0.0303")</f>
        <v>0.0303</v>
      </c>
    </row>
    <row r="1231" spans="1:7">
      <c r="A1231" s="3"/>
      <c r="B1231" s="3"/>
      <c r="C1231" s="3"/>
      <c r="D1231" s="3"/>
      <c r="E1231" s="3">
        <v>8</v>
      </c>
      <c r="F1231" s="4" t="str">
        <f>HYPERLINK("http://141.218.60.56/~jnz1568/getInfo.php?workbook=14_09.xlsx&amp;sheet=U0&amp;row=1231&amp;col=6&amp;number=3.7&amp;sourceID=14","3.7")</f>
        <v>3.7</v>
      </c>
      <c r="G1231" s="4" t="str">
        <f>HYPERLINK("http://141.218.60.56/~jnz1568/getInfo.php?workbook=14_09.xlsx&amp;sheet=U0&amp;row=1231&amp;col=7&amp;number=0.0301&amp;sourceID=14","0.0301")</f>
        <v>0.0301</v>
      </c>
    </row>
    <row r="1232" spans="1:7">
      <c r="A1232" s="3"/>
      <c r="B1232" s="3"/>
      <c r="C1232" s="3"/>
      <c r="D1232" s="3"/>
      <c r="E1232" s="3">
        <v>9</v>
      </c>
      <c r="F1232" s="4" t="str">
        <f>HYPERLINK("http://141.218.60.56/~jnz1568/getInfo.php?workbook=14_09.xlsx&amp;sheet=U0&amp;row=1232&amp;col=6&amp;number=3.8&amp;sourceID=14","3.8")</f>
        <v>3.8</v>
      </c>
      <c r="G1232" s="4" t="str">
        <f>HYPERLINK("http://141.218.60.56/~jnz1568/getInfo.php?workbook=14_09.xlsx&amp;sheet=U0&amp;row=1232&amp;col=7&amp;number=0.0298&amp;sourceID=14","0.0298")</f>
        <v>0.0298</v>
      </c>
    </row>
    <row r="1233" spans="1:7">
      <c r="A1233" s="3"/>
      <c r="B1233" s="3"/>
      <c r="C1233" s="3"/>
      <c r="D1233" s="3"/>
      <c r="E1233" s="3">
        <v>10</v>
      </c>
      <c r="F1233" s="4" t="str">
        <f>HYPERLINK("http://141.218.60.56/~jnz1568/getInfo.php?workbook=14_09.xlsx&amp;sheet=U0&amp;row=1233&amp;col=6&amp;number=3.9&amp;sourceID=14","3.9")</f>
        <v>3.9</v>
      </c>
      <c r="G1233" s="4" t="str">
        <f>HYPERLINK("http://141.218.60.56/~jnz1568/getInfo.php?workbook=14_09.xlsx&amp;sheet=U0&amp;row=1233&amp;col=7&amp;number=0.0294&amp;sourceID=14","0.0294")</f>
        <v>0.0294</v>
      </c>
    </row>
    <row r="1234" spans="1:7">
      <c r="A1234" s="3"/>
      <c r="B1234" s="3"/>
      <c r="C1234" s="3"/>
      <c r="D1234" s="3"/>
      <c r="E1234" s="3">
        <v>11</v>
      </c>
      <c r="F1234" s="4" t="str">
        <f>HYPERLINK("http://141.218.60.56/~jnz1568/getInfo.php?workbook=14_09.xlsx&amp;sheet=U0&amp;row=1234&amp;col=6&amp;number=4&amp;sourceID=14","4")</f>
        <v>4</v>
      </c>
      <c r="G1234" s="4" t="str">
        <f>HYPERLINK("http://141.218.60.56/~jnz1568/getInfo.php?workbook=14_09.xlsx&amp;sheet=U0&amp;row=1234&amp;col=7&amp;number=0.029&amp;sourceID=14","0.029")</f>
        <v>0.029</v>
      </c>
    </row>
    <row r="1235" spans="1:7">
      <c r="A1235" s="3"/>
      <c r="B1235" s="3"/>
      <c r="C1235" s="3"/>
      <c r="D1235" s="3"/>
      <c r="E1235" s="3">
        <v>12</v>
      </c>
      <c r="F1235" s="4" t="str">
        <f>HYPERLINK("http://141.218.60.56/~jnz1568/getInfo.php?workbook=14_09.xlsx&amp;sheet=U0&amp;row=1235&amp;col=6&amp;number=4.1&amp;sourceID=14","4.1")</f>
        <v>4.1</v>
      </c>
      <c r="G1235" s="4" t="str">
        <f>HYPERLINK("http://141.218.60.56/~jnz1568/getInfo.php?workbook=14_09.xlsx&amp;sheet=U0&amp;row=1235&amp;col=7&amp;number=0.0284&amp;sourceID=14","0.0284")</f>
        <v>0.0284</v>
      </c>
    </row>
    <row r="1236" spans="1:7">
      <c r="A1236" s="3"/>
      <c r="B1236" s="3"/>
      <c r="C1236" s="3"/>
      <c r="D1236" s="3"/>
      <c r="E1236" s="3">
        <v>13</v>
      </c>
      <c r="F1236" s="4" t="str">
        <f>HYPERLINK("http://141.218.60.56/~jnz1568/getInfo.php?workbook=14_09.xlsx&amp;sheet=U0&amp;row=1236&amp;col=6&amp;number=4.2&amp;sourceID=14","4.2")</f>
        <v>4.2</v>
      </c>
      <c r="G1236" s="4" t="str">
        <f>HYPERLINK("http://141.218.60.56/~jnz1568/getInfo.php?workbook=14_09.xlsx&amp;sheet=U0&amp;row=1236&amp;col=7&amp;number=0.0278&amp;sourceID=14","0.0278")</f>
        <v>0.0278</v>
      </c>
    </row>
    <row r="1237" spans="1:7">
      <c r="A1237" s="3"/>
      <c r="B1237" s="3"/>
      <c r="C1237" s="3"/>
      <c r="D1237" s="3"/>
      <c r="E1237" s="3">
        <v>14</v>
      </c>
      <c r="F1237" s="4" t="str">
        <f>HYPERLINK("http://141.218.60.56/~jnz1568/getInfo.php?workbook=14_09.xlsx&amp;sheet=U0&amp;row=1237&amp;col=6&amp;number=4.3&amp;sourceID=14","4.3")</f>
        <v>4.3</v>
      </c>
      <c r="G1237" s="4" t="str">
        <f>HYPERLINK("http://141.218.60.56/~jnz1568/getInfo.php?workbook=14_09.xlsx&amp;sheet=U0&amp;row=1237&amp;col=7&amp;number=0.0269&amp;sourceID=14","0.0269")</f>
        <v>0.0269</v>
      </c>
    </row>
    <row r="1238" spans="1:7">
      <c r="A1238" s="3"/>
      <c r="B1238" s="3"/>
      <c r="C1238" s="3"/>
      <c r="D1238" s="3"/>
      <c r="E1238" s="3">
        <v>15</v>
      </c>
      <c r="F1238" s="4" t="str">
        <f>HYPERLINK("http://141.218.60.56/~jnz1568/getInfo.php?workbook=14_09.xlsx&amp;sheet=U0&amp;row=1238&amp;col=6&amp;number=4.4&amp;sourceID=14","4.4")</f>
        <v>4.4</v>
      </c>
      <c r="G1238" s="4" t="str">
        <f>HYPERLINK("http://141.218.60.56/~jnz1568/getInfo.php?workbook=14_09.xlsx&amp;sheet=U0&amp;row=1238&amp;col=7&amp;number=0.0259&amp;sourceID=14","0.0259")</f>
        <v>0.0259</v>
      </c>
    </row>
    <row r="1239" spans="1:7">
      <c r="A1239" s="3"/>
      <c r="B1239" s="3"/>
      <c r="C1239" s="3"/>
      <c r="D1239" s="3"/>
      <c r="E1239" s="3">
        <v>16</v>
      </c>
      <c r="F1239" s="4" t="str">
        <f>HYPERLINK("http://141.218.60.56/~jnz1568/getInfo.php?workbook=14_09.xlsx&amp;sheet=U0&amp;row=1239&amp;col=6&amp;number=4.5&amp;sourceID=14","4.5")</f>
        <v>4.5</v>
      </c>
      <c r="G1239" s="4" t="str">
        <f>HYPERLINK("http://141.218.60.56/~jnz1568/getInfo.php?workbook=14_09.xlsx&amp;sheet=U0&amp;row=1239&amp;col=7&amp;number=0.0247&amp;sourceID=14","0.0247")</f>
        <v>0.0247</v>
      </c>
    </row>
    <row r="1240" spans="1:7">
      <c r="A1240" s="3"/>
      <c r="B1240" s="3"/>
      <c r="C1240" s="3"/>
      <c r="D1240" s="3"/>
      <c r="E1240" s="3">
        <v>17</v>
      </c>
      <c r="F1240" s="4" t="str">
        <f>HYPERLINK("http://141.218.60.56/~jnz1568/getInfo.php?workbook=14_09.xlsx&amp;sheet=U0&amp;row=1240&amp;col=6&amp;number=4.6&amp;sourceID=14","4.6")</f>
        <v>4.6</v>
      </c>
      <c r="G1240" s="4" t="str">
        <f>HYPERLINK("http://141.218.60.56/~jnz1568/getInfo.php?workbook=14_09.xlsx&amp;sheet=U0&amp;row=1240&amp;col=7&amp;number=0.0232&amp;sourceID=14","0.0232")</f>
        <v>0.0232</v>
      </c>
    </row>
    <row r="1241" spans="1:7">
      <c r="A1241" s="3"/>
      <c r="B1241" s="3"/>
      <c r="C1241" s="3"/>
      <c r="D1241" s="3"/>
      <c r="E1241" s="3">
        <v>18</v>
      </c>
      <c r="F1241" s="4" t="str">
        <f>HYPERLINK("http://141.218.60.56/~jnz1568/getInfo.php?workbook=14_09.xlsx&amp;sheet=U0&amp;row=1241&amp;col=6&amp;number=4.7&amp;sourceID=14","4.7")</f>
        <v>4.7</v>
      </c>
      <c r="G1241" s="4" t="str">
        <f>HYPERLINK("http://141.218.60.56/~jnz1568/getInfo.php?workbook=14_09.xlsx&amp;sheet=U0&amp;row=1241&amp;col=7&amp;number=0.0214&amp;sourceID=14","0.0214")</f>
        <v>0.0214</v>
      </c>
    </row>
    <row r="1242" spans="1:7">
      <c r="A1242" s="3"/>
      <c r="B1242" s="3"/>
      <c r="C1242" s="3"/>
      <c r="D1242" s="3"/>
      <c r="E1242" s="3">
        <v>19</v>
      </c>
      <c r="F1242" s="4" t="str">
        <f>HYPERLINK("http://141.218.60.56/~jnz1568/getInfo.php?workbook=14_09.xlsx&amp;sheet=U0&amp;row=1242&amp;col=6&amp;number=4.8&amp;sourceID=14","4.8")</f>
        <v>4.8</v>
      </c>
      <c r="G1242" s="4" t="str">
        <f>HYPERLINK("http://141.218.60.56/~jnz1568/getInfo.php?workbook=14_09.xlsx&amp;sheet=U0&amp;row=1242&amp;col=7&amp;number=0.0194&amp;sourceID=14","0.0194")</f>
        <v>0.0194</v>
      </c>
    </row>
    <row r="1243" spans="1:7">
      <c r="A1243" s="3"/>
      <c r="B1243" s="3"/>
      <c r="C1243" s="3"/>
      <c r="D1243" s="3"/>
      <c r="E1243" s="3">
        <v>20</v>
      </c>
      <c r="F1243" s="4" t="str">
        <f>HYPERLINK("http://141.218.60.56/~jnz1568/getInfo.php?workbook=14_09.xlsx&amp;sheet=U0&amp;row=1243&amp;col=6&amp;number=4.9&amp;sourceID=14","4.9")</f>
        <v>4.9</v>
      </c>
      <c r="G1243" s="4" t="str">
        <f>HYPERLINK("http://141.218.60.56/~jnz1568/getInfo.php?workbook=14_09.xlsx&amp;sheet=U0&amp;row=1243&amp;col=7&amp;number=0.0171&amp;sourceID=14","0.0171")</f>
        <v>0.0171</v>
      </c>
    </row>
    <row r="1244" spans="1:7">
      <c r="A1244" s="3">
        <v>14</v>
      </c>
      <c r="B1244" s="3">
        <v>9</v>
      </c>
      <c r="C1244" s="3">
        <v>1</v>
      </c>
      <c r="D1244" s="3">
        <v>64</v>
      </c>
      <c r="E1244" s="3">
        <v>1</v>
      </c>
      <c r="F1244" s="4" t="str">
        <f>HYPERLINK("http://141.218.60.56/~jnz1568/getInfo.php?workbook=14_09.xlsx&amp;sheet=U0&amp;row=1244&amp;col=6&amp;number=3&amp;sourceID=14","3")</f>
        <v>3</v>
      </c>
      <c r="G1244" s="4" t="str">
        <f>HYPERLINK("http://141.218.60.56/~jnz1568/getInfo.php?workbook=14_09.xlsx&amp;sheet=U0&amp;row=1244&amp;col=7&amp;number=0.0818&amp;sourceID=14","0.0818")</f>
        <v>0.0818</v>
      </c>
    </row>
    <row r="1245" spans="1:7">
      <c r="A1245" s="3"/>
      <c r="B1245" s="3"/>
      <c r="C1245" s="3"/>
      <c r="D1245" s="3"/>
      <c r="E1245" s="3">
        <v>2</v>
      </c>
      <c r="F1245" s="4" t="str">
        <f>HYPERLINK("http://141.218.60.56/~jnz1568/getInfo.php?workbook=14_09.xlsx&amp;sheet=U0&amp;row=1245&amp;col=6&amp;number=3.1&amp;sourceID=14","3.1")</f>
        <v>3.1</v>
      </c>
      <c r="G1245" s="4" t="str">
        <f>HYPERLINK("http://141.218.60.56/~jnz1568/getInfo.php?workbook=14_09.xlsx&amp;sheet=U0&amp;row=1245&amp;col=7&amp;number=0.0817&amp;sourceID=14","0.0817")</f>
        <v>0.0817</v>
      </c>
    </row>
    <row r="1246" spans="1:7">
      <c r="A1246" s="3"/>
      <c r="B1246" s="3"/>
      <c r="C1246" s="3"/>
      <c r="D1246" s="3"/>
      <c r="E1246" s="3">
        <v>3</v>
      </c>
      <c r="F1246" s="4" t="str">
        <f>HYPERLINK("http://141.218.60.56/~jnz1568/getInfo.php?workbook=14_09.xlsx&amp;sheet=U0&amp;row=1246&amp;col=6&amp;number=3.2&amp;sourceID=14","3.2")</f>
        <v>3.2</v>
      </c>
      <c r="G1246" s="4" t="str">
        <f>HYPERLINK("http://141.218.60.56/~jnz1568/getInfo.php?workbook=14_09.xlsx&amp;sheet=U0&amp;row=1246&amp;col=7&amp;number=0.0815&amp;sourceID=14","0.0815")</f>
        <v>0.0815</v>
      </c>
    </row>
    <row r="1247" spans="1:7">
      <c r="A1247" s="3"/>
      <c r="B1247" s="3"/>
      <c r="C1247" s="3"/>
      <c r="D1247" s="3"/>
      <c r="E1247" s="3">
        <v>4</v>
      </c>
      <c r="F1247" s="4" t="str">
        <f>HYPERLINK("http://141.218.60.56/~jnz1568/getInfo.php?workbook=14_09.xlsx&amp;sheet=U0&amp;row=1247&amp;col=6&amp;number=3.3&amp;sourceID=14","3.3")</f>
        <v>3.3</v>
      </c>
      <c r="G1247" s="4" t="str">
        <f>HYPERLINK("http://141.218.60.56/~jnz1568/getInfo.php?workbook=14_09.xlsx&amp;sheet=U0&amp;row=1247&amp;col=7&amp;number=0.0813&amp;sourceID=14","0.0813")</f>
        <v>0.0813</v>
      </c>
    </row>
    <row r="1248" spans="1:7">
      <c r="A1248" s="3"/>
      <c r="B1248" s="3"/>
      <c r="C1248" s="3"/>
      <c r="D1248" s="3"/>
      <c r="E1248" s="3">
        <v>5</v>
      </c>
      <c r="F1248" s="4" t="str">
        <f>HYPERLINK("http://141.218.60.56/~jnz1568/getInfo.php?workbook=14_09.xlsx&amp;sheet=U0&amp;row=1248&amp;col=6&amp;number=3.4&amp;sourceID=14","3.4")</f>
        <v>3.4</v>
      </c>
      <c r="G1248" s="4" t="str">
        <f>HYPERLINK("http://141.218.60.56/~jnz1568/getInfo.php?workbook=14_09.xlsx&amp;sheet=U0&amp;row=1248&amp;col=7&amp;number=0.081&amp;sourceID=14","0.081")</f>
        <v>0.081</v>
      </c>
    </row>
    <row r="1249" spans="1:7">
      <c r="A1249" s="3"/>
      <c r="B1249" s="3"/>
      <c r="C1249" s="3"/>
      <c r="D1249" s="3"/>
      <c r="E1249" s="3">
        <v>6</v>
      </c>
      <c r="F1249" s="4" t="str">
        <f>HYPERLINK("http://141.218.60.56/~jnz1568/getInfo.php?workbook=14_09.xlsx&amp;sheet=U0&amp;row=1249&amp;col=6&amp;number=3.5&amp;sourceID=14","3.5")</f>
        <v>3.5</v>
      </c>
      <c r="G1249" s="4" t="str">
        <f>HYPERLINK("http://141.218.60.56/~jnz1568/getInfo.php?workbook=14_09.xlsx&amp;sheet=U0&amp;row=1249&amp;col=7&amp;number=0.0806&amp;sourceID=14","0.0806")</f>
        <v>0.0806</v>
      </c>
    </row>
    <row r="1250" spans="1:7">
      <c r="A1250" s="3"/>
      <c r="B1250" s="3"/>
      <c r="C1250" s="3"/>
      <c r="D1250" s="3"/>
      <c r="E1250" s="3">
        <v>7</v>
      </c>
      <c r="F1250" s="4" t="str">
        <f>HYPERLINK("http://141.218.60.56/~jnz1568/getInfo.php?workbook=14_09.xlsx&amp;sheet=U0&amp;row=1250&amp;col=6&amp;number=3.6&amp;sourceID=14","3.6")</f>
        <v>3.6</v>
      </c>
      <c r="G1250" s="4" t="str">
        <f>HYPERLINK("http://141.218.60.56/~jnz1568/getInfo.php?workbook=14_09.xlsx&amp;sheet=U0&amp;row=1250&amp;col=7&amp;number=0.0802&amp;sourceID=14","0.0802")</f>
        <v>0.0802</v>
      </c>
    </row>
    <row r="1251" spans="1:7">
      <c r="A1251" s="3"/>
      <c r="B1251" s="3"/>
      <c r="C1251" s="3"/>
      <c r="D1251" s="3"/>
      <c r="E1251" s="3">
        <v>8</v>
      </c>
      <c r="F1251" s="4" t="str">
        <f>HYPERLINK("http://141.218.60.56/~jnz1568/getInfo.php?workbook=14_09.xlsx&amp;sheet=U0&amp;row=1251&amp;col=6&amp;number=3.7&amp;sourceID=14","3.7")</f>
        <v>3.7</v>
      </c>
      <c r="G1251" s="4" t="str">
        <f>HYPERLINK("http://141.218.60.56/~jnz1568/getInfo.php?workbook=14_09.xlsx&amp;sheet=U0&amp;row=1251&amp;col=7&amp;number=0.0796&amp;sourceID=14","0.0796")</f>
        <v>0.0796</v>
      </c>
    </row>
    <row r="1252" spans="1:7">
      <c r="A1252" s="3"/>
      <c r="B1252" s="3"/>
      <c r="C1252" s="3"/>
      <c r="D1252" s="3"/>
      <c r="E1252" s="3">
        <v>9</v>
      </c>
      <c r="F1252" s="4" t="str">
        <f>HYPERLINK("http://141.218.60.56/~jnz1568/getInfo.php?workbook=14_09.xlsx&amp;sheet=U0&amp;row=1252&amp;col=6&amp;number=3.8&amp;sourceID=14","3.8")</f>
        <v>3.8</v>
      </c>
      <c r="G1252" s="4" t="str">
        <f>HYPERLINK("http://141.218.60.56/~jnz1568/getInfo.php?workbook=14_09.xlsx&amp;sheet=U0&amp;row=1252&amp;col=7&amp;number=0.0789&amp;sourceID=14","0.0789")</f>
        <v>0.0789</v>
      </c>
    </row>
    <row r="1253" spans="1:7">
      <c r="A1253" s="3"/>
      <c r="B1253" s="3"/>
      <c r="C1253" s="3"/>
      <c r="D1253" s="3"/>
      <c r="E1253" s="3">
        <v>10</v>
      </c>
      <c r="F1253" s="4" t="str">
        <f>HYPERLINK("http://141.218.60.56/~jnz1568/getInfo.php?workbook=14_09.xlsx&amp;sheet=U0&amp;row=1253&amp;col=6&amp;number=3.9&amp;sourceID=14","3.9")</f>
        <v>3.9</v>
      </c>
      <c r="G1253" s="4" t="str">
        <f>HYPERLINK("http://141.218.60.56/~jnz1568/getInfo.php?workbook=14_09.xlsx&amp;sheet=U0&amp;row=1253&amp;col=7&amp;number=0.078&amp;sourceID=14","0.078")</f>
        <v>0.078</v>
      </c>
    </row>
    <row r="1254" spans="1:7">
      <c r="A1254" s="3"/>
      <c r="B1254" s="3"/>
      <c r="C1254" s="3"/>
      <c r="D1254" s="3"/>
      <c r="E1254" s="3">
        <v>11</v>
      </c>
      <c r="F1254" s="4" t="str">
        <f>HYPERLINK("http://141.218.60.56/~jnz1568/getInfo.php?workbook=14_09.xlsx&amp;sheet=U0&amp;row=1254&amp;col=6&amp;number=4&amp;sourceID=14","4")</f>
        <v>4</v>
      </c>
      <c r="G1254" s="4" t="str">
        <f>HYPERLINK("http://141.218.60.56/~jnz1568/getInfo.php?workbook=14_09.xlsx&amp;sheet=U0&amp;row=1254&amp;col=7&amp;number=0.0769&amp;sourceID=14","0.0769")</f>
        <v>0.0769</v>
      </c>
    </row>
    <row r="1255" spans="1:7">
      <c r="A1255" s="3"/>
      <c r="B1255" s="3"/>
      <c r="C1255" s="3"/>
      <c r="D1255" s="3"/>
      <c r="E1255" s="3">
        <v>12</v>
      </c>
      <c r="F1255" s="4" t="str">
        <f>HYPERLINK("http://141.218.60.56/~jnz1568/getInfo.php?workbook=14_09.xlsx&amp;sheet=U0&amp;row=1255&amp;col=6&amp;number=4.1&amp;sourceID=14","4.1")</f>
        <v>4.1</v>
      </c>
      <c r="G1255" s="4" t="str">
        <f>HYPERLINK("http://141.218.60.56/~jnz1568/getInfo.php?workbook=14_09.xlsx&amp;sheet=U0&amp;row=1255&amp;col=7&amp;number=0.0755&amp;sourceID=14","0.0755")</f>
        <v>0.0755</v>
      </c>
    </row>
    <row r="1256" spans="1:7">
      <c r="A1256" s="3"/>
      <c r="B1256" s="3"/>
      <c r="C1256" s="3"/>
      <c r="D1256" s="3"/>
      <c r="E1256" s="3">
        <v>13</v>
      </c>
      <c r="F1256" s="4" t="str">
        <f>HYPERLINK("http://141.218.60.56/~jnz1568/getInfo.php?workbook=14_09.xlsx&amp;sheet=U0&amp;row=1256&amp;col=6&amp;number=4.2&amp;sourceID=14","4.2")</f>
        <v>4.2</v>
      </c>
      <c r="G1256" s="4" t="str">
        <f>HYPERLINK("http://141.218.60.56/~jnz1568/getInfo.php?workbook=14_09.xlsx&amp;sheet=U0&amp;row=1256&amp;col=7&amp;number=0.0738&amp;sourceID=14","0.0738")</f>
        <v>0.0738</v>
      </c>
    </row>
    <row r="1257" spans="1:7">
      <c r="A1257" s="3"/>
      <c r="B1257" s="3"/>
      <c r="C1257" s="3"/>
      <c r="D1257" s="3"/>
      <c r="E1257" s="3">
        <v>14</v>
      </c>
      <c r="F1257" s="4" t="str">
        <f>HYPERLINK("http://141.218.60.56/~jnz1568/getInfo.php?workbook=14_09.xlsx&amp;sheet=U0&amp;row=1257&amp;col=6&amp;number=4.3&amp;sourceID=14","4.3")</f>
        <v>4.3</v>
      </c>
      <c r="G1257" s="4" t="str">
        <f>HYPERLINK("http://141.218.60.56/~jnz1568/getInfo.php?workbook=14_09.xlsx&amp;sheet=U0&amp;row=1257&amp;col=7&amp;number=0.0716&amp;sourceID=14","0.0716")</f>
        <v>0.0716</v>
      </c>
    </row>
    <row r="1258" spans="1:7">
      <c r="A1258" s="3"/>
      <c r="B1258" s="3"/>
      <c r="C1258" s="3"/>
      <c r="D1258" s="3"/>
      <c r="E1258" s="3">
        <v>15</v>
      </c>
      <c r="F1258" s="4" t="str">
        <f>HYPERLINK("http://141.218.60.56/~jnz1568/getInfo.php?workbook=14_09.xlsx&amp;sheet=U0&amp;row=1258&amp;col=6&amp;number=4.4&amp;sourceID=14","4.4")</f>
        <v>4.4</v>
      </c>
      <c r="G1258" s="4" t="str">
        <f>HYPERLINK("http://141.218.60.56/~jnz1568/getInfo.php?workbook=14_09.xlsx&amp;sheet=U0&amp;row=1258&amp;col=7&amp;number=0.069&amp;sourceID=14","0.069")</f>
        <v>0.069</v>
      </c>
    </row>
    <row r="1259" spans="1:7">
      <c r="A1259" s="3"/>
      <c r="B1259" s="3"/>
      <c r="C1259" s="3"/>
      <c r="D1259" s="3"/>
      <c r="E1259" s="3">
        <v>16</v>
      </c>
      <c r="F1259" s="4" t="str">
        <f>HYPERLINK("http://141.218.60.56/~jnz1568/getInfo.php?workbook=14_09.xlsx&amp;sheet=U0&amp;row=1259&amp;col=6&amp;number=4.5&amp;sourceID=14","4.5")</f>
        <v>4.5</v>
      </c>
      <c r="G1259" s="4" t="str">
        <f>HYPERLINK("http://141.218.60.56/~jnz1568/getInfo.php?workbook=14_09.xlsx&amp;sheet=U0&amp;row=1259&amp;col=7&amp;number=0.0659&amp;sourceID=14","0.0659")</f>
        <v>0.0659</v>
      </c>
    </row>
    <row r="1260" spans="1:7">
      <c r="A1260" s="3"/>
      <c r="B1260" s="3"/>
      <c r="C1260" s="3"/>
      <c r="D1260" s="3"/>
      <c r="E1260" s="3">
        <v>17</v>
      </c>
      <c r="F1260" s="4" t="str">
        <f>HYPERLINK("http://141.218.60.56/~jnz1568/getInfo.php?workbook=14_09.xlsx&amp;sheet=U0&amp;row=1260&amp;col=6&amp;number=4.6&amp;sourceID=14","4.6")</f>
        <v>4.6</v>
      </c>
      <c r="G1260" s="4" t="str">
        <f>HYPERLINK("http://141.218.60.56/~jnz1568/getInfo.php?workbook=14_09.xlsx&amp;sheet=U0&amp;row=1260&amp;col=7&amp;number=0.062&amp;sourceID=14","0.062")</f>
        <v>0.062</v>
      </c>
    </row>
    <row r="1261" spans="1:7">
      <c r="A1261" s="3"/>
      <c r="B1261" s="3"/>
      <c r="C1261" s="3"/>
      <c r="D1261" s="3"/>
      <c r="E1261" s="3">
        <v>18</v>
      </c>
      <c r="F1261" s="4" t="str">
        <f>HYPERLINK("http://141.218.60.56/~jnz1568/getInfo.php?workbook=14_09.xlsx&amp;sheet=U0&amp;row=1261&amp;col=6&amp;number=4.7&amp;sourceID=14","4.7")</f>
        <v>4.7</v>
      </c>
      <c r="G1261" s="4" t="str">
        <f>HYPERLINK("http://141.218.60.56/~jnz1568/getInfo.php?workbook=14_09.xlsx&amp;sheet=U0&amp;row=1261&amp;col=7&amp;number=0.0576&amp;sourceID=14","0.0576")</f>
        <v>0.0576</v>
      </c>
    </row>
    <row r="1262" spans="1:7">
      <c r="A1262" s="3"/>
      <c r="B1262" s="3"/>
      <c r="C1262" s="3"/>
      <c r="D1262" s="3"/>
      <c r="E1262" s="3">
        <v>19</v>
      </c>
      <c r="F1262" s="4" t="str">
        <f>HYPERLINK("http://141.218.60.56/~jnz1568/getInfo.php?workbook=14_09.xlsx&amp;sheet=U0&amp;row=1262&amp;col=6&amp;number=4.8&amp;sourceID=14","4.8")</f>
        <v>4.8</v>
      </c>
      <c r="G1262" s="4" t="str">
        <f>HYPERLINK("http://141.218.60.56/~jnz1568/getInfo.php?workbook=14_09.xlsx&amp;sheet=U0&amp;row=1262&amp;col=7&amp;number=0.0524&amp;sourceID=14","0.0524")</f>
        <v>0.0524</v>
      </c>
    </row>
    <row r="1263" spans="1:7">
      <c r="A1263" s="3"/>
      <c r="B1263" s="3"/>
      <c r="C1263" s="3"/>
      <c r="D1263" s="3"/>
      <c r="E1263" s="3">
        <v>20</v>
      </c>
      <c r="F1263" s="4" t="str">
        <f>HYPERLINK("http://141.218.60.56/~jnz1568/getInfo.php?workbook=14_09.xlsx&amp;sheet=U0&amp;row=1263&amp;col=6&amp;number=4.9&amp;sourceID=14","4.9")</f>
        <v>4.9</v>
      </c>
      <c r="G1263" s="4" t="str">
        <f>HYPERLINK("http://141.218.60.56/~jnz1568/getInfo.php?workbook=14_09.xlsx&amp;sheet=U0&amp;row=1263&amp;col=7&amp;number=0.0469&amp;sourceID=14","0.0469")</f>
        <v>0.0469</v>
      </c>
    </row>
    <row r="1264" spans="1:7">
      <c r="A1264" s="3">
        <v>14</v>
      </c>
      <c r="B1264" s="3">
        <v>9</v>
      </c>
      <c r="C1264" s="3">
        <v>1</v>
      </c>
      <c r="D1264" s="3">
        <v>65</v>
      </c>
      <c r="E1264" s="3">
        <v>1</v>
      </c>
      <c r="F1264" s="4" t="str">
        <f>HYPERLINK("http://141.218.60.56/~jnz1568/getInfo.php?workbook=14_09.xlsx&amp;sheet=U0&amp;row=1264&amp;col=6&amp;number=3&amp;sourceID=14","3")</f>
        <v>3</v>
      </c>
      <c r="G1264" s="4" t="str">
        <f>HYPERLINK("http://141.218.60.56/~jnz1568/getInfo.php?workbook=14_09.xlsx&amp;sheet=U0&amp;row=1264&amp;col=7&amp;number=0.0426&amp;sourceID=14","0.0426")</f>
        <v>0.0426</v>
      </c>
    </row>
    <row r="1265" spans="1:7">
      <c r="A1265" s="3"/>
      <c r="B1265" s="3"/>
      <c r="C1265" s="3"/>
      <c r="D1265" s="3"/>
      <c r="E1265" s="3">
        <v>2</v>
      </c>
      <c r="F1265" s="4" t="str">
        <f>HYPERLINK("http://141.218.60.56/~jnz1568/getInfo.php?workbook=14_09.xlsx&amp;sheet=U0&amp;row=1265&amp;col=6&amp;number=3.1&amp;sourceID=14","3.1")</f>
        <v>3.1</v>
      </c>
      <c r="G1265" s="4" t="str">
        <f>HYPERLINK("http://141.218.60.56/~jnz1568/getInfo.php?workbook=14_09.xlsx&amp;sheet=U0&amp;row=1265&amp;col=7&amp;number=0.0425&amp;sourceID=14","0.0425")</f>
        <v>0.0425</v>
      </c>
    </row>
    <row r="1266" spans="1:7">
      <c r="A1266" s="3"/>
      <c r="B1266" s="3"/>
      <c r="C1266" s="3"/>
      <c r="D1266" s="3"/>
      <c r="E1266" s="3">
        <v>3</v>
      </c>
      <c r="F1266" s="4" t="str">
        <f>HYPERLINK("http://141.218.60.56/~jnz1568/getInfo.php?workbook=14_09.xlsx&amp;sheet=U0&amp;row=1266&amp;col=6&amp;number=3.2&amp;sourceID=14","3.2")</f>
        <v>3.2</v>
      </c>
      <c r="G1266" s="4" t="str">
        <f>HYPERLINK("http://141.218.60.56/~jnz1568/getInfo.php?workbook=14_09.xlsx&amp;sheet=U0&amp;row=1266&amp;col=7&amp;number=0.0424&amp;sourceID=14","0.0424")</f>
        <v>0.0424</v>
      </c>
    </row>
    <row r="1267" spans="1:7">
      <c r="A1267" s="3"/>
      <c r="B1267" s="3"/>
      <c r="C1267" s="3"/>
      <c r="D1267" s="3"/>
      <c r="E1267" s="3">
        <v>4</v>
      </c>
      <c r="F1267" s="4" t="str">
        <f>HYPERLINK("http://141.218.60.56/~jnz1568/getInfo.php?workbook=14_09.xlsx&amp;sheet=U0&amp;row=1267&amp;col=6&amp;number=3.3&amp;sourceID=14","3.3")</f>
        <v>3.3</v>
      </c>
      <c r="G1267" s="4" t="str">
        <f>HYPERLINK("http://141.218.60.56/~jnz1568/getInfo.php?workbook=14_09.xlsx&amp;sheet=U0&amp;row=1267&amp;col=7&amp;number=0.0423&amp;sourceID=14","0.0423")</f>
        <v>0.0423</v>
      </c>
    </row>
    <row r="1268" spans="1:7">
      <c r="A1268" s="3"/>
      <c r="B1268" s="3"/>
      <c r="C1268" s="3"/>
      <c r="D1268" s="3"/>
      <c r="E1268" s="3">
        <v>5</v>
      </c>
      <c r="F1268" s="4" t="str">
        <f>HYPERLINK("http://141.218.60.56/~jnz1568/getInfo.php?workbook=14_09.xlsx&amp;sheet=U0&amp;row=1268&amp;col=6&amp;number=3.4&amp;sourceID=14","3.4")</f>
        <v>3.4</v>
      </c>
      <c r="G1268" s="4" t="str">
        <f>HYPERLINK("http://141.218.60.56/~jnz1568/getInfo.php?workbook=14_09.xlsx&amp;sheet=U0&amp;row=1268&amp;col=7&amp;number=0.0421&amp;sourceID=14","0.0421")</f>
        <v>0.0421</v>
      </c>
    </row>
    <row r="1269" spans="1:7">
      <c r="A1269" s="3"/>
      <c r="B1269" s="3"/>
      <c r="C1269" s="3"/>
      <c r="D1269" s="3"/>
      <c r="E1269" s="3">
        <v>6</v>
      </c>
      <c r="F1269" s="4" t="str">
        <f>HYPERLINK("http://141.218.60.56/~jnz1568/getInfo.php?workbook=14_09.xlsx&amp;sheet=U0&amp;row=1269&amp;col=6&amp;number=3.5&amp;sourceID=14","3.5")</f>
        <v>3.5</v>
      </c>
      <c r="G1269" s="4" t="str">
        <f>HYPERLINK("http://141.218.60.56/~jnz1568/getInfo.php?workbook=14_09.xlsx&amp;sheet=U0&amp;row=1269&amp;col=7&amp;number=0.0419&amp;sourceID=14","0.0419")</f>
        <v>0.0419</v>
      </c>
    </row>
    <row r="1270" spans="1:7">
      <c r="A1270" s="3"/>
      <c r="B1270" s="3"/>
      <c r="C1270" s="3"/>
      <c r="D1270" s="3"/>
      <c r="E1270" s="3">
        <v>7</v>
      </c>
      <c r="F1270" s="4" t="str">
        <f>HYPERLINK("http://141.218.60.56/~jnz1568/getInfo.php?workbook=14_09.xlsx&amp;sheet=U0&amp;row=1270&amp;col=6&amp;number=3.6&amp;sourceID=14","3.6")</f>
        <v>3.6</v>
      </c>
      <c r="G1270" s="4" t="str">
        <f>HYPERLINK("http://141.218.60.56/~jnz1568/getInfo.php?workbook=14_09.xlsx&amp;sheet=U0&amp;row=1270&amp;col=7&amp;number=0.0417&amp;sourceID=14","0.0417")</f>
        <v>0.0417</v>
      </c>
    </row>
    <row r="1271" spans="1:7">
      <c r="A1271" s="3"/>
      <c r="B1271" s="3"/>
      <c r="C1271" s="3"/>
      <c r="D1271" s="3"/>
      <c r="E1271" s="3">
        <v>8</v>
      </c>
      <c r="F1271" s="4" t="str">
        <f>HYPERLINK("http://141.218.60.56/~jnz1568/getInfo.php?workbook=14_09.xlsx&amp;sheet=U0&amp;row=1271&amp;col=6&amp;number=3.7&amp;sourceID=14","3.7")</f>
        <v>3.7</v>
      </c>
      <c r="G1271" s="4" t="str">
        <f>HYPERLINK("http://141.218.60.56/~jnz1568/getInfo.php?workbook=14_09.xlsx&amp;sheet=U0&amp;row=1271&amp;col=7&amp;number=0.0414&amp;sourceID=14","0.0414")</f>
        <v>0.0414</v>
      </c>
    </row>
    <row r="1272" spans="1:7">
      <c r="A1272" s="3"/>
      <c r="B1272" s="3"/>
      <c r="C1272" s="3"/>
      <c r="D1272" s="3"/>
      <c r="E1272" s="3">
        <v>9</v>
      </c>
      <c r="F1272" s="4" t="str">
        <f>HYPERLINK("http://141.218.60.56/~jnz1568/getInfo.php?workbook=14_09.xlsx&amp;sheet=U0&amp;row=1272&amp;col=6&amp;number=3.8&amp;sourceID=14","3.8")</f>
        <v>3.8</v>
      </c>
      <c r="G1272" s="4" t="str">
        <f>HYPERLINK("http://141.218.60.56/~jnz1568/getInfo.php?workbook=14_09.xlsx&amp;sheet=U0&amp;row=1272&amp;col=7&amp;number=0.041&amp;sourceID=14","0.041")</f>
        <v>0.041</v>
      </c>
    </row>
    <row r="1273" spans="1:7">
      <c r="A1273" s="3"/>
      <c r="B1273" s="3"/>
      <c r="C1273" s="3"/>
      <c r="D1273" s="3"/>
      <c r="E1273" s="3">
        <v>10</v>
      </c>
      <c r="F1273" s="4" t="str">
        <f>HYPERLINK("http://141.218.60.56/~jnz1568/getInfo.php?workbook=14_09.xlsx&amp;sheet=U0&amp;row=1273&amp;col=6&amp;number=3.9&amp;sourceID=14","3.9")</f>
        <v>3.9</v>
      </c>
      <c r="G1273" s="4" t="str">
        <f>HYPERLINK("http://141.218.60.56/~jnz1568/getInfo.php?workbook=14_09.xlsx&amp;sheet=U0&amp;row=1273&amp;col=7&amp;number=0.0405&amp;sourceID=14","0.0405")</f>
        <v>0.0405</v>
      </c>
    </row>
    <row r="1274" spans="1:7">
      <c r="A1274" s="3"/>
      <c r="B1274" s="3"/>
      <c r="C1274" s="3"/>
      <c r="D1274" s="3"/>
      <c r="E1274" s="3">
        <v>11</v>
      </c>
      <c r="F1274" s="4" t="str">
        <f>HYPERLINK("http://141.218.60.56/~jnz1568/getInfo.php?workbook=14_09.xlsx&amp;sheet=U0&amp;row=1274&amp;col=6&amp;number=4&amp;sourceID=14","4")</f>
        <v>4</v>
      </c>
      <c r="G1274" s="4" t="str">
        <f>HYPERLINK("http://141.218.60.56/~jnz1568/getInfo.php?workbook=14_09.xlsx&amp;sheet=U0&amp;row=1274&amp;col=7&amp;number=0.0399&amp;sourceID=14","0.0399")</f>
        <v>0.0399</v>
      </c>
    </row>
    <row r="1275" spans="1:7">
      <c r="A1275" s="3"/>
      <c r="B1275" s="3"/>
      <c r="C1275" s="3"/>
      <c r="D1275" s="3"/>
      <c r="E1275" s="3">
        <v>12</v>
      </c>
      <c r="F1275" s="4" t="str">
        <f>HYPERLINK("http://141.218.60.56/~jnz1568/getInfo.php?workbook=14_09.xlsx&amp;sheet=U0&amp;row=1275&amp;col=6&amp;number=4.1&amp;sourceID=14","4.1")</f>
        <v>4.1</v>
      </c>
      <c r="G1275" s="4" t="str">
        <f>HYPERLINK("http://141.218.60.56/~jnz1568/getInfo.php?workbook=14_09.xlsx&amp;sheet=U0&amp;row=1275&amp;col=7&amp;number=0.0391&amp;sourceID=14","0.0391")</f>
        <v>0.0391</v>
      </c>
    </row>
    <row r="1276" spans="1:7">
      <c r="A1276" s="3"/>
      <c r="B1276" s="3"/>
      <c r="C1276" s="3"/>
      <c r="D1276" s="3"/>
      <c r="E1276" s="3">
        <v>13</v>
      </c>
      <c r="F1276" s="4" t="str">
        <f>HYPERLINK("http://141.218.60.56/~jnz1568/getInfo.php?workbook=14_09.xlsx&amp;sheet=U0&amp;row=1276&amp;col=6&amp;number=4.2&amp;sourceID=14","4.2")</f>
        <v>4.2</v>
      </c>
      <c r="G1276" s="4" t="str">
        <f>HYPERLINK("http://141.218.60.56/~jnz1568/getInfo.php?workbook=14_09.xlsx&amp;sheet=U0&amp;row=1276&amp;col=7&amp;number=0.0382&amp;sourceID=14","0.0382")</f>
        <v>0.0382</v>
      </c>
    </row>
    <row r="1277" spans="1:7">
      <c r="A1277" s="3"/>
      <c r="B1277" s="3"/>
      <c r="C1277" s="3"/>
      <c r="D1277" s="3"/>
      <c r="E1277" s="3">
        <v>14</v>
      </c>
      <c r="F1277" s="4" t="str">
        <f>HYPERLINK("http://141.218.60.56/~jnz1568/getInfo.php?workbook=14_09.xlsx&amp;sheet=U0&amp;row=1277&amp;col=6&amp;number=4.3&amp;sourceID=14","4.3")</f>
        <v>4.3</v>
      </c>
      <c r="G1277" s="4" t="str">
        <f>HYPERLINK("http://141.218.60.56/~jnz1568/getInfo.php?workbook=14_09.xlsx&amp;sheet=U0&amp;row=1277&amp;col=7&amp;number=0.037&amp;sourceID=14","0.037")</f>
        <v>0.037</v>
      </c>
    </row>
    <row r="1278" spans="1:7">
      <c r="A1278" s="3"/>
      <c r="B1278" s="3"/>
      <c r="C1278" s="3"/>
      <c r="D1278" s="3"/>
      <c r="E1278" s="3">
        <v>15</v>
      </c>
      <c r="F1278" s="4" t="str">
        <f>HYPERLINK("http://141.218.60.56/~jnz1568/getInfo.php?workbook=14_09.xlsx&amp;sheet=U0&amp;row=1278&amp;col=6&amp;number=4.4&amp;sourceID=14","4.4")</f>
        <v>4.4</v>
      </c>
      <c r="G1278" s="4" t="str">
        <f>HYPERLINK("http://141.218.60.56/~jnz1568/getInfo.php?workbook=14_09.xlsx&amp;sheet=U0&amp;row=1278&amp;col=7&amp;number=0.0356&amp;sourceID=14","0.0356")</f>
        <v>0.0356</v>
      </c>
    </row>
    <row r="1279" spans="1:7">
      <c r="A1279" s="3"/>
      <c r="B1279" s="3"/>
      <c r="C1279" s="3"/>
      <c r="D1279" s="3"/>
      <c r="E1279" s="3">
        <v>16</v>
      </c>
      <c r="F1279" s="4" t="str">
        <f>HYPERLINK("http://141.218.60.56/~jnz1568/getInfo.php?workbook=14_09.xlsx&amp;sheet=U0&amp;row=1279&amp;col=6&amp;number=4.5&amp;sourceID=14","4.5")</f>
        <v>4.5</v>
      </c>
      <c r="G1279" s="4" t="str">
        <f>HYPERLINK("http://141.218.60.56/~jnz1568/getInfo.php?workbook=14_09.xlsx&amp;sheet=U0&amp;row=1279&amp;col=7&amp;number=0.0338&amp;sourceID=14","0.0338")</f>
        <v>0.0338</v>
      </c>
    </row>
    <row r="1280" spans="1:7">
      <c r="A1280" s="3"/>
      <c r="B1280" s="3"/>
      <c r="C1280" s="3"/>
      <c r="D1280" s="3"/>
      <c r="E1280" s="3">
        <v>17</v>
      </c>
      <c r="F1280" s="4" t="str">
        <f>HYPERLINK("http://141.218.60.56/~jnz1568/getInfo.php?workbook=14_09.xlsx&amp;sheet=U0&amp;row=1280&amp;col=6&amp;number=4.6&amp;sourceID=14","4.6")</f>
        <v>4.6</v>
      </c>
      <c r="G1280" s="4" t="str">
        <f>HYPERLINK("http://141.218.60.56/~jnz1568/getInfo.php?workbook=14_09.xlsx&amp;sheet=U0&amp;row=1280&amp;col=7&amp;number=0.0317&amp;sourceID=14","0.0317")</f>
        <v>0.0317</v>
      </c>
    </row>
    <row r="1281" spans="1:7">
      <c r="A1281" s="3"/>
      <c r="B1281" s="3"/>
      <c r="C1281" s="3"/>
      <c r="D1281" s="3"/>
      <c r="E1281" s="3">
        <v>18</v>
      </c>
      <c r="F1281" s="4" t="str">
        <f>HYPERLINK("http://141.218.60.56/~jnz1568/getInfo.php?workbook=14_09.xlsx&amp;sheet=U0&amp;row=1281&amp;col=6&amp;number=4.7&amp;sourceID=14","4.7")</f>
        <v>4.7</v>
      </c>
      <c r="G1281" s="4" t="str">
        <f>HYPERLINK("http://141.218.60.56/~jnz1568/getInfo.php?workbook=14_09.xlsx&amp;sheet=U0&amp;row=1281&amp;col=7&amp;number=0.0293&amp;sourceID=14","0.0293")</f>
        <v>0.0293</v>
      </c>
    </row>
    <row r="1282" spans="1:7">
      <c r="A1282" s="3"/>
      <c r="B1282" s="3"/>
      <c r="C1282" s="3"/>
      <c r="D1282" s="3"/>
      <c r="E1282" s="3">
        <v>19</v>
      </c>
      <c r="F1282" s="4" t="str">
        <f>HYPERLINK("http://141.218.60.56/~jnz1568/getInfo.php?workbook=14_09.xlsx&amp;sheet=U0&amp;row=1282&amp;col=6&amp;number=4.8&amp;sourceID=14","4.8")</f>
        <v>4.8</v>
      </c>
      <c r="G1282" s="4" t="str">
        <f>HYPERLINK("http://141.218.60.56/~jnz1568/getInfo.php?workbook=14_09.xlsx&amp;sheet=U0&amp;row=1282&amp;col=7&amp;number=0.0265&amp;sourceID=14","0.0265")</f>
        <v>0.0265</v>
      </c>
    </row>
    <row r="1283" spans="1:7">
      <c r="A1283" s="3"/>
      <c r="B1283" s="3"/>
      <c r="C1283" s="3"/>
      <c r="D1283" s="3"/>
      <c r="E1283" s="3">
        <v>20</v>
      </c>
      <c r="F1283" s="4" t="str">
        <f>HYPERLINK("http://141.218.60.56/~jnz1568/getInfo.php?workbook=14_09.xlsx&amp;sheet=U0&amp;row=1283&amp;col=6&amp;number=4.9&amp;sourceID=14","4.9")</f>
        <v>4.9</v>
      </c>
      <c r="G1283" s="4" t="str">
        <f>HYPERLINK("http://141.218.60.56/~jnz1568/getInfo.php?workbook=14_09.xlsx&amp;sheet=U0&amp;row=1283&amp;col=7&amp;number=0.0234&amp;sourceID=14","0.0234")</f>
        <v>0.0234</v>
      </c>
    </row>
    <row r="1284" spans="1:7">
      <c r="A1284" s="3">
        <v>14</v>
      </c>
      <c r="B1284" s="3">
        <v>9</v>
      </c>
      <c r="C1284" s="3">
        <v>1</v>
      </c>
      <c r="D1284" s="3">
        <v>66</v>
      </c>
      <c r="E1284" s="3">
        <v>1</v>
      </c>
      <c r="F1284" s="4" t="str">
        <f>HYPERLINK("http://141.218.60.56/~jnz1568/getInfo.php?workbook=14_09.xlsx&amp;sheet=U0&amp;row=1284&amp;col=6&amp;number=3&amp;sourceID=14","3")</f>
        <v>3</v>
      </c>
      <c r="G1284" s="4" t="str">
        <f>HYPERLINK("http://141.218.60.56/~jnz1568/getInfo.php?workbook=14_09.xlsx&amp;sheet=U0&amp;row=1284&amp;col=7&amp;number=0.0819&amp;sourceID=14","0.0819")</f>
        <v>0.0819</v>
      </c>
    </row>
    <row r="1285" spans="1:7">
      <c r="A1285" s="3"/>
      <c r="B1285" s="3"/>
      <c r="C1285" s="3"/>
      <c r="D1285" s="3"/>
      <c r="E1285" s="3">
        <v>2</v>
      </c>
      <c r="F1285" s="4" t="str">
        <f>HYPERLINK("http://141.218.60.56/~jnz1568/getInfo.php?workbook=14_09.xlsx&amp;sheet=U0&amp;row=1285&amp;col=6&amp;number=3.1&amp;sourceID=14","3.1")</f>
        <v>3.1</v>
      </c>
      <c r="G1285" s="4" t="str">
        <f>HYPERLINK("http://141.218.60.56/~jnz1568/getInfo.php?workbook=14_09.xlsx&amp;sheet=U0&amp;row=1285&amp;col=7&amp;number=0.0818&amp;sourceID=14","0.0818")</f>
        <v>0.0818</v>
      </c>
    </row>
    <row r="1286" spans="1:7">
      <c r="A1286" s="3"/>
      <c r="B1286" s="3"/>
      <c r="C1286" s="3"/>
      <c r="D1286" s="3"/>
      <c r="E1286" s="3">
        <v>3</v>
      </c>
      <c r="F1286" s="4" t="str">
        <f>HYPERLINK("http://141.218.60.56/~jnz1568/getInfo.php?workbook=14_09.xlsx&amp;sheet=U0&amp;row=1286&amp;col=6&amp;number=3.2&amp;sourceID=14","3.2")</f>
        <v>3.2</v>
      </c>
      <c r="G1286" s="4" t="str">
        <f>HYPERLINK("http://141.218.60.56/~jnz1568/getInfo.php?workbook=14_09.xlsx&amp;sheet=U0&amp;row=1286&amp;col=7&amp;number=0.0816&amp;sourceID=14","0.0816")</f>
        <v>0.0816</v>
      </c>
    </row>
    <row r="1287" spans="1:7">
      <c r="A1287" s="3"/>
      <c r="B1287" s="3"/>
      <c r="C1287" s="3"/>
      <c r="D1287" s="3"/>
      <c r="E1287" s="3">
        <v>4</v>
      </c>
      <c r="F1287" s="4" t="str">
        <f>HYPERLINK("http://141.218.60.56/~jnz1568/getInfo.php?workbook=14_09.xlsx&amp;sheet=U0&amp;row=1287&amp;col=6&amp;number=3.3&amp;sourceID=14","3.3")</f>
        <v>3.3</v>
      </c>
      <c r="G1287" s="4" t="str">
        <f>HYPERLINK("http://141.218.60.56/~jnz1568/getInfo.php?workbook=14_09.xlsx&amp;sheet=U0&amp;row=1287&amp;col=7&amp;number=0.0813&amp;sourceID=14","0.0813")</f>
        <v>0.0813</v>
      </c>
    </row>
    <row r="1288" spans="1:7">
      <c r="A1288" s="3"/>
      <c r="B1288" s="3"/>
      <c r="C1288" s="3"/>
      <c r="D1288" s="3"/>
      <c r="E1288" s="3">
        <v>5</v>
      </c>
      <c r="F1288" s="4" t="str">
        <f>HYPERLINK("http://141.218.60.56/~jnz1568/getInfo.php?workbook=14_09.xlsx&amp;sheet=U0&amp;row=1288&amp;col=6&amp;number=3.4&amp;sourceID=14","3.4")</f>
        <v>3.4</v>
      </c>
      <c r="G1288" s="4" t="str">
        <f>HYPERLINK("http://141.218.60.56/~jnz1568/getInfo.php?workbook=14_09.xlsx&amp;sheet=U0&amp;row=1288&amp;col=7&amp;number=0.081&amp;sourceID=14","0.081")</f>
        <v>0.081</v>
      </c>
    </row>
    <row r="1289" spans="1:7">
      <c r="A1289" s="3"/>
      <c r="B1289" s="3"/>
      <c r="C1289" s="3"/>
      <c r="D1289" s="3"/>
      <c r="E1289" s="3">
        <v>6</v>
      </c>
      <c r="F1289" s="4" t="str">
        <f>HYPERLINK("http://141.218.60.56/~jnz1568/getInfo.php?workbook=14_09.xlsx&amp;sheet=U0&amp;row=1289&amp;col=6&amp;number=3.5&amp;sourceID=14","3.5")</f>
        <v>3.5</v>
      </c>
      <c r="G1289" s="4" t="str">
        <f>HYPERLINK("http://141.218.60.56/~jnz1568/getInfo.php?workbook=14_09.xlsx&amp;sheet=U0&amp;row=1289&amp;col=7&amp;number=0.0806&amp;sourceID=14","0.0806")</f>
        <v>0.0806</v>
      </c>
    </row>
    <row r="1290" spans="1:7">
      <c r="A1290" s="3"/>
      <c r="B1290" s="3"/>
      <c r="C1290" s="3"/>
      <c r="D1290" s="3"/>
      <c r="E1290" s="3">
        <v>7</v>
      </c>
      <c r="F1290" s="4" t="str">
        <f>HYPERLINK("http://141.218.60.56/~jnz1568/getInfo.php?workbook=14_09.xlsx&amp;sheet=U0&amp;row=1290&amp;col=6&amp;number=3.6&amp;sourceID=14","3.6")</f>
        <v>3.6</v>
      </c>
      <c r="G1290" s="4" t="str">
        <f>HYPERLINK("http://141.218.60.56/~jnz1568/getInfo.php?workbook=14_09.xlsx&amp;sheet=U0&amp;row=1290&amp;col=7&amp;number=0.0801&amp;sourceID=14","0.0801")</f>
        <v>0.0801</v>
      </c>
    </row>
    <row r="1291" spans="1:7">
      <c r="A1291" s="3"/>
      <c r="B1291" s="3"/>
      <c r="C1291" s="3"/>
      <c r="D1291" s="3"/>
      <c r="E1291" s="3">
        <v>8</v>
      </c>
      <c r="F1291" s="4" t="str">
        <f>HYPERLINK("http://141.218.60.56/~jnz1568/getInfo.php?workbook=14_09.xlsx&amp;sheet=U0&amp;row=1291&amp;col=6&amp;number=3.7&amp;sourceID=14","3.7")</f>
        <v>3.7</v>
      </c>
      <c r="G1291" s="4" t="str">
        <f>HYPERLINK("http://141.218.60.56/~jnz1568/getInfo.php?workbook=14_09.xlsx&amp;sheet=U0&amp;row=1291&amp;col=7&amp;number=0.0795&amp;sourceID=14","0.0795")</f>
        <v>0.0795</v>
      </c>
    </row>
    <row r="1292" spans="1:7">
      <c r="A1292" s="3"/>
      <c r="B1292" s="3"/>
      <c r="C1292" s="3"/>
      <c r="D1292" s="3"/>
      <c r="E1292" s="3">
        <v>9</v>
      </c>
      <c r="F1292" s="4" t="str">
        <f>HYPERLINK("http://141.218.60.56/~jnz1568/getInfo.php?workbook=14_09.xlsx&amp;sheet=U0&amp;row=1292&amp;col=6&amp;number=3.8&amp;sourceID=14","3.8")</f>
        <v>3.8</v>
      </c>
      <c r="G1292" s="4" t="str">
        <f>HYPERLINK("http://141.218.60.56/~jnz1568/getInfo.php?workbook=14_09.xlsx&amp;sheet=U0&amp;row=1292&amp;col=7&amp;number=0.0787&amp;sourceID=14","0.0787")</f>
        <v>0.0787</v>
      </c>
    </row>
    <row r="1293" spans="1:7">
      <c r="A1293" s="3"/>
      <c r="B1293" s="3"/>
      <c r="C1293" s="3"/>
      <c r="D1293" s="3"/>
      <c r="E1293" s="3">
        <v>10</v>
      </c>
      <c r="F1293" s="4" t="str">
        <f>HYPERLINK("http://141.218.60.56/~jnz1568/getInfo.php?workbook=14_09.xlsx&amp;sheet=U0&amp;row=1293&amp;col=6&amp;number=3.9&amp;sourceID=14","3.9")</f>
        <v>3.9</v>
      </c>
      <c r="G1293" s="4" t="str">
        <f>HYPERLINK("http://141.218.60.56/~jnz1568/getInfo.php?workbook=14_09.xlsx&amp;sheet=U0&amp;row=1293&amp;col=7&amp;number=0.0778&amp;sourceID=14","0.0778")</f>
        <v>0.0778</v>
      </c>
    </row>
    <row r="1294" spans="1:7">
      <c r="A1294" s="3"/>
      <c r="B1294" s="3"/>
      <c r="C1294" s="3"/>
      <c r="D1294" s="3"/>
      <c r="E1294" s="3">
        <v>11</v>
      </c>
      <c r="F1294" s="4" t="str">
        <f>HYPERLINK("http://141.218.60.56/~jnz1568/getInfo.php?workbook=14_09.xlsx&amp;sheet=U0&amp;row=1294&amp;col=6&amp;number=4&amp;sourceID=14","4")</f>
        <v>4</v>
      </c>
      <c r="G1294" s="4" t="str">
        <f>HYPERLINK("http://141.218.60.56/~jnz1568/getInfo.php?workbook=14_09.xlsx&amp;sheet=U0&amp;row=1294&amp;col=7&amp;number=0.0766&amp;sourceID=14","0.0766")</f>
        <v>0.0766</v>
      </c>
    </row>
    <row r="1295" spans="1:7">
      <c r="A1295" s="3"/>
      <c r="B1295" s="3"/>
      <c r="C1295" s="3"/>
      <c r="D1295" s="3"/>
      <c r="E1295" s="3">
        <v>12</v>
      </c>
      <c r="F1295" s="4" t="str">
        <f>HYPERLINK("http://141.218.60.56/~jnz1568/getInfo.php?workbook=14_09.xlsx&amp;sheet=U0&amp;row=1295&amp;col=6&amp;number=4.1&amp;sourceID=14","4.1")</f>
        <v>4.1</v>
      </c>
      <c r="G1295" s="4" t="str">
        <f>HYPERLINK("http://141.218.60.56/~jnz1568/getInfo.php?workbook=14_09.xlsx&amp;sheet=U0&amp;row=1295&amp;col=7&amp;number=0.0751&amp;sourceID=14","0.0751")</f>
        <v>0.0751</v>
      </c>
    </row>
    <row r="1296" spans="1:7">
      <c r="A1296" s="3"/>
      <c r="B1296" s="3"/>
      <c r="C1296" s="3"/>
      <c r="D1296" s="3"/>
      <c r="E1296" s="3">
        <v>13</v>
      </c>
      <c r="F1296" s="4" t="str">
        <f>HYPERLINK("http://141.218.60.56/~jnz1568/getInfo.php?workbook=14_09.xlsx&amp;sheet=U0&amp;row=1296&amp;col=6&amp;number=4.2&amp;sourceID=14","4.2")</f>
        <v>4.2</v>
      </c>
      <c r="G1296" s="4" t="str">
        <f>HYPERLINK("http://141.218.60.56/~jnz1568/getInfo.php?workbook=14_09.xlsx&amp;sheet=U0&amp;row=1296&amp;col=7&amp;number=0.0733&amp;sourceID=14","0.0733")</f>
        <v>0.0733</v>
      </c>
    </row>
    <row r="1297" spans="1:7">
      <c r="A1297" s="3"/>
      <c r="B1297" s="3"/>
      <c r="C1297" s="3"/>
      <c r="D1297" s="3"/>
      <c r="E1297" s="3">
        <v>14</v>
      </c>
      <c r="F1297" s="4" t="str">
        <f>HYPERLINK("http://141.218.60.56/~jnz1568/getInfo.php?workbook=14_09.xlsx&amp;sheet=U0&amp;row=1297&amp;col=6&amp;number=4.3&amp;sourceID=14","4.3")</f>
        <v>4.3</v>
      </c>
      <c r="G1297" s="4" t="str">
        <f>HYPERLINK("http://141.218.60.56/~jnz1568/getInfo.php?workbook=14_09.xlsx&amp;sheet=U0&amp;row=1297&amp;col=7&amp;number=0.0711&amp;sourceID=14","0.0711")</f>
        <v>0.0711</v>
      </c>
    </row>
    <row r="1298" spans="1:7">
      <c r="A1298" s="3"/>
      <c r="B1298" s="3"/>
      <c r="C1298" s="3"/>
      <c r="D1298" s="3"/>
      <c r="E1298" s="3">
        <v>15</v>
      </c>
      <c r="F1298" s="4" t="str">
        <f>HYPERLINK("http://141.218.60.56/~jnz1568/getInfo.php?workbook=14_09.xlsx&amp;sheet=U0&amp;row=1298&amp;col=6&amp;number=4.4&amp;sourceID=14","4.4")</f>
        <v>4.4</v>
      </c>
      <c r="G1298" s="4" t="str">
        <f>HYPERLINK("http://141.218.60.56/~jnz1568/getInfo.php?workbook=14_09.xlsx&amp;sheet=U0&amp;row=1298&amp;col=7&amp;number=0.0685&amp;sourceID=14","0.0685")</f>
        <v>0.0685</v>
      </c>
    </row>
    <row r="1299" spans="1:7">
      <c r="A1299" s="3"/>
      <c r="B1299" s="3"/>
      <c r="C1299" s="3"/>
      <c r="D1299" s="3"/>
      <c r="E1299" s="3">
        <v>16</v>
      </c>
      <c r="F1299" s="4" t="str">
        <f>HYPERLINK("http://141.218.60.56/~jnz1568/getInfo.php?workbook=14_09.xlsx&amp;sheet=U0&amp;row=1299&amp;col=6&amp;number=4.5&amp;sourceID=14","4.5")</f>
        <v>4.5</v>
      </c>
      <c r="G1299" s="4" t="str">
        <f>HYPERLINK("http://141.218.60.56/~jnz1568/getInfo.php?workbook=14_09.xlsx&amp;sheet=U0&amp;row=1299&amp;col=7&amp;number=0.0653&amp;sourceID=14","0.0653")</f>
        <v>0.0653</v>
      </c>
    </row>
    <row r="1300" spans="1:7">
      <c r="A1300" s="3"/>
      <c r="B1300" s="3"/>
      <c r="C1300" s="3"/>
      <c r="D1300" s="3"/>
      <c r="E1300" s="3">
        <v>17</v>
      </c>
      <c r="F1300" s="4" t="str">
        <f>HYPERLINK("http://141.218.60.56/~jnz1568/getInfo.php?workbook=14_09.xlsx&amp;sheet=U0&amp;row=1300&amp;col=6&amp;number=4.6&amp;sourceID=14","4.6")</f>
        <v>4.6</v>
      </c>
      <c r="G1300" s="4" t="str">
        <f>HYPERLINK("http://141.218.60.56/~jnz1568/getInfo.php?workbook=14_09.xlsx&amp;sheet=U0&amp;row=1300&amp;col=7&amp;number=0.0617&amp;sourceID=14","0.0617")</f>
        <v>0.0617</v>
      </c>
    </row>
    <row r="1301" spans="1:7">
      <c r="A1301" s="3"/>
      <c r="B1301" s="3"/>
      <c r="C1301" s="3"/>
      <c r="D1301" s="3"/>
      <c r="E1301" s="3">
        <v>18</v>
      </c>
      <c r="F1301" s="4" t="str">
        <f>HYPERLINK("http://141.218.60.56/~jnz1568/getInfo.php?workbook=14_09.xlsx&amp;sheet=U0&amp;row=1301&amp;col=6&amp;number=4.7&amp;sourceID=14","4.7")</f>
        <v>4.7</v>
      </c>
      <c r="G1301" s="4" t="str">
        <f>HYPERLINK("http://141.218.60.56/~jnz1568/getInfo.php?workbook=14_09.xlsx&amp;sheet=U0&amp;row=1301&amp;col=7&amp;number=0.0576&amp;sourceID=14","0.0576")</f>
        <v>0.0576</v>
      </c>
    </row>
    <row r="1302" spans="1:7">
      <c r="A1302" s="3"/>
      <c r="B1302" s="3"/>
      <c r="C1302" s="3"/>
      <c r="D1302" s="3"/>
      <c r="E1302" s="3">
        <v>19</v>
      </c>
      <c r="F1302" s="4" t="str">
        <f>HYPERLINK("http://141.218.60.56/~jnz1568/getInfo.php?workbook=14_09.xlsx&amp;sheet=U0&amp;row=1302&amp;col=6&amp;number=4.8&amp;sourceID=14","4.8")</f>
        <v>4.8</v>
      </c>
      <c r="G1302" s="4" t="str">
        <f>HYPERLINK("http://141.218.60.56/~jnz1568/getInfo.php?workbook=14_09.xlsx&amp;sheet=U0&amp;row=1302&amp;col=7&amp;number=0.0534&amp;sourceID=14","0.0534")</f>
        <v>0.0534</v>
      </c>
    </row>
    <row r="1303" spans="1:7">
      <c r="A1303" s="3"/>
      <c r="B1303" s="3"/>
      <c r="C1303" s="3"/>
      <c r="D1303" s="3"/>
      <c r="E1303" s="3">
        <v>20</v>
      </c>
      <c r="F1303" s="4" t="str">
        <f>HYPERLINK("http://141.218.60.56/~jnz1568/getInfo.php?workbook=14_09.xlsx&amp;sheet=U0&amp;row=1303&amp;col=6&amp;number=4.9&amp;sourceID=14","4.9")</f>
        <v>4.9</v>
      </c>
      <c r="G1303" s="4" t="str">
        <f>HYPERLINK("http://141.218.60.56/~jnz1568/getInfo.php?workbook=14_09.xlsx&amp;sheet=U0&amp;row=1303&amp;col=7&amp;number=0.0491&amp;sourceID=14","0.0491")</f>
        <v>0.0491</v>
      </c>
    </row>
    <row r="1304" spans="1:7">
      <c r="A1304" s="3">
        <v>14</v>
      </c>
      <c r="B1304" s="3">
        <v>9</v>
      </c>
      <c r="C1304" s="3">
        <v>1</v>
      </c>
      <c r="D1304" s="3">
        <v>67</v>
      </c>
      <c r="E1304" s="3">
        <v>1</v>
      </c>
      <c r="F1304" s="4" t="str">
        <f>HYPERLINK("http://141.218.60.56/~jnz1568/getInfo.php?workbook=14_09.xlsx&amp;sheet=U0&amp;row=1304&amp;col=6&amp;number=3&amp;sourceID=14","3")</f>
        <v>3</v>
      </c>
      <c r="G1304" s="4" t="str">
        <f>HYPERLINK("http://141.218.60.56/~jnz1568/getInfo.php?workbook=14_09.xlsx&amp;sheet=U0&amp;row=1304&amp;col=7&amp;number=0.0568&amp;sourceID=14","0.0568")</f>
        <v>0.0568</v>
      </c>
    </row>
    <row r="1305" spans="1:7">
      <c r="A1305" s="3"/>
      <c r="B1305" s="3"/>
      <c r="C1305" s="3"/>
      <c r="D1305" s="3"/>
      <c r="E1305" s="3">
        <v>2</v>
      </c>
      <c r="F1305" s="4" t="str">
        <f>HYPERLINK("http://141.218.60.56/~jnz1568/getInfo.php?workbook=14_09.xlsx&amp;sheet=U0&amp;row=1305&amp;col=6&amp;number=3.1&amp;sourceID=14","3.1")</f>
        <v>3.1</v>
      </c>
      <c r="G1305" s="4" t="str">
        <f>HYPERLINK("http://141.218.60.56/~jnz1568/getInfo.php?workbook=14_09.xlsx&amp;sheet=U0&amp;row=1305&amp;col=7&amp;number=0.0566&amp;sourceID=14","0.0566")</f>
        <v>0.0566</v>
      </c>
    </row>
    <row r="1306" spans="1:7">
      <c r="A1306" s="3"/>
      <c r="B1306" s="3"/>
      <c r="C1306" s="3"/>
      <c r="D1306" s="3"/>
      <c r="E1306" s="3">
        <v>3</v>
      </c>
      <c r="F1306" s="4" t="str">
        <f>HYPERLINK("http://141.218.60.56/~jnz1568/getInfo.php?workbook=14_09.xlsx&amp;sheet=U0&amp;row=1306&amp;col=6&amp;number=3.2&amp;sourceID=14","3.2")</f>
        <v>3.2</v>
      </c>
      <c r="G1306" s="4" t="str">
        <f>HYPERLINK("http://141.218.60.56/~jnz1568/getInfo.php?workbook=14_09.xlsx&amp;sheet=U0&amp;row=1306&amp;col=7&amp;number=0.0564&amp;sourceID=14","0.0564")</f>
        <v>0.0564</v>
      </c>
    </row>
    <row r="1307" spans="1:7">
      <c r="A1307" s="3"/>
      <c r="B1307" s="3"/>
      <c r="C1307" s="3"/>
      <c r="D1307" s="3"/>
      <c r="E1307" s="3">
        <v>4</v>
      </c>
      <c r="F1307" s="4" t="str">
        <f>HYPERLINK("http://141.218.60.56/~jnz1568/getInfo.php?workbook=14_09.xlsx&amp;sheet=U0&amp;row=1307&amp;col=6&amp;number=3.3&amp;sourceID=14","3.3")</f>
        <v>3.3</v>
      </c>
      <c r="G1307" s="4" t="str">
        <f>HYPERLINK("http://141.218.60.56/~jnz1568/getInfo.php?workbook=14_09.xlsx&amp;sheet=U0&amp;row=1307&amp;col=7&amp;number=0.0562&amp;sourceID=14","0.0562")</f>
        <v>0.0562</v>
      </c>
    </row>
    <row r="1308" spans="1:7">
      <c r="A1308" s="3"/>
      <c r="B1308" s="3"/>
      <c r="C1308" s="3"/>
      <c r="D1308" s="3"/>
      <c r="E1308" s="3">
        <v>5</v>
      </c>
      <c r="F1308" s="4" t="str">
        <f>HYPERLINK("http://141.218.60.56/~jnz1568/getInfo.php?workbook=14_09.xlsx&amp;sheet=U0&amp;row=1308&amp;col=6&amp;number=3.4&amp;sourceID=14","3.4")</f>
        <v>3.4</v>
      </c>
      <c r="G1308" s="4" t="str">
        <f>HYPERLINK("http://141.218.60.56/~jnz1568/getInfo.php?workbook=14_09.xlsx&amp;sheet=U0&amp;row=1308&amp;col=7&amp;number=0.0559&amp;sourceID=14","0.0559")</f>
        <v>0.0559</v>
      </c>
    </row>
    <row r="1309" spans="1:7">
      <c r="A1309" s="3"/>
      <c r="B1309" s="3"/>
      <c r="C1309" s="3"/>
      <c r="D1309" s="3"/>
      <c r="E1309" s="3">
        <v>6</v>
      </c>
      <c r="F1309" s="4" t="str">
        <f>HYPERLINK("http://141.218.60.56/~jnz1568/getInfo.php?workbook=14_09.xlsx&amp;sheet=U0&amp;row=1309&amp;col=6&amp;number=3.5&amp;sourceID=14","3.5")</f>
        <v>3.5</v>
      </c>
      <c r="G1309" s="4" t="str">
        <f>HYPERLINK("http://141.218.60.56/~jnz1568/getInfo.php?workbook=14_09.xlsx&amp;sheet=U0&amp;row=1309&amp;col=7&amp;number=0.0555&amp;sourceID=14","0.0555")</f>
        <v>0.0555</v>
      </c>
    </row>
    <row r="1310" spans="1:7">
      <c r="A1310" s="3"/>
      <c r="B1310" s="3"/>
      <c r="C1310" s="3"/>
      <c r="D1310" s="3"/>
      <c r="E1310" s="3">
        <v>7</v>
      </c>
      <c r="F1310" s="4" t="str">
        <f>HYPERLINK("http://141.218.60.56/~jnz1568/getInfo.php?workbook=14_09.xlsx&amp;sheet=U0&amp;row=1310&amp;col=6&amp;number=3.6&amp;sourceID=14","3.6")</f>
        <v>3.6</v>
      </c>
      <c r="G1310" s="4" t="str">
        <f>HYPERLINK("http://141.218.60.56/~jnz1568/getInfo.php?workbook=14_09.xlsx&amp;sheet=U0&amp;row=1310&amp;col=7&amp;number=0.0551&amp;sourceID=14","0.0551")</f>
        <v>0.0551</v>
      </c>
    </row>
    <row r="1311" spans="1:7">
      <c r="A1311" s="3"/>
      <c r="B1311" s="3"/>
      <c r="C1311" s="3"/>
      <c r="D1311" s="3"/>
      <c r="E1311" s="3">
        <v>8</v>
      </c>
      <c r="F1311" s="4" t="str">
        <f>HYPERLINK("http://141.218.60.56/~jnz1568/getInfo.php?workbook=14_09.xlsx&amp;sheet=U0&amp;row=1311&amp;col=6&amp;number=3.7&amp;sourceID=14","3.7")</f>
        <v>3.7</v>
      </c>
      <c r="G1311" s="4" t="str">
        <f>HYPERLINK("http://141.218.60.56/~jnz1568/getInfo.php?workbook=14_09.xlsx&amp;sheet=U0&amp;row=1311&amp;col=7&amp;number=0.0545&amp;sourceID=14","0.0545")</f>
        <v>0.0545</v>
      </c>
    </row>
    <row r="1312" spans="1:7">
      <c r="A1312" s="3"/>
      <c r="B1312" s="3"/>
      <c r="C1312" s="3"/>
      <c r="D1312" s="3"/>
      <c r="E1312" s="3">
        <v>9</v>
      </c>
      <c r="F1312" s="4" t="str">
        <f>HYPERLINK("http://141.218.60.56/~jnz1568/getInfo.php?workbook=14_09.xlsx&amp;sheet=U0&amp;row=1312&amp;col=6&amp;number=3.8&amp;sourceID=14","3.8")</f>
        <v>3.8</v>
      </c>
      <c r="G1312" s="4" t="str">
        <f>HYPERLINK("http://141.218.60.56/~jnz1568/getInfo.php?workbook=14_09.xlsx&amp;sheet=U0&amp;row=1312&amp;col=7&amp;number=0.0538&amp;sourceID=14","0.0538")</f>
        <v>0.0538</v>
      </c>
    </row>
    <row r="1313" spans="1:7">
      <c r="A1313" s="3"/>
      <c r="B1313" s="3"/>
      <c r="C1313" s="3"/>
      <c r="D1313" s="3"/>
      <c r="E1313" s="3">
        <v>10</v>
      </c>
      <c r="F1313" s="4" t="str">
        <f>HYPERLINK("http://141.218.60.56/~jnz1568/getInfo.php?workbook=14_09.xlsx&amp;sheet=U0&amp;row=1313&amp;col=6&amp;number=3.9&amp;sourceID=14","3.9")</f>
        <v>3.9</v>
      </c>
      <c r="G1313" s="4" t="str">
        <f>HYPERLINK("http://141.218.60.56/~jnz1568/getInfo.php?workbook=14_09.xlsx&amp;sheet=U0&amp;row=1313&amp;col=7&amp;number=0.0529&amp;sourceID=14","0.0529")</f>
        <v>0.0529</v>
      </c>
    </row>
    <row r="1314" spans="1:7">
      <c r="A1314" s="3"/>
      <c r="B1314" s="3"/>
      <c r="C1314" s="3"/>
      <c r="D1314" s="3"/>
      <c r="E1314" s="3">
        <v>11</v>
      </c>
      <c r="F1314" s="4" t="str">
        <f>HYPERLINK("http://141.218.60.56/~jnz1568/getInfo.php?workbook=14_09.xlsx&amp;sheet=U0&amp;row=1314&amp;col=6&amp;number=4&amp;sourceID=14","4")</f>
        <v>4</v>
      </c>
      <c r="G1314" s="4" t="str">
        <f>HYPERLINK("http://141.218.60.56/~jnz1568/getInfo.php?workbook=14_09.xlsx&amp;sheet=U0&amp;row=1314&amp;col=7&amp;number=0.0517&amp;sourceID=14","0.0517")</f>
        <v>0.0517</v>
      </c>
    </row>
    <row r="1315" spans="1:7">
      <c r="A1315" s="3"/>
      <c r="B1315" s="3"/>
      <c r="C1315" s="3"/>
      <c r="D1315" s="3"/>
      <c r="E1315" s="3">
        <v>12</v>
      </c>
      <c r="F1315" s="4" t="str">
        <f>HYPERLINK("http://141.218.60.56/~jnz1568/getInfo.php?workbook=14_09.xlsx&amp;sheet=U0&amp;row=1315&amp;col=6&amp;number=4.1&amp;sourceID=14","4.1")</f>
        <v>4.1</v>
      </c>
      <c r="G1315" s="4" t="str">
        <f>HYPERLINK("http://141.218.60.56/~jnz1568/getInfo.php?workbook=14_09.xlsx&amp;sheet=U0&amp;row=1315&amp;col=7&amp;number=0.0504&amp;sourceID=14","0.0504")</f>
        <v>0.0504</v>
      </c>
    </row>
    <row r="1316" spans="1:7">
      <c r="A1316" s="3"/>
      <c r="B1316" s="3"/>
      <c r="C1316" s="3"/>
      <c r="D1316" s="3"/>
      <c r="E1316" s="3">
        <v>13</v>
      </c>
      <c r="F1316" s="4" t="str">
        <f>HYPERLINK("http://141.218.60.56/~jnz1568/getInfo.php?workbook=14_09.xlsx&amp;sheet=U0&amp;row=1316&amp;col=6&amp;number=4.2&amp;sourceID=14","4.2")</f>
        <v>4.2</v>
      </c>
      <c r="G1316" s="4" t="str">
        <f>HYPERLINK("http://141.218.60.56/~jnz1568/getInfo.php?workbook=14_09.xlsx&amp;sheet=U0&amp;row=1316&amp;col=7&amp;number=0.0487&amp;sourceID=14","0.0487")</f>
        <v>0.0487</v>
      </c>
    </row>
    <row r="1317" spans="1:7">
      <c r="A1317" s="3"/>
      <c r="B1317" s="3"/>
      <c r="C1317" s="3"/>
      <c r="D1317" s="3"/>
      <c r="E1317" s="3">
        <v>14</v>
      </c>
      <c r="F1317" s="4" t="str">
        <f>HYPERLINK("http://141.218.60.56/~jnz1568/getInfo.php?workbook=14_09.xlsx&amp;sheet=U0&amp;row=1317&amp;col=6&amp;number=4.3&amp;sourceID=14","4.3")</f>
        <v>4.3</v>
      </c>
      <c r="G1317" s="4" t="str">
        <f>HYPERLINK("http://141.218.60.56/~jnz1568/getInfo.php?workbook=14_09.xlsx&amp;sheet=U0&amp;row=1317&amp;col=7&amp;number=0.0466&amp;sourceID=14","0.0466")</f>
        <v>0.0466</v>
      </c>
    </row>
    <row r="1318" spans="1:7">
      <c r="A1318" s="3"/>
      <c r="B1318" s="3"/>
      <c r="C1318" s="3"/>
      <c r="D1318" s="3"/>
      <c r="E1318" s="3">
        <v>15</v>
      </c>
      <c r="F1318" s="4" t="str">
        <f>HYPERLINK("http://141.218.60.56/~jnz1568/getInfo.php?workbook=14_09.xlsx&amp;sheet=U0&amp;row=1318&amp;col=6&amp;number=4.4&amp;sourceID=14","4.4")</f>
        <v>4.4</v>
      </c>
      <c r="G1318" s="4" t="str">
        <f>HYPERLINK("http://141.218.60.56/~jnz1568/getInfo.php?workbook=14_09.xlsx&amp;sheet=U0&amp;row=1318&amp;col=7&amp;number=0.0441&amp;sourceID=14","0.0441")</f>
        <v>0.0441</v>
      </c>
    </row>
    <row r="1319" spans="1:7">
      <c r="A1319" s="3"/>
      <c r="B1319" s="3"/>
      <c r="C1319" s="3"/>
      <c r="D1319" s="3"/>
      <c r="E1319" s="3">
        <v>16</v>
      </c>
      <c r="F1319" s="4" t="str">
        <f>HYPERLINK("http://141.218.60.56/~jnz1568/getInfo.php?workbook=14_09.xlsx&amp;sheet=U0&amp;row=1319&amp;col=6&amp;number=4.5&amp;sourceID=14","4.5")</f>
        <v>4.5</v>
      </c>
      <c r="G1319" s="4" t="str">
        <f>HYPERLINK("http://141.218.60.56/~jnz1568/getInfo.php?workbook=14_09.xlsx&amp;sheet=U0&amp;row=1319&amp;col=7&amp;number=0.0413&amp;sourceID=14","0.0413")</f>
        <v>0.0413</v>
      </c>
    </row>
    <row r="1320" spans="1:7">
      <c r="A1320" s="3"/>
      <c r="B1320" s="3"/>
      <c r="C1320" s="3"/>
      <c r="D1320" s="3"/>
      <c r="E1320" s="3">
        <v>17</v>
      </c>
      <c r="F1320" s="4" t="str">
        <f>HYPERLINK("http://141.218.60.56/~jnz1568/getInfo.php?workbook=14_09.xlsx&amp;sheet=U0&amp;row=1320&amp;col=6&amp;number=4.6&amp;sourceID=14","4.6")</f>
        <v>4.6</v>
      </c>
      <c r="G1320" s="4" t="str">
        <f>HYPERLINK("http://141.218.60.56/~jnz1568/getInfo.php?workbook=14_09.xlsx&amp;sheet=U0&amp;row=1320&amp;col=7&amp;number=0.038&amp;sourceID=14","0.038")</f>
        <v>0.038</v>
      </c>
    </row>
    <row r="1321" spans="1:7">
      <c r="A1321" s="3"/>
      <c r="B1321" s="3"/>
      <c r="C1321" s="3"/>
      <c r="D1321" s="3"/>
      <c r="E1321" s="3">
        <v>18</v>
      </c>
      <c r="F1321" s="4" t="str">
        <f>HYPERLINK("http://141.218.60.56/~jnz1568/getInfo.php?workbook=14_09.xlsx&amp;sheet=U0&amp;row=1321&amp;col=6&amp;number=4.7&amp;sourceID=14","4.7")</f>
        <v>4.7</v>
      </c>
      <c r="G1321" s="4" t="str">
        <f>HYPERLINK("http://141.218.60.56/~jnz1568/getInfo.php?workbook=14_09.xlsx&amp;sheet=U0&amp;row=1321&amp;col=7&amp;number=0.0345&amp;sourceID=14","0.0345")</f>
        <v>0.0345</v>
      </c>
    </row>
    <row r="1322" spans="1:7">
      <c r="A1322" s="3"/>
      <c r="B1322" s="3"/>
      <c r="C1322" s="3"/>
      <c r="D1322" s="3"/>
      <c r="E1322" s="3">
        <v>19</v>
      </c>
      <c r="F1322" s="4" t="str">
        <f>HYPERLINK("http://141.218.60.56/~jnz1568/getInfo.php?workbook=14_09.xlsx&amp;sheet=U0&amp;row=1322&amp;col=6&amp;number=4.8&amp;sourceID=14","4.8")</f>
        <v>4.8</v>
      </c>
      <c r="G1322" s="4" t="str">
        <f>HYPERLINK("http://141.218.60.56/~jnz1568/getInfo.php?workbook=14_09.xlsx&amp;sheet=U0&amp;row=1322&amp;col=7&amp;number=0.0312&amp;sourceID=14","0.0312")</f>
        <v>0.0312</v>
      </c>
    </row>
    <row r="1323" spans="1:7">
      <c r="A1323" s="3"/>
      <c r="B1323" s="3"/>
      <c r="C1323" s="3"/>
      <c r="D1323" s="3"/>
      <c r="E1323" s="3">
        <v>20</v>
      </c>
      <c r="F1323" s="4" t="str">
        <f>HYPERLINK("http://141.218.60.56/~jnz1568/getInfo.php?workbook=14_09.xlsx&amp;sheet=U0&amp;row=1323&amp;col=6&amp;number=4.9&amp;sourceID=14","4.9")</f>
        <v>4.9</v>
      </c>
      <c r="G1323" s="4" t="str">
        <f>HYPERLINK("http://141.218.60.56/~jnz1568/getInfo.php?workbook=14_09.xlsx&amp;sheet=U0&amp;row=1323&amp;col=7&amp;number=0.0282&amp;sourceID=14","0.0282")</f>
        <v>0.0282</v>
      </c>
    </row>
    <row r="1324" spans="1:7">
      <c r="A1324" s="3">
        <v>14</v>
      </c>
      <c r="B1324" s="3">
        <v>9</v>
      </c>
      <c r="C1324" s="3">
        <v>1</v>
      </c>
      <c r="D1324" s="3">
        <v>68</v>
      </c>
      <c r="E1324" s="3">
        <v>1</v>
      </c>
      <c r="F1324" s="4" t="str">
        <f>HYPERLINK("http://141.218.60.56/~jnz1568/getInfo.php?workbook=14_09.xlsx&amp;sheet=U0&amp;row=1324&amp;col=6&amp;number=3&amp;sourceID=14","3")</f>
        <v>3</v>
      </c>
      <c r="G1324" s="4" t="str">
        <f>HYPERLINK("http://141.218.60.56/~jnz1568/getInfo.php?workbook=14_09.xlsx&amp;sheet=U0&amp;row=1324&amp;col=7&amp;number=0.0267&amp;sourceID=14","0.0267")</f>
        <v>0.0267</v>
      </c>
    </row>
    <row r="1325" spans="1:7">
      <c r="A1325" s="3"/>
      <c r="B1325" s="3"/>
      <c r="C1325" s="3"/>
      <c r="D1325" s="3"/>
      <c r="E1325" s="3">
        <v>2</v>
      </c>
      <c r="F1325" s="4" t="str">
        <f>HYPERLINK("http://141.218.60.56/~jnz1568/getInfo.php?workbook=14_09.xlsx&amp;sheet=U0&amp;row=1325&amp;col=6&amp;number=3.1&amp;sourceID=14","3.1")</f>
        <v>3.1</v>
      </c>
      <c r="G1325" s="4" t="str">
        <f>HYPERLINK("http://141.218.60.56/~jnz1568/getInfo.php?workbook=14_09.xlsx&amp;sheet=U0&amp;row=1325&amp;col=7&amp;number=0.0267&amp;sourceID=14","0.0267")</f>
        <v>0.0267</v>
      </c>
    </row>
    <row r="1326" spans="1:7">
      <c r="A1326" s="3"/>
      <c r="B1326" s="3"/>
      <c r="C1326" s="3"/>
      <c r="D1326" s="3"/>
      <c r="E1326" s="3">
        <v>3</v>
      </c>
      <c r="F1326" s="4" t="str">
        <f>HYPERLINK("http://141.218.60.56/~jnz1568/getInfo.php?workbook=14_09.xlsx&amp;sheet=U0&amp;row=1326&amp;col=6&amp;number=3.2&amp;sourceID=14","3.2")</f>
        <v>3.2</v>
      </c>
      <c r="G1326" s="4" t="str">
        <f>HYPERLINK("http://141.218.60.56/~jnz1568/getInfo.php?workbook=14_09.xlsx&amp;sheet=U0&amp;row=1326&amp;col=7&amp;number=0.0266&amp;sourceID=14","0.0266")</f>
        <v>0.0266</v>
      </c>
    </row>
    <row r="1327" spans="1:7">
      <c r="A1327" s="3"/>
      <c r="B1327" s="3"/>
      <c r="C1327" s="3"/>
      <c r="D1327" s="3"/>
      <c r="E1327" s="3">
        <v>4</v>
      </c>
      <c r="F1327" s="4" t="str">
        <f>HYPERLINK("http://141.218.60.56/~jnz1568/getInfo.php?workbook=14_09.xlsx&amp;sheet=U0&amp;row=1327&amp;col=6&amp;number=3.3&amp;sourceID=14","3.3")</f>
        <v>3.3</v>
      </c>
      <c r="G1327" s="4" t="str">
        <f>HYPERLINK("http://141.218.60.56/~jnz1568/getInfo.php?workbook=14_09.xlsx&amp;sheet=U0&amp;row=1327&amp;col=7&amp;number=0.0264&amp;sourceID=14","0.0264")</f>
        <v>0.0264</v>
      </c>
    </row>
    <row r="1328" spans="1:7">
      <c r="A1328" s="3"/>
      <c r="B1328" s="3"/>
      <c r="C1328" s="3"/>
      <c r="D1328" s="3"/>
      <c r="E1328" s="3">
        <v>5</v>
      </c>
      <c r="F1328" s="4" t="str">
        <f>HYPERLINK("http://141.218.60.56/~jnz1568/getInfo.php?workbook=14_09.xlsx&amp;sheet=U0&amp;row=1328&amp;col=6&amp;number=3.4&amp;sourceID=14","3.4")</f>
        <v>3.4</v>
      </c>
      <c r="G1328" s="4" t="str">
        <f>HYPERLINK("http://141.218.60.56/~jnz1568/getInfo.php?workbook=14_09.xlsx&amp;sheet=U0&amp;row=1328&amp;col=7&amp;number=0.0263&amp;sourceID=14","0.0263")</f>
        <v>0.0263</v>
      </c>
    </row>
    <row r="1329" spans="1:7">
      <c r="A1329" s="3"/>
      <c r="B1329" s="3"/>
      <c r="C1329" s="3"/>
      <c r="D1329" s="3"/>
      <c r="E1329" s="3">
        <v>6</v>
      </c>
      <c r="F1329" s="4" t="str">
        <f>HYPERLINK("http://141.218.60.56/~jnz1568/getInfo.php?workbook=14_09.xlsx&amp;sheet=U0&amp;row=1329&amp;col=6&amp;number=3.5&amp;sourceID=14","3.5")</f>
        <v>3.5</v>
      </c>
      <c r="G1329" s="4" t="str">
        <f>HYPERLINK("http://141.218.60.56/~jnz1568/getInfo.php?workbook=14_09.xlsx&amp;sheet=U0&amp;row=1329&amp;col=7&amp;number=0.0261&amp;sourceID=14","0.0261")</f>
        <v>0.0261</v>
      </c>
    </row>
    <row r="1330" spans="1:7">
      <c r="A1330" s="3"/>
      <c r="B1330" s="3"/>
      <c r="C1330" s="3"/>
      <c r="D1330" s="3"/>
      <c r="E1330" s="3">
        <v>7</v>
      </c>
      <c r="F1330" s="4" t="str">
        <f>HYPERLINK("http://141.218.60.56/~jnz1568/getInfo.php?workbook=14_09.xlsx&amp;sheet=U0&amp;row=1330&amp;col=6&amp;number=3.6&amp;sourceID=14","3.6")</f>
        <v>3.6</v>
      </c>
      <c r="G1330" s="4" t="str">
        <f>HYPERLINK("http://141.218.60.56/~jnz1568/getInfo.php?workbook=14_09.xlsx&amp;sheet=U0&amp;row=1330&amp;col=7&amp;number=0.0258&amp;sourceID=14","0.0258")</f>
        <v>0.0258</v>
      </c>
    </row>
    <row r="1331" spans="1:7">
      <c r="A1331" s="3"/>
      <c r="B1331" s="3"/>
      <c r="C1331" s="3"/>
      <c r="D1331" s="3"/>
      <c r="E1331" s="3">
        <v>8</v>
      </c>
      <c r="F1331" s="4" t="str">
        <f>HYPERLINK("http://141.218.60.56/~jnz1568/getInfo.php?workbook=14_09.xlsx&amp;sheet=U0&amp;row=1331&amp;col=6&amp;number=3.7&amp;sourceID=14","3.7")</f>
        <v>3.7</v>
      </c>
      <c r="G1331" s="4" t="str">
        <f>HYPERLINK("http://141.218.60.56/~jnz1568/getInfo.php?workbook=14_09.xlsx&amp;sheet=U0&amp;row=1331&amp;col=7&amp;number=0.0255&amp;sourceID=14","0.0255")</f>
        <v>0.0255</v>
      </c>
    </row>
    <row r="1332" spans="1:7">
      <c r="A1332" s="3"/>
      <c r="B1332" s="3"/>
      <c r="C1332" s="3"/>
      <c r="D1332" s="3"/>
      <c r="E1332" s="3">
        <v>9</v>
      </c>
      <c r="F1332" s="4" t="str">
        <f>HYPERLINK("http://141.218.60.56/~jnz1568/getInfo.php?workbook=14_09.xlsx&amp;sheet=U0&amp;row=1332&amp;col=6&amp;number=3.8&amp;sourceID=14","3.8")</f>
        <v>3.8</v>
      </c>
      <c r="G1332" s="4" t="str">
        <f>HYPERLINK("http://141.218.60.56/~jnz1568/getInfo.php?workbook=14_09.xlsx&amp;sheet=U0&amp;row=1332&amp;col=7&amp;number=0.0252&amp;sourceID=14","0.0252")</f>
        <v>0.0252</v>
      </c>
    </row>
    <row r="1333" spans="1:7">
      <c r="A1333" s="3"/>
      <c r="B1333" s="3"/>
      <c r="C1333" s="3"/>
      <c r="D1333" s="3"/>
      <c r="E1333" s="3">
        <v>10</v>
      </c>
      <c r="F1333" s="4" t="str">
        <f>HYPERLINK("http://141.218.60.56/~jnz1568/getInfo.php?workbook=14_09.xlsx&amp;sheet=U0&amp;row=1333&amp;col=6&amp;number=3.9&amp;sourceID=14","3.9")</f>
        <v>3.9</v>
      </c>
      <c r="G1333" s="4" t="str">
        <f>HYPERLINK("http://141.218.60.56/~jnz1568/getInfo.php?workbook=14_09.xlsx&amp;sheet=U0&amp;row=1333&amp;col=7&amp;number=0.0247&amp;sourceID=14","0.0247")</f>
        <v>0.0247</v>
      </c>
    </row>
    <row r="1334" spans="1:7">
      <c r="A1334" s="3"/>
      <c r="B1334" s="3"/>
      <c r="C1334" s="3"/>
      <c r="D1334" s="3"/>
      <c r="E1334" s="3">
        <v>11</v>
      </c>
      <c r="F1334" s="4" t="str">
        <f>HYPERLINK("http://141.218.60.56/~jnz1568/getInfo.php?workbook=14_09.xlsx&amp;sheet=U0&amp;row=1334&amp;col=6&amp;number=4&amp;sourceID=14","4")</f>
        <v>4</v>
      </c>
      <c r="G1334" s="4" t="str">
        <f>HYPERLINK("http://141.218.60.56/~jnz1568/getInfo.php?workbook=14_09.xlsx&amp;sheet=U0&amp;row=1334&amp;col=7&amp;number=0.0241&amp;sourceID=14","0.0241")</f>
        <v>0.0241</v>
      </c>
    </row>
    <row r="1335" spans="1:7">
      <c r="A1335" s="3"/>
      <c r="B1335" s="3"/>
      <c r="C1335" s="3"/>
      <c r="D1335" s="3"/>
      <c r="E1335" s="3">
        <v>12</v>
      </c>
      <c r="F1335" s="4" t="str">
        <f>HYPERLINK("http://141.218.60.56/~jnz1568/getInfo.php?workbook=14_09.xlsx&amp;sheet=U0&amp;row=1335&amp;col=6&amp;number=4.1&amp;sourceID=14","4.1")</f>
        <v>4.1</v>
      </c>
      <c r="G1335" s="4" t="str">
        <f>HYPERLINK("http://141.218.60.56/~jnz1568/getInfo.php?workbook=14_09.xlsx&amp;sheet=U0&amp;row=1335&amp;col=7&amp;number=0.0234&amp;sourceID=14","0.0234")</f>
        <v>0.0234</v>
      </c>
    </row>
    <row r="1336" spans="1:7">
      <c r="A1336" s="3"/>
      <c r="B1336" s="3"/>
      <c r="C1336" s="3"/>
      <c r="D1336" s="3"/>
      <c r="E1336" s="3">
        <v>13</v>
      </c>
      <c r="F1336" s="4" t="str">
        <f>HYPERLINK("http://141.218.60.56/~jnz1568/getInfo.php?workbook=14_09.xlsx&amp;sheet=U0&amp;row=1336&amp;col=6&amp;number=4.2&amp;sourceID=14","4.2")</f>
        <v>4.2</v>
      </c>
      <c r="G1336" s="4" t="str">
        <f>HYPERLINK("http://141.218.60.56/~jnz1568/getInfo.php?workbook=14_09.xlsx&amp;sheet=U0&amp;row=1336&amp;col=7&amp;number=0.0225&amp;sourceID=14","0.0225")</f>
        <v>0.0225</v>
      </c>
    </row>
    <row r="1337" spans="1:7">
      <c r="A1337" s="3"/>
      <c r="B1337" s="3"/>
      <c r="C1337" s="3"/>
      <c r="D1337" s="3"/>
      <c r="E1337" s="3">
        <v>14</v>
      </c>
      <c r="F1337" s="4" t="str">
        <f>HYPERLINK("http://141.218.60.56/~jnz1568/getInfo.php?workbook=14_09.xlsx&amp;sheet=U0&amp;row=1337&amp;col=6&amp;number=4.3&amp;sourceID=14","4.3")</f>
        <v>4.3</v>
      </c>
      <c r="G1337" s="4" t="str">
        <f>HYPERLINK("http://141.218.60.56/~jnz1568/getInfo.php?workbook=14_09.xlsx&amp;sheet=U0&amp;row=1337&amp;col=7&amp;number=0.0214&amp;sourceID=14","0.0214")</f>
        <v>0.0214</v>
      </c>
    </row>
    <row r="1338" spans="1:7">
      <c r="A1338" s="3"/>
      <c r="B1338" s="3"/>
      <c r="C1338" s="3"/>
      <c r="D1338" s="3"/>
      <c r="E1338" s="3">
        <v>15</v>
      </c>
      <c r="F1338" s="4" t="str">
        <f>HYPERLINK("http://141.218.60.56/~jnz1568/getInfo.php?workbook=14_09.xlsx&amp;sheet=U0&amp;row=1338&amp;col=6&amp;number=4.4&amp;sourceID=14","4.4")</f>
        <v>4.4</v>
      </c>
      <c r="G1338" s="4" t="str">
        <f>HYPERLINK("http://141.218.60.56/~jnz1568/getInfo.php?workbook=14_09.xlsx&amp;sheet=U0&amp;row=1338&amp;col=7&amp;number=0.0201&amp;sourceID=14","0.0201")</f>
        <v>0.0201</v>
      </c>
    </row>
    <row r="1339" spans="1:7">
      <c r="A1339" s="3"/>
      <c r="B1339" s="3"/>
      <c r="C1339" s="3"/>
      <c r="D1339" s="3"/>
      <c r="E1339" s="3">
        <v>16</v>
      </c>
      <c r="F1339" s="4" t="str">
        <f>HYPERLINK("http://141.218.60.56/~jnz1568/getInfo.php?workbook=14_09.xlsx&amp;sheet=U0&amp;row=1339&amp;col=6&amp;number=4.5&amp;sourceID=14","4.5")</f>
        <v>4.5</v>
      </c>
      <c r="G1339" s="4" t="str">
        <f>HYPERLINK("http://141.218.60.56/~jnz1568/getInfo.php?workbook=14_09.xlsx&amp;sheet=U0&amp;row=1339&amp;col=7&amp;number=0.0186&amp;sourceID=14","0.0186")</f>
        <v>0.0186</v>
      </c>
    </row>
    <row r="1340" spans="1:7">
      <c r="A1340" s="3"/>
      <c r="B1340" s="3"/>
      <c r="C1340" s="3"/>
      <c r="D1340" s="3"/>
      <c r="E1340" s="3">
        <v>17</v>
      </c>
      <c r="F1340" s="4" t="str">
        <f>HYPERLINK("http://141.218.60.56/~jnz1568/getInfo.php?workbook=14_09.xlsx&amp;sheet=U0&amp;row=1340&amp;col=6&amp;number=4.6&amp;sourceID=14","4.6")</f>
        <v>4.6</v>
      </c>
      <c r="G1340" s="4" t="str">
        <f>HYPERLINK("http://141.218.60.56/~jnz1568/getInfo.php?workbook=14_09.xlsx&amp;sheet=U0&amp;row=1340&amp;col=7&amp;number=0.0169&amp;sourceID=14","0.0169")</f>
        <v>0.0169</v>
      </c>
    </row>
    <row r="1341" spans="1:7">
      <c r="A1341" s="3"/>
      <c r="B1341" s="3"/>
      <c r="C1341" s="3"/>
      <c r="D1341" s="3"/>
      <c r="E1341" s="3">
        <v>18</v>
      </c>
      <c r="F1341" s="4" t="str">
        <f>HYPERLINK("http://141.218.60.56/~jnz1568/getInfo.php?workbook=14_09.xlsx&amp;sheet=U0&amp;row=1341&amp;col=6&amp;number=4.7&amp;sourceID=14","4.7")</f>
        <v>4.7</v>
      </c>
      <c r="G1341" s="4" t="str">
        <f>HYPERLINK("http://141.218.60.56/~jnz1568/getInfo.php?workbook=14_09.xlsx&amp;sheet=U0&amp;row=1341&amp;col=7&amp;number=0.015&amp;sourceID=14","0.015")</f>
        <v>0.015</v>
      </c>
    </row>
    <row r="1342" spans="1:7">
      <c r="A1342" s="3"/>
      <c r="B1342" s="3"/>
      <c r="C1342" s="3"/>
      <c r="D1342" s="3"/>
      <c r="E1342" s="3">
        <v>19</v>
      </c>
      <c r="F1342" s="4" t="str">
        <f>HYPERLINK("http://141.218.60.56/~jnz1568/getInfo.php?workbook=14_09.xlsx&amp;sheet=U0&amp;row=1342&amp;col=6&amp;number=4.8&amp;sourceID=14","4.8")</f>
        <v>4.8</v>
      </c>
      <c r="G1342" s="4" t="str">
        <f>HYPERLINK("http://141.218.60.56/~jnz1568/getInfo.php?workbook=14_09.xlsx&amp;sheet=U0&amp;row=1342&amp;col=7&amp;number=0.0133&amp;sourceID=14","0.0133")</f>
        <v>0.0133</v>
      </c>
    </row>
    <row r="1343" spans="1:7">
      <c r="A1343" s="3"/>
      <c r="B1343" s="3"/>
      <c r="C1343" s="3"/>
      <c r="D1343" s="3"/>
      <c r="E1343" s="3">
        <v>20</v>
      </c>
      <c r="F1343" s="4" t="str">
        <f>HYPERLINK("http://141.218.60.56/~jnz1568/getInfo.php?workbook=14_09.xlsx&amp;sheet=U0&amp;row=1343&amp;col=6&amp;number=4.9&amp;sourceID=14","4.9")</f>
        <v>4.9</v>
      </c>
      <c r="G1343" s="4" t="str">
        <f>HYPERLINK("http://141.218.60.56/~jnz1568/getInfo.php?workbook=14_09.xlsx&amp;sheet=U0&amp;row=1343&amp;col=7&amp;number=0.0117&amp;sourceID=14","0.0117")</f>
        <v>0.0117</v>
      </c>
    </row>
    <row r="1344" spans="1:7">
      <c r="A1344" s="3">
        <v>14</v>
      </c>
      <c r="B1344" s="3">
        <v>9</v>
      </c>
      <c r="C1344" s="3">
        <v>1</v>
      </c>
      <c r="D1344" s="3">
        <v>69</v>
      </c>
      <c r="E1344" s="3">
        <v>1</v>
      </c>
      <c r="F1344" s="4" t="str">
        <f>HYPERLINK("http://141.218.60.56/~jnz1568/getInfo.php?workbook=14_09.xlsx&amp;sheet=U0&amp;row=1344&amp;col=6&amp;number=3&amp;sourceID=14","3")</f>
        <v>3</v>
      </c>
      <c r="G1344" s="4" t="str">
        <f>HYPERLINK("http://141.218.60.56/~jnz1568/getInfo.php?workbook=14_09.xlsx&amp;sheet=U0&amp;row=1344&amp;col=7&amp;number=0.0858&amp;sourceID=14","0.0858")</f>
        <v>0.0858</v>
      </c>
    </row>
    <row r="1345" spans="1:7">
      <c r="A1345" s="3"/>
      <c r="B1345" s="3"/>
      <c r="C1345" s="3"/>
      <c r="D1345" s="3"/>
      <c r="E1345" s="3">
        <v>2</v>
      </c>
      <c r="F1345" s="4" t="str">
        <f>HYPERLINK("http://141.218.60.56/~jnz1568/getInfo.php?workbook=14_09.xlsx&amp;sheet=U0&amp;row=1345&amp;col=6&amp;number=3.1&amp;sourceID=14","3.1")</f>
        <v>3.1</v>
      </c>
      <c r="G1345" s="4" t="str">
        <f>HYPERLINK("http://141.218.60.56/~jnz1568/getInfo.php?workbook=14_09.xlsx&amp;sheet=U0&amp;row=1345&amp;col=7&amp;number=0.0856&amp;sourceID=14","0.0856")</f>
        <v>0.0856</v>
      </c>
    </row>
    <row r="1346" spans="1:7">
      <c r="A1346" s="3"/>
      <c r="B1346" s="3"/>
      <c r="C1346" s="3"/>
      <c r="D1346" s="3"/>
      <c r="E1346" s="3">
        <v>3</v>
      </c>
      <c r="F1346" s="4" t="str">
        <f>HYPERLINK("http://141.218.60.56/~jnz1568/getInfo.php?workbook=14_09.xlsx&amp;sheet=U0&amp;row=1346&amp;col=6&amp;number=3.2&amp;sourceID=14","3.2")</f>
        <v>3.2</v>
      </c>
      <c r="G1346" s="4" t="str">
        <f>HYPERLINK("http://141.218.60.56/~jnz1568/getInfo.php?workbook=14_09.xlsx&amp;sheet=U0&amp;row=1346&amp;col=7&amp;number=0.0853&amp;sourceID=14","0.0853")</f>
        <v>0.0853</v>
      </c>
    </row>
    <row r="1347" spans="1:7">
      <c r="A1347" s="3"/>
      <c r="B1347" s="3"/>
      <c r="C1347" s="3"/>
      <c r="D1347" s="3"/>
      <c r="E1347" s="3">
        <v>4</v>
      </c>
      <c r="F1347" s="4" t="str">
        <f>HYPERLINK("http://141.218.60.56/~jnz1568/getInfo.php?workbook=14_09.xlsx&amp;sheet=U0&amp;row=1347&amp;col=6&amp;number=3.3&amp;sourceID=14","3.3")</f>
        <v>3.3</v>
      </c>
      <c r="G1347" s="4" t="str">
        <f>HYPERLINK("http://141.218.60.56/~jnz1568/getInfo.php?workbook=14_09.xlsx&amp;sheet=U0&amp;row=1347&amp;col=7&amp;number=0.085&amp;sourceID=14","0.085")</f>
        <v>0.085</v>
      </c>
    </row>
    <row r="1348" spans="1:7">
      <c r="A1348" s="3"/>
      <c r="B1348" s="3"/>
      <c r="C1348" s="3"/>
      <c r="D1348" s="3"/>
      <c r="E1348" s="3">
        <v>5</v>
      </c>
      <c r="F1348" s="4" t="str">
        <f>HYPERLINK("http://141.218.60.56/~jnz1568/getInfo.php?workbook=14_09.xlsx&amp;sheet=U0&amp;row=1348&amp;col=6&amp;number=3.4&amp;sourceID=14","3.4")</f>
        <v>3.4</v>
      </c>
      <c r="G1348" s="4" t="str">
        <f>HYPERLINK("http://141.218.60.56/~jnz1568/getInfo.php?workbook=14_09.xlsx&amp;sheet=U0&amp;row=1348&amp;col=7&amp;number=0.0845&amp;sourceID=14","0.0845")</f>
        <v>0.0845</v>
      </c>
    </row>
    <row r="1349" spans="1:7">
      <c r="A1349" s="3"/>
      <c r="B1349" s="3"/>
      <c r="C1349" s="3"/>
      <c r="D1349" s="3"/>
      <c r="E1349" s="3">
        <v>6</v>
      </c>
      <c r="F1349" s="4" t="str">
        <f>HYPERLINK("http://141.218.60.56/~jnz1568/getInfo.php?workbook=14_09.xlsx&amp;sheet=U0&amp;row=1349&amp;col=6&amp;number=3.5&amp;sourceID=14","3.5")</f>
        <v>3.5</v>
      </c>
      <c r="G1349" s="4" t="str">
        <f>HYPERLINK("http://141.218.60.56/~jnz1568/getInfo.php?workbook=14_09.xlsx&amp;sheet=U0&amp;row=1349&amp;col=7&amp;number=0.084&amp;sourceID=14","0.084")</f>
        <v>0.084</v>
      </c>
    </row>
    <row r="1350" spans="1:7">
      <c r="A1350" s="3"/>
      <c r="B1350" s="3"/>
      <c r="C1350" s="3"/>
      <c r="D1350" s="3"/>
      <c r="E1350" s="3">
        <v>7</v>
      </c>
      <c r="F1350" s="4" t="str">
        <f>HYPERLINK("http://141.218.60.56/~jnz1568/getInfo.php?workbook=14_09.xlsx&amp;sheet=U0&amp;row=1350&amp;col=6&amp;number=3.6&amp;sourceID=14","3.6")</f>
        <v>3.6</v>
      </c>
      <c r="G1350" s="4" t="str">
        <f>HYPERLINK("http://141.218.60.56/~jnz1568/getInfo.php?workbook=14_09.xlsx&amp;sheet=U0&amp;row=1350&amp;col=7&amp;number=0.0833&amp;sourceID=14","0.0833")</f>
        <v>0.0833</v>
      </c>
    </row>
    <row r="1351" spans="1:7">
      <c r="A1351" s="3"/>
      <c r="B1351" s="3"/>
      <c r="C1351" s="3"/>
      <c r="D1351" s="3"/>
      <c r="E1351" s="3">
        <v>8</v>
      </c>
      <c r="F1351" s="4" t="str">
        <f>HYPERLINK("http://141.218.60.56/~jnz1568/getInfo.php?workbook=14_09.xlsx&amp;sheet=U0&amp;row=1351&amp;col=6&amp;number=3.7&amp;sourceID=14","3.7")</f>
        <v>3.7</v>
      </c>
      <c r="G1351" s="4" t="str">
        <f>HYPERLINK("http://141.218.60.56/~jnz1568/getInfo.php?workbook=14_09.xlsx&amp;sheet=U0&amp;row=1351&amp;col=7&amp;number=0.0825&amp;sourceID=14","0.0825")</f>
        <v>0.0825</v>
      </c>
    </row>
    <row r="1352" spans="1:7">
      <c r="A1352" s="3"/>
      <c r="B1352" s="3"/>
      <c r="C1352" s="3"/>
      <c r="D1352" s="3"/>
      <c r="E1352" s="3">
        <v>9</v>
      </c>
      <c r="F1352" s="4" t="str">
        <f>HYPERLINK("http://141.218.60.56/~jnz1568/getInfo.php?workbook=14_09.xlsx&amp;sheet=U0&amp;row=1352&amp;col=6&amp;number=3.8&amp;sourceID=14","3.8")</f>
        <v>3.8</v>
      </c>
      <c r="G1352" s="4" t="str">
        <f>HYPERLINK("http://141.218.60.56/~jnz1568/getInfo.php?workbook=14_09.xlsx&amp;sheet=U0&amp;row=1352&amp;col=7&amp;number=0.0815&amp;sourceID=14","0.0815")</f>
        <v>0.0815</v>
      </c>
    </row>
    <row r="1353" spans="1:7">
      <c r="A1353" s="3"/>
      <c r="B1353" s="3"/>
      <c r="C1353" s="3"/>
      <c r="D1353" s="3"/>
      <c r="E1353" s="3">
        <v>10</v>
      </c>
      <c r="F1353" s="4" t="str">
        <f>HYPERLINK("http://141.218.60.56/~jnz1568/getInfo.php?workbook=14_09.xlsx&amp;sheet=U0&amp;row=1353&amp;col=6&amp;number=3.9&amp;sourceID=14","3.9")</f>
        <v>3.9</v>
      </c>
      <c r="G1353" s="4" t="str">
        <f>HYPERLINK("http://141.218.60.56/~jnz1568/getInfo.php?workbook=14_09.xlsx&amp;sheet=U0&amp;row=1353&amp;col=7&amp;number=0.0802&amp;sourceID=14","0.0802")</f>
        <v>0.0802</v>
      </c>
    </row>
    <row r="1354" spans="1:7">
      <c r="A1354" s="3"/>
      <c r="B1354" s="3"/>
      <c r="C1354" s="3"/>
      <c r="D1354" s="3"/>
      <c r="E1354" s="3">
        <v>11</v>
      </c>
      <c r="F1354" s="4" t="str">
        <f>HYPERLINK("http://141.218.60.56/~jnz1568/getInfo.php?workbook=14_09.xlsx&amp;sheet=U0&amp;row=1354&amp;col=6&amp;number=4&amp;sourceID=14","4")</f>
        <v>4</v>
      </c>
      <c r="G1354" s="4" t="str">
        <f>HYPERLINK("http://141.218.60.56/~jnz1568/getInfo.php?workbook=14_09.xlsx&amp;sheet=U0&amp;row=1354&amp;col=7&amp;number=0.0785&amp;sourceID=14","0.0785")</f>
        <v>0.0785</v>
      </c>
    </row>
    <row r="1355" spans="1:7">
      <c r="A1355" s="3"/>
      <c r="B1355" s="3"/>
      <c r="C1355" s="3"/>
      <c r="D1355" s="3"/>
      <c r="E1355" s="3">
        <v>12</v>
      </c>
      <c r="F1355" s="4" t="str">
        <f>HYPERLINK("http://141.218.60.56/~jnz1568/getInfo.php?workbook=14_09.xlsx&amp;sheet=U0&amp;row=1355&amp;col=6&amp;number=4.1&amp;sourceID=14","4.1")</f>
        <v>4.1</v>
      </c>
      <c r="G1355" s="4" t="str">
        <f>HYPERLINK("http://141.218.60.56/~jnz1568/getInfo.php?workbook=14_09.xlsx&amp;sheet=U0&amp;row=1355&amp;col=7&amp;number=0.0765&amp;sourceID=14","0.0765")</f>
        <v>0.0765</v>
      </c>
    </row>
    <row r="1356" spans="1:7">
      <c r="A1356" s="3"/>
      <c r="B1356" s="3"/>
      <c r="C1356" s="3"/>
      <c r="D1356" s="3"/>
      <c r="E1356" s="3">
        <v>13</v>
      </c>
      <c r="F1356" s="4" t="str">
        <f>HYPERLINK("http://141.218.60.56/~jnz1568/getInfo.php?workbook=14_09.xlsx&amp;sheet=U0&amp;row=1356&amp;col=6&amp;number=4.2&amp;sourceID=14","4.2")</f>
        <v>4.2</v>
      </c>
      <c r="G1356" s="4" t="str">
        <f>HYPERLINK("http://141.218.60.56/~jnz1568/getInfo.php?workbook=14_09.xlsx&amp;sheet=U0&amp;row=1356&amp;col=7&amp;number=0.0741&amp;sourceID=14","0.0741")</f>
        <v>0.0741</v>
      </c>
    </row>
    <row r="1357" spans="1:7">
      <c r="A1357" s="3"/>
      <c r="B1357" s="3"/>
      <c r="C1357" s="3"/>
      <c r="D1357" s="3"/>
      <c r="E1357" s="3">
        <v>14</v>
      </c>
      <c r="F1357" s="4" t="str">
        <f>HYPERLINK("http://141.218.60.56/~jnz1568/getInfo.php?workbook=14_09.xlsx&amp;sheet=U0&amp;row=1357&amp;col=6&amp;number=4.3&amp;sourceID=14","4.3")</f>
        <v>4.3</v>
      </c>
      <c r="G1357" s="4" t="str">
        <f>HYPERLINK("http://141.218.60.56/~jnz1568/getInfo.php?workbook=14_09.xlsx&amp;sheet=U0&amp;row=1357&amp;col=7&amp;number=0.0711&amp;sourceID=14","0.0711")</f>
        <v>0.0711</v>
      </c>
    </row>
    <row r="1358" spans="1:7">
      <c r="A1358" s="3"/>
      <c r="B1358" s="3"/>
      <c r="C1358" s="3"/>
      <c r="D1358" s="3"/>
      <c r="E1358" s="3">
        <v>15</v>
      </c>
      <c r="F1358" s="4" t="str">
        <f>HYPERLINK("http://141.218.60.56/~jnz1568/getInfo.php?workbook=14_09.xlsx&amp;sheet=U0&amp;row=1358&amp;col=6&amp;number=4.4&amp;sourceID=14","4.4")</f>
        <v>4.4</v>
      </c>
      <c r="G1358" s="4" t="str">
        <f>HYPERLINK("http://141.218.60.56/~jnz1568/getInfo.php?workbook=14_09.xlsx&amp;sheet=U0&amp;row=1358&amp;col=7&amp;number=0.0676&amp;sourceID=14","0.0676")</f>
        <v>0.0676</v>
      </c>
    </row>
    <row r="1359" spans="1:7">
      <c r="A1359" s="3"/>
      <c r="B1359" s="3"/>
      <c r="C1359" s="3"/>
      <c r="D1359" s="3"/>
      <c r="E1359" s="3">
        <v>16</v>
      </c>
      <c r="F1359" s="4" t="str">
        <f>HYPERLINK("http://141.218.60.56/~jnz1568/getInfo.php?workbook=14_09.xlsx&amp;sheet=U0&amp;row=1359&amp;col=6&amp;number=4.5&amp;sourceID=14","4.5")</f>
        <v>4.5</v>
      </c>
      <c r="G1359" s="4" t="str">
        <f>HYPERLINK("http://141.218.60.56/~jnz1568/getInfo.php?workbook=14_09.xlsx&amp;sheet=U0&amp;row=1359&amp;col=7&amp;number=0.0634&amp;sourceID=14","0.0634")</f>
        <v>0.0634</v>
      </c>
    </row>
    <row r="1360" spans="1:7">
      <c r="A1360" s="3"/>
      <c r="B1360" s="3"/>
      <c r="C1360" s="3"/>
      <c r="D1360" s="3"/>
      <c r="E1360" s="3">
        <v>17</v>
      </c>
      <c r="F1360" s="4" t="str">
        <f>HYPERLINK("http://141.218.60.56/~jnz1568/getInfo.php?workbook=14_09.xlsx&amp;sheet=U0&amp;row=1360&amp;col=6&amp;number=4.6&amp;sourceID=14","4.6")</f>
        <v>4.6</v>
      </c>
      <c r="G1360" s="4" t="str">
        <f>HYPERLINK("http://141.218.60.56/~jnz1568/getInfo.php?workbook=14_09.xlsx&amp;sheet=U0&amp;row=1360&amp;col=7&amp;number=0.0586&amp;sourceID=14","0.0586")</f>
        <v>0.0586</v>
      </c>
    </row>
    <row r="1361" spans="1:7">
      <c r="A1361" s="3"/>
      <c r="B1361" s="3"/>
      <c r="C1361" s="3"/>
      <c r="D1361" s="3"/>
      <c r="E1361" s="3">
        <v>18</v>
      </c>
      <c r="F1361" s="4" t="str">
        <f>HYPERLINK("http://141.218.60.56/~jnz1568/getInfo.php?workbook=14_09.xlsx&amp;sheet=U0&amp;row=1361&amp;col=6&amp;number=4.7&amp;sourceID=14","4.7")</f>
        <v>4.7</v>
      </c>
      <c r="G1361" s="4" t="str">
        <f>HYPERLINK("http://141.218.60.56/~jnz1568/getInfo.php?workbook=14_09.xlsx&amp;sheet=U0&amp;row=1361&amp;col=7&amp;number=0.0535&amp;sourceID=14","0.0535")</f>
        <v>0.0535</v>
      </c>
    </row>
    <row r="1362" spans="1:7">
      <c r="A1362" s="3"/>
      <c r="B1362" s="3"/>
      <c r="C1362" s="3"/>
      <c r="D1362" s="3"/>
      <c r="E1362" s="3">
        <v>19</v>
      </c>
      <c r="F1362" s="4" t="str">
        <f>HYPERLINK("http://141.218.60.56/~jnz1568/getInfo.php?workbook=14_09.xlsx&amp;sheet=U0&amp;row=1362&amp;col=6&amp;number=4.8&amp;sourceID=14","4.8")</f>
        <v>4.8</v>
      </c>
      <c r="G1362" s="4" t="str">
        <f>HYPERLINK("http://141.218.60.56/~jnz1568/getInfo.php?workbook=14_09.xlsx&amp;sheet=U0&amp;row=1362&amp;col=7&amp;number=0.0484&amp;sourceID=14","0.0484")</f>
        <v>0.0484</v>
      </c>
    </row>
    <row r="1363" spans="1:7">
      <c r="A1363" s="3"/>
      <c r="B1363" s="3"/>
      <c r="C1363" s="3"/>
      <c r="D1363" s="3"/>
      <c r="E1363" s="3">
        <v>20</v>
      </c>
      <c r="F1363" s="4" t="str">
        <f>HYPERLINK("http://141.218.60.56/~jnz1568/getInfo.php?workbook=14_09.xlsx&amp;sheet=U0&amp;row=1363&amp;col=6&amp;number=4.9&amp;sourceID=14","4.9")</f>
        <v>4.9</v>
      </c>
      <c r="G1363" s="4" t="str">
        <f>HYPERLINK("http://141.218.60.56/~jnz1568/getInfo.php?workbook=14_09.xlsx&amp;sheet=U0&amp;row=1363&amp;col=7&amp;number=0.0438&amp;sourceID=14","0.0438")</f>
        <v>0.0438</v>
      </c>
    </row>
    <row r="1364" spans="1:7">
      <c r="A1364" s="3">
        <v>14</v>
      </c>
      <c r="B1364" s="3">
        <v>9</v>
      </c>
      <c r="C1364" s="3">
        <v>1</v>
      </c>
      <c r="D1364" s="3">
        <v>70</v>
      </c>
      <c r="E1364" s="3">
        <v>1</v>
      </c>
      <c r="F1364" s="4" t="str">
        <f>HYPERLINK("http://141.218.60.56/~jnz1568/getInfo.php?workbook=14_09.xlsx&amp;sheet=U0&amp;row=1364&amp;col=6&amp;number=3&amp;sourceID=14","3")</f>
        <v>3</v>
      </c>
      <c r="G1364" s="4" t="str">
        <f>HYPERLINK("http://141.218.60.56/~jnz1568/getInfo.php?workbook=14_09.xlsx&amp;sheet=U0&amp;row=1364&amp;col=7&amp;number=0.0757&amp;sourceID=14","0.0757")</f>
        <v>0.0757</v>
      </c>
    </row>
    <row r="1365" spans="1:7">
      <c r="A1365" s="3"/>
      <c r="B1365" s="3"/>
      <c r="C1365" s="3"/>
      <c r="D1365" s="3"/>
      <c r="E1365" s="3">
        <v>2</v>
      </c>
      <c r="F1365" s="4" t="str">
        <f>HYPERLINK("http://141.218.60.56/~jnz1568/getInfo.php?workbook=14_09.xlsx&amp;sheet=U0&amp;row=1365&amp;col=6&amp;number=3.1&amp;sourceID=14","3.1")</f>
        <v>3.1</v>
      </c>
      <c r="G1365" s="4" t="str">
        <f>HYPERLINK("http://141.218.60.56/~jnz1568/getInfo.php?workbook=14_09.xlsx&amp;sheet=U0&amp;row=1365&amp;col=7&amp;number=0.0754&amp;sourceID=14","0.0754")</f>
        <v>0.0754</v>
      </c>
    </row>
    <row r="1366" spans="1:7">
      <c r="A1366" s="3"/>
      <c r="B1366" s="3"/>
      <c r="C1366" s="3"/>
      <c r="D1366" s="3"/>
      <c r="E1366" s="3">
        <v>3</v>
      </c>
      <c r="F1366" s="4" t="str">
        <f>HYPERLINK("http://141.218.60.56/~jnz1568/getInfo.php?workbook=14_09.xlsx&amp;sheet=U0&amp;row=1366&amp;col=6&amp;number=3.2&amp;sourceID=14","3.2")</f>
        <v>3.2</v>
      </c>
      <c r="G1366" s="4" t="str">
        <f>HYPERLINK("http://141.218.60.56/~jnz1568/getInfo.php?workbook=14_09.xlsx&amp;sheet=U0&amp;row=1366&amp;col=7&amp;number=0.075&amp;sourceID=14","0.075")</f>
        <v>0.075</v>
      </c>
    </row>
    <row r="1367" spans="1:7">
      <c r="A1367" s="3"/>
      <c r="B1367" s="3"/>
      <c r="C1367" s="3"/>
      <c r="D1367" s="3"/>
      <c r="E1367" s="3">
        <v>4</v>
      </c>
      <c r="F1367" s="4" t="str">
        <f>HYPERLINK("http://141.218.60.56/~jnz1568/getInfo.php?workbook=14_09.xlsx&amp;sheet=U0&amp;row=1367&amp;col=6&amp;number=3.3&amp;sourceID=14","3.3")</f>
        <v>3.3</v>
      </c>
      <c r="G1367" s="4" t="str">
        <f>HYPERLINK("http://141.218.60.56/~jnz1568/getInfo.php?workbook=14_09.xlsx&amp;sheet=U0&amp;row=1367&amp;col=7&amp;number=0.0744&amp;sourceID=14","0.0744")</f>
        <v>0.0744</v>
      </c>
    </row>
    <row r="1368" spans="1:7">
      <c r="A1368" s="3"/>
      <c r="B1368" s="3"/>
      <c r="C1368" s="3"/>
      <c r="D1368" s="3"/>
      <c r="E1368" s="3">
        <v>5</v>
      </c>
      <c r="F1368" s="4" t="str">
        <f>HYPERLINK("http://141.218.60.56/~jnz1568/getInfo.php?workbook=14_09.xlsx&amp;sheet=U0&amp;row=1368&amp;col=6&amp;number=3.4&amp;sourceID=14","3.4")</f>
        <v>3.4</v>
      </c>
      <c r="G1368" s="4" t="str">
        <f>HYPERLINK("http://141.218.60.56/~jnz1568/getInfo.php?workbook=14_09.xlsx&amp;sheet=U0&amp;row=1368&amp;col=7&amp;number=0.0738&amp;sourceID=14","0.0738")</f>
        <v>0.0738</v>
      </c>
    </row>
    <row r="1369" spans="1:7">
      <c r="A1369" s="3"/>
      <c r="B1369" s="3"/>
      <c r="C1369" s="3"/>
      <c r="D1369" s="3"/>
      <c r="E1369" s="3">
        <v>6</v>
      </c>
      <c r="F1369" s="4" t="str">
        <f>HYPERLINK("http://141.218.60.56/~jnz1568/getInfo.php?workbook=14_09.xlsx&amp;sheet=U0&amp;row=1369&amp;col=6&amp;number=3.5&amp;sourceID=14","3.5")</f>
        <v>3.5</v>
      </c>
      <c r="G1369" s="4" t="str">
        <f>HYPERLINK("http://141.218.60.56/~jnz1568/getInfo.php?workbook=14_09.xlsx&amp;sheet=U0&amp;row=1369&amp;col=7&amp;number=0.073&amp;sourceID=14","0.073")</f>
        <v>0.073</v>
      </c>
    </row>
    <row r="1370" spans="1:7">
      <c r="A1370" s="3"/>
      <c r="B1370" s="3"/>
      <c r="C1370" s="3"/>
      <c r="D1370" s="3"/>
      <c r="E1370" s="3">
        <v>7</v>
      </c>
      <c r="F1370" s="4" t="str">
        <f>HYPERLINK("http://141.218.60.56/~jnz1568/getInfo.php?workbook=14_09.xlsx&amp;sheet=U0&amp;row=1370&amp;col=6&amp;number=3.6&amp;sourceID=14","3.6")</f>
        <v>3.6</v>
      </c>
      <c r="G1370" s="4" t="str">
        <f>HYPERLINK("http://141.218.60.56/~jnz1568/getInfo.php?workbook=14_09.xlsx&amp;sheet=U0&amp;row=1370&amp;col=7&amp;number=0.072&amp;sourceID=14","0.072")</f>
        <v>0.072</v>
      </c>
    </row>
    <row r="1371" spans="1:7">
      <c r="A1371" s="3"/>
      <c r="B1371" s="3"/>
      <c r="C1371" s="3"/>
      <c r="D1371" s="3"/>
      <c r="E1371" s="3">
        <v>8</v>
      </c>
      <c r="F1371" s="4" t="str">
        <f>HYPERLINK("http://141.218.60.56/~jnz1568/getInfo.php?workbook=14_09.xlsx&amp;sheet=U0&amp;row=1371&amp;col=6&amp;number=3.7&amp;sourceID=14","3.7")</f>
        <v>3.7</v>
      </c>
      <c r="G1371" s="4" t="str">
        <f>HYPERLINK("http://141.218.60.56/~jnz1568/getInfo.php?workbook=14_09.xlsx&amp;sheet=U0&amp;row=1371&amp;col=7&amp;number=0.0707&amp;sourceID=14","0.0707")</f>
        <v>0.0707</v>
      </c>
    </row>
    <row r="1372" spans="1:7">
      <c r="A1372" s="3"/>
      <c r="B1372" s="3"/>
      <c r="C1372" s="3"/>
      <c r="D1372" s="3"/>
      <c r="E1372" s="3">
        <v>9</v>
      </c>
      <c r="F1372" s="4" t="str">
        <f>HYPERLINK("http://141.218.60.56/~jnz1568/getInfo.php?workbook=14_09.xlsx&amp;sheet=U0&amp;row=1372&amp;col=6&amp;number=3.8&amp;sourceID=14","3.8")</f>
        <v>3.8</v>
      </c>
      <c r="G1372" s="4" t="str">
        <f>HYPERLINK("http://141.218.60.56/~jnz1568/getInfo.php?workbook=14_09.xlsx&amp;sheet=U0&amp;row=1372&amp;col=7&amp;number=0.0692&amp;sourceID=14","0.0692")</f>
        <v>0.0692</v>
      </c>
    </row>
    <row r="1373" spans="1:7">
      <c r="A1373" s="3"/>
      <c r="B1373" s="3"/>
      <c r="C1373" s="3"/>
      <c r="D1373" s="3"/>
      <c r="E1373" s="3">
        <v>10</v>
      </c>
      <c r="F1373" s="4" t="str">
        <f>HYPERLINK("http://141.218.60.56/~jnz1568/getInfo.php?workbook=14_09.xlsx&amp;sheet=U0&amp;row=1373&amp;col=6&amp;number=3.9&amp;sourceID=14","3.9")</f>
        <v>3.9</v>
      </c>
      <c r="G1373" s="4" t="str">
        <f>HYPERLINK("http://141.218.60.56/~jnz1568/getInfo.php?workbook=14_09.xlsx&amp;sheet=U0&amp;row=1373&amp;col=7&amp;number=0.0673&amp;sourceID=14","0.0673")</f>
        <v>0.0673</v>
      </c>
    </row>
    <row r="1374" spans="1:7">
      <c r="A1374" s="3"/>
      <c r="B1374" s="3"/>
      <c r="C1374" s="3"/>
      <c r="D1374" s="3"/>
      <c r="E1374" s="3">
        <v>11</v>
      </c>
      <c r="F1374" s="4" t="str">
        <f>HYPERLINK("http://141.218.60.56/~jnz1568/getInfo.php?workbook=14_09.xlsx&amp;sheet=U0&amp;row=1374&amp;col=6&amp;number=4&amp;sourceID=14","4")</f>
        <v>4</v>
      </c>
      <c r="G1374" s="4" t="str">
        <f>HYPERLINK("http://141.218.60.56/~jnz1568/getInfo.php?workbook=14_09.xlsx&amp;sheet=U0&amp;row=1374&amp;col=7&amp;number=0.065&amp;sourceID=14","0.065")</f>
        <v>0.065</v>
      </c>
    </row>
    <row r="1375" spans="1:7">
      <c r="A1375" s="3"/>
      <c r="B1375" s="3"/>
      <c r="C1375" s="3"/>
      <c r="D1375" s="3"/>
      <c r="E1375" s="3">
        <v>12</v>
      </c>
      <c r="F1375" s="4" t="str">
        <f>HYPERLINK("http://141.218.60.56/~jnz1568/getInfo.php?workbook=14_09.xlsx&amp;sheet=U0&amp;row=1375&amp;col=6&amp;number=4.1&amp;sourceID=14","4.1")</f>
        <v>4.1</v>
      </c>
      <c r="G1375" s="4" t="str">
        <f>HYPERLINK("http://141.218.60.56/~jnz1568/getInfo.php?workbook=14_09.xlsx&amp;sheet=U0&amp;row=1375&amp;col=7&amp;number=0.0622&amp;sourceID=14","0.0622")</f>
        <v>0.0622</v>
      </c>
    </row>
    <row r="1376" spans="1:7">
      <c r="A1376" s="3"/>
      <c r="B1376" s="3"/>
      <c r="C1376" s="3"/>
      <c r="D1376" s="3"/>
      <c r="E1376" s="3">
        <v>13</v>
      </c>
      <c r="F1376" s="4" t="str">
        <f>HYPERLINK("http://141.218.60.56/~jnz1568/getInfo.php?workbook=14_09.xlsx&amp;sheet=U0&amp;row=1376&amp;col=6&amp;number=4.2&amp;sourceID=14","4.2")</f>
        <v>4.2</v>
      </c>
      <c r="G1376" s="4" t="str">
        <f>HYPERLINK("http://141.218.60.56/~jnz1568/getInfo.php?workbook=14_09.xlsx&amp;sheet=U0&amp;row=1376&amp;col=7&amp;number=0.059&amp;sourceID=14","0.059")</f>
        <v>0.059</v>
      </c>
    </row>
    <row r="1377" spans="1:7">
      <c r="A1377" s="3"/>
      <c r="B1377" s="3"/>
      <c r="C1377" s="3"/>
      <c r="D1377" s="3"/>
      <c r="E1377" s="3">
        <v>14</v>
      </c>
      <c r="F1377" s="4" t="str">
        <f>HYPERLINK("http://141.218.60.56/~jnz1568/getInfo.php?workbook=14_09.xlsx&amp;sheet=U0&amp;row=1377&amp;col=6&amp;number=4.3&amp;sourceID=14","4.3")</f>
        <v>4.3</v>
      </c>
      <c r="G1377" s="4" t="str">
        <f>HYPERLINK("http://141.218.60.56/~jnz1568/getInfo.php?workbook=14_09.xlsx&amp;sheet=U0&amp;row=1377&amp;col=7&amp;number=0.0553&amp;sourceID=14","0.0553")</f>
        <v>0.0553</v>
      </c>
    </row>
    <row r="1378" spans="1:7">
      <c r="A1378" s="3"/>
      <c r="B1378" s="3"/>
      <c r="C1378" s="3"/>
      <c r="D1378" s="3"/>
      <c r="E1378" s="3">
        <v>15</v>
      </c>
      <c r="F1378" s="4" t="str">
        <f>HYPERLINK("http://141.218.60.56/~jnz1568/getInfo.php?workbook=14_09.xlsx&amp;sheet=U0&amp;row=1378&amp;col=6&amp;number=4.4&amp;sourceID=14","4.4")</f>
        <v>4.4</v>
      </c>
      <c r="G1378" s="4" t="str">
        <f>HYPERLINK("http://141.218.60.56/~jnz1568/getInfo.php?workbook=14_09.xlsx&amp;sheet=U0&amp;row=1378&amp;col=7&amp;number=0.0513&amp;sourceID=14","0.0513")</f>
        <v>0.0513</v>
      </c>
    </row>
    <row r="1379" spans="1:7">
      <c r="A1379" s="3"/>
      <c r="B1379" s="3"/>
      <c r="C1379" s="3"/>
      <c r="D1379" s="3"/>
      <c r="E1379" s="3">
        <v>16</v>
      </c>
      <c r="F1379" s="4" t="str">
        <f>HYPERLINK("http://141.218.60.56/~jnz1568/getInfo.php?workbook=14_09.xlsx&amp;sheet=U0&amp;row=1379&amp;col=6&amp;number=4.5&amp;sourceID=14","4.5")</f>
        <v>4.5</v>
      </c>
      <c r="G1379" s="4" t="str">
        <f>HYPERLINK("http://141.218.60.56/~jnz1568/getInfo.php?workbook=14_09.xlsx&amp;sheet=U0&amp;row=1379&amp;col=7&amp;number=0.0473&amp;sourceID=14","0.0473")</f>
        <v>0.0473</v>
      </c>
    </row>
    <row r="1380" spans="1:7">
      <c r="A1380" s="3"/>
      <c r="B1380" s="3"/>
      <c r="C1380" s="3"/>
      <c r="D1380" s="3"/>
      <c r="E1380" s="3">
        <v>17</v>
      </c>
      <c r="F1380" s="4" t="str">
        <f>HYPERLINK("http://141.218.60.56/~jnz1568/getInfo.php?workbook=14_09.xlsx&amp;sheet=U0&amp;row=1380&amp;col=6&amp;number=4.6&amp;sourceID=14","4.6")</f>
        <v>4.6</v>
      </c>
      <c r="G1380" s="4" t="str">
        <f>HYPERLINK("http://141.218.60.56/~jnz1568/getInfo.php?workbook=14_09.xlsx&amp;sheet=U0&amp;row=1380&amp;col=7&amp;number=0.0435&amp;sourceID=14","0.0435")</f>
        <v>0.0435</v>
      </c>
    </row>
    <row r="1381" spans="1:7">
      <c r="A1381" s="3"/>
      <c r="B1381" s="3"/>
      <c r="C1381" s="3"/>
      <c r="D1381" s="3"/>
      <c r="E1381" s="3">
        <v>18</v>
      </c>
      <c r="F1381" s="4" t="str">
        <f>HYPERLINK("http://141.218.60.56/~jnz1568/getInfo.php?workbook=14_09.xlsx&amp;sheet=U0&amp;row=1381&amp;col=6&amp;number=4.7&amp;sourceID=14","4.7")</f>
        <v>4.7</v>
      </c>
      <c r="G1381" s="4" t="str">
        <f>HYPERLINK("http://141.218.60.56/~jnz1568/getInfo.php?workbook=14_09.xlsx&amp;sheet=U0&amp;row=1381&amp;col=7&amp;number=0.0402&amp;sourceID=14","0.0402")</f>
        <v>0.0402</v>
      </c>
    </row>
    <row r="1382" spans="1:7">
      <c r="A1382" s="3"/>
      <c r="B1382" s="3"/>
      <c r="C1382" s="3"/>
      <c r="D1382" s="3"/>
      <c r="E1382" s="3">
        <v>19</v>
      </c>
      <c r="F1382" s="4" t="str">
        <f>HYPERLINK("http://141.218.60.56/~jnz1568/getInfo.php?workbook=14_09.xlsx&amp;sheet=U0&amp;row=1382&amp;col=6&amp;number=4.8&amp;sourceID=14","4.8")</f>
        <v>4.8</v>
      </c>
      <c r="G1382" s="4" t="str">
        <f>HYPERLINK("http://141.218.60.56/~jnz1568/getInfo.php?workbook=14_09.xlsx&amp;sheet=U0&amp;row=1382&amp;col=7&amp;number=0.037&amp;sourceID=14","0.037")</f>
        <v>0.037</v>
      </c>
    </row>
    <row r="1383" spans="1:7">
      <c r="A1383" s="3"/>
      <c r="B1383" s="3"/>
      <c r="C1383" s="3"/>
      <c r="D1383" s="3"/>
      <c r="E1383" s="3">
        <v>20</v>
      </c>
      <c r="F1383" s="4" t="str">
        <f>HYPERLINK("http://141.218.60.56/~jnz1568/getInfo.php?workbook=14_09.xlsx&amp;sheet=U0&amp;row=1383&amp;col=6&amp;number=4.9&amp;sourceID=14","4.9")</f>
        <v>4.9</v>
      </c>
      <c r="G1383" s="4" t="str">
        <f>HYPERLINK("http://141.218.60.56/~jnz1568/getInfo.php?workbook=14_09.xlsx&amp;sheet=U0&amp;row=1383&amp;col=7&amp;number=0.0335&amp;sourceID=14","0.0335")</f>
        <v>0.0335</v>
      </c>
    </row>
    <row r="1384" spans="1:7">
      <c r="A1384" s="3">
        <v>14</v>
      </c>
      <c r="B1384" s="3">
        <v>9</v>
      </c>
      <c r="C1384" s="3">
        <v>1</v>
      </c>
      <c r="D1384" s="3">
        <v>71</v>
      </c>
      <c r="E1384" s="3">
        <v>1</v>
      </c>
      <c r="F1384" s="4" t="str">
        <f>HYPERLINK("http://141.218.60.56/~jnz1568/getInfo.php?workbook=14_09.xlsx&amp;sheet=U0&amp;row=1384&amp;col=6&amp;number=3&amp;sourceID=14","3")</f>
        <v>3</v>
      </c>
      <c r="G1384" s="4" t="str">
        <f>HYPERLINK("http://141.218.60.56/~jnz1568/getInfo.php?workbook=14_09.xlsx&amp;sheet=U0&amp;row=1384&amp;col=7&amp;number=0.0387&amp;sourceID=14","0.0387")</f>
        <v>0.0387</v>
      </c>
    </row>
    <row r="1385" spans="1:7">
      <c r="A1385" s="3"/>
      <c r="B1385" s="3"/>
      <c r="C1385" s="3"/>
      <c r="D1385" s="3"/>
      <c r="E1385" s="3">
        <v>2</v>
      </c>
      <c r="F1385" s="4" t="str">
        <f>HYPERLINK("http://141.218.60.56/~jnz1568/getInfo.php?workbook=14_09.xlsx&amp;sheet=U0&amp;row=1385&amp;col=6&amp;number=3.1&amp;sourceID=14","3.1")</f>
        <v>3.1</v>
      </c>
      <c r="G1385" s="4" t="str">
        <f>HYPERLINK("http://141.218.60.56/~jnz1568/getInfo.php?workbook=14_09.xlsx&amp;sheet=U0&amp;row=1385&amp;col=7&amp;number=0.0385&amp;sourceID=14","0.0385")</f>
        <v>0.0385</v>
      </c>
    </row>
    <row r="1386" spans="1:7">
      <c r="A1386" s="3"/>
      <c r="B1386" s="3"/>
      <c r="C1386" s="3"/>
      <c r="D1386" s="3"/>
      <c r="E1386" s="3">
        <v>3</v>
      </c>
      <c r="F1386" s="4" t="str">
        <f>HYPERLINK("http://141.218.60.56/~jnz1568/getInfo.php?workbook=14_09.xlsx&amp;sheet=U0&amp;row=1386&amp;col=6&amp;number=3.2&amp;sourceID=14","3.2")</f>
        <v>3.2</v>
      </c>
      <c r="G1386" s="4" t="str">
        <f>HYPERLINK("http://141.218.60.56/~jnz1568/getInfo.php?workbook=14_09.xlsx&amp;sheet=U0&amp;row=1386&amp;col=7&amp;number=0.0384&amp;sourceID=14","0.0384")</f>
        <v>0.0384</v>
      </c>
    </row>
    <row r="1387" spans="1:7">
      <c r="A1387" s="3"/>
      <c r="B1387" s="3"/>
      <c r="C1387" s="3"/>
      <c r="D1387" s="3"/>
      <c r="E1387" s="3">
        <v>4</v>
      </c>
      <c r="F1387" s="4" t="str">
        <f>HYPERLINK("http://141.218.60.56/~jnz1568/getInfo.php?workbook=14_09.xlsx&amp;sheet=U0&amp;row=1387&amp;col=6&amp;number=3.3&amp;sourceID=14","3.3")</f>
        <v>3.3</v>
      </c>
      <c r="G1387" s="4" t="str">
        <f>HYPERLINK("http://141.218.60.56/~jnz1568/getInfo.php?workbook=14_09.xlsx&amp;sheet=U0&amp;row=1387&amp;col=7&amp;number=0.0382&amp;sourceID=14","0.0382")</f>
        <v>0.0382</v>
      </c>
    </row>
    <row r="1388" spans="1:7">
      <c r="A1388" s="3"/>
      <c r="B1388" s="3"/>
      <c r="C1388" s="3"/>
      <c r="D1388" s="3"/>
      <c r="E1388" s="3">
        <v>5</v>
      </c>
      <c r="F1388" s="4" t="str">
        <f>HYPERLINK("http://141.218.60.56/~jnz1568/getInfo.php?workbook=14_09.xlsx&amp;sheet=U0&amp;row=1388&amp;col=6&amp;number=3.4&amp;sourceID=14","3.4")</f>
        <v>3.4</v>
      </c>
      <c r="G1388" s="4" t="str">
        <f>HYPERLINK("http://141.218.60.56/~jnz1568/getInfo.php?workbook=14_09.xlsx&amp;sheet=U0&amp;row=1388&amp;col=7&amp;number=0.0379&amp;sourceID=14","0.0379")</f>
        <v>0.0379</v>
      </c>
    </row>
    <row r="1389" spans="1:7">
      <c r="A1389" s="3"/>
      <c r="B1389" s="3"/>
      <c r="C1389" s="3"/>
      <c r="D1389" s="3"/>
      <c r="E1389" s="3">
        <v>6</v>
      </c>
      <c r="F1389" s="4" t="str">
        <f>HYPERLINK("http://141.218.60.56/~jnz1568/getInfo.php?workbook=14_09.xlsx&amp;sheet=U0&amp;row=1389&amp;col=6&amp;number=3.5&amp;sourceID=14","3.5")</f>
        <v>3.5</v>
      </c>
      <c r="G1389" s="4" t="str">
        <f>HYPERLINK("http://141.218.60.56/~jnz1568/getInfo.php?workbook=14_09.xlsx&amp;sheet=U0&amp;row=1389&amp;col=7&amp;number=0.0376&amp;sourceID=14","0.0376")</f>
        <v>0.0376</v>
      </c>
    </row>
    <row r="1390" spans="1:7">
      <c r="A1390" s="3"/>
      <c r="B1390" s="3"/>
      <c r="C1390" s="3"/>
      <c r="D1390" s="3"/>
      <c r="E1390" s="3">
        <v>7</v>
      </c>
      <c r="F1390" s="4" t="str">
        <f>HYPERLINK("http://141.218.60.56/~jnz1568/getInfo.php?workbook=14_09.xlsx&amp;sheet=U0&amp;row=1390&amp;col=6&amp;number=3.6&amp;sourceID=14","3.6")</f>
        <v>3.6</v>
      </c>
      <c r="G1390" s="4" t="str">
        <f>HYPERLINK("http://141.218.60.56/~jnz1568/getInfo.php?workbook=14_09.xlsx&amp;sheet=U0&amp;row=1390&amp;col=7&amp;number=0.0373&amp;sourceID=14","0.0373")</f>
        <v>0.0373</v>
      </c>
    </row>
    <row r="1391" spans="1:7">
      <c r="A1391" s="3"/>
      <c r="B1391" s="3"/>
      <c r="C1391" s="3"/>
      <c r="D1391" s="3"/>
      <c r="E1391" s="3">
        <v>8</v>
      </c>
      <c r="F1391" s="4" t="str">
        <f>HYPERLINK("http://141.218.60.56/~jnz1568/getInfo.php?workbook=14_09.xlsx&amp;sheet=U0&amp;row=1391&amp;col=6&amp;number=3.7&amp;sourceID=14","3.7")</f>
        <v>3.7</v>
      </c>
      <c r="G1391" s="4" t="str">
        <f>HYPERLINK("http://141.218.60.56/~jnz1568/getInfo.php?workbook=14_09.xlsx&amp;sheet=U0&amp;row=1391&amp;col=7&amp;number=0.0368&amp;sourceID=14","0.0368")</f>
        <v>0.0368</v>
      </c>
    </row>
    <row r="1392" spans="1:7">
      <c r="A1392" s="3"/>
      <c r="B1392" s="3"/>
      <c r="C1392" s="3"/>
      <c r="D1392" s="3"/>
      <c r="E1392" s="3">
        <v>9</v>
      </c>
      <c r="F1392" s="4" t="str">
        <f>HYPERLINK("http://141.218.60.56/~jnz1568/getInfo.php?workbook=14_09.xlsx&amp;sheet=U0&amp;row=1392&amp;col=6&amp;number=3.8&amp;sourceID=14","3.8")</f>
        <v>3.8</v>
      </c>
      <c r="G1392" s="4" t="str">
        <f>HYPERLINK("http://141.218.60.56/~jnz1568/getInfo.php?workbook=14_09.xlsx&amp;sheet=U0&amp;row=1392&amp;col=7&amp;number=0.0362&amp;sourceID=14","0.0362")</f>
        <v>0.0362</v>
      </c>
    </row>
    <row r="1393" spans="1:7">
      <c r="A1393" s="3"/>
      <c r="B1393" s="3"/>
      <c r="C1393" s="3"/>
      <c r="D1393" s="3"/>
      <c r="E1393" s="3">
        <v>10</v>
      </c>
      <c r="F1393" s="4" t="str">
        <f>HYPERLINK("http://141.218.60.56/~jnz1568/getInfo.php?workbook=14_09.xlsx&amp;sheet=U0&amp;row=1393&amp;col=6&amp;number=3.9&amp;sourceID=14","3.9")</f>
        <v>3.9</v>
      </c>
      <c r="G1393" s="4" t="str">
        <f>HYPERLINK("http://141.218.60.56/~jnz1568/getInfo.php?workbook=14_09.xlsx&amp;sheet=U0&amp;row=1393&amp;col=7&amp;number=0.0355&amp;sourceID=14","0.0355")</f>
        <v>0.0355</v>
      </c>
    </row>
    <row r="1394" spans="1:7">
      <c r="A1394" s="3"/>
      <c r="B1394" s="3"/>
      <c r="C1394" s="3"/>
      <c r="D1394" s="3"/>
      <c r="E1394" s="3">
        <v>11</v>
      </c>
      <c r="F1394" s="4" t="str">
        <f>HYPERLINK("http://141.218.60.56/~jnz1568/getInfo.php?workbook=14_09.xlsx&amp;sheet=U0&amp;row=1394&amp;col=6&amp;number=4&amp;sourceID=14","4")</f>
        <v>4</v>
      </c>
      <c r="G1394" s="4" t="str">
        <f>HYPERLINK("http://141.218.60.56/~jnz1568/getInfo.php?workbook=14_09.xlsx&amp;sheet=U0&amp;row=1394&amp;col=7&amp;number=0.0346&amp;sourceID=14","0.0346")</f>
        <v>0.0346</v>
      </c>
    </row>
    <row r="1395" spans="1:7">
      <c r="A1395" s="3"/>
      <c r="B1395" s="3"/>
      <c r="C1395" s="3"/>
      <c r="D1395" s="3"/>
      <c r="E1395" s="3">
        <v>12</v>
      </c>
      <c r="F1395" s="4" t="str">
        <f>HYPERLINK("http://141.218.60.56/~jnz1568/getInfo.php?workbook=14_09.xlsx&amp;sheet=U0&amp;row=1395&amp;col=6&amp;number=4.1&amp;sourceID=14","4.1")</f>
        <v>4.1</v>
      </c>
      <c r="G1395" s="4" t="str">
        <f>HYPERLINK("http://141.218.60.56/~jnz1568/getInfo.php?workbook=14_09.xlsx&amp;sheet=U0&amp;row=1395&amp;col=7&amp;number=0.0335&amp;sourceID=14","0.0335")</f>
        <v>0.0335</v>
      </c>
    </row>
    <row r="1396" spans="1:7">
      <c r="A1396" s="3"/>
      <c r="B1396" s="3"/>
      <c r="C1396" s="3"/>
      <c r="D1396" s="3"/>
      <c r="E1396" s="3">
        <v>13</v>
      </c>
      <c r="F1396" s="4" t="str">
        <f>HYPERLINK("http://141.218.60.56/~jnz1568/getInfo.php?workbook=14_09.xlsx&amp;sheet=U0&amp;row=1396&amp;col=6&amp;number=4.2&amp;sourceID=14","4.2")</f>
        <v>4.2</v>
      </c>
      <c r="G1396" s="4" t="str">
        <f>HYPERLINK("http://141.218.60.56/~jnz1568/getInfo.php?workbook=14_09.xlsx&amp;sheet=U0&amp;row=1396&amp;col=7&amp;number=0.0322&amp;sourceID=14","0.0322")</f>
        <v>0.0322</v>
      </c>
    </row>
    <row r="1397" spans="1:7">
      <c r="A1397" s="3"/>
      <c r="B1397" s="3"/>
      <c r="C1397" s="3"/>
      <c r="D1397" s="3"/>
      <c r="E1397" s="3">
        <v>14</v>
      </c>
      <c r="F1397" s="4" t="str">
        <f>HYPERLINK("http://141.218.60.56/~jnz1568/getInfo.php?workbook=14_09.xlsx&amp;sheet=U0&amp;row=1397&amp;col=6&amp;number=4.3&amp;sourceID=14","4.3")</f>
        <v>4.3</v>
      </c>
      <c r="G1397" s="4" t="str">
        <f>HYPERLINK("http://141.218.60.56/~jnz1568/getInfo.php?workbook=14_09.xlsx&amp;sheet=U0&amp;row=1397&amp;col=7&amp;number=0.0307&amp;sourceID=14","0.0307")</f>
        <v>0.0307</v>
      </c>
    </row>
    <row r="1398" spans="1:7">
      <c r="A1398" s="3"/>
      <c r="B1398" s="3"/>
      <c r="C1398" s="3"/>
      <c r="D1398" s="3"/>
      <c r="E1398" s="3">
        <v>15</v>
      </c>
      <c r="F1398" s="4" t="str">
        <f>HYPERLINK("http://141.218.60.56/~jnz1568/getInfo.php?workbook=14_09.xlsx&amp;sheet=U0&amp;row=1398&amp;col=6&amp;number=4.4&amp;sourceID=14","4.4")</f>
        <v>4.4</v>
      </c>
      <c r="G1398" s="4" t="str">
        <f>HYPERLINK("http://141.218.60.56/~jnz1568/getInfo.php?workbook=14_09.xlsx&amp;sheet=U0&amp;row=1398&amp;col=7&amp;number=0.029&amp;sourceID=14","0.029")</f>
        <v>0.029</v>
      </c>
    </row>
    <row r="1399" spans="1:7">
      <c r="A1399" s="3"/>
      <c r="B1399" s="3"/>
      <c r="C1399" s="3"/>
      <c r="D1399" s="3"/>
      <c r="E1399" s="3">
        <v>16</v>
      </c>
      <c r="F1399" s="4" t="str">
        <f>HYPERLINK("http://141.218.60.56/~jnz1568/getInfo.php?workbook=14_09.xlsx&amp;sheet=U0&amp;row=1399&amp;col=6&amp;number=4.5&amp;sourceID=14","4.5")</f>
        <v>4.5</v>
      </c>
      <c r="G1399" s="4" t="str">
        <f>HYPERLINK("http://141.218.60.56/~jnz1568/getInfo.php?workbook=14_09.xlsx&amp;sheet=U0&amp;row=1399&amp;col=7&amp;number=0.0271&amp;sourceID=14","0.0271")</f>
        <v>0.0271</v>
      </c>
    </row>
    <row r="1400" spans="1:7">
      <c r="A1400" s="3"/>
      <c r="B1400" s="3"/>
      <c r="C1400" s="3"/>
      <c r="D1400" s="3"/>
      <c r="E1400" s="3">
        <v>17</v>
      </c>
      <c r="F1400" s="4" t="str">
        <f>HYPERLINK("http://141.218.60.56/~jnz1568/getInfo.php?workbook=14_09.xlsx&amp;sheet=U0&amp;row=1400&amp;col=6&amp;number=4.6&amp;sourceID=14","4.6")</f>
        <v>4.6</v>
      </c>
      <c r="G1400" s="4" t="str">
        <f>HYPERLINK("http://141.218.60.56/~jnz1568/getInfo.php?workbook=14_09.xlsx&amp;sheet=U0&amp;row=1400&amp;col=7&amp;number=0.0251&amp;sourceID=14","0.0251")</f>
        <v>0.0251</v>
      </c>
    </row>
    <row r="1401" spans="1:7">
      <c r="A1401" s="3"/>
      <c r="B1401" s="3"/>
      <c r="C1401" s="3"/>
      <c r="D1401" s="3"/>
      <c r="E1401" s="3">
        <v>18</v>
      </c>
      <c r="F1401" s="4" t="str">
        <f>HYPERLINK("http://141.218.60.56/~jnz1568/getInfo.php?workbook=14_09.xlsx&amp;sheet=U0&amp;row=1401&amp;col=6&amp;number=4.7&amp;sourceID=14","4.7")</f>
        <v>4.7</v>
      </c>
      <c r="G1401" s="4" t="str">
        <f>HYPERLINK("http://141.218.60.56/~jnz1568/getInfo.php?workbook=14_09.xlsx&amp;sheet=U0&amp;row=1401&amp;col=7&amp;number=0.0231&amp;sourceID=14","0.0231")</f>
        <v>0.0231</v>
      </c>
    </row>
    <row r="1402" spans="1:7">
      <c r="A1402" s="3"/>
      <c r="B1402" s="3"/>
      <c r="C1402" s="3"/>
      <c r="D1402" s="3"/>
      <c r="E1402" s="3">
        <v>19</v>
      </c>
      <c r="F1402" s="4" t="str">
        <f>HYPERLINK("http://141.218.60.56/~jnz1568/getInfo.php?workbook=14_09.xlsx&amp;sheet=U0&amp;row=1402&amp;col=6&amp;number=4.8&amp;sourceID=14","4.8")</f>
        <v>4.8</v>
      </c>
      <c r="G1402" s="4" t="str">
        <f>HYPERLINK("http://141.218.60.56/~jnz1568/getInfo.php?workbook=14_09.xlsx&amp;sheet=U0&amp;row=1402&amp;col=7&amp;number=0.021&amp;sourceID=14","0.021")</f>
        <v>0.021</v>
      </c>
    </row>
    <row r="1403" spans="1:7">
      <c r="A1403" s="3"/>
      <c r="B1403" s="3"/>
      <c r="C1403" s="3"/>
      <c r="D1403" s="3"/>
      <c r="E1403" s="3">
        <v>20</v>
      </c>
      <c r="F1403" s="4" t="str">
        <f>HYPERLINK("http://141.218.60.56/~jnz1568/getInfo.php?workbook=14_09.xlsx&amp;sheet=U0&amp;row=1403&amp;col=6&amp;number=4.9&amp;sourceID=14","4.9")</f>
        <v>4.9</v>
      </c>
      <c r="G1403" s="4" t="str">
        <f>HYPERLINK("http://141.218.60.56/~jnz1568/getInfo.php?workbook=14_09.xlsx&amp;sheet=U0&amp;row=1403&amp;col=7&amp;number=0.019&amp;sourceID=14","0.019")</f>
        <v>0.019</v>
      </c>
    </row>
    <row r="1404" spans="1:7">
      <c r="A1404" s="3">
        <v>14</v>
      </c>
      <c r="B1404" s="3">
        <v>9</v>
      </c>
      <c r="C1404" s="3">
        <v>1</v>
      </c>
      <c r="D1404" s="3">
        <v>72</v>
      </c>
      <c r="E1404" s="3">
        <v>1</v>
      </c>
      <c r="F1404" s="4" t="str">
        <f>HYPERLINK("http://141.218.60.56/~jnz1568/getInfo.php?workbook=14_09.xlsx&amp;sheet=U0&amp;row=1404&amp;col=6&amp;number=3&amp;sourceID=14","3")</f>
        <v>3</v>
      </c>
      <c r="G1404" s="4" t="str">
        <f>HYPERLINK("http://141.218.60.56/~jnz1568/getInfo.php?workbook=14_09.xlsx&amp;sheet=U0&amp;row=1404&amp;col=7&amp;number=0.0558&amp;sourceID=14","0.0558")</f>
        <v>0.0558</v>
      </c>
    </row>
    <row r="1405" spans="1:7">
      <c r="A1405" s="3"/>
      <c r="B1405" s="3"/>
      <c r="C1405" s="3"/>
      <c r="D1405" s="3"/>
      <c r="E1405" s="3">
        <v>2</v>
      </c>
      <c r="F1405" s="4" t="str">
        <f>HYPERLINK("http://141.218.60.56/~jnz1568/getInfo.php?workbook=14_09.xlsx&amp;sheet=U0&amp;row=1405&amp;col=6&amp;number=3.1&amp;sourceID=14","3.1")</f>
        <v>3.1</v>
      </c>
      <c r="G1405" s="4" t="str">
        <f>HYPERLINK("http://141.218.60.56/~jnz1568/getInfo.php?workbook=14_09.xlsx&amp;sheet=U0&amp;row=1405&amp;col=7&amp;number=0.0557&amp;sourceID=14","0.0557")</f>
        <v>0.0557</v>
      </c>
    </row>
    <row r="1406" spans="1:7">
      <c r="A1406" s="3"/>
      <c r="B1406" s="3"/>
      <c r="C1406" s="3"/>
      <c r="D1406" s="3"/>
      <c r="E1406" s="3">
        <v>3</v>
      </c>
      <c r="F1406" s="4" t="str">
        <f>HYPERLINK("http://141.218.60.56/~jnz1568/getInfo.php?workbook=14_09.xlsx&amp;sheet=U0&amp;row=1406&amp;col=6&amp;number=3.2&amp;sourceID=14","3.2")</f>
        <v>3.2</v>
      </c>
      <c r="G1406" s="4" t="str">
        <f>HYPERLINK("http://141.218.60.56/~jnz1568/getInfo.php?workbook=14_09.xlsx&amp;sheet=U0&amp;row=1406&amp;col=7&amp;number=0.0555&amp;sourceID=14","0.0555")</f>
        <v>0.0555</v>
      </c>
    </row>
    <row r="1407" spans="1:7">
      <c r="A1407" s="3"/>
      <c r="B1407" s="3"/>
      <c r="C1407" s="3"/>
      <c r="D1407" s="3"/>
      <c r="E1407" s="3">
        <v>4</v>
      </c>
      <c r="F1407" s="4" t="str">
        <f>HYPERLINK("http://141.218.60.56/~jnz1568/getInfo.php?workbook=14_09.xlsx&amp;sheet=U0&amp;row=1407&amp;col=6&amp;number=3.3&amp;sourceID=14","3.3")</f>
        <v>3.3</v>
      </c>
      <c r="G1407" s="4" t="str">
        <f>HYPERLINK("http://141.218.60.56/~jnz1568/getInfo.php?workbook=14_09.xlsx&amp;sheet=U0&amp;row=1407&amp;col=7&amp;number=0.0553&amp;sourceID=14","0.0553")</f>
        <v>0.0553</v>
      </c>
    </row>
    <row r="1408" spans="1:7">
      <c r="A1408" s="3"/>
      <c r="B1408" s="3"/>
      <c r="C1408" s="3"/>
      <c r="D1408" s="3"/>
      <c r="E1408" s="3">
        <v>5</v>
      </c>
      <c r="F1408" s="4" t="str">
        <f>HYPERLINK("http://141.218.60.56/~jnz1568/getInfo.php?workbook=14_09.xlsx&amp;sheet=U0&amp;row=1408&amp;col=6&amp;number=3.4&amp;sourceID=14","3.4")</f>
        <v>3.4</v>
      </c>
      <c r="G1408" s="4" t="str">
        <f>HYPERLINK("http://141.218.60.56/~jnz1568/getInfo.php?workbook=14_09.xlsx&amp;sheet=U0&amp;row=1408&amp;col=7&amp;number=0.0551&amp;sourceID=14","0.0551")</f>
        <v>0.0551</v>
      </c>
    </row>
    <row r="1409" spans="1:7">
      <c r="A1409" s="3"/>
      <c r="B1409" s="3"/>
      <c r="C1409" s="3"/>
      <c r="D1409" s="3"/>
      <c r="E1409" s="3">
        <v>6</v>
      </c>
      <c r="F1409" s="4" t="str">
        <f>HYPERLINK("http://141.218.60.56/~jnz1568/getInfo.php?workbook=14_09.xlsx&amp;sheet=U0&amp;row=1409&amp;col=6&amp;number=3.5&amp;sourceID=14","3.5")</f>
        <v>3.5</v>
      </c>
      <c r="G1409" s="4" t="str">
        <f>HYPERLINK("http://141.218.60.56/~jnz1568/getInfo.php?workbook=14_09.xlsx&amp;sheet=U0&amp;row=1409&amp;col=7&amp;number=0.0547&amp;sourceID=14","0.0547")</f>
        <v>0.0547</v>
      </c>
    </row>
    <row r="1410" spans="1:7">
      <c r="A1410" s="3"/>
      <c r="B1410" s="3"/>
      <c r="C1410" s="3"/>
      <c r="D1410" s="3"/>
      <c r="E1410" s="3">
        <v>7</v>
      </c>
      <c r="F1410" s="4" t="str">
        <f>HYPERLINK("http://141.218.60.56/~jnz1568/getInfo.php?workbook=14_09.xlsx&amp;sheet=U0&amp;row=1410&amp;col=6&amp;number=3.6&amp;sourceID=14","3.6")</f>
        <v>3.6</v>
      </c>
      <c r="G1410" s="4" t="str">
        <f>HYPERLINK("http://141.218.60.56/~jnz1568/getInfo.php?workbook=14_09.xlsx&amp;sheet=U0&amp;row=1410&amp;col=7&amp;number=0.0543&amp;sourceID=14","0.0543")</f>
        <v>0.0543</v>
      </c>
    </row>
    <row r="1411" spans="1:7">
      <c r="A1411" s="3"/>
      <c r="B1411" s="3"/>
      <c r="C1411" s="3"/>
      <c r="D1411" s="3"/>
      <c r="E1411" s="3">
        <v>8</v>
      </c>
      <c r="F1411" s="4" t="str">
        <f>HYPERLINK("http://141.218.60.56/~jnz1568/getInfo.php?workbook=14_09.xlsx&amp;sheet=U0&amp;row=1411&amp;col=6&amp;number=3.7&amp;sourceID=14","3.7")</f>
        <v>3.7</v>
      </c>
      <c r="G1411" s="4" t="str">
        <f>HYPERLINK("http://141.218.60.56/~jnz1568/getInfo.php?workbook=14_09.xlsx&amp;sheet=U0&amp;row=1411&amp;col=7&amp;number=0.0538&amp;sourceID=14","0.0538")</f>
        <v>0.0538</v>
      </c>
    </row>
    <row r="1412" spans="1:7">
      <c r="A1412" s="3"/>
      <c r="B1412" s="3"/>
      <c r="C1412" s="3"/>
      <c r="D1412" s="3"/>
      <c r="E1412" s="3">
        <v>9</v>
      </c>
      <c r="F1412" s="4" t="str">
        <f>HYPERLINK("http://141.218.60.56/~jnz1568/getInfo.php?workbook=14_09.xlsx&amp;sheet=U0&amp;row=1412&amp;col=6&amp;number=3.8&amp;sourceID=14","3.8")</f>
        <v>3.8</v>
      </c>
      <c r="G1412" s="4" t="str">
        <f>HYPERLINK("http://141.218.60.56/~jnz1568/getInfo.php?workbook=14_09.xlsx&amp;sheet=U0&amp;row=1412&amp;col=7&amp;number=0.0532&amp;sourceID=14","0.0532")</f>
        <v>0.0532</v>
      </c>
    </row>
    <row r="1413" spans="1:7">
      <c r="A1413" s="3"/>
      <c r="B1413" s="3"/>
      <c r="C1413" s="3"/>
      <c r="D1413" s="3"/>
      <c r="E1413" s="3">
        <v>10</v>
      </c>
      <c r="F1413" s="4" t="str">
        <f>HYPERLINK("http://141.218.60.56/~jnz1568/getInfo.php?workbook=14_09.xlsx&amp;sheet=U0&amp;row=1413&amp;col=6&amp;number=3.9&amp;sourceID=14","3.9")</f>
        <v>3.9</v>
      </c>
      <c r="G1413" s="4" t="str">
        <f>HYPERLINK("http://141.218.60.56/~jnz1568/getInfo.php?workbook=14_09.xlsx&amp;sheet=U0&amp;row=1413&amp;col=7&amp;number=0.0524&amp;sourceID=14","0.0524")</f>
        <v>0.0524</v>
      </c>
    </row>
    <row r="1414" spans="1:7">
      <c r="A1414" s="3"/>
      <c r="B1414" s="3"/>
      <c r="C1414" s="3"/>
      <c r="D1414" s="3"/>
      <c r="E1414" s="3">
        <v>11</v>
      </c>
      <c r="F1414" s="4" t="str">
        <f>HYPERLINK("http://141.218.60.56/~jnz1568/getInfo.php?workbook=14_09.xlsx&amp;sheet=U0&amp;row=1414&amp;col=6&amp;number=4&amp;sourceID=14","4")</f>
        <v>4</v>
      </c>
      <c r="G1414" s="4" t="str">
        <f>HYPERLINK("http://141.218.60.56/~jnz1568/getInfo.php?workbook=14_09.xlsx&amp;sheet=U0&amp;row=1414&amp;col=7&amp;number=0.0514&amp;sourceID=14","0.0514")</f>
        <v>0.0514</v>
      </c>
    </row>
    <row r="1415" spans="1:7">
      <c r="A1415" s="3"/>
      <c r="B1415" s="3"/>
      <c r="C1415" s="3"/>
      <c r="D1415" s="3"/>
      <c r="E1415" s="3">
        <v>12</v>
      </c>
      <c r="F1415" s="4" t="str">
        <f>HYPERLINK("http://141.218.60.56/~jnz1568/getInfo.php?workbook=14_09.xlsx&amp;sheet=U0&amp;row=1415&amp;col=6&amp;number=4.1&amp;sourceID=14","4.1")</f>
        <v>4.1</v>
      </c>
      <c r="G1415" s="4" t="str">
        <f>HYPERLINK("http://141.218.60.56/~jnz1568/getInfo.php?workbook=14_09.xlsx&amp;sheet=U0&amp;row=1415&amp;col=7&amp;number=0.0502&amp;sourceID=14","0.0502")</f>
        <v>0.0502</v>
      </c>
    </row>
    <row r="1416" spans="1:7">
      <c r="A1416" s="3"/>
      <c r="B1416" s="3"/>
      <c r="C1416" s="3"/>
      <c r="D1416" s="3"/>
      <c r="E1416" s="3">
        <v>13</v>
      </c>
      <c r="F1416" s="4" t="str">
        <f>HYPERLINK("http://141.218.60.56/~jnz1568/getInfo.php?workbook=14_09.xlsx&amp;sheet=U0&amp;row=1416&amp;col=6&amp;number=4.2&amp;sourceID=14","4.2")</f>
        <v>4.2</v>
      </c>
      <c r="G1416" s="4" t="str">
        <f>HYPERLINK("http://141.218.60.56/~jnz1568/getInfo.php?workbook=14_09.xlsx&amp;sheet=U0&amp;row=1416&amp;col=7&amp;number=0.0487&amp;sourceID=14","0.0487")</f>
        <v>0.0487</v>
      </c>
    </row>
    <row r="1417" spans="1:7">
      <c r="A1417" s="3"/>
      <c r="B1417" s="3"/>
      <c r="C1417" s="3"/>
      <c r="D1417" s="3"/>
      <c r="E1417" s="3">
        <v>14</v>
      </c>
      <c r="F1417" s="4" t="str">
        <f>HYPERLINK("http://141.218.60.56/~jnz1568/getInfo.php?workbook=14_09.xlsx&amp;sheet=U0&amp;row=1417&amp;col=6&amp;number=4.3&amp;sourceID=14","4.3")</f>
        <v>4.3</v>
      </c>
      <c r="G1417" s="4" t="str">
        <f>HYPERLINK("http://141.218.60.56/~jnz1568/getInfo.php?workbook=14_09.xlsx&amp;sheet=U0&amp;row=1417&amp;col=7&amp;number=0.0469&amp;sourceID=14","0.0469")</f>
        <v>0.0469</v>
      </c>
    </row>
    <row r="1418" spans="1:7">
      <c r="A1418" s="3"/>
      <c r="B1418" s="3"/>
      <c r="C1418" s="3"/>
      <c r="D1418" s="3"/>
      <c r="E1418" s="3">
        <v>15</v>
      </c>
      <c r="F1418" s="4" t="str">
        <f>HYPERLINK("http://141.218.60.56/~jnz1568/getInfo.php?workbook=14_09.xlsx&amp;sheet=U0&amp;row=1418&amp;col=6&amp;number=4.4&amp;sourceID=14","4.4")</f>
        <v>4.4</v>
      </c>
      <c r="G1418" s="4" t="str">
        <f>HYPERLINK("http://141.218.60.56/~jnz1568/getInfo.php?workbook=14_09.xlsx&amp;sheet=U0&amp;row=1418&amp;col=7&amp;number=0.0447&amp;sourceID=14","0.0447")</f>
        <v>0.0447</v>
      </c>
    </row>
    <row r="1419" spans="1:7">
      <c r="A1419" s="3"/>
      <c r="B1419" s="3"/>
      <c r="C1419" s="3"/>
      <c r="D1419" s="3"/>
      <c r="E1419" s="3">
        <v>16</v>
      </c>
      <c r="F1419" s="4" t="str">
        <f>HYPERLINK("http://141.218.60.56/~jnz1568/getInfo.php?workbook=14_09.xlsx&amp;sheet=U0&amp;row=1419&amp;col=6&amp;number=4.5&amp;sourceID=14","4.5")</f>
        <v>4.5</v>
      </c>
      <c r="G1419" s="4" t="str">
        <f>HYPERLINK("http://141.218.60.56/~jnz1568/getInfo.php?workbook=14_09.xlsx&amp;sheet=U0&amp;row=1419&amp;col=7&amp;number=0.0421&amp;sourceID=14","0.0421")</f>
        <v>0.0421</v>
      </c>
    </row>
    <row r="1420" spans="1:7">
      <c r="A1420" s="3"/>
      <c r="B1420" s="3"/>
      <c r="C1420" s="3"/>
      <c r="D1420" s="3"/>
      <c r="E1420" s="3">
        <v>17</v>
      </c>
      <c r="F1420" s="4" t="str">
        <f>HYPERLINK("http://141.218.60.56/~jnz1568/getInfo.php?workbook=14_09.xlsx&amp;sheet=U0&amp;row=1420&amp;col=6&amp;number=4.6&amp;sourceID=14","4.6")</f>
        <v>4.6</v>
      </c>
      <c r="G1420" s="4" t="str">
        <f>HYPERLINK("http://141.218.60.56/~jnz1568/getInfo.php?workbook=14_09.xlsx&amp;sheet=U0&amp;row=1420&amp;col=7&amp;number=0.0392&amp;sourceID=14","0.0392")</f>
        <v>0.0392</v>
      </c>
    </row>
    <row r="1421" spans="1:7">
      <c r="A1421" s="3"/>
      <c r="B1421" s="3"/>
      <c r="C1421" s="3"/>
      <c r="D1421" s="3"/>
      <c r="E1421" s="3">
        <v>18</v>
      </c>
      <c r="F1421" s="4" t="str">
        <f>HYPERLINK("http://141.218.60.56/~jnz1568/getInfo.php?workbook=14_09.xlsx&amp;sheet=U0&amp;row=1421&amp;col=6&amp;number=4.7&amp;sourceID=14","4.7")</f>
        <v>4.7</v>
      </c>
      <c r="G1421" s="4" t="str">
        <f>HYPERLINK("http://141.218.60.56/~jnz1568/getInfo.php?workbook=14_09.xlsx&amp;sheet=U0&amp;row=1421&amp;col=7&amp;number=0.0359&amp;sourceID=14","0.0359")</f>
        <v>0.0359</v>
      </c>
    </row>
    <row r="1422" spans="1:7">
      <c r="A1422" s="3"/>
      <c r="B1422" s="3"/>
      <c r="C1422" s="3"/>
      <c r="D1422" s="3"/>
      <c r="E1422" s="3">
        <v>19</v>
      </c>
      <c r="F1422" s="4" t="str">
        <f>HYPERLINK("http://141.218.60.56/~jnz1568/getInfo.php?workbook=14_09.xlsx&amp;sheet=U0&amp;row=1422&amp;col=6&amp;number=4.8&amp;sourceID=14","4.8")</f>
        <v>4.8</v>
      </c>
      <c r="G1422" s="4" t="str">
        <f>HYPERLINK("http://141.218.60.56/~jnz1568/getInfo.php?workbook=14_09.xlsx&amp;sheet=U0&amp;row=1422&amp;col=7&amp;number=0.0326&amp;sourceID=14","0.0326")</f>
        <v>0.0326</v>
      </c>
    </row>
    <row r="1423" spans="1:7">
      <c r="A1423" s="3"/>
      <c r="B1423" s="3"/>
      <c r="C1423" s="3"/>
      <c r="D1423" s="3"/>
      <c r="E1423" s="3">
        <v>20</v>
      </c>
      <c r="F1423" s="4" t="str">
        <f>HYPERLINK("http://141.218.60.56/~jnz1568/getInfo.php?workbook=14_09.xlsx&amp;sheet=U0&amp;row=1423&amp;col=6&amp;number=4.9&amp;sourceID=14","4.9")</f>
        <v>4.9</v>
      </c>
      <c r="G1423" s="4" t="str">
        <f>HYPERLINK("http://141.218.60.56/~jnz1568/getInfo.php?workbook=14_09.xlsx&amp;sheet=U0&amp;row=1423&amp;col=7&amp;number=0.0294&amp;sourceID=14","0.0294")</f>
        <v>0.0294</v>
      </c>
    </row>
    <row r="1424" spans="1:7">
      <c r="A1424" s="3">
        <v>14</v>
      </c>
      <c r="B1424" s="3">
        <v>9</v>
      </c>
      <c r="C1424" s="3">
        <v>1</v>
      </c>
      <c r="D1424" s="3">
        <v>73</v>
      </c>
      <c r="E1424" s="3">
        <v>1</v>
      </c>
      <c r="F1424" s="4" t="str">
        <f>HYPERLINK("http://141.218.60.56/~jnz1568/getInfo.php?workbook=14_09.xlsx&amp;sheet=U0&amp;row=1424&amp;col=6&amp;number=3&amp;sourceID=14","3")</f>
        <v>3</v>
      </c>
      <c r="G1424" s="4" t="str">
        <f>HYPERLINK("http://141.218.60.56/~jnz1568/getInfo.php?workbook=14_09.xlsx&amp;sheet=U0&amp;row=1424&amp;col=7&amp;number=0.015&amp;sourceID=14","0.015")</f>
        <v>0.015</v>
      </c>
    </row>
    <row r="1425" spans="1:7">
      <c r="A1425" s="3"/>
      <c r="B1425" s="3"/>
      <c r="C1425" s="3"/>
      <c r="D1425" s="3"/>
      <c r="E1425" s="3">
        <v>2</v>
      </c>
      <c r="F1425" s="4" t="str">
        <f>HYPERLINK("http://141.218.60.56/~jnz1568/getInfo.php?workbook=14_09.xlsx&amp;sheet=U0&amp;row=1425&amp;col=6&amp;number=3.1&amp;sourceID=14","3.1")</f>
        <v>3.1</v>
      </c>
      <c r="G1425" s="4" t="str">
        <f>HYPERLINK("http://141.218.60.56/~jnz1568/getInfo.php?workbook=14_09.xlsx&amp;sheet=U0&amp;row=1425&amp;col=7&amp;number=0.0149&amp;sourceID=14","0.0149")</f>
        <v>0.0149</v>
      </c>
    </row>
    <row r="1426" spans="1:7">
      <c r="A1426" s="3"/>
      <c r="B1426" s="3"/>
      <c r="C1426" s="3"/>
      <c r="D1426" s="3"/>
      <c r="E1426" s="3">
        <v>3</v>
      </c>
      <c r="F1426" s="4" t="str">
        <f>HYPERLINK("http://141.218.60.56/~jnz1568/getInfo.php?workbook=14_09.xlsx&amp;sheet=U0&amp;row=1426&amp;col=6&amp;number=3.2&amp;sourceID=14","3.2")</f>
        <v>3.2</v>
      </c>
      <c r="G1426" s="4" t="str">
        <f>HYPERLINK("http://141.218.60.56/~jnz1568/getInfo.php?workbook=14_09.xlsx&amp;sheet=U0&amp;row=1426&amp;col=7&amp;number=0.0149&amp;sourceID=14","0.0149")</f>
        <v>0.0149</v>
      </c>
    </row>
    <row r="1427" spans="1:7">
      <c r="A1427" s="3"/>
      <c r="B1427" s="3"/>
      <c r="C1427" s="3"/>
      <c r="D1427" s="3"/>
      <c r="E1427" s="3">
        <v>4</v>
      </c>
      <c r="F1427" s="4" t="str">
        <f>HYPERLINK("http://141.218.60.56/~jnz1568/getInfo.php?workbook=14_09.xlsx&amp;sheet=U0&amp;row=1427&amp;col=6&amp;number=3.3&amp;sourceID=14","3.3")</f>
        <v>3.3</v>
      </c>
      <c r="G1427" s="4" t="str">
        <f>HYPERLINK("http://141.218.60.56/~jnz1568/getInfo.php?workbook=14_09.xlsx&amp;sheet=U0&amp;row=1427&amp;col=7&amp;number=0.0148&amp;sourceID=14","0.0148")</f>
        <v>0.0148</v>
      </c>
    </row>
    <row r="1428" spans="1:7">
      <c r="A1428" s="3"/>
      <c r="B1428" s="3"/>
      <c r="C1428" s="3"/>
      <c r="D1428" s="3"/>
      <c r="E1428" s="3">
        <v>5</v>
      </c>
      <c r="F1428" s="4" t="str">
        <f>HYPERLINK("http://141.218.60.56/~jnz1568/getInfo.php?workbook=14_09.xlsx&amp;sheet=U0&amp;row=1428&amp;col=6&amp;number=3.4&amp;sourceID=14","3.4")</f>
        <v>3.4</v>
      </c>
      <c r="G1428" s="4" t="str">
        <f>HYPERLINK("http://141.218.60.56/~jnz1568/getInfo.php?workbook=14_09.xlsx&amp;sheet=U0&amp;row=1428&amp;col=7&amp;number=0.0148&amp;sourceID=14","0.0148")</f>
        <v>0.0148</v>
      </c>
    </row>
    <row r="1429" spans="1:7">
      <c r="A1429" s="3"/>
      <c r="B1429" s="3"/>
      <c r="C1429" s="3"/>
      <c r="D1429" s="3"/>
      <c r="E1429" s="3">
        <v>6</v>
      </c>
      <c r="F1429" s="4" t="str">
        <f>HYPERLINK("http://141.218.60.56/~jnz1568/getInfo.php?workbook=14_09.xlsx&amp;sheet=U0&amp;row=1429&amp;col=6&amp;number=3.5&amp;sourceID=14","3.5")</f>
        <v>3.5</v>
      </c>
      <c r="G1429" s="4" t="str">
        <f>HYPERLINK("http://141.218.60.56/~jnz1568/getInfo.php?workbook=14_09.xlsx&amp;sheet=U0&amp;row=1429&amp;col=7&amp;number=0.0147&amp;sourceID=14","0.0147")</f>
        <v>0.0147</v>
      </c>
    </row>
    <row r="1430" spans="1:7">
      <c r="A1430" s="3"/>
      <c r="B1430" s="3"/>
      <c r="C1430" s="3"/>
      <c r="D1430" s="3"/>
      <c r="E1430" s="3">
        <v>7</v>
      </c>
      <c r="F1430" s="4" t="str">
        <f>HYPERLINK("http://141.218.60.56/~jnz1568/getInfo.php?workbook=14_09.xlsx&amp;sheet=U0&amp;row=1430&amp;col=6&amp;number=3.6&amp;sourceID=14","3.6")</f>
        <v>3.6</v>
      </c>
      <c r="G1430" s="4" t="str">
        <f>HYPERLINK("http://141.218.60.56/~jnz1568/getInfo.php?workbook=14_09.xlsx&amp;sheet=U0&amp;row=1430&amp;col=7&amp;number=0.0146&amp;sourceID=14","0.0146")</f>
        <v>0.0146</v>
      </c>
    </row>
    <row r="1431" spans="1:7">
      <c r="A1431" s="3"/>
      <c r="B1431" s="3"/>
      <c r="C1431" s="3"/>
      <c r="D1431" s="3"/>
      <c r="E1431" s="3">
        <v>8</v>
      </c>
      <c r="F1431" s="4" t="str">
        <f>HYPERLINK("http://141.218.60.56/~jnz1568/getInfo.php?workbook=14_09.xlsx&amp;sheet=U0&amp;row=1431&amp;col=6&amp;number=3.7&amp;sourceID=14","3.7")</f>
        <v>3.7</v>
      </c>
      <c r="G1431" s="4" t="str">
        <f>HYPERLINK("http://141.218.60.56/~jnz1568/getInfo.php?workbook=14_09.xlsx&amp;sheet=U0&amp;row=1431&amp;col=7&amp;number=0.0144&amp;sourceID=14","0.0144")</f>
        <v>0.0144</v>
      </c>
    </row>
    <row r="1432" spans="1:7">
      <c r="A1432" s="3"/>
      <c r="B1432" s="3"/>
      <c r="C1432" s="3"/>
      <c r="D1432" s="3"/>
      <c r="E1432" s="3">
        <v>9</v>
      </c>
      <c r="F1432" s="4" t="str">
        <f>HYPERLINK("http://141.218.60.56/~jnz1568/getInfo.php?workbook=14_09.xlsx&amp;sheet=U0&amp;row=1432&amp;col=6&amp;number=3.8&amp;sourceID=14","3.8")</f>
        <v>3.8</v>
      </c>
      <c r="G1432" s="4" t="str">
        <f>HYPERLINK("http://141.218.60.56/~jnz1568/getInfo.php?workbook=14_09.xlsx&amp;sheet=U0&amp;row=1432&amp;col=7&amp;number=0.0143&amp;sourceID=14","0.0143")</f>
        <v>0.0143</v>
      </c>
    </row>
    <row r="1433" spans="1:7">
      <c r="A1433" s="3"/>
      <c r="B1433" s="3"/>
      <c r="C1433" s="3"/>
      <c r="D1433" s="3"/>
      <c r="E1433" s="3">
        <v>10</v>
      </c>
      <c r="F1433" s="4" t="str">
        <f>HYPERLINK("http://141.218.60.56/~jnz1568/getInfo.php?workbook=14_09.xlsx&amp;sheet=U0&amp;row=1433&amp;col=6&amp;number=3.9&amp;sourceID=14","3.9")</f>
        <v>3.9</v>
      </c>
      <c r="G1433" s="4" t="str">
        <f>HYPERLINK("http://141.218.60.56/~jnz1568/getInfo.php?workbook=14_09.xlsx&amp;sheet=U0&amp;row=1433&amp;col=7&amp;number=0.0141&amp;sourceID=14","0.0141")</f>
        <v>0.0141</v>
      </c>
    </row>
    <row r="1434" spans="1:7">
      <c r="A1434" s="3"/>
      <c r="B1434" s="3"/>
      <c r="C1434" s="3"/>
      <c r="D1434" s="3"/>
      <c r="E1434" s="3">
        <v>11</v>
      </c>
      <c r="F1434" s="4" t="str">
        <f>HYPERLINK("http://141.218.60.56/~jnz1568/getInfo.php?workbook=14_09.xlsx&amp;sheet=U0&amp;row=1434&amp;col=6&amp;number=4&amp;sourceID=14","4")</f>
        <v>4</v>
      </c>
      <c r="G1434" s="4" t="str">
        <f>HYPERLINK("http://141.218.60.56/~jnz1568/getInfo.php?workbook=14_09.xlsx&amp;sheet=U0&amp;row=1434&amp;col=7&amp;number=0.0138&amp;sourceID=14","0.0138")</f>
        <v>0.0138</v>
      </c>
    </row>
    <row r="1435" spans="1:7">
      <c r="A1435" s="3"/>
      <c r="B1435" s="3"/>
      <c r="C1435" s="3"/>
      <c r="D1435" s="3"/>
      <c r="E1435" s="3">
        <v>12</v>
      </c>
      <c r="F1435" s="4" t="str">
        <f>HYPERLINK("http://141.218.60.56/~jnz1568/getInfo.php?workbook=14_09.xlsx&amp;sheet=U0&amp;row=1435&amp;col=6&amp;number=4.1&amp;sourceID=14","4.1")</f>
        <v>4.1</v>
      </c>
      <c r="G1435" s="4" t="str">
        <f>HYPERLINK("http://141.218.60.56/~jnz1568/getInfo.php?workbook=14_09.xlsx&amp;sheet=U0&amp;row=1435&amp;col=7&amp;number=0.0135&amp;sourceID=14","0.0135")</f>
        <v>0.0135</v>
      </c>
    </row>
    <row r="1436" spans="1:7">
      <c r="A1436" s="3"/>
      <c r="B1436" s="3"/>
      <c r="C1436" s="3"/>
      <c r="D1436" s="3"/>
      <c r="E1436" s="3">
        <v>13</v>
      </c>
      <c r="F1436" s="4" t="str">
        <f>HYPERLINK("http://141.218.60.56/~jnz1568/getInfo.php?workbook=14_09.xlsx&amp;sheet=U0&amp;row=1436&amp;col=6&amp;number=4.2&amp;sourceID=14","4.2")</f>
        <v>4.2</v>
      </c>
      <c r="G1436" s="4" t="str">
        <f>HYPERLINK("http://141.218.60.56/~jnz1568/getInfo.php?workbook=14_09.xlsx&amp;sheet=U0&amp;row=1436&amp;col=7&amp;number=0.0131&amp;sourceID=14","0.0131")</f>
        <v>0.0131</v>
      </c>
    </row>
    <row r="1437" spans="1:7">
      <c r="A1437" s="3"/>
      <c r="B1437" s="3"/>
      <c r="C1437" s="3"/>
      <c r="D1437" s="3"/>
      <c r="E1437" s="3">
        <v>14</v>
      </c>
      <c r="F1437" s="4" t="str">
        <f>HYPERLINK("http://141.218.60.56/~jnz1568/getInfo.php?workbook=14_09.xlsx&amp;sheet=U0&amp;row=1437&amp;col=6&amp;number=4.3&amp;sourceID=14","4.3")</f>
        <v>4.3</v>
      </c>
      <c r="G1437" s="4" t="str">
        <f>HYPERLINK("http://141.218.60.56/~jnz1568/getInfo.php?workbook=14_09.xlsx&amp;sheet=U0&amp;row=1437&amp;col=7&amp;number=0.0126&amp;sourceID=14","0.0126")</f>
        <v>0.0126</v>
      </c>
    </row>
    <row r="1438" spans="1:7">
      <c r="A1438" s="3"/>
      <c r="B1438" s="3"/>
      <c r="C1438" s="3"/>
      <c r="D1438" s="3"/>
      <c r="E1438" s="3">
        <v>15</v>
      </c>
      <c r="F1438" s="4" t="str">
        <f>HYPERLINK("http://141.218.60.56/~jnz1568/getInfo.php?workbook=14_09.xlsx&amp;sheet=U0&amp;row=1438&amp;col=6&amp;number=4.4&amp;sourceID=14","4.4")</f>
        <v>4.4</v>
      </c>
      <c r="G1438" s="4" t="str">
        <f>HYPERLINK("http://141.218.60.56/~jnz1568/getInfo.php?workbook=14_09.xlsx&amp;sheet=U0&amp;row=1438&amp;col=7&amp;number=0.012&amp;sourceID=14","0.012")</f>
        <v>0.012</v>
      </c>
    </row>
    <row r="1439" spans="1:7">
      <c r="A1439" s="3"/>
      <c r="B1439" s="3"/>
      <c r="C1439" s="3"/>
      <c r="D1439" s="3"/>
      <c r="E1439" s="3">
        <v>16</v>
      </c>
      <c r="F1439" s="4" t="str">
        <f>HYPERLINK("http://141.218.60.56/~jnz1568/getInfo.php?workbook=14_09.xlsx&amp;sheet=U0&amp;row=1439&amp;col=6&amp;number=4.5&amp;sourceID=14","4.5")</f>
        <v>4.5</v>
      </c>
      <c r="G1439" s="4" t="str">
        <f>HYPERLINK("http://141.218.60.56/~jnz1568/getInfo.php?workbook=14_09.xlsx&amp;sheet=U0&amp;row=1439&amp;col=7&amp;number=0.0113&amp;sourceID=14","0.0113")</f>
        <v>0.0113</v>
      </c>
    </row>
    <row r="1440" spans="1:7">
      <c r="A1440" s="3"/>
      <c r="B1440" s="3"/>
      <c r="C1440" s="3"/>
      <c r="D1440" s="3"/>
      <c r="E1440" s="3">
        <v>17</v>
      </c>
      <c r="F1440" s="4" t="str">
        <f>HYPERLINK("http://141.218.60.56/~jnz1568/getInfo.php?workbook=14_09.xlsx&amp;sheet=U0&amp;row=1440&amp;col=6&amp;number=4.6&amp;sourceID=14","4.6")</f>
        <v>4.6</v>
      </c>
      <c r="G1440" s="4" t="str">
        <f>HYPERLINK("http://141.218.60.56/~jnz1568/getInfo.php?workbook=14_09.xlsx&amp;sheet=U0&amp;row=1440&amp;col=7&amp;number=0.0105&amp;sourceID=14","0.0105")</f>
        <v>0.0105</v>
      </c>
    </row>
    <row r="1441" spans="1:7">
      <c r="A1441" s="3"/>
      <c r="B1441" s="3"/>
      <c r="C1441" s="3"/>
      <c r="D1441" s="3"/>
      <c r="E1441" s="3">
        <v>18</v>
      </c>
      <c r="F1441" s="4" t="str">
        <f>HYPERLINK("http://141.218.60.56/~jnz1568/getInfo.php?workbook=14_09.xlsx&amp;sheet=U0&amp;row=1441&amp;col=6&amp;number=4.7&amp;sourceID=14","4.7")</f>
        <v>4.7</v>
      </c>
      <c r="G1441" s="4" t="str">
        <f>HYPERLINK("http://141.218.60.56/~jnz1568/getInfo.php?workbook=14_09.xlsx&amp;sheet=U0&amp;row=1441&amp;col=7&amp;number=0.00957&amp;sourceID=14","0.00957")</f>
        <v>0.00957</v>
      </c>
    </row>
    <row r="1442" spans="1:7">
      <c r="A1442" s="3"/>
      <c r="B1442" s="3"/>
      <c r="C1442" s="3"/>
      <c r="D1442" s="3"/>
      <c r="E1442" s="3">
        <v>19</v>
      </c>
      <c r="F1442" s="4" t="str">
        <f>HYPERLINK("http://141.218.60.56/~jnz1568/getInfo.php?workbook=14_09.xlsx&amp;sheet=U0&amp;row=1442&amp;col=6&amp;number=4.8&amp;sourceID=14","4.8")</f>
        <v>4.8</v>
      </c>
      <c r="G1442" s="4" t="str">
        <f>HYPERLINK("http://141.218.60.56/~jnz1568/getInfo.php?workbook=14_09.xlsx&amp;sheet=U0&amp;row=1442&amp;col=7&amp;number=0.00865&amp;sourceID=14","0.00865")</f>
        <v>0.00865</v>
      </c>
    </row>
    <row r="1443" spans="1:7">
      <c r="A1443" s="3"/>
      <c r="B1443" s="3"/>
      <c r="C1443" s="3"/>
      <c r="D1443" s="3"/>
      <c r="E1443" s="3">
        <v>20</v>
      </c>
      <c r="F1443" s="4" t="str">
        <f>HYPERLINK("http://141.218.60.56/~jnz1568/getInfo.php?workbook=14_09.xlsx&amp;sheet=U0&amp;row=1443&amp;col=6&amp;number=4.9&amp;sourceID=14","4.9")</f>
        <v>4.9</v>
      </c>
      <c r="G1443" s="4" t="str">
        <f>HYPERLINK("http://141.218.60.56/~jnz1568/getInfo.php?workbook=14_09.xlsx&amp;sheet=U0&amp;row=1443&amp;col=7&amp;number=0.00775&amp;sourceID=14","0.00775")</f>
        <v>0.00775</v>
      </c>
    </row>
    <row r="1444" spans="1:7">
      <c r="A1444" s="3">
        <v>14</v>
      </c>
      <c r="B1444" s="3">
        <v>9</v>
      </c>
      <c r="C1444" s="3">
        <v>1</v>
      </c>
      <c r="D1444" s="3">
        <v>74</v>
      </c>
      <c r="E1444" s="3">
        <v>1</v>
      </c>
      <c r="F1444" s="4" t="str">
        <f>HYPERLINK("http://141.218.60.56/~jnz1568/getInfo.php?workbook=14_09.xlsx&amp;sheet=U0&amp;row=1444&amp;col=6&amp;number=3&amp;sourceID=14","3")</f>
        <v>3</v>
      </c>
      <c r="G1444" s="4" t="str">
        <f>HYPERLINK("http://141.218.60.56/~jnz1568/getInfo.php?workbook=14_09.xlsx&amp;sheet=U0&amp;row=1444&amp;col=7&amp;number=0.0182&amp;sourceID=14","0.0182")</f>
        <v>0.0182</v>
      </c>
    </row>
    <row r="1445" spans="1:7">
      <c r="A1445" s="3"/>
      <c r="B1445" s="3"/>
      <c r="C1445" s="3"/>
      <c r="D1445" s="3"/>
      <c r="E1445" s="3">
        <v>2</v>
      </c>
      <c r="F1445" s="4" t="str">
        <f>HYPERLINK("http://141.218.60.56/~jnz1568/getInfo.php?workbook=14_09.xlsx&amp;sheet=U0&amp;row=1445&amp;col=6&amp;number=3.1&amp;sourceID=14","3.1")</f>
        <v>3.1</v>
      </c>
      <c r="G1445" s="4" t="str">
        <f>HYPERLINK("http://141.218.60.56/~jnz1568/getInfo.php?workbook=14_09.xlsx&amp;sheet=U0&amp;row=1445&amp;col=7&amp;number=0.0182&amp;sourceID=14","0.0182")</f>
        <v>0.0182</v>
      </c>
    </row>
    <row r="1446" spans="1:7">
      <c r="A1446" s="3"/>
      <c r="B1446" s="3"/>
      <c r="C1446" s="3"/>
      <c r="D1446" s="3"/>
      <c r="E1446" s="3">
        <v>3</v>
      </c>
      <c r="F1446" s="4" t="str">
        <f>HYPERLINK("http://141.218.60.56/~jnz1568/getInfo.php?workbook=14_09.xlsx&amp;sheet=U0&amp;row=1446&amp;col=6&amp;number=3.2&amp;sourceID=14","3.2")</f>
        <v>3.2</v>
      </c>
      <c r="G1446" s="4" t="str">
        <f>HYPERLINK("http://141.218.60.56/~jnz1568/getInfo.php?workbook=14_09.xlsx&amp;sheet=U0&amp;row=1446&amp;col=7&amp;number=0.0181&amp;sourceID=14","0.0181")</f>
        <v>0.0181</v>
      </c>
    </row>
    <row r="1447" spans="1:7">
      <c r="A1447" s="3"/>
      <c r="B1447" s="3"/>
      <c r="C1447" s="3"/>
      <c r="D1447" s="3"/>
      <c r="E1447" s="3">
        <v>4</v>
      </c>
      <c r="F1447" s="4" t="str">
        <f>HYPERLINK("http://141.218.60.56/~jnz1568/getInfo.php?workbook=14_09.xlsx&amp;sheet=U0&amp;row=1447&amp;col=6&amp;number=3.3&amp;sourceID=14","3.3")</f>
        <v>3.3</v>
      </c>
      <c r="G1447" s="4" t="str">
        <f>HYPERLINK("http://141.218.60.56/~jnz1568/getInfo.php?workbook=14_09.xlsx&amp;sheet=U0&amp;row=1447&amp;col=7&amp;number=0.0181&amp;sourceID=14","0.0181")</f>
        <v>0.0181</v>
      </c>
    </row>
    <row r="1448" spans="1:7">
      <c r="A1448" s="3"/>
      <c r="B1448" s="3"/>
      <c r="C1448" s="3"/>
      <c r="D1448" s="3"/>
      <c r="E1448" s="3">
        <v>5</v>
      </c>
      <c r="F1448" s="4" t="str">
        <f>HYPERLINK("http://141.218.60.56/~jnz1568/getInfo.php?workbook=14_09.xlsx&amp;sheet=U0&amp;row=1448&amp;col=6&amp;number=3.4&amp;sourceID=14","3.4")</f>
        <v>3.4</v>
      </c>
      <c r="G1448" s="4" t="str">
        <f>HYPERLINK("http://141.218.60.56/~jnz1568/getInfo.php?workbook=14_09.xlsx&amp;sheet=U0&amp;row=1448&amp;col=7&amp;number=0.018&amp;sourceID=14","0.018")</f>
        <v>0.018</v>
      </c>
    </row>
    <row r="1449" spans="1:7">
      <c r="A1449" s="3"/>
      <c r="B1449" s="3"/>
      <c r="C1449" s="3"/>
      <c r="D1449" s="3"/>
      <c r="E1449" s="3">
        <v>6</v>
      </c>
      <c r="F1449" s="4" t="str">
        <f>HYPERLINK("http://141.218.60.56/~jnz1568/getInfo.php?workbook=14_09.xlsx&amp;sheet=U0&amp;row=1449&amp;col=6&amp;number=3.5&amp;sourceID=14","3.5")</f>
        <v>3.5</v>
      </c>
      <c r="G1449" s="4" t="str">
        <f>HYPERLINK("http://141.218.60.56/~jnz1568/getInfo.php?workbook=14_09.xlsx&amp;sheet=U0&amp;row=1449&amp;col=7&amp;number=0.0179&amp;sourceID=14","0.0179")</f>
        <v>0.0179</v>
      </c>
    </row>
    <row r="1450" spans="1:7">
      <c r="A1450" s="3"/>
      <c r="B1450" s="3"/>
      <c r="C1450" s="3"/>
      <c r="D1450" s="3"/>
      <c r="E1450" s="3">
        <v>7</v>
      </c>
      <c r="F1450" s="4" t="str">
        <f>HYPERLINK("http://141.218.60.56/~jnz1568/getInfo.php?workbook=14_09.xlsx&amp;sheet=U0&amp;row=1450&amp;col=6&amp;number=3.6&amp;sourceID=14","3.6")</f>
        <v>3.6</v>
      </c>
      <c r="G1450" s="4" t="str">
        <f>HYPERLINK("http://141.218.60.56/~jnz1568/getInfo.php?workbook=14_09.xlsx&amp;sheet=U0&amp;row=1450&amp;col=7&amp;number=0.0178&amp;sourceID=14","0.0178")</f>
        <v>0.0178</v>
      </c>
    </row>
    <row r="1451" spans="1:7">
      <c r="A1451" s="3"/>
      <c r="B1451" s="3"/>
      <c r="C1451" s="3"/>
      <c r="D1451" s="3"/>
      <c r="E1451" s="3">
        <v>8</v>
      </c>
      <c r="F1451" s="4" t="str">
        <f>HYPERLINK("http://141.218.60.56/~jnz1568/getInfo.php?workbook=14_09.xlsx&amp;sheet=U0&amp;row=1451&amp;col=6&amp;number=3.7&amp;sourceID=14","3.7")</f>
        <v>3.7</v>
      </c>
      <c r="G1451" s="4" t="str">
        <f>HYPERLINK("http://141.218.60.56/~jnz1568/getInfo.php?workbook=14_09.xlsx&amp;sheet=U0&amp;row=1451&amp;col=7&amp;number=0.0177&amp;sourceID=14","0.0177")</f>
        <v>0.0177</v>
      </c>
    </row>
    <row r="1452" spans="1:7">
      <c r="A1452" s="3"/>
      <c r="B1452" s="3"/>
      <c r="C1452" s="3"/>
      <c r="D1452" s="3"/>
      <c r="E1452" s="3">
        <v>9</v>
      </c>
      <c r="F1452" s="4" t="str">
        <f>HYPERLINK("http://141.218.60.56/~jnz1568/getInfo.php?workbook=14_09.xlsx&amp;sheet=U0&amp;row=1452&amp;col=6&amp;number=3.8&amp;sourceID=14","3.8")</f>
        <v>3.8</v>
      </c>
      <c r="G1452" s="4" t="str">
        <f>HYPERLINK("http://141.218.60.56/~jnz1568/getInfo.php?workbook=14_09.xlsx&amp;sheet=U0&amp;row=1452&amp;col=7&amp;number=0.0176&amp;sourceID=14","0.0176")</f>
        <v>0.0176</v>
      </c>
    </row>
    <row r="1453" spans="1:7">
      <c r="A1453" s="3"/>
      <c r="B1453" s="3"/>
      <c r="C1453" s="3"/>
      <c r="D1453" s="3"/>
      <c r="E1453" s="3">
        <v>10</v>
      </c>
      <c r="F1453" s="4" t="str">
        <f>HYPERLINK("http://141.218.60.56/~jnz1568/getInfo.php?workbook=14_09.xlsx&amp;sheet=U0&amp;row=1453&amp;col=6&amp;number=3.9&amp;sourceID=14","3.9")</f>
        <v>3.9</v>
      </c>
      <c r="G1453" s="4" t="str">
        <f>HYPERLINK("http://141.218.60.56/~jnz1568/getInfo.php?workbook=14_09.xlsx&amp;sheet=U0&amp;row=1453&amp;col=7&amp;number=0.0174&amp;sourceID=14","0.0174")</f>
        <v>0.0174</v>
      </c>
    </row>
    <row r="1454" spans="1:7">
      <c r="A1454" s="3"/>
      <c r="B1454" s="3"/>
      <c r="C1454" s="3"/>
      <c r="D1454" s="3"/>
      <c r="E1454" s="3">
        <v>11</v>
      </c>
      <c r="F1454" s="4" t="str">
        <f>HYPERLINK("http://141.218.60.56/~jnz1568/getInfo.php?workbook=14_09.xlsx&amp;sheet=U0&amp;row=1454&amp;col=6&amp;number=4&amp;sourceID=14","4")</f>
        <v>4</v>
      </c>
      <c r="G1454" s="4" t="str">
        <f>HYPERLINK("http://141.218.60.56/~jnz1568/getInfo.php?workbook=14_09.xlsx&amp;sheet=U0&amp;row=1454&amp;col=7&amp;number=0.0172&amp;sourceID=14","0.0172")</f>
        <v>0.0172</v>
      </c>
    </row>
    <row r="1455" spans="1:7">
      <c r="A1455" s="3"/>
      <c r="B1455" s="3"/>
      <c r="C1455" s="3"/>
      <c r="D1455" s="3"/>
      <c r="E1455" s="3">
        <v>12</v>
      </c>
      <c r="F1455" s="4" t="str">
        <f>HYPERLINK("http://141.218.60.56/~jnz1568/getInfo.php?workbook=14_09.xlsx&amp;sheet=U0&amp;row=1455&amp;col=6&amp;number=4.1&amp;sourceID=14","4.1")</f>
        <v>4.1</v>
      </c>
      <c r="G1455" s="4" t="str">
        <f>HYPERLINK("http://141.218.60.56/~jnz1568/getInfo.php?workbook=14_09.xlsx&amp;sheet=U0&amp;row=1455&amp;col=7&amp;number=0.0169&amp;sourceID=14","0.0169")</f>
        <v>0.0169</v>
      </c>
    </row>
    <row r="1456" spans="1:7">
      <c r="A1456" s="3"/>
      <c r="B1456" s="3"/>
      <c r="C1456" s="3"/>
      <c r="D1456" s="3"/>
      <c r="E1456" s="3">
        <v>13</v>
      </c>
      <c r="F1456" s="4" t="str">
        <f>HYPERLINK("http://141.218.60.56/~jnz1568/getInfo.php?workbook=14_09.xlsx&amp;sheet=U0&amp;row=1456&amp;col=6&amp;number=4.2&amp;sourceID=14","4.2")</f>
        <v>4.2</v>
      </c>
      <c r="G1456" s="4" t="str">
        <f>HYPERLINK("http://141.218.60.56/~jnz1568/getInfo.php?workbook=14_09.xlsx&amp;sheet=U0&amp;row=1456&amp;col=7&amp;number=0.0165&amp;sourceID=14","0.0165")</f>
        <v>0.0165</v>
      </c>
    </row>
    <row r="1457" spans="1:7">
      <c r="A1457" s="3"/>
      <c r="B1457" s="3"/>
      <c r="C1457" s="3"/>
      <c r="D1457" s="3"/>
      <c r="E1457" s="3">
        <v>14</v>
      </c>
      <c r="F1457" s="4" t="str">
        <f>HYPERLINK("http://141.218.60.56/~jnz1568/getInfo.php?workbook=14_09.xlsx&amp;sheet=U0&amp;row=1457&amp;col=6&amp;number=4.3&amp;sourceID=14","4.3")</f>
        <v>4.3</v>
      </c>
      <c r="G1457" s="4" t="str">
        <f>HYPERLINK("http://141.218.60.56/~jnz1568/getInfo.php?workbook=14_09.xlsx&amp;sheet=U0&amp;row=1457&amp;col=7&amp;number=0.0161&amp;sourceID=14","0.0161")</f>
        <v>0.0161</v>
      </c>
    </row>
    <row r="1458" spans="1:7">
      <c r="A1458" s="3"/>
      <c r="B1458" s="3"/>
      <c r="C1458" s="3"/>
      <c r="D1458" s="3"/>
      <c r="E1458" s="3">
        <v>15</v>
      </c>
      <c r="F1458" s="4" t="str">
        <f>HYPERLINK("http://141.218.60.56/~jnz1568/getInfo.php?workbook=14_09.xlsx&amp;sheet=U0&amp;row=1458&amp;col=6&amp;number=4.4&amp;sourceID=14","4.4")</f>
        <v>4.4</v>
      </c>
      <c r="G1458" s="4" t="str">
        <f>HYPERLINK("http://141.218.60.56/~jnz1568/getInfo.php?workbook=14_09.xlsx&amp;sheet=U0&amp;row=1458&amp;col=7&amp;number=0.0156&amp;sourceID=14","0.0156")</f>
        <v>0.0156</v>
      </c>
    </row>
    <row r="1459" spans="1:7">
      <c r="A1459" s="3"/>
      <c r="B1459" s="3"/>
      <c r="C1459" s="3"/>
      <c r="D1459" s="3"/>
      <c r="E1459" s="3">
        <v>16</v>
      </c>
      <c r="F1459" s="4" t="str">
        <f>HYPERLINK("http://141.218.60.56/~jnz1568/getInfo.php?workbook=14_09.xlsx&amp;sheet=U0&amp;row=1459&amp;col=6&amp;number=4.5&amp;sourceID=14","4.5")</f>
        <v>4.5</v>
      </c>
      <c r="G1459" s="4" t="str">
        <f>HYPERLINK("http://141.218.60.56/~jnz1568/getInfo.php?workbook=14_09.xlsx&amp;sheet=U0&amp;row=1459&amp;col=7&amp;number=0.0149&amp;sourceID=14","0.0149")</f>
        <v>0.0149</v>
      </c>
    </row>
    <row r="1460" spans="1:7">
      <c r="A1460" s="3"/>
      <c r="B1460" s="3"/>
      <c r="C1460" s="3"/>
      <c r="D1460" s="3"/>
      <c r="E1460" s="3">
        <v>17</v>
      </c>
      <c r="F1460" s="4" t="str">
        <f>HYPERLINK("http://141.218.60.56/~jnz1568/getInfo.php?workbook=14_09.xlsx&amp;sheet=U0&amp;row=1460&amp;col=6&amp;number=4.6&amp;sourceID=14","4.6")</f>
        <v>4.6</v>
      </c>
      <c r="G1460" s="4" t="str">
        <f>HYPERLINK("http://141.218.60.56/~jnz1568/getInfo.php?workbook=14_09.xlsx&amp;sheet=U0&amp;row=1460&amp;col=7&amp;number=0.0142&amp;sourceID=14","0.0142")</f>
        <v>0.0142</v>
      </c>
    </row>
    <row r="1461" spans="1:7">
      <c r="A1461" s="3"/>
      <c r="B1461" s="3"/>
      <c r="C1461" s="3"/>
      <c r="D1461" s="3"/>
      <c r="E1461" s="3">
        <v>18</v>
      </c>
      <c r="F1461" s="4" t="str">
        <f>HYPERLINK("http://141.218.60.56/~jnz1568/getInfo.php?workbook=14_09.xlsx&amp;sheet=U0&amp;row=1461&amp;col=6&amp;number=4.7&amp;sourceID=14","4.7")</f>
        <v>4.7</v>
      </c>
      <c r="G1461" s="4" t="str">
        <f>HYPERLINK("http://141.218.60.56/~jnz1568/getInfo.php?workbook=14_09.xlsx&amp;sheet=U0&amp;row=1461&amp;col=7&amp;number=0.0133&amp;sourceID=14","0.0133")</f>
        <v>0.0133</v>
      </c>
    </row>
    <row r="1462" spans="1:7">
      <c r="A1462" s="3"/>
      <c r="B1462" s="3"/>
      <c r="C1462" s="3"/>
      <c r="D1462" s="3"/>
      <c r="E1462" s="3">
        <v>19</v>
      </c>
      <c r="F1462" s="4" t="str">
        <f>HYPERLINK("http://141.218.60.56/~jnz1568/getInfo.php?workbook=14_09.xlsx&amp;sheet=U0&amp;row=1462&amp;col=6&amp;number=4.8&amp;sourceID=14","4.8")</f>
        <v>4.8</v>
      </c>
      <c r="G1462" s="4" t="str">
        <f>HYPERLINK("http://141.218.60.56/~jnz1568/getInfo.php?workbook=14_09.xlsx&amp;sheet=U0&amp;row=1462&amp;col=7&amp;number=0.0122&amp;sourceID=14","0.0122")</f>
        <v>0.0122</v>
      </c>
    </row>
    <row r="1463" spans="1:7">
      <c r="A1463" s="3"/>
      <c r="B1463" s="3"/>
      <c r="C1463" s="3"/>
      <c r="D1463" s="3"/>
      <c r="E1463" s="3">
        <v>20</v>
      </c>
      <c r="F1463" s="4" t="str">
        <f>HYPERLINK("http://141.218.60.56/~jnz1568/getInfo.php?workbook=14_09.xlsx&amp;sheet=U0&amp;row=1463&amp;col=6&amp;number=4.9&amp;sourceID=14","4.9")</f>
        <v>4.9</v>
      </c>
      <c r="G1463" s="4" t="str">
        <f>HYPERLINK("http://141.218.60.56/~jnz1568/getInfo.php?workbook=14_09.xlsx&amp;sheet=U0&amp;row=1463&amp;col=7&amp;number=0.0111&amp;sourceID=14","0.0111")</f>
        <v>0.0111</v>
      </c>
    </row>
    <row r="1464" spans="1:7">
      <c r="A1464" s="3">
        <v>14</v>
      </c>
      <c r="B1464" s="3">
        <v>9</v>
      </c>
      <c r="C1464" s="3">
        <v>1</v>
      </c>
      <c r="D1464" s="3">
        <v>75</v>
      </c>
      <c r="E1464" s="3">
        <v>1</v>
      </c>
      <c r="F1464" s="4" t="str">
        <f>HYPERLINK("http://141.218.60.56/~jnz1568/getInfo.php?workbook=14_09.xlsx&amp;sheet=U0&amp;row=1464&amp;col=6&amp;number=3&amp;sourceID=14","3")</f>
        <v>3</v>
      </c>
      <c r="G1464" s="4" t="str">
        <f>HYPERLINK("http://141.218.60.56/~jnz1568/getInfo.php?workbook=14_09.xlsx&amp;sheet=U0&amp;row=1464&amp;col=7&amp;number=0.0302&amp;sourceID=14","0.0302")</f>
        <v>0.0302</v>
      </c>
    </row>
    <row r="1465" spans="1:7">
      <c r="A1465" s="3"/>
      <c r="B1465" s="3"/>
      <c r="C1465" s="3"/>
      <c r="D1465" s="3"/>
      <c r="E1465" s="3">
        <v>2</v>
      </c>
      <c r="F1465" s="4" t="str">
        <f>HYPERLINK("http://141.218.60.56/~jnz1568/getInfo.php?workbook=14_09.xlsx&amp;sheet=U0&amp;row=1465&amp;col=6&amp;number=3.1&amp;sourceID=14","3.1")</f>
        <v>3.1</v>
      </c>
      <c r="G1465" s="4" t="str">
        <f>HYPERLINK("http://141.218.60.56/~jnz1568/getInfo.php?workbook=14_09.xlsx&amp;sheet=U0&amp;row=1465&amp;col=7&amp;number=0.0302&amp;sourceID=14","0.0302")</f>
        <v>0.0302</v>
      </c>
    </row>
    <row r="1466" spans="1:7">
      <c r="A1466" s="3"/>
      <c r="B1466" s="3"/>
      <c r="C1466" s="3"/>
      <c r="D1466" s="3"/>
      <c r="E1466" s="3">
        <v>3</v>
      </c>
      <c r="F1466" s="4" t="str">
        <f>HYPERLINK("http://141.218.60.56/~jnz1568/getInfo.php?workbook=14_09.xlsx&amp;sheet=U0&amp;row=1466&amp;col=6&amp;number=3.2&amp;sourceID=14","3.2")</f>
        <v>3.2</v>
      </c>
      <c r="G1466" s="4" t="str">
        <f>HYPERLINK("http://141.218.60.56/~jnz1568/getInfo.php?workbook=14_09.xlsx&amp;sheet=U0&amp;row=1466&amp;col=7&amp;number=0.0301&amp;sourceID=14","0.0301")</f>
        <v>0.0301</v>
      </c>
    </row>
    <row r="1467" spans="1:7">
      <c r="A1467" s="3"/>
      <c r="B1467" s="3"/>
      <c r="C1467" s="3"/>
      <c r="D1467" s="3"/>
      <c r="E1467" s="3">
        <v>4</v>
      </c>
      <c r="F1467" s="4" t="str">
        <f>HYPERLINK("http://141.218.60.56/~jnz1568/getInfo.php?workbook=14_09.xlsx&amp;sheet=U0&amp;row=1467&amp;col=6&amp;number=3.3&amp;sourceID=14","3.3")</f>
        <v>3.3</v>
      </c>
      <c r="G1467" s="4" t="str">
        <f>HYPERLINK("http://141.218.60.56/~jnz1568/getInfo.php?workbook=14_09.xlsx&amp;sheet=U0&amp;row=1467&amp;col=7&amp;number=0.03&amp;sourceID=14","0.03")</f>
        <v>0.03</v>
      </c>
    </row>
    <row r="1468" spans="1:7">
      <c r="A1468" s="3"/>
      <c r="B1468" s="3"/>
      <c r="C1468" s="3"/>
      <c r="D1468" s="3"/>
      <c r="E1468" s="3">
        <v>5</v>
      </c>
      <c r="F1468" s="4" t="str">
        <f>HYPERLINK("http://141.218.60.56/~jnz1568/getInfo.php?workbook=14_09.xlsx&amp;sheet=U0&amp;row=1468&amp;col=6&amp;number=3.4&amp;sourceID=14","3.4")</f>
        <v>3.4</v>
      </c>
      <c r="G1468" s="4" t="str">
        <f>HYPERLINK("http://141.218.60.56/~jnz1568/getInfo.php?workbook=14_09.xlsx&amp;sheet=U0&amp;row=1468&amp;col=7&amp;number=0.0299&amp;sourceID=14","0.0299")</f>
        <v>0.0299</v>
      </c>
    </row>
    <row r="1469" spans="1:7">
      <c r="A1469" s="3"/>
      <c r="B1469" s="3"/>
      <c r="C1469" s="3"/>
      <c r="D1469" s="3"/>
      <c r="E1469" s="3">
        <v>6</v>
      </c>
      <c r="F1469" s="4" t="str">
        <f>HYPERLINK("http://141.218.60.56/~jnz1568/getInfo.php?workbook=14_09.xlsx&amp;sheet=U0&amp;row=1469&amp;col=6&amp;number=3.5&amp;sourceID=14","3.5")</f>
        <v>3.5</v>
      </c>
      <c r="G1469" s="4" t="str">
        <f>HYPERLINK("http://141.218.60.56/~jnz1568/getInfo.php?workbook=14_09.xlsx&amp;sheet=U0&amp;row=1469&amp;col=7&amp;number=0.0298&amp;sourceID=14","0.0298")</f>
        <v>0.0298</v>
      </c>
    </row>
    <row r="1470" spans="1:7">
      <c r="A1470" s="3"/>
      <c r="B1470" s="3"/>
      <c r="C1470" s="3"/>
      <c r="D1470" s="3"/>
      <c r="E1470" s="3">
        <v>7</v>
      </c>
      <c r="F1470" s="4" t="str">
        <f>HYPERLINK("http://141.218.60.56/~jnz1568/getInfo.php?workbook=14_09.xlsx&amp;sheet=U0&amp;row=1470&amp;col=6&amp;number=3.6&amp;sourceID=14","3.6")</f>
        <v>3.6</v>
      </c>
      <c r="G1470" s="4" t="str">
        <f>HYPERLINK("http://141.218.60.56/~jnz1568/getInfo.php?workbook=14_09.xlsx&amp;sheet=U0&amp;row=1470&amp;col=7&amp;number=0.0296&amp;sourceID=14","0.0296")</f>
        <v>0.0296</v>
      </c>
    </row>
    <row r="1471" spans="1:7">
      <c r="A1471" s="3"/>
      <c r="B1471" s="3"/>
      <c r="C1471" s="3"/>
      <c r="D1471" s="3"/>
      <c r="E1471" s="3">
        <v>8</v>
      </c>
      <c r="F1471" s="4" t="str">
        <f>HYPERLINK("http://141.218.60.56/~jnz1568/getInfo.php?workbook=14_09.xlsx&amp;sheet=U0&amp;row=1471&amp;col=6&amp;number=3.7&amp;sourceID=14","3.7")</f>
        <v>3.7</v>
      </c>
      <c r="G1471" s="4" t="str">
        <f>HYPERLINK("http://141.218.60.56/~jnz1568/getInfo.php?workbook=14_09.xlsx&amp;sheet=U0&amp;row=1471&amp;col=7&amp;number=0.0294&amp;sourceID=14","0.0294")</f>
        <v>0.0294</v>
      </c>
    </row>
    <row r="1472" spans="1:7">
      <c r="A1472" s="3"/>
      <c r="B1472" s="3"/>
      <c r="C1472" s="3"/>
      <c r="D1472" s="3"/>
      <c r="E1472" s="3">
        <v>9</v>
      </c>
      <c r="F1472" s="4" t="str">
        <f>HYPERLINK("http://141.218.60.56/~jnz1568/getInfo.php?workbook=14_09.xlsx&amp;sheet=U0&amp;row=1472&amp;col=6&amp;number=3.8&amp;sourceID=14","3.8")</f>
        <v>3.8</v>
      </c>
      <c r="G1472" s="4" t="str">
        <f>HYPERLINK("http://141.218.60.56/~jnz1568/getInfo.php?workbook=14_09.xlsx&amp;sheet=U0&amp;row=1472&amp;col=7&amp;number=0.0291&amp;sourceID=14","0.0291")</f>
        <v>0.0291</v>
      </c>
    </row>
    <row r="1473" spans="1:7">
      <c r="A1473" s="3"/>
      <c r="B1473" s="3"/>
      <c r="C1473" s="3"/>
      <c r="D1473" s="3"/>
      <c r="E1473" s="3">
        <v>10</v>
      </c>
      <c r="F1473" s="4" t="str">
        <f>HYPERLINK("http://141.218.60.56/~jnz1568/getInfo.php?workbook=14_09.xlsx&amp;sheet=U0&amp;row=1473&amp;col=6&amp;number=3.9&amp;sourceID=14","3.9")</f>
        <v>3.9</v>
      </c>
      <c r="G1473" s="4" t="str">
        <f>HYPERLINK("http://141.218.60.56/~jnz1568/getInfo.php?workbook=14_09.xlsx&amp;sheet=U0&amp;row=1473&amp;col=7&amp;number=0.0288&amp;sourceID=14","0.0288")</f>
        <v>0.0288</v>
      </c>
    </row>
    <row r="1474" spans="1:7">
      <c r="A1474" s="3"/>
      <c r="B1474" s="3"/>
      <c r="C1474" s="3"/>
      <c r="D1474" s="3"/>
      <c r="E1474" s="3">
        <v>11</v>
      </c>
      <c r="F1474" s="4" t="str">
        <f>HYPERLINK("http://141.218.60.56/~jnz1568/getInfo.php?workbook=14_09.xlsx&amp;sheet=U0&amp;row=1474&amp;col=6&amp;number=4&amp;sourceID=14","4")</f>
        <v>4</v>
      </c>
      <c r="G1474" s="4" t="str">
        <f>HYPERLINK("http://141.218.60.56/~jnz1568/getInfo.php?workbook=14_09.xlsx&amp;sheet=U0&amp;row=1474&amp;col=7&amp;number=0.0284&amp;sourceID=14","0.0284")</f>
        <v>0.0284</v>
      </c>
    </row>
    <row r="1475" spans="1:7">
      <c r="A1475" s="3"/>
      <c r="B1475" s="3"/>
      <c r="C1475" s="3"/>
      <c r="D1475" s="3"/>
      <c r="E1475" s="3">
        <v>12</v>
      </c>
      <c r="F1475" s="4" t="str">
        <f>HYPERLINK("http://141.218.60.56/~jnz1568/getInfo.php?workbook=14_09.xlsx&amp;sheet=U0&amp;row=1475&amp;col=6&amp;number=4.1&amp;sourceID=14","4.1")</f>
        <v>4.1</v>
      </c>
      <c r="G1475" s="4" t="str">
        <f>HYPERLINK("http://141.218.60.56/~jnz1568/getInfo.php?workbook=14_09.xlsx&amp;sheet=U0&amp;row=1475&amp;col=7&amp;number=0.0279&amp;sourceID=14","0.0279")</f>
        <v>0.0279</v>
      </c>
    </row>
    <row r="1476" spans="1:7">
      <c r="A1476" s="3"/>
      <c r="B1476" s="3"/>
      <c r="C1476" s="3"/>
      <c r="D1476" s="3"/>
      <c r="E1476" s="3">
        <v>13</v>
      </c>
      <c r="F1476" s="4" t="str">
        <f>HYPERLINK("http://141.218.60.56/~jnz1568/getInfo.php?workbook=14_09.xlsx&amp;sheet=U0&amp;row=1476&amp;col=6&amp;number=4.2&amp;sourceID=14","4.2")</f>
        <v>4.2</v>
      </c>
      <c r="G1476" s="4" t="str">
        <f>HYPERLINK("http://141.218.60.56/~jnz1568/getInfo.php?workbook=14_09.xlsx&amp;sheet=U0&amp;row=1476&amp;col=7&amp;number=0.0273&amp;sourceID=14","0.0273")</f>
        <v>0.0273</v>
      </c>
    </row>
    <row r="1477" spans="1:7">
      <c r="A1477" s="3"/>
      <c r="B1477" s="3"/>
      <c r="C1477" s="3"/>
      <c r="D1477" s="3"/>
      <c r="E1477" s="3">
        <v>14</v>
      </c>
      <c r="F1477" s="4" t="str">
        <f>HYPERLINK("http://141.218.60.56/~jnz1568/getInfo.php?workbook=14_09.xlsx&amp;sheet=U0&amp;row=1477&amp;col=6&amp;number=4.3&amp;sourceID=14","4.3")</f>
        <v>4.3</v>
      </c>
      <c r="G1477" s="4" t="str">
        <f>HYPERLINK("http://141.218.60.56/~jnz1568/getInfo.php?workbook=14_09.xlsx&amp;sheet=U0&amp;row=1477&amp;col=7&amp;number=0.0266&amp;sourceID=14","0.0266")</f>
        <v>0.0266</v>
      </c>
    </row>
    <row r="1478" spans="1:7">
      <c r="A1478" s="3"/>
      <c r="B1478" s="3"/>
      <c r="C1478" s="3"/>
      <c r="D1478" s="3"/>
      <c r="E1478" s="3">
        <v>15</v>
      </c>
      <c r="F1478" s="4" t="str">
        <f>HYPERLINK("http://141.218.60.56/~jnz1568/getInfo.php?workbook=14_09.xlsx&amp;sheet=U0&amp;row=1478&amp;col=6&amp;number=4.4&amp;sourceID=14","4.4")</f>
        <v>4.4</v>
      </c>
      <c r="G1478" s="4" t="str">
        <f>HYPERLINK("http://141.218.60.56/~jnz1568/getInfo.php?workbook=14_09.xlsx&amp;sheet=U0&amp;row=1478&amp;col=7&amp;number=0.0256&amp;sourceID=14","0.0256")</f>
        <v>0.0256</v>
      </c>
    </row>
    <row r="1479" spans="1:7">
      <c r="A1479" s="3"/>
      <c r="B1479" s="3"/>
      <c r="C1479" s="3"/>
      <c r="D1479" s="3"/>
      <c r="E1479" s="3">
        <v>16</v>
      </c>
      <c r="F1479" s="4" t="str">
        <f>HYPERLINK("http://141.218.60.56/~jnz1568/getInfo.php?workbook=14_09.xlsx&amp;sheet=U0&amp;row=1479&amp;col=6&amp;number=4.5&amp;sourceID=14","4.5")</f>
        <v>4.5</v>
      </c>
      <c r="G1479" s="4" t="str">
        <f>HYPERLINK("http://141.218.60.56/~jnz1568/getInfo.php?workbook=14_09.xlsx&amp;sheet=U0&amp;row=1479&amp;col=7&amp;number=0.0245&amp;sourceID=14","0.0245")</f>
        <v>0.0245</v>
      </c>
    </row>
    <row r="1480" spans="1:7">
      <c r="A1480" s="3"/>
      <c r="B1480" s="3"/>
      <c r="C1480" s="3"/>
      <c r="D1480" s="3"/>
      <c r="E1480" s="3">
        <v>17</v>
      </c>
      <c r="F1480" s="4" t="str">
        <f>HYPERLINK("http://141.218.60.56/~jnz1568/getInfo.php?workbook=14_09.xlsx&amp;sheet=U0&amp;row=1480&amp;col=6&amp;number=4.6&amp;sourceID=14","4.6")</f>
        <v>4.6</v>
      </c>
      <c r="G1480" s="4" t="str">
        <f>HYPERLINK("http://141.218.60.56/~jnz1568/getInfo.php?workbook=14_09.xlsx&amp;sheet=U0&amp;row=1480&amp;col=7&amp;number=0.0232&amp;sourceID=14","0.0232")</f>
        <v>0.0232</v>
      </c>
    </row>
    <row r="1481" spans="1:7">
      <c r="A1481" s="3"/>
      <c r="B1481" s="3"/>
      <c r="C1481" s="3"/>
      <c r="D1481" s="3"/>
      <c r="E1481" s="3">
        <v>18</v>
      </c>
      <c r="F1481" s="4" t="str">
        <f>HYPERLINK("http://141.218.60.56/~jnz1568/getInfo.php?workbook=14_09.xlsx&amp;sheet=U0&amp;row=1481&amp;col=6&amp;number=4.7&amp;sourceID=14","4.7")</f>
        <v>4.7</v>
      </c>
      <c r="G1481" s="4" t="str">
        <f>HYPERLINK("http://141.218.60.56/~jnz1568/getInfo.php?workbook=14_09.xlsx&amp;sheet=U0&amp;row=1481&amp;col=7&amp;number=0.0217&amp;sourceID=14","0.0217")</f>
        <v>0.0217</v>
      </c>
    </row>
    <row r="1482" spans="1:7">
      <c r="A1482" s="3"/>
      <c r="B1482" s="3"/>
      <c r="C1482" s="3"/>
      <c r="D1482" s="3"/>
      <c r="E1482" s="3">
        <v>19</v>
      </c>
      <c r="F1482" s="4" t="str">
        <f>HYPERLINK("http://141.218.60.56/~jnz1568/getInfo.php?workbook=14_09.xlsx&amp;sheet=U0&amp;row=1482&amp;col=6&amp;number=4.8&amp;sourceID=14","4.8")</f>
        <v>4.8</v>
      </c>
      <c r="G1482" s="4" t="str">
        <f>HYPERLINK("http://141.218.60.56/~jnz1568/getInfo.php?workbook=14_09.xlsx&amp;sheet=U0&amp;row=1482&amp;col=7&amp;number=0.0199&amp;sourceID=14","0.0199")</f>
        <v>0.0199</v>
      </c>
    </row>
    <row r="1483" spans="1:7">
      <c r="A1483" s="3"/>
      <c r="B1483" s="3"/>
      <c r="C1483" s="3"/>
      <c r="D1483" s="3"/>
      <c r="E1483" s="3">
        <v>20</v>
      </c>
      <c r="F1483" s="4" t="str">
        <f>HYPERLINK("http://141.218.60.56/~jnz1568/getInfo.php?workbook=14_09.xlsx&amp;sheet=U0&amp;row=1483&amp;col=6&amp;number=4.9&amp;sourceID=14","4.9")</f>
        <v>4.9</v>
      </c>
      <c r="G1483" s="4" t="str">
        <f>HYPERLINK("http://141.218.60.56/~jnz1568/getInfo.php?workbook=14_09.xlsx&amp;sheet=U0&amp;row=1483&amp;col=7&amp;number=0.018&amp;sourceID=14","0.018")</f>
        <v>0.018</v>
      </c>
    </row>
    <row r="1484" spans="1:7">
      <c r="A1484" s="3">
        <v>14</v>
      </c>
      <c r="B1484" s="3">
        <v>9</v>
      </c>
      <c r="C1484" s="3">
        <v>1</v>
      </c>
      <c r="D1484" s="3">
        <v>76</v>
      </c>
      <c r="E1484" s="3">
        <v>1</v>
      </c>
      <c r="F1484" s="4" t="str">
        <f>HYPERLINK("http://141.218.60.56/~jnz1568/getInfo.php?workbook=14_09.xlsx&amp;sheet=U0&amp;row=1484&amp;col=6&amp;number=3&amp;sourceID=14","3")</f>
        <v>3</v>
      </c>
      <c r="G1484" s="4" t="str">
        <f>HYPERLINK("http://141.218.60.56/~jnz1568/getInfo.php?workbook=14_09.xlsx&amp;sheet=U0&amp;row=1484&amp;col=7&amp;number=0.0422&amp;sourceID=14","0.0422")</f>
        <v>0.0422</v>
      </c>
    </row>
    <row r="1485" spans="1:7">
      <c r="A1485" s="3"/>
      <c r="B1485" s="3"/>
      <c r="C1485" s="3"/>
      <c r="D1485" s="3"/>
      <c r="E1485" s="3">
        <v>2</v>
      </c>
      <c r="F1485" s="4" t="str">
        <f>HYPERLINK("http://141.218.60.56/~jnz1568/getInfo.php?workbook=14_09.xlsx&amp;sheet=U0&amp;row=1485&amp;col=6&amp;number=3.1&amp;sourceID=14","3.1")</f>
        <v>3.1</v>
      </c>
      <c r="G1485" s="4" t="str">
        <f>HYPERLINK("http://141.218.60.56/~jnz1568/getInfo.php?workbook=14_09.xlsx&amp;sheet=U0&amp;row=1485&amp;col=7&amp;number=0.0421&amp;sourceID=14","0.0421")</f>
        <v>0.0421</v>
      </c>
    </row>
    <row r="1486" spans="1:7">
      <c r="A1486" s="3"/>
      <c r="B1486" s="3"/>
      <c r="C1486" s="3"/>
      <c r="D1486" s="3"/>
      <c r="E1486" s="3">
        <v>3</v>
      </c>
      <c r="F1486" s="4" t="str">
        <f>HYPERLINK("http://141.218.60.56/~jnz1568/getInfo.php?workbook=14_09.xlsx&amp;sheet=U0&amp;row=1486&amp;col=6&amp;number=3.2&amp;sourceID=14","3.2")</f>
        <v>3.2</v>
      </c>
      <c r="G1486" s="4" t="str">
        <f>HYPERLINK("http://141.218.60.56/~jnz1568/getInfo.php?workbook=14_09.xlsx&amp;sheet=U0&amp;row=1486&amp;col=7&amp;number=0.042&amp;sourceID=14","0.042")</f>
        <v>0.042</v>
      </c>
    </row>
    <row r="1487" spans="1:7">
      <c r="A1487" s="3"/>
      <c r="B1487" s="3"/>
      <c r="C1487" s="3"/>
      <c r="D1487" s="3"/>
      <c r="E1487" s="3">
        <v>4</v>
      </c>
      <c r="F1487" s="4" t="str">
        <f>HYPERLINK("http://141.218.60.56/~jnz1568/getInfo.php?workbook=14_09.xlsx&amp;sheet=U0&amp;row=1487&amp;col=6&amp;number=3.3&amp;sourceID=14","3.3")</f>
        <v>3.3</v>
      </c>
      <c r="G1487" s="4" t="str">
        <f>HYPERLINK("http://141.218.60.56/~jnz1568/getInfo.php?workbook=14_09.xlsx&amp;sheet=U0&amp;row=1487&amp;col=7&amp;number=0.0418&amp;sourceID=14","0.0418")</f>
        <v>0.0418</v>
      </c>
    </row>
    <row r="1488" spans="1:7">
      <c r="A1488" s="3"/>
      <c r="B1488" s="3"/>
      <c r="C1488" s="3"/>
      <c r="D1488" s="3"/>
      <c r="E1488" s="3">
        <v>5</v>
      </c>
      <c r="F1488" s="4" t="str">
        <f>HYPERLINK("http://141.218.60.56/~jnz1568/getInfo.php?workbook=14_09.xlsx&amp;sheet=U0&amp;row=1488&amp;col=6&amp;number=3.4&amp;sourceID=14","3.4")</f>
        <v>3.4</v>
      </c>
      <c r="G1488" s="4" t="str">
        <f>HYPERLINK("http://141.218.60.56/~jnz1568/getInfo.php?workbook=14_09.xlsx&amp;sheet=U0&amp;row=1488&amp;col=7&amp;number=0.0416&amp;sourceID=14","0.0416")</f>
        <v>0.0416</v>
      </c>
    </row>
    <row r="1489" spans="1:7">
      <c r="A1489" s="3"/>
      <c r="B1489" s="3"/>
      <c r="C1489" s="3"/>
      <c r="D1489" s="3"/>
      <c r="E1489" s="3">
        <v>6</v>
      </c>
      <c r="F1489" s="4" t="str">
        <f>HYPERLINK("http://141.218.60.56/~jnz1568/getInfo.php?workbook=14_09.xlsx&amp;sheet=U0&amp;row=1489&amp;col=6&amp;number=3.5&amp;sourceID=14","3.5")</f>
        <v>3.5</v>
      </c>
      <c r="G1489" s="4" t="str">
        <f>HYPERLINK("http://141.218.60.56/~jnz1568/getInfo.php?workbook=14_09.xlsx&amp;sheet=U0&amp;row=1489&amp;col=7&amp;number=0.0413&amp;sourceID=14","0.0413")</f>
        <v>0.0413</v>
      </c>
    </row>
    <row r="1490" spans="1:7">
      <c r="A1490" s="3"/>
      <c r="B1490" s="3"/>
      <c r="C1490" s="3"/>
      <c r="D1490" s="3"/>
      <c r="E1490" s="3">
        <v>7</v>
      </c>
      <c r="F1490" s="4" t="str">
        <f>HYPERLINK("http://141.218.60.56/~jnz1568/getInfo.php?workbook=14_09.xlsx&amp;sheet=U0&amp;row=1490&amp;col=6&amp;number=3.6&amp;sourceID=14","3.6")</f>
        <v>3.6</v>
      </c>
      <c r="G1490" s="4" t="str">
        <f>HYPERLINK("http://141.218.60.56/~jnz1568/getInfo.php?workbook=14_09.xlsx&amp;sheet=U0&amp;row=1490&amp;col=7&amp;number=0.0409&amp;sourceID=14","0.0409")</f>
        <v>0.0409</v>
      </c>
    </row>
    <row r="1491" spans="1:7">
      <c r="A1491" s="3"/>
      <c r="B1491" s="3"/>
      <c r="C1491" s="3"/>
      <c r="D1491" s="3"/>
      <c r="E1491" s="3">
        <v>8</v>
      </c>
      <c r="F1491" s="4" t="str">
        <f>HYPERLINK("http://141.218.60.56/~jnz1568/getInfo.php?workbook=14_09.xlsx&amp;sheet=U0&amp;row=1491&amp;col=6&amp;number=3.7&amp;sourceID=14","3.7")</f>
        <v>3.7</v>
      </c>
      <c r="G1491" s="4" t="str">
        <f>HYPERLINK("http://141.218.60.56/~jnz1568/getInfo.php?workbook=14_09.xlsx&amp;sheet=U0&amp;row=1491&amp;col=7&amp;number=0.0405&amp;sourceID=14","0.0405")</f>
        <v>0.0405</v>
      </c>
    </row>
    <row r="1492" spans="1:7">
      <c r="A1492" s="3"/>
      <c r="B1492" s="3"/>
      <c r="C1492" s="3"/>
      <c r="D1492" s="3"/>
      <c r="E1492" s="3">
        <v>9</v>
      </c>
      <c r="F1492" s="4" t="str">
        <f>HYPERLINK("http://141.218.60.56/~jnz1568/getInfo.php?workbook=14_09.xlsx&amp;sheet=U0&amp;row=1492&amp;col=6&amp;number=3.8&amp;sourceID=14","3.8")</f>
        <v>3.8</v>
      </c>
      <c r="G1492" s="4" t="str">
        <f>HYPERLINK("http://141.218.60.56/~jnz1568/getInfo.php?workbook=14_09.xlsx&amp;sheet=U0&amp;row=1492&amp;col=7&amp;number=0.0399&amp;sourceID=14","0.0399")</f>
        <v>0.0399</v>
      </c>
    </row>
    <row r="1493" spans="1:7">
      <c r="A1493" s="3"/>
      <c r="B1493" s="3"/>
      <c r="C1493" s="3"/>
      <c r="D1493" s="3"/>
      <c r="E1493" s="3">
        <v>10</v>
      </c>
      <c r="F1493" s="4" t="str">
        <f>HYPERLINK("http://141.218.60.56/~jnz1568/getInfo.php?workbook=14_09.xlsx&amp;sheet=U0&amp;row=1493&amp;col=6&amp;number=3.9&amp;sourceID=14","3.9")</f>
        <v>3.9</v>
      </c>
      <c r="G1493" s="4" t="str">
        <f>HYPERLINK("http://141.218.60.56/~jnz1568/getInfo.php?workbook=14_09.xlsx&amp;sheet=U0&amp;row=1493&amp;col=7&amp;number=0.0392&amp;sourceID=14","0.0392")</f>
        <v>0.0392</v>
      </c>
    </row>
    <row r="1494" spans="1:7">
      <c r="A1494" s="3"/>
      <c r="B1494" s="3"/>
      <c r="C1494" s="3"/>
      <c r="D1494" s="3"/>
      <c r="E1494" s="3">
        <v>11</v>
      </c>
      <c r="F1494" s="4" t="str">
        <f>HYPERLINK("http://141.218.60.56/~jnz1568/getInfo.php?workbook=14_09.xlsx&amp;sheet=U0&amp;row=1494&amp;col=6&amp;number=4&amp;sourceID=14","4")</f>
        <v>4</v>
      </c>
      <c r="G1494" s="4" t="str">
        <f>HYPERLINK("http://141.218.60.56/~jnz1568/getInfo.php?workbook=14_09.xlsx&amp;sheet=U0&amp;row=1494&amp;col=7&amp;number=0.0383&amp;sourceID=14","0.0383")</f>
        <v>0.0383</v>
      </c>
    </row>
    <row r="1495" spans="1:7">
      <c r="A1495" s="3"/>
      <c r="B1495" s="3"/>
      <c r="C1495" s="3"/>
      <c r="D1495" s="3"/>
      <c r="E1495" s="3">
        <v>12</v>
      </c>
      <c r="F1495" s="4" t="str">
        <f>HYPERLINK("http://141.218.60.56/~jnz1568/getInfo.php?workbook=14_09.xlsx&amp;sheet=U0&amp;row=1495&amp;col=6&amp;number=4.1&amp;sourceID=14","4.1")</f>
        <v>4.1</v>
      </c>
      <c r="G1495" s="4" t="str">
        <f>HYPERLINK("http://141.218.60.56/~jnz1568/getInfo.php?workbook=14_09.xlsx&amp;sheet=U0&amp;row=1495&amp;col=7&amp;number=0.0373&amp;sourceID=14","0.0373")</f>
        <v>0.0373</v>
      </c>
    </row>
    <row r="1496" spans="1:7">
      <c r="A1496" s="3"/>
      <c r="B1496" s="3"/>
      <c r="C1496" s="3"/>
      <c r="D1496" s="3"/>
      <c r="E1496" s="3">
        <v>13</v>
      </c>
      <c r="F1496" s="4" t="str">
        <f>HYPERLINK("http://141.218.60.56/~jnz1568/getInfo.php?workbook=14_09.xlsx&amp;sheet=U0&amp;row=1496&amp;col=6&amp;number=4.2&amp;sourceID=14","4.2")</f>
        <v>4.2</v>
      </c>
      <c r="G1496" s="4" t="str">
        <f>HYPERLINK("http://141.218.60.56/~jnz1568/getInfo.php?workbook=14_09.xlsx&amp;sheet=U0&amp;row=1496&amp;col=7&amp;number=0.0359&amp;sourceID=14","0.0359")</f>
        <v>0.0359</v>
      </c>
    </row>
    <row r="1497" spans="1:7">
      <c r="A1497" s="3"/>
      <c r="B1497" s="3"/>
      <c r="C1497" s="3"/>
      <c r="D1497" s="3"/>
      <c r="E1497" s="3">
        <v>14</v>
      </c>
      <c r="F1497" s="4" t="str">
        <f>HYPERLINK("http://141.218.60.56/~jnz1568/getInfo.php?workbook=14_09.xlsx&amp;sheet=U0&amp;row=1497&amp;col=6&amp;number=4.3&amp;sourceID=14","4.3")</f>
        <v>4.3</v>
      </c>
      <c r="G1497" s="4" t="str">
        <f>HYPERLINK("http://141.218.60.56/~jnz1568/getInfo.php?workbook=14_09.xlsx&amp;sheet=U0&amp;row=1497&amp;col=7&amp;number=0.0343&amp;sourceID=14","0.0343")</f>
        <v>0.0343</v>
      </c>
    </row>
    <row r="1498" spans="1:7">
      <c r="A1498" s="3"/>
      <c r="B1498" s="3"/>
      <c r="C1498" s="3"/>
      <c r="D1498" s="3"/>
      <c r="E1498" s="3">
        <v>15</v>
      </c>
      <c r="F1498" s="4" t="str">
        <f>HYPERLINK("http://141.218.60.56/~jnz1568/getInfo.php?workbook=14_09.xlsx&amp;sheet=U0&amp;row=1498&amp;col=6&amp;number=4.4&amp;sourceID=14","4.4")</f>
        <v>4.4</v>
      </c>
      <c r="G1498" s="4" t="str">
        <f>HYPERLINK("http://141.218.60.56/~jnz1568/getInfo.php?workbook=14_09.xlsx&amp;sheet=U0&amp;row=1498&amp;col=7&amp;number=0.0324&amp;sourceID=14","0.0324")</f>
        <v>0.0324</v>
      </c>
    </row>
    <row r="1499" spans="1:7">
      <c r="A1499" s="3"/>
      <c r="B1499" s="3"/>
      <c r="C1499" s="3"/>
      <c r="D1499" s="3"/>
      <c r="E1499" s="3">
        <v>16</v>
      </c>
      <c r="F1499" s="4" t="str">
        <f>HYPERLINK("http://141.218.60.56/~jnz1568/getInfo.php?workbook=14_09.xlsx&amp;sheet=U0&amp;row=1499&amp;col=6&amp;number=4.5&amp;sourceID=14","4.5")</f>
        <v>4.5</v>
      </c>
      <c r="G1499" s="4" t="str">
        <f>HYPERLINK("http://141.218.60.56/~jnz1568/getInfo.php?workbook=14_09.xlsx&amp;sheet=U0&amp;row=1499&amp;col=7&amp;number=0.0302&amp;sourceID=14","0.0302")</f>
        <v>0.0302</v>
      </c>
    </row>
    <row r="1500" spans="1:7">
      <c r="A1500" s="3"/>
      <c r="B1500" s="3"/>
      <c r="C1500" s="3"/>
      <c r="D1500" s="3"/>
      <c r="E1500" s="3">
        <v>17</v>
      </c>
      <c r="F1500" s="4" t="str">
        <f>HYPERLINK("http://141.218.60.56/~jnz1568/getInfo.php?workbook=14_09.xlsx&amp;sheet=U0&amp;row=1500&amp;col=6&amp;number=4.6&amp;sourceID=14","4.6")</f>
        <v>4.6</v>
      </c>
      <c r="G1500" s="4" t="str">
        <f>HYPERLINK("http://141.218.60.56/~jnz1568/getInfo.php?workbook=14_09.xlsx&amp;sheet=U0&amp;row=1500&amp;col=7&amp;number=0.0277&amp;sourceID=14","0.0277")</f>
        <v>0.0277</v>
      </c>
    </row>
    <row r="1501" spans="1:7">
      <c r="A1501" s="3"/>
      <c r="B1501" s="3"/>
      <c r="C1501" s="3"/>
      <c r="D1501" s="3"/>
      <c r="E1501" s="3">
        <v>18</v>
      </c>
      <c r="F1501" s="4" t="str">
        <f>HYPERLINK("http://141.218.60.56/~jnz1568/getInfo.php?workbook=14_09.xlsx&amp;sheet=U0&amp;row=1501&amp;col=6&amp;number=4.7&amp;sourceID=14","4.7")</f>
        <v>4.7</v>
      </c>
      <c r="G1501" s="4" t="str">
        <f>HYPERLINK("http://141.218.60.56/~jnz1568/getInfo.php?workbook=14_09.xlsx&amp;sheet=U0&amp;row=1501&amp;col=7&amp;number=0.0249&amp;sourceID=14","0.0249")</f>
        <v>0.0249</v>
      </c>
    </row>
    <row r="1502" spans="1:7">
      <c r="A1502" s="3"/>
      <c r="B1502" s="3"/>
      <c r="C1502" s="3"/>
      <c r="D1502" s="3"/>
      <c r="E1502" s="3">
        <v>19</v>
      </c>
      <c r="F1502" s="4" t="str">
        <f>HYPERLINK("http://141.218.60.56/~jnz1568/getInfo.php?workbook=14_09.xlsx&amp;sheet=U0&amp;row=1502&amp;col=6&amp;number=4.8&amp;sourceID=14","4.8")</f>
        <v>4.8</v>
      </c>
      <c r="G1502" s="4" t="str">
        <f>HYPERLINK("http://141.218.60.56/~jnz1568/getInfo.php?workbook=14_09.xlsx&amp;sheet=U0&amp;row=1502&amp;col=7&amp;number=0.0223&amp;sourceID=14","0.0223")</f>
        <v>0.0223</v>
      </c>
    </row>
    <row r="1503" spans="1:7">
      <c r="A1503" s="3"/>
      <c r="B1503" s="3"/>
      <c r="C1503" s="3"/>
      <c r="D1503" s="3"/>
      <c r="E1503" s="3">
        <v>20</v>
      </c>
      <c r="F1503" s="4" t="str">
        <f>HYPERLINK("http://141.218.60.56/~jnz1568/getInfo.php?workbook=14_09.xlsx&amp;sheet=U0&amp;row=1503&amp;col=6&amp;number=4.9&amp;sourceID=14","4.9")</f>
        <v>4.9</v>
      </c>
      <c r="G1503" s="4" t="str">
        <f>HYPERLINK("http://141.218.60.56/~jnz1568/getInfo.php?workbook=14_09.xlsx&amp;sheet=U0&amp;row=1503&amp;col=7&amp;number=0.0199&amp;sourceID=14","0.0199")</f>
        <v>0.0199</v>
      </c>
    </row>
    <row r="1504" spans="1:7">
      <c r="A1504" s="3">
        <v>14</v>
      </c>
      <c r="B1504" s="3">
        <v>9</v>
      </c>
      <c r="C1504" s="3">
        <v>1</v>
      </c>
      <c r="D1504" s="3">
        <v>77</v>
      </c>
      <c r="E1504" s="3">
        <v>1</v>
      </c>
      <c r="F1504" s="4" t="str">
        <f>HYPERLINK("http://141.218.60.56/~jnz1568/getInfo.php?workbook=14_09.xlsx&amp;sheet=U0&amp;row=1504&amp;col=6&amp;number=3&amp;sourceID=14","3")</f>
        <v>3</v>
      </c>
      <c r="G1504" s="4" t="str">
        <f>HYPERLINK("http://141.218.60.56/~jnz1568/getInfo.php?workbook=14_09.xlsx&amp;sheet=U0&amp;row=1504&amp;col=7&amp;number=0.117&amp;sourceID=14","0.117")</f>
        <v>0.117</v>
      </c>
    </row>
    <row r="1505" spans="1:7">
      <c r="A1505" s="3"/>
      <c r="B1505" s="3"/>
      <c r="C1505" s="3"/>
      <c r="D1505" s="3"/>
      <c r="E1505" s="3">
        <v>2</v>
      </c>
      <c r="F1505" s="4" t="str">
        <f>HYPERLINK("http://141.218.60.56/~jnz1568/getInfo.php?workbook=14_09.xlsx&amp;sheet=U0&amp;row=1505&amp;col=6&amp;number=3.1&amp;sourceID=14","3.1")</f>
        <v>3.1</v>
      </c>
      <c r="G1505" s="4" t="str">
        <f>HYPERLINK("http://141.218.60.56/~jnz1568/getInfo.php?workbook=14_09.xlsx&amp;sheet=U0&amp;row=1505&amp;col=7&amp;number=0.117&amp;sourceID=14","0.117")</f>
        <v>0.117</v>
      </c>
    </row>
    <row r="1506" spans="1:7">
      <c r="A1506" s="3"/>
      <c r="B1506" s="3"/>
      <c r="C1506" s="3"/>
      <c r="D1506" s="3"/>
      <c r="E1506" s="3">
        <v>3</v>
      </c>
      <c r="F1506" s="4" t="str">
        <f>HYPERLINK("http://141.218.60.56/~jnz1568/getInfo.php?workbook=14_09.xlsx&amp;sheet=U0&amp;row=1506&amp;col=6&amp;number=3.2&amp;sourceID=14","3.2")</f>
        <v>3.2</v>
      </c>
      <c r="G1506" s="4" t="str">
        <f>HYPERLINK("http://141.218.60.56/~jnz1568/getInfo.php?workbook=14_09.xlsx&amp;sheet=U0&amp;row=1506&amp;col=7&amp;number=0.117&amp;sourceID=14","0.117")</f>
        <v>0.117</v>
      </c>
    </row>
    <row r="1507" spans="1:7">
      <c r="A1507" s="3"/>
      <c r="B1507" s="3"/>
      <c r="C1507" s="3"/>
      <c r="D1507" s="3"/>
      <c r="E1507" s="3">
        <v>4</v>
      </c>
      <c r="F1507" s="4" t="str">
        <f>HYPERLINK("http://141.218.60.56/~jnz1568/getInfo.php?workbook=14_09.xlsx&amp;sheet=U0&amp;row=1507&amp;col=6&amp;number=3.3&amp;sourceID=14","3.3")</f>
        <v>3.3</v>
      </c>
      <c r="G1507" s="4" t="str">
        <f>HYPERLINK("http://141.218.60.56/~jnz1568/getInfo.php?workbook=14_09.xlsx&amp;sheet=U0&amp;row=1507&amp;col=7&amp;number=0.117&amp;sourceID=14","0.117")</f>
        <v>0.117</v>
      </c>
    </row>
    <row r="1508" spans="1:7">
      <c r="A1508" s="3"/>
      <c r="B1508" s="3"/>
      <c r="C1508" s="3"/>
      <c r="D1508" s="3"/>
      <c r="E1508" s="3">
        <v>5</v>
      </c>
      <c r="F1508" s="4" t="str">
        <f>HYPERLINK("http://141.218.60.56/~jnz1568/getInfo.php?workbook=14_09.xlsx&amp;sheet=U0&amp;row=1508&amp;col=6&amp;number=3.4&amp;sourceID=14","3.4")</f>
        <v>3.4</v>
      </c>
      <c r="G1508" s="4" t="str">
        <f>HYPERLINK("http://141.218.60.56/~jnz1568/getInfo.php?workbook=14_09.xlsx&amp;sheet=U0&amp;row=1508&amp;col=7&amp;number=0.116&amp;sourceID=14","0.116")</f>
        <v>0.116</v>
      </c>
    </row>
    <row r="1509" spans="1:7">
      <c r="A1509" s="3"/>
      <c r="B1509" s="3"/>
      <c r="C1509" s="3"/>
      <c r="D1509" s="3"/>
      <c r="E1509" s="3">
        <v>6</v>
      </c>
      <c r="F1509" s="4" t="str">
        <f>HYPERLINK("http://141.218.60.56/~jnz1568/getInfo.php?workbook=14_09.xlsx&amp;sheet=U0&amp;row=1509&amp;col=6&amp;number=3.5&amp;sourceID=14","3.5")</f>
        <v>3.5</v>
      </c>
      <c r="G1509" s="4" t="str">
        <f>HYPERLINK("http://141.218.60.56/~jnz1568/getInfo.php?workbook=14_09.xlsx&amp;sheet=U0&amp;row=1509&amp;col=7&amp;number=0.116&amp;sourceID=14","0.116")</f>
        <v>0.116</v>
      </c>
    </row>
    <row r="1510" spans="1:7">
      <c r="A1510" s="3"/>
      <c r="B1510" s="3"/>
      <c r="C1510" s="3"/>
      <c r="D1510" s="3"/>
      <c r="E1510" s="3">
        <v>7</v>
      </c>
      <c r="F1510" s="4" t="str">
        <f>HYPERLINK("http://141.218.60.56/~jnz1568/getInfo.php?workbook=14_09.xlsx&amp;sheet=U0&amp;row=1510&amp;col=6&amp;number=3.6&amp;sourceID=14","3.6")</f>
        <v>3.6</v>
      </c>
      <c r="G1510" s="4" t="str">
        <f>HYPERLINK("http://141.218.60.56/~jnz1568/getInfo.php?workbook=14_09.xlsx&amp;sheet=U0&amp;row=1510&amp;col=7&amp;number=0.116&amp;sourceID=14","0.116")</f>
        <v>0.116</v>
      </c>
    </row>
    <row r="1511" spans="1:7">
      <c r="A1511" s="3"/>
      <c r="B1511" s="3"/>
      <c r="C1511" s="3"/>
      <c r="D1511" s="3"/>
      <c r="E1511" s="3">
        <v>8</v>
      </c>
      <c r="F1511" s="4" t="str">
        <f>HYPERLINK("http://141.218.60.56/~jnz1568/getInfo.php?workbook=14_09.xlsx&amp;sheet=U0&amp;row=1511&amp;col=6&amp;number=3.7&amp;sourceID=14","3.7")</f>
        <v>3.7</v>
      </c>
      <c r="G1511" s="4" t="str">
        <f>HYPERLINK("http://141.218.60.56/~jnz1568/getInfo.php?workbook=14_09.xlsx&amp;sheet=U0&amp;row=1511&amp;col=7&amp;number=0.116&amp;sourceID=14","0.116")</f>
        <v>0.116</v>
      </c>
    </row>
    <row r="1512" spans="1:7">
      <c r="A1512" s="3"/>
      <c r="B1512" s="3"/>
      <c r="C1512" s="3"/>
      <c r="D1512" s="3"/>
      <c r="E1512" s="3">
        <v>9</v>
      </c>
      <c r="F1512" s="4" t="str">
        <f>HYPERLINK("http://141.218.60.56/~jnz1568/getInfo.php?workbook=14_09.xlsx&amp;sheet=U0&amp;row=1512&amp;col=6&amp;number=3.8&amp;sourceID=14","3.8")</f>
        <v>3.8</v>
      </c>
      <c r="G1512" s="4" t="str">
        <f>HYPERLINK("http://141.218.60.56/~jnz1568/getInfo.php?workbook=14_09.xlsx&amp;sheet=U0&amp;row=1512&amp;col=7&amp;number=0.115&amp;sourceID=14","0.115")</f>
        <v>0.115</v>
      </c>
    </row>
    <row r="1513" spans="1:7">
      <c r="A1513" s="3"/>
      <c r="B1513" s="3"/>
      <c r="C1513" s="3"/>
      <c r="D1513" s="3"/>
      <c r="E1513" s="3">
        <v>10</v>
      </c>
      <c r="F1513" s="4" t="str">
        <f>HYPERLINK("http://141.218.60.56/~jnz1568/getInfo.php?workbook=14_09.xlsx&amp;sheet=U0&amp;row=1513&amp;col=6&amp;number=3.9&amp;sourceID=14","3.9")</f>
        <v>3.9</v>
      </c>
      <c r="G1513" s="4" t="str">
        <f>HYPERLINK("http://141.218.60.56/~jnz1568/getInfo.php?workbook=14_09.xlsx&amp;sheet=U0&amp;row=1513&amp;col=7&amp;number=0.115&amp;sourceID=14","0.115")</f>
        <v>0.115</v>
      </c>
    </row>
    <row r="1514" spans="1:7">
      <c r="A1514" s="3"/>
      <c r="B1514" s="3"/>
      <c r="C1514" s="3"/>
      <c r="D1514" s="3"/>
      <c r="E1514" s="3">
        <v>11</v>
      </c>
      <c r="F1514" s="4" t="str">
        <f>HYPERLINK("http://141.218.60.56/~jnz1568/getInfo.php?workbook=14_09.xlsx&amp;sheet=U0&amp;row=1514&amp;col=6&amp;number=4&amp;sourceID=14","4")</f>
        <v>4</v>
      </c>
      <c r="G1514" s="4" t="str">
        <f>HYPERLINK("http://141.218.60.56/~jnz1568/getInfo.php?workbook=14_09.xlsx&amp;sheet=U0&amp;row=1514&amp;col=7&amp;number=0.114&amp;sourceID=14","0.114")</f>
        <v>0.114</v>
      </c>
    </row>
    <row r="1515" spans="1:7">
      <c r="A1515" s="3"/>
      <c r="B1515" s="3"/>
      <c r="C1515" s="3"/>
      <c r="D1515" s="3"/>
      <c r="E1515" s="3">
        <v>12</v>
      </c>
      <c r="F1515" s="4" t="str">
        <f>HYPERLINK("http://141.218.60.56/~jnz1568/getInfo.php?workbook=14_09.xlsx&amp;sheet=U0&amp;row=1515&amp;col=6&amp;number=4.1&amp;sourceID=14","4.1")</f>
        <v>4.1</v>
      </c>
      <c r="G1515" s="4" t="str">
        <f>HYPERLINK("http://141.218.60.56/~jnz1568/getInfo.php?workbook=14_09.xlsx&amp;sheet=U0&amp;row=1515&amp;col=7&amp;number=0.113&amp;sourceID=14","0.113")</f>
        <v>0.113</v>
      </c>
    </row>
    <row r="1516" spans="1:7">
      <c r="A1516" s="3"/>
      <c r="B1516" s="3"/>
      <c r="C1516" s="3"/>
      <c r="D1516" s="3"/>
      <c r="E1516" s="3">
        <v>13</v>
      </c>
      <c r="F1516" s="4" t="str">
        <f>HYPERLINK("http://141.218.60.56/~jnz1568/getInfo.php?workbook=14_09.xlsx&amp;sheet=U0&amp;row=1516&amp;col=6&amp;number=4.2&amp;sourceID=14","4.2")</f>
        <v>4.2</v>
      </c>
      <c r="G1516" s="4" t="str">
        <f>HYPERLINK("http://141.218.60.56/~jnz1568/getInfo.php?workbook=14_09.xlsx&amp;sheet=U0&amp;row=1516&amp;col=7&amp;number=0.112&amp;sourceID=14","0.112")</f>
        <v>0.112</v>
      </c>
    </row>
    <row r="1517" spans="1:7">
      <c r="A1517" s="3"/>
      <c r="B1517" s="3"/>
      <c r="C1517" s="3"/>
      <c r="D1517" s="3"/>
      <c r="E1517" s="3">
        <v>14</v>
      </c>
      <c r="F1517" s="4" t="str">
        <f>HYPERLINK("http://141.218.60.56/~jnz1568/getInfo.php?workbook=14_09.xlsx&amp;sheet=U0&amp;row=1517&amp;col=6&amp;number=4.3&amp;sourceID=14","4.3")</f>
        <v>4.3</v>
      </c>
      <c r="G1517" s="4" t="str">
        <f>HYPERLINK("http://141.218.60.56/~jnz1568/getInfo.php?workbook=14_09.xlsx&amp;sheet=U0&amp;row=1517&amp;col=7&amp;number=0.11&amp;sourceID=14","0.11")</f>
        <v>0.11</v>
      </c>
    </row>
    <row r="1518" spans="1:7">
      <c r="A1518" s="3"/>
      <c r="B1518" s="3"/>
      <c r="C1518" s="3"/>
      <c r="D1518" s="3"/>
      <c r="E1518" s="3">
        <v>15</v>
      </c>
      <c r="F1518" s="4" t="str">
        <f>HYPERLINK("http://141.218.60.56/~jnz1568/getInfo.php?workbook=14_09.xlsx&amp;sheet=U0&amp;row=1518&amp;col=6&amp;number=4.4&amp;sourceID=14","4.4")</f>
        <v>4.4</v>
      </c>
      <c r="G1518" s="4" t="str">
        <f>HYPERLINK("http://141.218.60.56/~jnz1568/getInfo.php?workbook=14_09.xlsx&amp;sheet=U0&amp;row=1518&amp;col=7&amp;number=0.109&amp;sourceID=14","0.109")</f>
        <v>0.109</v>
      </c>
    </row>
    <row r="1519" spans="1:7">
      <c r="A1519" s="3"/>
      <c r="B1519" s="3"/>
      <c r="C1519" s="3"/>
      <c r="D1519" s="3"/>
      <c r="E1519" s="3">
        <v>16</v>
      </c>
      <c r="F1519" s="4" t="str">
        <f>HYPERLINK("http://141.218.60.56/~jnz1568/getInfo.php?workbook=14_09.xlsx&amp;sheet=U0&amp;row=1519&amp;col=6&amp;number=4.5&amp;sourceID=14","4.5")</f>
        <v>4.5</v>
      </c>
      <c r="G1519" s="4" t="str">
        <f>HYPERLINK("http://141.218.60.56/~jnz1568/getInfo.php?workbook=14_09.xlsx&amp;sheet=U0&amp;row=1519&amp;col=7&amp;number=0.107&amp;sourceID=14","0.107")</f>
        <v>0.107</v>
      </c>
    </row>
    <row r="1520" spans="1:7">
      <c r="A1520" s="3"/>
      <c r="B1520" s="3"/>
      <c r="C1520" s="3"/>
      <c r="D1520" s="3"/>
      <c r="E1520" s="3">
        <v>17</v>
      </c>
      <c r="F1520" s="4" t="str">
        <f>HYPERLINK("http://141.218.60.56/~jnz1568/getInfo.php?workbook=14_09.xlsx&amp;sheet=U0&amp;row=1520&amp;col=6&amp;number=4.6&amp;sourceID=14","4.6")</f>
        <v>4.6</v>
      </c>
      <c r="G1520" s="4" t="str">
        <f>HYPERLINK("http://141.218.60.56/~jnz1568/getInfo.php?workbook=14_09.xlsx&amp;sheet=U0&amp;row=1520&amp;col=7&amp;number=0.104&amp;sourceID=14","0.104")</f>
        <v>0.104</v>
      </c>
    </row>
    <row r="1521" spans="1:7">
      <c r="A1521" s="3"/>
      <c r="B1521" s="3"/>
      <c r="C1521" s="3"/>
      <c r="D1521" s="3"/>
      <c r="E1521" s="3">
        <v>18</v>
      </c>
      <c r="F1521" s="4" t="str">
        <f>HYPERLINK("http://141.218.60.56/~jnz1568/getInfo.php?workbook=14_09.xlsx&amp;sheet=U0&amp;row=1521&amp;col=6&amp;number=4.7&amp;sourceID=14","4.7")</f>
        <v>4.7</v>
      </c>
      <c r="G1521" s="4" t="str">
        <f>HYPERLINK("http://141.218.60.56/~jnz1568/getInfo.php?workbook=14_09.xlsx&amp;sheet=U0&amp;row=1521&amp;col=7&amp;number=0.101&amp;sourceID=14","0.101")</f>
        <v>0.101</v>
      </c>
    </row>
    <row r="1522" spans="1:7">
      <c r="A1522" s="3"/>
      <c r="B1522" s="3"/>
      <c r="C1522" s="3"/>
      <c r="D1522" s="3"/>
      <c r="E1522" s="3">
        <v>19</v>
      </c>
      <c r="F1522" s="4" t="str">
        <f>HYPERLINK("http://141.218.60.56/~jnz1568/getInfo.php?workbook=14_09.xlsx&amp;sheet=U0&amp;row=1522&amp;col=6&amp;number=4.8&amp;sourceID=14","4.8")</f>
        <v>4.8</v>
      </c>
      <c r="G1522" s="4" t="str">
        <f>HYPERLINK("http://141.218.60.56/~jnz1568/getInfo.php?workbook=14_09.xlsx&amp;sheet=U0&amp;row=1522&amp;col=7&amp;number=0.0981&amp;sourceID=14","0.0981")</f>
        <v>0.0981</v>
      </c>
    </row>
    <row r="1523" spans="1:7">
      <c r="A1523" s="3"/>
      <c r="B1523" s="3"/>
      <c r="C1523" s="3"/>
      <c r="D1523" s="3"/>
      <c r="E1523" s="3">
        <v>20</v>
      </c>
      <c r="F1523" s="4" t="str">
        <f>HYPERLINK("http://141.218.60.56/~jnz1568/getInfo.php?workbook=14_09.xlsx&amp;sheet=U0&amp;row=1523&amp;col=6&amp;number=4.9&amp;sourceID=14","4.9")</f>
        <v>4.9</v>
      </c>
      <c r="G1523" s="4" t="str">
        <f>HYPERLINK("http://141.218.60.56/~jnz1568/getInfo.php?workbook=14_09.xlsx&amp;sheet=U0&amp;row=1523&amp;col=7&amp;number=0.0948&amp;sourceID=14","0.0948")</f>
        <v>0.0948</v>
      </c>
    </row>
    <row r="1524" spans="1:7">
      <c r="A1524" s="3">
        <v>14</v>
      </c>
      <c r="B1524" s="3">
        <v>9</v>
      </c>
      <c r="C1524" s="3">
        <v>1</v>
      </c>
      <c r="D1524" s="3">
        <v>78</v>
      </c>
      <c r="E1524" s="3">
        <v>1</v>
      </c>
      <c r="F1524" s="4" t="str">
        <f>HYPERLINK("http://141.218.60.56/~jnz1568/getInfo.php?workbook=14_09.xlsx&amp;sheet=U0&amp;row=1524&amp;col=6&amp;number=3&amp;sourceID=14","3")</f>
        <v>3</v>
      </c>
      <c r="G1524" s="4" t="str">
        <f>HYPERLINK("http://141.218.60.56/~jnz1568/getInfo.php?workbook=14_09.xlsx&amp;sheet=U0&amp;row=1524&amp;col=7&amp;number=0.0222&amp;sourceID=14","0.0222")</f>
        <v>0.0222</v>
      </c>
    </row>
    <row r="1525" spans="1:7">
      <c r="A1525" s="3"/>
      <c r="B1525" s="3"/>
      <c r="C1525" s="3"/>
      <c r="D1525" s="3"/>
      <c r="E1525" s="3">
        <v>2</v>
      </c>
      <c r="F1525" s="4" t="str">
        <f>HYPERLINK("http://141.218.60.56/~jnz1568/getInfo.php?workbook=14_09.xlsx&amp;sheet=U0&amp;row=1525&amp;col=6&amp;number=3.1&amp;sourceID=14","3.1")</f>
        <v>3.1</v>
      </c>
      <c r="G1525" s="4" t="str">
        <f>HYPERLINK("http://141.218.60.56/~jnz1568/getInfo.php?workbook=14_09.xlsx&amp;sheet=U0&amp;row=1525&amp;col=7&amp;number=0.0221&amp;sourceID=14","0.0221")</f>
        <v>0.0221</v>
      </c>
    </row>
    <row r="1526" spans="1:7">
      <c r="A1526" s="3"/>
      <c r="B1526" s="3"/>
      <c r="C1526" s="3"/>
      <c r="D1526" s="3"/>
      <c r="E1526" s="3">
        <v>3</v>
      </c>
      <c r="F1526" s="4" t="str">
        <f>HYPERLINK("http://141.218.60.56/~jnz1568/getInfo.php?workbook=14_09.xlsx&amp;sheet=U0&amp;row=1526&amp;col=6&amp;number=3.2&amp;sourceID=14","3.2")</f>
        <v>3.2</v>
      </c>
      <c r="G1526" s="4" t="str">
        <f>HYPERLINK("http://141.218.60.56/~jnz1568/getInfo.php?workbook=14_09.xlsx&amp;sheet=U0&amp;row=1526&amp;col=7&amp;number=0.0221&amp;sourceID=14","0.0221")</f>
        <v>0.0221</v>
      </c>
    </row>
    <row r="1527" spans="1:7">
      <c r="A1527" s="3"/>
      <c r="B1527" s="3"/>
      <c r="C1527" s="3"/>
      <c r="D1527" s="3"/>
      <c r="E1527" s="3">
        <v>4</v>
      </c>
      <c r="F1527" s="4" t="str">
        <f>HYPERLINK("http://141.218.60.56/~jnz1568/getInfo.php?workbook=14_09.xlsx&amp;sheet=U0&amp;row=1527&amp;col=6&amp;number=3.3&amp;sourceID=14","3.3")</f>
        <v>3.3</v>
      </c>
      <c r="G1527" s="4" t="str">
        <f>HYPERLINK("http://141.218.60.56/~jnz1568/getInfo.php?workbook=14_09.xlsx&amp;sheet=U0&amp;row=1527&amp;col=7&amp;number=0.022&amp;sourceID=14","0.022")</f>
        <v>0.022</v>
      </c>
    </row>
    <row r="1528" spans="1:7">
      <c r="A1528" s="3"/>
      <c r="B1528" s="3"/>
      <c r="C1528" s="3"/>
      <c r="D1528" s="3"/>
      <c r="E1528" s="3">
        <v>5</v>
      </c>
      <c r="F1528" s="4" t="str">
        <f>HYPERLINK("http://141.218.60.56/~jnz1568/getInfo.php?workbook=14_09.xlsx&amp;sheet=U0&amp;row=1528&amp;col=6&amp;number=3.4&amp;sourceID=14","3.4")</f>
        <v>3.4</v>
      </c>
      <c r="G1528" s="4" t="str">
        <f>HYPERLINK("http://141.218.60.56/~jnz1568/getInfo.php?workbook=14_09.xlsx&amp;sheet=U0&amp;row=1528&amp;col=7&amp;number=0.0219&amp;sourceID=14","0.0219")</f>
        <v>0.0219</v>
      </c>
    </row>
    <row r="1529" spans="1:7">
      <c r="A1529" s="3"/>
      <c r="B1529" s="3"/>
      <c r="C1529" s="3"/>
      <c r="D1529" s="3"/>
      <c r="E1529" s="3">
        <v>6</v>
      </c>
      <c r="F1529" s="4" t="str">
        <f>HYPERLINK("http://141.218.60.56/~jnz1568/getInfo.php?workbook=14_09.xlsx&amp;sheet=U0&amp;row=1529&amp;col=6&amp;number=3.5&amp;sourceID=14","3.5")</f>
        <v>3.5</v>
      </c>
      <c r="G1529" s="4" t="str">
        <f>HYPERLINK("http://141.218.60.56/~jnz1568/getInfo.php?workbook=14_09.xlsx&amp;sheet=U0&amp;row=1529&amp;col=7&amp;number=0.0217&amp;sourceID=14","0.0217")</f>
        <v>0.0217</v>
      </c>
    </row>
    <row r="1530" spans="1:7">
      <c r="A1530" s="3"/>
      <c r="B1530" s="3"/>
      <c r="C1530" s="3"/>
      <c r="D1530" s="3"/>
      <c r="E1530" s="3">
        <v>7</v>
      </c>
      <c r="F1530" s="4" t="str">
        <f>HYPERLINK("http://141.218.60.56/~jnz1568/getInfo.php?workbook=14_09.xlsx&amp;sheet=U0&amp;row=1530&amp;col=6&amp;number=3.6&amp;sourceID=14","3.6")</f>
        <v>3.6</v>
      </c>
      <c r="G1530" s="4" t="str">
        <f>HYPERLINK("http://141.218.60.56/~jnz1568/getInfo.php?workbook=14_09.xlsx&amp;sheet=U0&amp;row=1530&amp;col=7&amp;number=0.0216&amp;sourceID=14","0.0216")</f>
        <v>0.0216</v>
      </c>
    </row>
    <row r="1531" spans="1:7">
      <c r="A1531" s="3"/>
      <c r="B1531" s="3"/>
      <c r="C1531" s="3"/>
      <c r="D1531" s="3"/>
      <c r="E1531" s="3">
        <v>8</v>
      </c>
      <c r="F1531" s="4" t="str">
        <f>HYPERLINK("http://141.218.60.56/~jnz1568/getInfo.php?workbook=14_09.xlsx&amp;sheet=U0&amp;row=1531&amp;col=6&amp;number=3.7&amp;sourceID=14","3.7")</f>
        <v>3.7</v>
      </c>
      <c r="G1531" s="4" t="str">
        <f>HYPERLINK("http://141.218.60.56/~jnz1568/getInfo.php?workbook=14_09.xlsx&amp;sheet=U0&amp;row=1531&amp;col=7&amp;number=0.0213&amp;sourceID=14","0.0213")</f>
        <v>0.0213</v>
      </c>
    </row>
    <row r="1532" spans="1:7">
      <c r="A1532" s="3"/>
      <c r="B1532" s="3"/>
      <c r="C1532" s="3"/>
      <c r="D1532" s="3"/>
      <c r="E1532" s="3">
        <v>9</v>
      </c>
      <c r="F1532" s="4" t="str">
        <f>HYPERLINK("http://141.218.60.56/~jnz1568/getInfo.php?workbook=14_09.xlsx&amp;sheet=U0&amp;row=1532&amp;col=6&amp;number=3.8&amp;sourceID=14","3.8")</f>
        <v>3.8</v>
      </c>
      <c r="G1532" s="4" t="str">
        <f>HYPERLINK("http://141.218.60.56/~jnz1568/getInfo.php?workbook=14_09.xlsx&amp;sheet=U0&amp;row=1532&amp;col=7&amp;number=0.0211&amp;sourceID=14","0.0211")</f>
        <v>0.0211</v>
      </c>
    </row>
    <row r="1533" spans="1:7">
      <c r="A1533" s="3"/>
      <c r="B1533" s="3"/>
      <c r="C1533" s="3"/>
      <c r="D1533" s="3"/>
      <c r="E1533" s="3">
        <v>10</v>
      </c>
      <c r="F1533" s="4" t="str">
        <f>HYPERLINK("http://141.218.60.56/~jnz1568/getInfo.php?workbook=14_09.xlsx&amp;sheet=U0&amp;row=1533&amp;col=6&amp;number=3.9&amp;sourceID=14","3.9")</f>
        <v>3.9</v>
      </c>
      <c r="G1533" s="4" t="str">
        <f>HYPERLINK("http://141.218.60.56/~jnz1568/getInfo.php?workbook=14_09.xlsx&amp;sheet=U0&amp;row=1533&amp;col=7&amp;number=0.0207&amp;sourceID=14","0.0207")</f>
        <v>0.0207</v>
      </c>
    </row>
    <row r="1534" spans="1:7">
      <c r="A1534" s="3"/>
      <c r="B1534" s="3"/>
      <c r="C1534" s="3"/>
      <c r="D1534" s="3"/>
      <c r="E1534" s="3">
        <v>11</v>
      </c>
      <c r="F1534" s="4" t="str">
        <f>HYPERLINK("http://141.218.60.56/~jnz1568/getInfo.php?workbook=14_09.xlsx&amp;sheet=U0&amp;row=1534&amp;col=6&amp;number=4&amp;sourceID=14","4")</f>
        <v>4</v>
      </c>
      <c r="G1534" s="4" t="str">
        <f>HYPERLINK("http://141.218.60.56/~jnz1568/getInfo.php?workbook=14_09.xlsx&amp;sheet=U0&amp;row=1534&amp;col=7&amp;number=0.0203&amp;sourceID=14","0.0203")</f>
        <v>0.0203</v>
      </c>
    </row>
    <row r="1535" spans="1:7">
      <c r="A1535" s="3"/>
      <c r="B1535" s="3"/>
      <c r="C1535" s="3"/>
      <c r="D1535" s="3"/>
      <c r="E1535" s="3">
        <v>12</v>
      </c>
      <c r="F1535" s="4" t="str">
        <f>HYPERLINK("http://141.218.60.56/~jnz1568/getInfo.php?workbook=14_09.xlsx&amp;sheet=U0&amp;row=1535&amp;col=6&amp;number=4.1&amp;sourceID=14","4.1")</f>
        <v>4.1</v>
      </c>
      <c r="G1535" s="4" t="str">
        <f>HYPERLINK("http://141.218.60.56/~jnz1568/getInfo.php?workbook=14_09.xlsx&amp;sheet=U0&amp;row=1535&amp;col=7&amp;number=0.0198&amp;sourceID=14","0.0198")</f>
        <v>0.0198</v>
      </c>
    </row>
    <row r="1536" spans="1:7">
      <c r="A1536" s="3"/>
      <c r="B1536" s="3"/>
      <c r="C1536" s="3"/>
      <c r="D1536" s="3"/>
      <c r="E1536" s="3">
        <v>13</v>
      </c>
      <c r="F1536" s="4" t="str">
        <f>HYPERLINK("http://141.218.60.56/~jnz1568/getInfo.php?workbook=14_09.xlsx&amp;sheet=U0&amp;row=1536&amp;col=6&amp;number=4.2&amp;sourceID=14","4.2")</f>
        <v>4.2</v>
      </c>
      <c r="G1536" s="4" t="str">
        <f>HYPERLINK("http://141.218.60.56/~jnz1568/getInfo.php?workbook=14_09.xlsx&amp;sheet=U0&amp;row=1536&amp;col=7&amp;number=0.0192&amp;sourceID=14","0.0192")</f>
        <v>0.0192</v>
      </c>
    </row>
    <row r="1537" spans="1:7">
      <c r="A1537" s="3"/>
      <c r="B1537" s="3"/>
      <c r="C1537" s="3"/>
      <c r="D1537" s="3"/>
      <c r="E1537" s="3">
        <v>14</v>
      </c>
      <c r="F1537" s="4" t="str">
        <f>HYPERLINK("http://141.218.60.56/~jnz1568/getInfo.php?workbook=14_09.xlsx&amp;sheet=U0&amp;row=1537&amp;col=6&amp;number=4.3&amp;sourceID=14","4.3")</f>
        <v>4.3</v>
      </c>
      <c r="G1537" s="4" t="str">
        <f>HYPERLINK("http://141.218.60.56/~jnz1568/getInfo.php?workbook=14_09.xlsx&amp;sheet=U0&amp;row=1537&amp;col=7&amp;number=0.0184&amp;sourceID=14","0.0184")</f>
        <v>0.0184</v>
      </c>
    </row>
    <row r="1538" spans="1:7">
      <c r="A1538" s="3"/>
      <c r="B1538" s="3"/>
      <c r="C1538" s="3"/>
      <c r="D1538" s="3"/>
      <c r="E1538" s="3">
        <v>15</v>
      </c>
      <c r="F1538" s="4" t="str">
        <f>HYPERLINK("http://141.218.60.56/~jnz1568/getInfo.php?workbook=14_09.xlsx&amp;sheet=U0&amp;row=1538&amp;col=6&amp;number=4.4&amp;sourceID=14","4.4")</f>
        <v>4.4</v>
      </c>
      <c r="G1538" s="4" t="str">
        <f>HYPERLINK("http://141.218.60.56/~jnz1568/getInfo.php?workbook=14_09.xlsx&amp;sheet=U0&amp;row=1538&amp;col=7&amp;number=0.0175&amp;sourceID=14","0.0175")</f>
        <v>0.0175</v>
      </c>
    </row>
    <row r="1539" spans="1:7">
      <c r="A1539" s="3"/>
      <c r="B1539" s="3"/>
      <c r="C1539" s="3"/>
      <c r="D1539" s="3"/>
      <c r="E1539" s="3">
        <v>16</v>
      </c>
      <c r="F1539" s="4" t="str">
        <f>HYPERLINK("http://141.218.60.56/~jnz1568/getInfo.php?workbook=14_09.xlsx&amp;sheet=U0&amp;row=1539&amp;col=6&amp;number=4.5&amp;sourceID=14","4.5")</f>
        <v>4.5</v>
      </c>
      <c r="G1539" s="4" t="str">
        <f>HYPERLINK("http://141.218.60.56/~jnz1568/getInfo.php?workbook=14_09.xlsx&amp;sheet=U0&amp;row=1539&amp;col=7&amp;number=0.0164&amp;sourceID=14","0.0164")</f>
        <v>0.0164</v>
      </c>
    </row>
    <row r="1540" spans="1:7">
      <c r="A1540" s="3"/>
      <c r="B1540" s="3"/>
      <c r="C1540" s="3"/>
      <c r="D1540" s="3"/>
      <c r="E1540" s="3">
        <v>17</v>
      </c>
      <c r="F1540" s="4" t="str">
        <f>HYPERLINK("http://141.218.60.56/~jnz1568/getInfo.php?workbook=14_09.xlsx&amp;sheet=U0&amp;row=1540&amp;col=6&amp;number=4.6&amp;sourceID=14","4.6")</f>
        <v>4.6</v>
      </c>
      <c r="G1540" s="4" t="str">
        <f>HYPERLINK("http://141.218.60.56/~jnz1568/getInfo.php?workbook=14_09.xlsx&amp;sheet=U0&amp;row=1540&amp;col=7&amp;number=0.0152&amp;sourceID=14","0.0152")</f>
        <v>0.0152</v>
      </c>
    </row>
    <row r="1541" spans="1:7">
      <c r="A1541" s="3"/>
      <c r="B1541" s="3"/>
      <c r="C1541" s="3"/>
      <c r="D1541" s="3"/>
      <c r="E1541" s="3">
        <v>18</v>
      </c>
      <c r="F1541" s="4" t="str">
        <f>HYPERLINK("http://141.218.60.56/~jnz1568/getInfo.php?workbook=14_09.xlsx&amp;sheet=U0&amp;row=1541&amp;col=6&amp;number=4.7&amp;sourceID=14","4.7")</f>
        <v>4.7</v>
      </c>
      <c r="G1541" s="4" t="str">
        <f>HYPERLINK("http://141.218.60.56/~jnz1568/getInfo.php?workbook=14_09.xlsx&amp;sheet=U0&amp;row=1541&amp;col=7&amp;number=0.0138&amp;sourceID=14","0.0138")</f>
        <v>0.0138</v>
      </c>
    </row>
    <row r="1542" spans="1:7">
      <c r="A1542" s="3"/>
      <c r="B1542" s="3"/>
      <c r="C1542" s="3"/>
      <c r="D1542" s="3"/>
      <c r="E1542" s="3">
        <v>19</v>
      </c>
      <c r="F1542" s="4" t="str">
        <f>HYPERLINK("http://141.218.60.56/~jnz1568/getInfo.php?workbook=14_09.xlsx&amp;sheet=U0&amp;row=1542&amp;col=6&amp;number=4.8&amp;sourceID=14","4.8")</f>
        <v>4.8</v>
      </c>
      <c r="G1542" s="4" t="str">
        <f>HYPERLINK("http://141.218.60.56/~jnz1568/getInfo.php?workbook=14_09.xlsx&amp;sheet=U0&amp;row=1542&amp;col=7&amp;number=0.0125&amp;sourceID=14","0.0125")</f>
        <v>0.0125</v>
      </c>
    </row>
    <row r="1543" spans="1:7">
      <c r="A1543" s="3"/>
      <c r="B1543" s="3"/>
      <c r="C1543" s="3"/>
      <c r="D1543" s="3"/>
      <c r="E1543" s="3">
        <v>20</v>
      </c>
      <c r="F1543" s="4" t="str">
        <f>HYPERLINK("http://141.218.60.56/~jnz1568/getInfo.php?workbook=14_09.xlsx&amp;sheet=U0&amp;row=1543&amp;col=6&amp;number=4.9&amp;sourceID=14","4.9")</f>
        <v>4.9</v>
      </c>
      <c r="G1543" s="4" t="str">
        <f>HYPERLINK("http://141.218.60.56/~jnz1568/getInfo.php?workbook=14_09.xlsx&amp;sheet=U0&amp;row=1543&amp;col=7&amp;number=0.0114&amp;sourceID=14","0.0114")</f>
        <v>0.0114</v>
      </c>
    </row>
    <row r="1544" spans="1:7">
      <c r="A1544" s="3">
        <v>14</v>
      </c>
      <c r="B1544" s="3">
        <v>9</v>
      </c>
      <c r="C1544" s="3">
        <v>1</v>
      </c>
      <c r="D1544" s="3">
        <v>79</v>
      </c>
      <c r="E1544" s="3">
        <v>1</v>
      </c>
      <c r="F1544" s="4" t="str">
        <f>HYPERLINK("http://141.218.60.56/~jnz1568/getInfo.php?workbook=14_09.xlsx&amp;sheet=U0&amp;row=1544&amp;col=6&amp;number=3&amp;sourceID=14","3")</f>
        <v>3</v>
      </c>
      <c r="G1544" s="4" t="str">
        <f>HYPERLINK("http://141.218.60.56/~jnz1568/getInfo.php?workbook=14_09.xlsx&amp;sheet=U0&amp;row=1544&amp;col=7&amp;number=0.105&amp;sourceID=14","0.105")</f>
        <v>0.105</v>
      </c>
    </row>
    <row r="1545" spans="1:7">
      <c r="A1545" s="3"/>
      <c r="B1545" s="3"/>
      <c r="C1545" s="3"/>
      <c r="D1545" s="3"/>
      <c r="E1545" s="3">
        <v>2</v>
      </c>
      <c r="F1545" s="4" t="str">
        <f>HYPERLINK("http://141.218.60.56/~jnz1568/getInfo.php?workbook=14_09.xlsx&amp;sheet=U0&amp;row=1545&amp;col=6&amp;number=3.1&amp;sourceID=14","3.1")</f>
        <v>3.1</v>
      </c>
      <c r="G1545" s="4" t="str">
        <f>HYPERLINK("http://141.218.60.56/~jnz1568/getInfo.php?workbook=14_09.xlsx&amp;sheet=U0&amp;row=1545&amp;col=7&amp;number=0.104&amp;sourceID=14","0.104")</f>
        <v>0.104</v>
      </c>
    </row>
    <row r="1546" spans="1:7">
      <c r="A1546" s="3"/>
      <c r="B1546" s="3"/>
      <c r="C1546" s="3"/>
      <c r="D1546" s="3"/>
      <c r="E1546" s="3">
        <v>3</v>
      </c>
      <c r="F1546" s="4" t="str">
        <f>HYPERLINK("http://141.218.60.56/~jnz1568/getInfo.php?workbook=14_09.xlsx&amp;sheet=U0&amp;row=1546&amp;col=6&amp;number=3.2&amp;sourceID=14","3.2")</f>
        <v>3.2</v>
      </c>
      <c r="G1546" s="4" t="str">
        <f>HYPERLINK("http://141.218.60.56/~jnz1568/getInfo.php?workbook=14_09.xlsx&amp;sheet=U0&amp;row=1546&amp;col=7&amp;number=0.104&amp;sourceID=14","0.104")</f>
        <v>0.104</v>
      </c>
    </row>
    <row r="1547" spans="1:7">
      <c r="A1547" s="3"/>
      <c r="B1547" s="3"/>
      <c r="C1547" s="3"/>
      <c r="D1547" s="3"/>
      <c r="E1547" s="3">
        <v>4</v>
      </c>
      <c r="F1547" s="4" t="str">
        <f>HYPERLINK("http://141.218.60.56/~jnz1568/getInfo.php?workbook=14_09.xlsx&amp;sheet=U0&amp;row=1547&amp;col=6&amp;number=3.3&amp;sourceID=14","3.3")</f>
        <v>3.3</v>
      </c>
      <c r="G1547" s="4" t="str">
        <f>HYPERLINK("http://141.218.60.56/~jnz1568/getInfo.php?workbook=14_09.xlsx&amp;sheet=U0&amp;row=1547&amp;col=7&amp;number=0.104&amp;sourceID=14","0.104")</f>
        <v>0.104</v>
      </c>
    </row>
    <row r="1548" spans="1:7">
      <c r="A1548" s="3"/>
      <c r="B1548" s="3"/>
      <c r="C1548" s="3"/>
      <c r="D1548" s="3"/>
      <c r="E1548" s="3">
        <v>5</v>
      </c>
      <c r="F1548" s="4" t="str">
        <f>HYPERLINK("http://141.218.60.56/~jnz1568/getInfo.php?workbook=14_09.xlsx&amp;sheet=U0&amp;row=1548&amp;col=6&amp;number=3.4&amp;sourceID=14","3.4")</f>
        <v>3.4</v>
      </c>
      <c r="G1548" s="4" t="str">
        <f>HYPERLINK("http://141.218.60.56/~jnz1568/getInfo.php?workbook=14_09.xlsx&amp;sheet=U0&amp;row=1548&amp;col=7&amp;number=0.104&amp;sourceID=14","0.104")</f>
        <v>0.104</v>
      </c>
    </row>
    <row r="1549" spans="1:7">
      <c r="A1549" s="3"/>
      <c r="B1549" s="3"/>
      <c r="C1549" s="3"/>
      <c r="D1549" s="3"/>
      <c r="E1549" s="3">
        <v>6</v>
      </c>
      <c r="F1549" s="4" t="str">
        <f>HYPERLINK("http://141.218.60.56/~jnz1568/getInfo.php?workbook=14_09.xlsx&amp;sheet=U0&amp;row=1549&amp;col=6&amp;number=3.5&amp;sourceID=14","3.5")</f>
        <v>3.5</v>
      </c>
      <c r="G1549" s="4" t="str">
        <f>HYPERLINK("http://141.218.60.56/~jnz1568/getInfo.php?workbook=14_09.xlsx&amp;sheet=U0&amp;row=1549&amp;col=7&amp;number=0.103&amp;sourceID=14","0.103")</f>
        <v>0.103</v>
      </c>
    </row>
    <row r="1550" spans="1:7">
      <c r="A1550" s="3"/>
      <c r="B1550" s="3"/>
      <c r="C1550" s="3"/>
      <c r="D1550" s="3"/>
      <c r="E1550" s="3">
        <v>7</v>
      </c>
      <c r="F1550" s="4" t="str">
        <f>HYPERLINK("http://141.218.60.56/~jnz1568/getInfo.php?workbook=14_09.xlsx&amp;sheet=U0&amp;row=1550&amp;col=6&amp;number=3.6&amp;sourceID=14","3.6")</f>
        <v>3.6</v>
      </c>
      <c r="G1550" s="4" t="str">
        <f>HYPERLINK("http://141.218.60.56/~jnz1568/getInfo.php?workbook=14_09.xlsx&amp;sheet=U0&amp;row=1550&amp;col=7&amp;number=0.103&amp;sourceID=14","0.103")</f>
        <v>0.103</v>
      </c>
    </row>
    <row r="1551" spans="1:7">
      <c r="A1551" s="3"/>
      <c r="B1551" s="3"/>
      <c r="C1551" s="3"/>
      <c r="D1551" s="3"/>
      <c r="E1551" s="3">
        <v>8</v>
      </c>
      <c r="F1551" s="4" t="str">
        <f>HYPERLINK("http://141.218.60.56/~jnz1568/getInfo.php?workbook=14_09.xlsx&amp;sheet=U0&amp;row=1551&amp;col=6&amp;number=3.7&amp;sourceID=14","3.7")</f>
        <v>3.7</v>
      </c>
      <c r="G1551" s="4" t="str">
        <f>HYPERLINK("http://141.218.60.56/~jnz1568/getInfo.php?workbook=14_09.xlsx&amp;sheet=U0&amp;row=1551&amp;col=7&amp;number=0.102&amp;sourceID=14","0.102")</f>
        <v>0.102</v>
      </c>
    </row>
    <row r="1552" spans="1:7">
      <c r="A1552" s="3"/>
      <c r="B1552" s="3"/>
      <c r="C1552" s="3"/>
      <c r="D1552" s="3"/>
      <c r="E1552" s="3">
        <v>9</v>
      </c>
      <c r="F1552" s="4" t="str">
        <f>HYPERLINK("http://141.218.60.56/~jnz1568/getInfo.php?workbook=14_09.xlsx&amp;sheet=U0&amp;row=1552&amp;col=6&amp;number=3.8&amp;sourceID=14","3.8")</f>
        <v>3.8</v>
      </c>
      <c r="G1552" s="4" t="str">
        <f>HYPERLINK("http://141.218.60.56/~jnz1568/getInfo.php?workbook=14_09.xlsx&amp;sheet=U0&amp;row=1552&amp;col=7&amp;number=0.101&amp;sourceID=14","0.101")</f>
        <v>0.101</v>
      </c>
    </row>
    <row r="1553" spans="1:7">
      <c r="A1553" s="3"/>
      <c r="B1553" s="3"/>
      <c r="C1553" s="3"/>
      <c r="D1553" s="3"/>
      <c r="E1553" s="3">
        <v>10</v>
      </c>
      <c r="F1553" s="4" t="str">
        <f>HYPERLINK("http://141.218.60.56/~jnz1568/getInfo.php?workbook=14_09.xlsx&amp;sheet=U0&amp;row=1553&amp;col=6&amp;number=3.9&amp;sourceID=14","3.9")</f>
        <v>3.9</v>
      </c>
      <c r="G1553" s="4" t="str">
        <f>HYPERLINK("http://141.218.60.56/~jnz1568/getInfo.php?workbook=14_09.xlsx&amp;sheet=U0&amp;row=1553&amp;col=7&amp;number=0.1&amp;sourceID=14","0.1")</f>
        <v>0.1</v>
      </c>
    </row>
    <row r="1554" spans="1:7">
      <c r="A1554" s="3"/>
      <c r="B1554" s="3"/>
      <c r="C1554" s="3"/>
      <c r="D1554" s="3"/>
      <c r="E1554" s="3">
        <v>11</v>
      </c>
      <c r="F1554" s="4" t="str">
        <f>HYPERLINK("http://141.218.60.56/~jnz1568/getInfo.php?workbook=14_09.xlsx&amp;sheet=U0&amp;row=1554&amp;col=6&amp;number=4&amp;sourceID=14","4")</f>
        <v>4</v>
      </c>
      <c r="G1554" s="4" t="str">
        <f>HYPERLINK("http://141.218.60.56/~jnz1568/getInfo.php?workbook=14_09.xlsx&amp;sheet=U0&amp;row=1554&amp;col=7&amp;number=0.0987&amp;sourceID=14","0.0987")</f>
        <v>0.0987</v>
      </c>
    </row>
    <row r="1555" spans="1:7">
      <c r="A1555" s="3"/>
      <c r="B1555" s="3"/>
      <c r="C1555" s="3"/>
      <c r="D1555" s="3"/>
      <c r="E1555" s="3">
        <v>12</v>
      </c>
      <c r="F1555" s="4" t="str">
        <f>HYPERLINK("http://141.218.60.56/~jnz1568/getInfo.php?workbook=14_09.xlsx&amp;sheet=U0&amp;row=1555&amp;col=6&amp;number=4.1&amp;sourceID=14","4.1")</f>
        <v>4.1</v>
      </c>
      <c r="G1555" s="4" t="str">
        <f>HYPERLINK("http://141.218.60.56/~jnz1568/getInfo.php?workbook=14_09.xlsx&amp;sheet=U0&amp;row=1555&amp;col=7&amp;number=0.0971&amp;sourceID=14","0.0971")</f>
        <v>0.0971</v>
      </c>
    </row>
    <row r="1556" spans="1:7">
      <c r="A1556" s="3"/>
      <c r="B1556" s="3"/>
      <c r="C1556" s="3"/>
      <c r="D1556" s="3"/>
      <c r="E1556" s="3">
        <v>13</v>
      </c>
      <c r="F1556" s="4" t="str">
        <f>HYPERLINK("http://141.218.60.56/~jnz1568/getInfo.php?workbook=14_09.xlsx&amp;sheet=U0&amp;row=1556&amp;col=6&amp;number=4.2&amp;sourceID=14","4.2")</f>
        <v>4.2</v>
      </c>
      <c r="G1556" s="4" t="str">
        <f>HYPERLINK("http://141.218.60.56/~jnz1568/getInfo.php?workbook=14_09.xlsx&amp;sheet=U0&amp;row=1556&amp;col=7&amp;number=0.095&amp;sourceID=14","0.095")</f>
        <v>0.095</v>
      </c>
    </row>
    <row r="1557" spans="1:7">
      <c r="A1557" s="3"/>
      <c r="B1557" s="3"/>
      <c r="C1557" s="3"/>
      <c r="D1557" s="3"/>
      <c r="E1557" s="3">
        <v>14</v>
      </c>
      <c r="F1557" s="4" t="str">
        <f>HYPERLINK("http://141.218.60.56/~jnz1568/getInfo.php?workbook=14_09.xlsx&amp;sheet=U0&amp;row=1557&amp;col=6&amp;number=4.3&amp;sourceID=14","4.3")</f>
        <v>4.3</v>
      </c>
      <c r="G1557" s="4" t="str">
        <f>HYPERLINK("http://141.218.60.56/~jnz1568/getInfo.php?workbook=14_09.xlsx&amp;sheet=U0&amp;row=1557&amp;col=7&amp;number=0.0925&amp;sourceID=14","0.0925")</f>
        <v>0.0925</v>
      </c>
    </row>
    <row r="1558" spans="1:7">
      <c r="A1558" s="3"/>
      <c r="B1558" s="3"/>
      <c r="C1558" s="3"/>
      <c r="D1558" s="3"/>
      <c r="E1558" s="3">
        <v>15</v>
      </c>
      <c r="F1558" s="4" t="str">
        <f>HYPERLINK("http://141.218.60.56/~jnz1568/getInfo.php?workbook=14_09.xlsx&amp;sheet=U0&amp;row=1558&amp;col=6&amp;number=4.4&amp;sourceID=14","4.4")</f>
        <v>4.4</v>
      </c>
      <c r="G1558" s="4" t="str">
        <f>HYPERLINK("http://141.218.60.56/~jnz1568/getInfo.php?workbook=14_09.xlsx&amp;sheet=U0&amp;row=1558&amp;col=7&amp;number=0.0894&amp;sourceID=14","0.0894")</f>
        <v>0.0894</v>
      </c>
    </row>
    <row r="1559" spans="1:7">
      <c r="A1559" s="3"/>
      <c r="B1559" s="3"/>
      <c r="C1559" s="3"/>
      <c r="D1559" s="3"/>
      <c r="E1559" s="3">
        <v>16</v>
      </c>
      <c r="F1559" s="4" t="str">
        <f>HYPERLINK("http://141.218.60.56/~jnz1568/getInfo.php?workbook=14_09.xlsx&amp;sheet=U0&amp;row=1559&amp;col=6&amp;number=4.5&amp;sourceID=14","4.5")</f>
        <v>4.5</v>
      </c>
      <c r="G1559" s="4" t="str">
        <f>HYPERLINK("http://141.218.60.56/~jnz1568/getInfo.php?workbook=14_09.xlsx&amp;sheet=U0&amp;row=1559&amp;col=7&amp;number=0.0856&amp;sourceID=14","0.0856")</f>
        <v>0.0856</v>
      </c>
    </row>
    <row r="1560" spans="1:7">
      <c r="A1560" s="3"/>
      <c r="B1560" s="3"/>
      <c r="C1560" s="3"/>
      <c r="D1560" s="3"/>
      <c r="E1560" s="3">
        <v>17</v>
      </c>
      <c r="F1560" s="4" t="str">
        <f>HYPERLINK("http://141.218.60.56/~jnz1568/getInfo.php?workbook=14_09.xlsx&amp;sheet=U0&amp;row=1560&amp;col=6&amp;number=4.6&amp;sourceID=14","4.6")</f>
        <v>4.6</v>
      </c>
      <c r="G1560" s="4" t="str">
        <f>HYPERLINK("http://141.218.60.56/~jnz1568/getInfo.php?workbook=14_09.xlsx&amp;sheet=U0&amp;row=1560&amp;col=7&amp;number=0.0811&amp;sourceID=14","0.0811")</f>
        <v>0.0811</v>
      </c>
    </row>
    <row r="1561" spans="1:7">
      <c r="A1561" s="3"/>
      <c r="B1561" s="3"/>
      <c r="C1561" s="3"/>
      <c r="D1561" s="3"/>
      <c r="E1561" s="3">
        <v>18</v>
      </c>
      <c r="F1561" s="4" t="str">
        <f>HYPERLINK("http://141.218.60.56/~jnz1568/getInfo.php?workbook=14_09.xlsx&amp;sheet=U0&amp;row=1561&amp;col=6&amp;number=4.7&amp;sourceID=14","4.7")</f>
        <v>4.7</v>
      </c>
      <c r="G1561" s="4" t="str">
        <f>HYPERLINK("http://141.218.60.56/~jnz1568/getInfo.php?workbook=14_09.xlsx&amp;sheet=U0&amp;row=1561&amp;col=7&amp;number=0.0757&amp;sourceID=14","0.0757")</f>
        <v>0.0757</v>
      </c>
    </row>
    <row r="1562" spans="1:7">
      <c r="A1562" s="3"/>
      <c r="B1562" s="3"/>
      <c r="C1562" s="3"/>
      <c r="D1562" s="3"/>
      <c r="E1562" s="3">
        <v>19</v>
      </c>
      <c r="F1562" s="4" t="str">
        <f>HYPERLINK("http://141.218.60.56/~jnz1568/getInfo.php?workbook=14_09.xlsx&amp;sheet=U0&amp;row=1562&amp;col=6&amp;number=4.8&amp;sourceID=14","4.8")</f>
        <v>4.8</v>
      </c>
      <c r="G1562" s="4" t="str">
        <f>HYPERLINK("http://141.218.60.56/~jnz1568/getInfo.php?workbook=14_09.xlsx&amp;sheet=U0&amp;row=1562&amp;col=7&amp;number=0.0694&amp;sourceID=14","0.0694")</f>
        <v>0.0694</v>
      </c>
    </row>
    <row r="1563" spans="1:7">
      <c r="A1563" s="3"/>
      <c r="B1563" s="3"/>
      <c r="C1563" s="3"/>
      <c r="D1563" s="3"/>
      <c r="E1563" s="3">
        <v>20</v>
      </c>
      <c r="F1563" s="4" t="str">
        <f>HYPERLINK("http://141.218.60.56/~jnz1568/getInfo.php?workbook=14_09.xlsx&amp;sheet=U0&amp;row=1563&amp;col=6&amp;number=4.9&amp;sourceID=14","4.9")</f>
        <v>4.9</v>
      </c>
      <c r="G1563" s="4" t="str">
        <f>HYPERLINK("http://141.218.60.56/~jnz1568/getInfo.php?workbook=14_09.xlsx&amp;sheet=U0&amp;row=1563&amp;col=7&amp;number=0.0625&amp;sourceID=14","0.0625")</f>
        <v>0.0625</v>
      </c>
    </row>
    <row r="1564" spans="1:7">
      <c r="A1564" s="3">
        <v>14</v>
      </c>
      <c r="B1564" s="3">
        <v>9</v>
      </c>
      <c r="C1564" s="3">
        <v>1</v>
      </c>
      <c r="D1564" s="3">
        <v>80</v>
      </c>
      <c r="E1564" s="3">
        <v>1</v>
      </c>
      <c r="F1564" s="4" t="str">
        <f>HYPERLINK("http://141.218.60.56/~jnz1568/getInfo.php?workbook=14_09.xlsx&amp;sheet=U0&amp;row=1564&amp;col=6&amp;number=3&amp;sourceID=14","3")</f>
        <v>3</v>
      </c>
      <c r="G1564" s="4" t="str">
        <f>HYPERLINK("http://141.218.60.56/~jnz1568/getInfo.php?workbook=14_09.xlsx&amp;sheet=U0&amp;row=1564&amp;col=7&amp;number=0.0461&amp;sourceID=14","0.0461")</f>
        <v>0.0461</v>
      </c>
    </row>
    <row r="1565" spans="1:7">
      <c r="A1565" s="3"/>
      <c r="B1565" s="3"/>
      <c r="C1565" s="3"/>
      <c r="D1565" s="3"/>
      <c r="E1565" s="3">
        <v>2</v>
      </c>
      <c r="F1565" s="4" t="str">
        <f>HYPERLINK("http://141.218.60.56/~jnz1568/getInfo.php?workbook=14_09.xlsx&amp;sheet=U0&amp;row=1565&amp;col=6&amp;number=3.1&amp;sourceID=14","3.1")</f>
        <v>3.1</v>
      </c>
      <c r="G1565" s="4" t="str">
        <f>HYPERLINK("http://141.218.60.56/~jnz1568/getInfo.php?workbook=14_09.xlsx&amp;sheet=U0&amp;row=1565&amp;col=7&amp;number=0.046&amp;sourceID=14","0.046")</f>
        <v>0.046</v>
      </c>
    </row>
    <row r="1566" spans="1:7">
      <c r="A1566" s="3"/>
      <c r="B1566" s="3"/>
      <c r="C1566" s="3"/>
      <c r="D1566" s="3"/>
      <c r="E1566" s="3">
        <v>3</v>
      </c>
      <c r="F1566" s="4" t="str">
        <f>HYPERLINK("http://141.218.60.56/~jnz1568/getInfo.php?workbook=14_09.xlsx&amp;sheet=U0&amp;row=1566&amp;col=6&amp;number=3.2&amp;sourceID=14","3.2")</f>
        <v>3.2</v>
      </c>
      <c r="G1566" s="4" t="str">
        <f>HYPERLINK("http://141.218.60.56/~jnz1568/getInfo.php?workbook=14_09.xlsx&amp;sheet=U0&amp;row=1566&amp;col=7&amp;number=0.0459&amp;sourceID=14","0.0459")</f>
        <v>0.0459</v>
      </c>
    </row>
    <row r="1567" spans="1:7">
      <c r="A1567" s="3"/>
      <c r="B1567" s="3"/>
      <c r="C1567" s="3"/>
      <c r="D1567" s="3"/>
      <c r="E1567" s="3">
        <v>4</v>
      </c>
      <c r="F1567" s="4" t="str">
        <f>HYPERLINK("http://141.218.60.56/~jnz1568/getInfo.php?workbook=14_09.xlsx&amp;sheet=U0&amp;row=1567&amp;col=6&amp;number=3.3&amp;sourceID=14","3.3")</f>
        <v>3.3</v>
      </c>
      <c r="G1567" s="4" t="str">
        <f>HYPERLINK("http://141.218.60.56/~jnz1568/getInfo.php?workbook=14_09.xlsx&amp;sheet=U0&amp;row=1567&amp;col=7&amp;number=0.0458&amp;sourceID=14","0.0458")</f>
        <v>0.0458</v>
      </c>
    </row>
    <row r="1568" spans="1:7">
      <c r="A1568" s="3"/>
      <c r="B1568" s="3"/>
      <c r="C1568" s="3"/>
      <c r="D1568" s="3"/>
      <c r="E1568" s="3">
        <v>5</v>
      </c>
      <c r="F1568" s="4" t="str">
        <f>HYPERLINK("http://141.218.60.56/~jnz1568/getInfo.php?workbook=14_09.xlsx&amp;sheet=U0&amp;row=1568&amp;col=6&amp;number=3.4&amp;sourceID=14","3.4")</f>
        <v>3.4</v>
      </c>
      <c r="G1568" s="4" t="str">
        <f>HYPERLINK("http://141.218.60.56/~jnz1568/getInfo.php?workbook=14_09.xlsx&amp;sheet=U0&amp;row=1568&amp;col=7&amp;number=0.0456&amp;sourceID=14","0.0456")</f>
        <v>0.0456</v>
      </c>
    </row>
    <row r="1569" spans="1:7">
      <c r="A1569" s="3"/>
      <c r="B1569" s="3"/>
      <c r="C1569" s="3"/>
      <c r="D1569" s="3"/>
      <c r="E1569" s="3">
        <v>6</v>
      </c>
      <c r="F1569" s="4" t="str">
        <f>HYPERLINK("http://141.218.60.56/~jnz1568/getInfo.php?workbook=14_09.xlsx&amp;sheet=U0&amp;row=1569&amp;col=6&amp;number=3.5&amp;sourceID=14","3.5")</f>
        <v>3.5</v>
      </c>
      <c r="G1569" s="4" t="str">
        <f>HYPERLINK("http://141.218.60.56/~jnz1568/getInfo.php?workbook=14_09.xlsx&amp;sheet=U0&amp;row=1569&amp;col=7&amp;number=0.0454&amp;sourceID=14","0.0454")</f>
        <v>0.0454</v>
      </c>
    </row>
    <row r="1570" spans="1:7">
      <c r="A1570" s="3"/>
      <c r="B1570" s="3"/>
      <c r="C1570" s="3"/>
      <c r="D1570" s="3"/>
      <c r="E1570" s="3">
        <v>7</v>
      </c>
      <c r="F1570" s="4" t="str">
        <f>HYPERLINK("http://141.218.60.56/~jnz1568/getInfo.php?workbook=14_09.xlsx&amp;sheet=U0&amp;row=1570&amp;col=6&amp;number=3.6&amp;sourceID=14","3.6")</f>
        <v>3.6</v>
      </c>
      <c r="G1570" s="4" t="str">
        <f>HYPERLINK("http://141.218.60.56/~jnz1568/getInfo.php?workbook=14_09.xlsx&amp;sheet=U0&amp;row=1570&amp;col=7&amp;number=0.0452&amp;sourceID=14","0.0452")</f>
        <v>0.0452</v>
      </c>
    </row>
    <row r="1571" spans="1:7">
      <c r="A1571" s="3"/>
      <c r="B1571" s="3"/>
      <c r="C1571" s="3"/>
      <c r="D1571" s="3"/>
      <c r="E1571" s="3">
        <v>8</v>
      </c>
      <c r="F1571" s="4" t="str">
        <f>HYPERLINK("http://141.218.60.56/~jnz1568/getInfo.php?workbook=14_09.xlsx&amp;sheet=U0&amp;row=1571&amp;col=6&amp;number=3.7&amp;sourceID=14","3.7")</f>
        <v>3.7</v>
      </c>
      <c r="G1571" s="4" t="str">
        <f>HYPERLINK("http://141.218.60.56/~jnz1568/getInfo.php?workbook=14_09.xlsx&amp;sheet=U0&amp;row=1571&amp;col=7&amp;number=0.0449&amp;sourceID=14","0.0449")</f>
        <v>0.0449</v>
      </c>
    </row>
    <row r="1572" spans="1:7">
      <c r="A1572" s="3"/>
      <c r="B1572" s="3"/>
      <c r="C1572" s="3"/>
      <c r="D1572" s="3"/>
      <c r="E1572" s="3">
        <v>9</v>
      </c>
      <c r="F1572" s="4" t="str">
        <f>HYPERLINK("http://141.218.60.56/~jnz1568/getInfo.php?workbook=14_09.xlsx&amp;sheet=U0&amp;row=1572&amp;col=6&amp;number=3.8&amp;sourceID=14","3.8")</f>
        <v>3.8</v>
      </c>
      <c r="G1572" s="4" t="str">
        <f>HYPERLINK("http://141.218.60.56/~jnz1568/getInfo.php?workbook=14_09.xlsx&amp;sheet=U0&amp;row=1572&amp;col=7&amp;number=0.0445&amp;sourceID=14","0.0445")</f>
        <v>0.0445</v>
      </c>
    </row>
    <row r="1573" spans="1:7">
      <c r="A1573" s="3"/>
      <c r="B1573" s="3"/>
      <c r="C1573" s="3"/>
      <c r="D1573" s="3"/>
      <c r="E1573" s="3">
        <v>10</v>
      </c>
      <c r="F1573" s="4" t="str">
        <f>HYPERLINK("http://141.218.60.56/~jnz1568/getInfo.php?workbook=14_09.xlsx&amp;sheet=U0&amp;row=1573&amp;col=6&amp;number=3.9&amp;sourceID=14","3.9")</f>
        <v>3.9</v>
      </c>
      <c r="G1573" s="4" t="str">
        <f>HYPERLINK("http://141.218.60.56/~jnz1568/getInfo.php?workbook=14_09.xlsx&amp;sheet=U0&amp;row=1573&amp;col=7&amp;number=0.0441&amp;sourceID=14","0.0441")</f>
        <v>0.0441</v>
      </c>
    </row>
    <row r="1574" spans="1:7">
      <c r="A1574" s="3"/>
      <c r="B1574" s="3"/>
      <c r="C1574" s="3"/>
      <c r="D1574" s="3"/>
      <c r="E1574" s="3">
        <v>11</v>
      </c>
      <c r="F1574" s="4" t="str">
        <f>HYPERLINK("http://141.218.60.56/~jnz1568/getInfo.php?workbook=14_09.xlsx&amp;sheet=U0&amp;row=1574&amp;col=6&amp;number=4&amp;sourceID=14","4")</f>
        <v>4</v>
      </c>
      <c r="G1574" s="4" t="str">
        <f>HYPERLINK("http://141.218.60.56/~jnz1568/getInfo.php?workbook=14_09.xlsx&amp;sheet=U0&amp;row=1574&amp;col=7&amp;number=0.0435&amp;sourceID=14","0.0435")</f>
        <v>0.0435</v>
      </c>
    </row>
    <row r="1575" spans="1:7">
      <c r="A1575" s="3"/>
      <c r="B1575" s="3"/>
      <c r="C1575" s="3"/>
      <c r="D1575" s="3"/>
      <c r="E1575" s="3">
        <v>12</v>
      </c>
      <c r="F1575" s="4" t="str">
        <f>HYPERLINK("http://141.218.60.56/~jnz1568/getInfo.php?workbook=14_09.xlsx&amp;sheet=U0&amp;row=1575&amp;col=6&amp;number=4.1&amp;sourceID=14","4.1")</f>
        <v>4.1</v>
      </c>
      <c r="G1575" s="4" t="str">
        <f>HYPERLINK("http://141.218.60.56/~jnz1568/getInfo.php?workbook=14_09.xlsx&amp;sheet=U0&amp;row=1575&amp;col=7&amp;number=0.0428&amp;sourceID=14","0.0428")</f>
        <v>0.0428</v>
      </c>
    </row>
    <row r="1576" spans="1:7">
      <c r="A1576" s="3"/>
      <c r="B1576" s="3"/>
      <c r="C1576" s="3"/>
      <c r="D1576" s="3"/>
      <c r="E1576" s="3">
        <v>13</v>
      </c>
      <c r="F1576" s="4" t="str">
        <f>HYPERLINK("http://141.218.60.56/~jnz1568/getInfo.php?workbook=14_09.xlsx&amp;sheet=U0&amp;row=1576&amp;col=6&amp;number=4.2&amp;sourceID=14","4.2")</f>
        <v>4.2</v>
      </c>
      <c r="G1576" s="4" t="str">
        <f>HYPERLINK("http://141.218.60.56/~jnz1568/getInfo.php?workbook=14_09.xlsx&amp;sheet=U0&amp;row=1576&amp;col=7&amp;number=0.0419&amp;sourceID=14","0.0419")</f>
        <v>0.0419</v>
      </c>
    </row>
    <row r="1577" spans="1:7">
      <c r="A1577" s="3"/>
      <c r="B1577" s="3"/>
      <c r="C1577" s="3"/>
      <c r="D1577" s="3"/>
      <c r="E1577" s="3">
        <v>14</v>
      </c>
      <c r="F1577" s="4" t="str">
        <f>HYPERLINK("http://141.218.60.56/~jnz1568/getInfo.php?workbook=14_09.xlsx&amp;sheet=U0&amp;row=1577&amp;col=6&amp;number=4.3&amp;sourceID=14","4.3")</f>
        <v>4.3</v>
      </c>
      <c r="G1577" s="4" t="str">
        <f>HYPERLINK("http://141.218.60.56/~jnz1568/getInfo.php?workbook=14_09.xlsx&amp;sheet=U0&amp;row=1577&amp;col=7&amp;number=0.0408&amp;sourceID=14","0.0408")</f>
        <v>0.0408</v>
      </c>
    </row>
    <row r="1578" spans="1:7">
      <c r="A1578" s="3"/>
      <c r="B1578" s="3"/>
      <c r="C1578" s="3"/>
      <c r="D1578" s="3"/>
      <c r="E1578" s="3">
        <v>15</v>
      </c>
      <c r="F1578" s="4" t="str">
        <f>HYPERLINK("http://141.218.60.56/~jnz1568/getInfo.php?workbook=14_09.xlsx&amp;sheet=U0&amp;row=1578&amp;col=6&amp;number=4.4&amp;sourceID=14","4.4")</f>
        <v>4.4</v>
      </c>
      <c r="G1578" s="4" t="str">
        <f>HYPERLINK("http://141.218.60.56/~jnz1568/getInfo.php?workbook=14_09.xlsx&amp;sheet=U0&amp;row=1578&amp;col=7&amp;number=0.0394&amp;sourceID=14","0.0394")</f>
        <v>0.0394</v>
      </c>
    </row>
    <row r="1579" spans="1:7">
      <c r="A1579" s="3"/>
      <c r="B1579" s="3"/>
      <c r="C1579" s="3"/>
      <c r="D1579" s="3"/>
      <c r="E1579" s="3">
        <v>16</v>
      </c>
      <c r="F1579" s="4" t="str">
        <f>HYPERLINK("http://141.218.60.56/~jnz1568/getInfo.php?workbook=14_09.xlsx&amp;sheet=U0&amp;row=1579&amp;col=6&amp;number=4.5&amp;sourceID=14","4.5")</f>
        <v>4.5</v>
      </c>
      <c r="G1579" s="4" t="str">
        <f>HYPERLINK("http://141.218.60.56/~jnz1568/getInfo.php?workbook=14_09.xlsx&amp;sheet=U0&amp;row=1579&amp;col=7&amp;number=0.0377&amp;sourceID=14","0.0377")</f>
        <v>0.0377</v>
      </c>
    </row>
    <row r="1580" spans="1:7">
      <c r="A1580" s="3"/>
      <c r="B1580" s="3"/>
      <c r="C1580" s="3"/>
      <c r="D1580" s="3"/>
      <c r="E1580" s="3">
        <v>17</v>
      </c>
      <c r="F1580" s="4" t="str">
        <f>HYPERLINK("http://141.218.60.56/~jnz1568/getInfo.php?workbook=14_09.xlsx&amp;sheet=U0&amp;row=1580&amp;col=6&amp;number=4.6&amp;sourceID=14","4.6")</f>
        <v>4.6</v>
      </c>
      <c r="G1580" s="4" t="str">
        <f>HYPERLINK("http://141.218.60.56/~jnz1568/getInfo.php?workbook=14_09.xlsx&amp;sheet=U0&amp;row=1580&amp;col=7&amp;number=0.0357&amp;sourceID=14","0.0357")</f>
        <v>0.0357</v>
      </c>
    </row>
    <row r="1581" spans="1:7">
      <c r="A1581" s="3"/>
      <c r="B1581" s="3"/>
      <c r="C1581" s="3"/>
      <c r="D1581" s="3"/>
      <c r="E1581" s="3">
        <v>18</v>
      </c>
      <c r="F1581" s="4" t="str">
        <f>HYPERLINK("http://141.218.60.56/~jnz1568/getInfo.php?workbook=14_09.xlsx&amp;sheet=U0&amp;row=1581&amp;col=6&amp;number=4.7&amp;sourceID=14","4.7")</f>
        <v>4.7</v>
      </c>
      <c r="G1581" s="4" t="str">
        <f>HYPERLINK("http://141.218.60.56/~jnz1568/getInfo.php?workbook=14_09.xlsx&amp;sheet=U0&amp;row=1581&amp;col=7&amp;number=0.0334&amp;sourceID=14","0.0334")</f>
        <v>0.0334</v>
      </c>
    </row>
    <row r="1582" spans="1:7">
      <c r="A1582" s="3"/>
      <c r="B1582" s="3"/>
      <c r="C1582" s="3"/>
      <c r="D1582" s="3"/>
      <c r="E1582" s="3">
        <v>19</v>
      </c>
      <c r="F1582" s="4" t="str">
        <f>HYPERLINK("http://141.218.60.56/~jnz1568/getInfo.php?workbook=14_09.xlsx&amp;sheet=U0&amp;row=1582&amp;col=6&amp;number=4.8&amp;sourceID=14","4.8")</f>
        <v>4.8</v>
      </c>
      <c r="G1582" s="4" t="str">
        <f>HYPERLINK("http://141.218.60.56/~jnz1568/getInfo.php?workbook=14_09.xlsx&amp;sheet=U0&amp;row=1582&amp;col=7&amp;number=0.0306&amp;sourceID=14","0.0306")</f>
        <v>0.0306</v>
      </c>
    </row>
    <row r="1583" spans="1:7">
      <c r="A1583" s="3"/>
      <c r="B1583" s="3"/>
      <c r="C1583" s="3"/>
      <c r="D1583" s="3"/>
      <c r="E1583" s="3">
        <v>20</v>
      </c>
      <c r="F1583" s="4" t="str">
        <f>HYPERLINK("http://141.218.60.56/~jnz1568/getInfo.php?workbook=14_09.xlsx&amp;sheet=U0&amp;row=1583&amp;col=6&amp;number=4.9&amp;sourceID=14","4.9")</f>
        <v>4.9</v>
      </c>
      <c r="G1583" s="4" t="str">
        <f>HYPERLINK("http://141.218.60.56/~jnz1568/getInfo.php?workbook=14_09.xlsx&amp;sheet=U0&amp;row=1583&amp;col=7&amp;number=0.0276&amp;sourceID=14","0.0276")</f>
        <v>0.0276</v>
      </c>
    </row>
    <row r="1584" spans="1:7">
      <c r="A1584" s="3">
        <v>14</v>
      </c>
      <c r="B1584" s="3">
        <v>9</v>
      </c>
      <c r="C1584" s="3">
        <v>1</v>
      </c>
      <c r="D1584" s="3">
        <v>81</v>
      </c>
      <c r="E1584" s="3">
        <v>1</v>
      </c>
      <c r="F1584" s="4" t="str">
        <f>HYPERLINK("http://141.218.60.56/~jnz1568/getInfo.php?workbook=14_09.xlsx&amp;sheet=U0&amp;row=1584&amp;col=6&amp;number=3&amp;sourceID=14","3")</f>
        <v>3</v>
      </c>
      <c r="G1584" s="4" t="str">
        <f>HYPERLINK("http://141.218.60.56/~jnz1568/getInfo.php?workbook=14_09.xlsx&amp;sheet=U0&amp;row=1584&amp;col=7&amp;number=0.069&amp;sourceID=14","0.069")</f>
        <v>0.069</v>
      </c>
    </row>
    <row r="1585" spans="1:7">
      <c r="A1585" s="3"/>
      <c r="B1585" s="3"/>
      <c r="C1585" s="3"/>
      <c r="D1585" s="3"/>
      <c r="E1585" s="3">
        <v>2</v>
      </c>
      <c r="F1585" s="4" t="str">
        <f>HYPERLINK("http://141.218.60.56/~jnz1568/getInfo.php?workbook=14_09.xlsx&amp;sheet=U0&amp;row=1585&amp;col=6&amp;number=3.1&amp;sourceID=14","3.1")</f>
        <v>3.1</v>
      </c>
      <c r="G1585" s="4" t="str">
        <f>HYPERLINK("http://141.218.60.56/~jnz1568/getInfo.php?workbook=14_09.xlsx&amp;sheet=U0&amp;row=1585&amp;col=7&amp;number=0.0689&amp;sourceID=14","0.0689")</f>
        <v>0.0689</v>
      </c>
    </row>
    <row r="1586" spans="1:7">
      <c r="A1586" s="3"/>
      <c r="B1586" s="3"/>
      <c r="C1586" s="3"/>
      <c r="D1586" s="3"/>
      <c r="E1586" s="3">
        <v>3</v>
      </c>
      <c r="F1586" s="4" t="str">
        <f>HYPERLINK("http://141.218.60.56/~jnz1568/getInfo.php?workbook=14_09.xlsx&amp;sheet=U0&amp;row=1586&amp;col=6&amp;number=3.2&amp;sourceID=14","3.2")</f>
        <v>3.2</v>
      </c>
      <c r="G1586" s="4" t="str">
        <f>HYPERLINK("http://141.218.60.56/~jnz1568/getInfo.php?workbook=14_09.xlsx&amp;sheet=U0&amp;row=1586&amp;col=7&amp;number=0.0687&amp;sourceID=14","0.0687")</f>
        <v>0.0687</v>
      </c>
    </row>
    <row r="1587" spans="1:7">
      <c r="A1587" s="3"/>
      <c r="B1587" s="3"/>
      <c r="C1587" s="3"/>
      <c r="D1587" s="3"/>
      <c r="E1587" s="3">
        <v>4</v>
      </c>
      <c r="F1587" s="4" t="str">
        <f>HYPERLINK("http://141.218.60.56/~jnz1568/getInfo.php?workbook=14_09.xlsx&amp;sheet=U0&amp;row=1587&amp;col=6&amp;number=3.3&amp;sourceID=14","3.3")</f>
        <v>3.3</v>
      </c>
      <c r="G1587" s="4" t="str">
        <f>HYPERLINK("http://141.218.60.56/~jnz1568/getInfo.php?workbook=14_09.xlsx&amp;sheet=U0&amp;row=1587&amp;col=7&amp;number=0.0684&amp;sourceID=14","0.0684")</f>
        <v>0.0684</v>
      </c>
    </row>
    <row r="1588" spans="1:7">
      <c r="A1588" s="3"/>
      <c r="B1588" s="3"/>
      <c r="C1588" s="3"/>
      <c r="D1588" s="3"/>
      <c r="E1588" s="3">
        <v>5</v>
      </c>
      <c r="F1588" s="4" t="str">
        <f>HYPERLINK("http://141.218.60.56/~jnz1568/getInfo.php?workbook=14_09.xlsx&amp;sheet=U0&amp;row=1588&amp;col=6&amp;number=3.4&amp;sourceID=14","3.4")</f>
        <v>3.4</v>
      </c>
      <c r="G1588" s="4" t="str">
        <f>HYPERLINK("http://141.218.60.56/~jnz1568/getInfo.php?workbook=14_09.xlsx&amp;sheet=U0&amp;row=1588&amp;col=7&amp;number=0.0681&amp;sourceID=14","0.0681")</f>
        <v>0.0681</v>
      </c>
    </row>
    <row r="1589" spans="1:7">
      <c r="A1589" s="3"/>
      <c r="B1589" s="3"/>
      <c r="C1589" s="3"/>
      <c r="D1589" s="3"/>
      <c r="E1589" s="3">
        <v>6</v>
      </c>
      <c r="F1589" s="4" t="str">
        <f>HYPERLINK("http://141.218.60.56/~jnz1568/getInfo.php?workbook=14_09.xlsx&amp;sheet=U0&amp;row=1589&amp;col=6&amp;number=3.5&amp;sourceID=14","3.5")</f>
        <v>3.5</v>
      </c>
      <c r="G1589" s="4" t="str">
        <f>HYPERLINK("http://141.218.60.56/~jnz1568/getInfo.php?workbook=14_09.xlsx&amp;sheet=U0&amp;row=1589&amp;col=7&amp;number=0.0677&amp;sourceID=14","0.0677")</f>
        <v>0.0677</v>
      </c>
    </row>
    <row r="1590" spans="1:7">
      <c r="A1590" s="3"/>
      <c r="B1590" s="3"/>
      <c r="C1590" s="3"/>
      <c r="D1590" s="3"/>
      <c r="E1590" s="3">
        <v>7</v>
      </c>
      <c r="F1590" s="4" t="str">
        <f>HYPERLINK("http://141.218.60.56/~jnz1568/getInfo.php?workbook=14_09.xlsx&amp;sheet=U0&amp;row=1590&amp;col=6&amp;number=3.6&amp;sourceID=14","3.6")</f>
        <v>3.6</v>
      </c>
      <c r="G1590" s="4" t="str">
        <f>HYPERLINK("http://141.218.60.56/~jnz1568/getInfo.php?workbook=14_09.xlsx&amp;sheet=U0&amp;row=1590&amp;col=7&amp;number=0.0672&amp;sourceID=14","0.0672")</f>
        <v>0.0672</v>
      </c>
    </row>
    <row r="1591" spans="1:7">
      <c r="A1591" s="3"/>
      <c r="B1591" s="3"/>
      <c r="C1591" s="3"/>
      <c r="D1591" s="3"/>
      <c r="E1591" s="3">
        <v>8</v>
      </c>
      <c r="F1591" s="4" t="str">
        <f>HYPERLINK("http://141.218.60.56/~jnz1568/getInfo.php?workbook=14_09.xlsx&amp;sheet=U0&amp;row=1591&amp;col=6&amp;number=3.7&amp;sourceID=14","3.7")</f>
        <v>3.7</v>
      </c>
      <c r="G1591" s="4" t="str">
        <f>HYPERLINK("http://141.218.60.56/~jnz1568/getInfo.php?workbook=14_09.xlsx&amp;sheet=U0&amp;row=1591&amp;col=7&amp;number=0.0666&amp;sourceID=14","0.0666")</f>
        <v>0.0666</v>
      </c>
    </row>
    <row r="1592" spans="1:7">
      <c r="A1592" s="3"/>
      <c r="B1592" s="3"/>
      <c r="C1592" s="3"/>
      <c r="D1592" s="3"/>
      <c r="E1592" s="3">
        <v>9</v>
      </c>
      <c r="F1592" s="4" t="str">
        <f>HYPERLINK("http://141.218.60.56/~jnz1568/getInfo.php?workbook=14_09.xlsx&amp;sheet=U0&amp;row=1592&amp;col=6&amp;number=3.8&amp;sourceID=14","3.8")</f>
        <v>3.8</v>
      </c>
      <c r="G1592" s="4" t="str">
        <f>HYPERLINK("http://141.218.60.56/~jnz1568/getInfo.php?workbook=14_09.xlsx&amp;sheet=U0&amp;row=1592&amp;col=7&amp;number=0.0658&amp;sourceID=14","0.0658")</f>
        <v>0.0658</v>
      </c>
    </row>
    <row r="1593" spans="1:7">
      <c r="A1593" s="3"/>
      <c r="B1593" s="3"/>
      <c r="C1593" s="3"/>
      <c r="D1593" s="3"/>
      <c r="E1593" s="3">
        <v>10</v>
      </c>
      <c r="F1593" s="4" t="str">
        <f>HYPERLINK("http://141.218.60.56/~jnz1568/getInfo.php?workbook=14_09.xlsx&amp;sheet=U0&amp;row=1593&amp;col=6&amp;number=3.9&amp;sourceID=14","3.9")</f>
        <v>3.9</v>
      </c>
      <c r="G1593" s="4" t="str">
        <f>HYPERLINK("http://141.218.60.56/~jnz1568/getInfo.php?workbook=14_09.xlsx&amp;sheet=U0&amp;row=1593&amp;col=7&amp;number=0.0649&amp;sourceID=14","0.0649")</f>
        <v>0.0649</v>
      </c>
    </row>
    <row r="1594" spans="1:7">
      <c r="A1594" s="3"/>
      <c r="B1594" s="3"/>
      <c r="C1594" s="3"/>
      <c r="D1594" s="3"/>
      <c r="E1594" s="3">
        <v>11</v>
      </c>
      <c r="F1594" s="4" t="str">
        <f>HYPERLINK("http://141.218.60.56/~jnz1568/getInfo.php?workbook=14_09.xlsx&amp;sheet=U0&amp;row=1594&amp;col=6&amp;number=4&amp;sourceID=14","4")</f>
        <v>4</v>
      </c>
      <c r="G1594" s="4" t="str">
        <f>HYPERLINK("http://141.218.60.56/~jnz1568/getInfo.php?workbook=14_09.xlsx&amp;sheet=U0&amp;row=1594&amp;col=7&amp;number=0.0637&amp;sourceID=14","0.0637")</f>
        <v>0.0637</v>
      </c>
    </row>
    <row r="1595" spans="1:7">
      <c r="A1595" s="3"/>
      <c r="B1595" s="3"/>
      <c r="C1595" s="3"/>
      <c r="D1595" s="3"/>
      <c r="E1595" s="3">
        <v>12</v>
      </c>
      <c r="F1595" s="4" t="str">
        <f>HYPERLINK("http://141.218.60.56/~jnz1568/getInfo.php?workbook=14_09.xlsx&amp;sheet=U0&amp;row=1595&amp;col=6&amp;number=4.1&amp;sourceID=14","4.1")</f>
        <v>4.1</v>
      </c>
      <c r="G1595" s="4" t="str">
        <f>HYPERLINK("http://141.218.60.56/~jnz1568/getInfo.php?workbook=14_09.xlsx&amp;sheet=U0&amp;row=1595&amp;col=7&amp;number=0.0622&amp;sourceID=14","0.0622")</f>
        <v>0.0622</v>
      </c>
    </row>
    <row r="1596" spans="1:7">
      <c r="A1596" s="3"/>
      <c r="B1596" s="3"/>
      <c r="C1596" s="3"/>
      <c r="D1596" s="3"/>
      <c r="E1596" s="3">
        <v>13</v>
      </c>
      <c r="F1596" s="4" t="str">
        <f>HYPERLINK("http://141.218.60.56/~jnz1568/getInfo.php?workbook=14_09.xlsx&amp;sheet=U0&amp;row=1596&amp;col=6&amp;number=4.2&amp;sourceID=14","4.2")</f>
        <v>4.2</v>
      </c>
      <c r="G1596" s="4" t="str">
        <f>HYPERLINK("http://141.218.60.56/~jnz1568/getInfo.php?workbook=14_09.xlsx&amp;sheet=U0&amp;row=1596&amp;col=7&amp;number=0.0604&amp;sourceID=14","0.0604")</f>
        <v>0.0604</v>
      </c>
    </row>
    <row r="1597" spans="1:7">
      <c r="A1597" s="3"/>
      <c r="B1597" s="3"/>
      <c r="C1597" s="3"/>
      <c r="D1597" s="3"/>
      <c r="E1597" s="3">
        <v>14</v>
      </c>
      <c r="F1597" s="4" t="str">
        <f>HYPERLINK("http://141.218.60.56/~jnz1568/getInfo.php?workbook=14_09.xlsx&amp;sheet=U0&amp;row=1597&amp;col=6&amp;number=4.3&amp;sourceID=14","4.3")</f>
        <v>4.3</v>
      </c>
      <c r="G1597" s="4" t="str">
        <f>HYPERLINK("http://141.218.60.56/~jnz1568/getInfo.php?workbook=14_09.xlsx&amp;sheet=U0&amp;row=1597&amp;col=7&amp;number=0.0582&amp;sourceID=14","0.0582")</f>
        <v>0.0582</v>
      </c>
    </row>
    <row r="1598" spans="1:7">
      <c r="A1598" s="3"/>
      <c r="B1598" s="3"/>
      <c r="C1598" s="3"/>
      <c r="D1598" s="3"/>
      <c r="E1598" s="3">
        <v>15</v>
      </c>
      <c r="F1598" s="4" t="str">
        <f>HYPERLINK("http://141.218.60.56/~jnz1568/getInfo.php?workbook=14_09.xlsx&amp;sheet=U0&amp;row=1598&amp;col=6&amp;number=4.4&amp;sourceID=14","4.4")</f>
        <v>4.4</v>
      </c>
      <c r="G1598" s="4" t="str">
        <f>HYPERLINK("http://141.218.60.56/~jnz1568/getInfo.php?workbook=14_09.xlsx&amp;sheet=U0&amp;row=1598&amp;col=7&amp;number=0.0555&amp;sourceID=14","0.0555")</f>
        <v>0.0555</v>
      </c>
    </row>
    <row r="1599" spans="1:7">
      <c r="A1599" s="3"/>
      <c r="B1599" s="3"/>
      <c r="C1599" s="3"/>
      <c r="D1599" s="3"/>
      <c r="E1599" s="3">
        <v>16</v>
      </c>
      <c r="F1599" s="4" t="str">
        <f>HYPERLINK("http://141.218.60.56/~jnz1568/getInfo.php?workbook=14_09.xlsx&amp;sheet=U0&amp;row=1599&amp;col=6&amp;number=4.5&amp;sourceID=14","4.5")</f>
        <v>4.5</v>
      </c>
      <c r="G1599" s="4" t="str">
        <f>HYPERLINK("http://141.218.60.56/~jnz1568/getInfo.php?workbook=14_09.xlsx&amp;sheet=U0&amp;row=1599&amp;col=7&amp;number=0.0523&amp;sourceID=14","0.0523")</f>
        <v>0.0523</v>
      </c>
    </row>
    <row r="1600" spans="1:7">
      <c r="A1600" s="3"/>
      <c r="B1600" s="3"/>
      <c r="C1600" s="3"/>
      <c r="D1600" s="3"/>
      <c r="E1600" s="3">
        <v>17</v>
      </c>
      <c r="F1600" s="4" t="str">
        <f>HYPERLINK("http://141.218.60.56/~jnz1568/getInfo.php?workbook=14_09.xlsx&amp;sheet=U0&amp;row=1600&amp;col=6&amp;number=4.6&amp;sourceID=14","4.6")</f>
        <v>4.6</v>
      </c>
      <c r="G1600" s="4" t="str">
        <f>HYPERLINK("http://141.218.60.56/~jnz1568/getInfo.php?workbook=14_09.xlsx&amp;sheet=U0&amp;row=1600&amp;col=7&amp;number=0.0487&amp;sourceID=14","0.0487")</f>
        <v>0.0487</v>
      </c>
    </row>
    <row r="1601" spans="1:7">
      <c r="A1601" s="3"/>
      <c r="B1601" s="3"/>
      <c r="C1601" s="3"/>
      <c r="D1601" s="3"/>
      <c r="E1601" s="3">
        <v>18</v>
      </c>
      <c r="F1601" s="4" t="str">
        <f>HYPERLINK("http://141.218.60.56/~jnz1568/getInfo.php?workbook=14_09.xlsx&amp;sheet=U0&amp;row=1601&amp;col=6&amp;number=4.7&amp;sourceID=14","4.7")</f>
        <v>4.7</v>
      </c>
      <c r="G1601" s="4" t="str">
        <f>HYPERLINK("http://141.218.60.56/~jnz1568/getInfo.php?workbook=14_09.xlsx&amp;sheet=U0&amp;row=1601&amp;col=7&amp;number=0.0448&amp;sourceID=14","0.0448")</f>
        <v>0.0448</v>
      </c>
    </row>
    <row r="1602" spans="1:7">
      <c r="A1602" s="3"/>
      <c r="B1602" s="3"/>
      <c r="C1602" s="3"/>
      <c r="D1602" s="3"/>
      <c r="E1602" s="3">
        <v>19</v>
      </c>
      <c r="F1602" s="4" t="str">
        <f>HYPERLINK("http://141.218.60.56/~jnz1568/getInfo.php?workbook=14_09.xlsx&amp;sheet=U0&amp;row=1602&amp;col=6&amp;number=4.8&amp;sourceID=14","4.8")</f>
        <v>4.8</v>
      </c>
      <c r="G1602" s="4" t="str">
        <f>HYPERLINK("http://141.218.60.56/~jnz1568/getInfo.php?workbook=14_09.xlsx&amp;sheet=U0&amp;row=1602&amp;col=7&amp;number=0.0408&amp;sourceID=14","0.0408")</f>
        <v>0.0408</v>
      </c>
    </row>
    <row r="1603" spans="1:7">
      <c r="A1603" s="3"/>
      <c r="B1603" s="3"/>
      <c r="C1603" s="3"/>
      <c r="D1603" s="3"/>
      <c r="E1603" s="3">
        <v>20</v>
      </c>
      <c r="F1603" s="4" t="str">
        <f>HYPERLINK("http://141.218.60.56/~jnz1568/getInfo.php?workbook=14_09.xlsx&amp;sheet=U0&amp;row=1603&amp;col=6&amp;number=4.9&amp;sourceID=14","4.9")</f>
        <v>4.9</v>
      </c>
      <c r="G1603" s="4" t="str">
        <f>HYPERLINK("http://141.218.60.56/~jnz1568/getInfo.php?workbook=14_09.xlsx&amp;sheet=U0&amp;row=1603&amp;col=7&amp;number=0.0369&amp;sourceID=14","0.0369")</f>
        <v>0.0369</v>
      </c>
    </row>
    <row r="1604" spans="1:7">
      <c r="A1604" s="3">
        <v>14</v>
      </c>
      <c r="B1604" s="3">
        <v>9</v>
      </c>
      <c r="C1604" s="3">
        <v>1</v>
      </c>
      <c r="D1604" s="3">
        <v>82</v>
      </c>
      <c r="E1604" s="3">
        <v>1</v>
      </c>
      <c r="F1604" s="4" t="str">
        <f>HYPERLINK("http://141.218.60.56/~jnz1568/getInfo.php?workbook=14_09.xlsx&amp;sheet=U0&amp;row=1604&amp;col=6&amp;number=3&amp;sourceID=14","3")</f>
        <v>3</v>
      </c>
      <c r="G1604" s="4" t="str">
        <f>HYPERLINK("http://141.218.60.56/~jnz1568/getInfo.php?workbook=14_09.xlsx&amp;sheet=U0&amp;row=1604&amp;col=7&amp;number=0.0461&amp;sourceID=14","0.0461")</f>
        <v>0.0461</v>
      </c>
    </row>
    <row r="1605" spans="1:7">
      <c r="A1605" s="3"/>
      <c r="B1605" s="3"/>
      <c r="C1605" s="3"/>
      <c r="D1605" s="3"/>
      <c r="E1605" s="3">
        <v>2</v>
      </c>
      <c r="F1605" s="4" t="str">
        <f>HYPERLINK("http://141.218.60.56/~jnz1568/getInfo.php?workbook=14_09.xlsx&amp;sheet=U0&amp;row=1605&amp;col=6&amp;number=3.1&amp;sourceID=14","3.1")</f>
        <v>3.1</v>
      </c>
      <c r="G1605" s="4" t="str">
        <f>HYPERLINK("http://141.218.60.56/~jnz1568/getInfo.php?workbook=14_09.xlsx&amp;sheet=U0&amp;row=1605&amp;col=7&amp;number=0.0459&amp;sourceID=14","0.0459")</f>
        <v>0.0459</v>
      </c>
    </row>
    <row r="1606" spans="1:7">
      <c r="A1606" s="3"/>
      <c r="B1606" s="3"/>
      <c r="C1606" s="3"/>
      <c r="D1606" s="3"/>
      <c r="E1606" s="3">
        <v>3</v>
      </c>
      <c r="F1606" s="4" t="str">
        <f>HYPERLINK("http://141.218.60.56/~jnz1568/getInfo.php?workbook=14_09.xlsx&amp;sheet=U0&amp;row=1606&amp;col=6&amp;number=3.2&amp;sourceID=14","3.2")</f>
        <v>3.2</v>
      </c>
      <c r="G1606" s="4" t="str">
        <f>HYPERLINK("http://141.218.60.56/~jnz1568/getInfo.php?workbook=14_09.xlsx&amp;sheet=U0&amp;row=1606&amp;col=7&amp;number=0.0458&amp;sourceID=14","0.0458")</f>
        <v>0.0458</v>
      </c>
    </row>
    <row r="1607" spans="1:7">
      <c r="A1607" s="3"/>
      <c r="B1607" s="3"/>
      <c r="C1607" s="3"/>
      <c r="D1607" s="3"/>
      <c r="E1607" s="3">
        <v>4</v>
      </c>
      <c r="F1607" s="4" t="str">
        <f>HYPERLINK("http://141.218.60.56/~jnz1568/getInfo.php?workbook=14_09.xlsx&amp;sheet=U0&amp;row=1607&amp;col=6&amp;number=3.3&amp;sourceID=14","3.3")</f>
        <v>3.3</v>
      </c>
      <c r="G1607" s="4" t="str">
        <f>HYPERLINK("http://141.218.60.56/~jnz1568/getInfo.php?workbook=14_09.xlsx&amp;sheet=U0&amp;row=1607&amp;col=7&amp;number=0.0456&amp;sourceID=14","0.0456")</f>
        <v>0.0456</v>
      </c>
    </row>
    <row r="1608" spans="1:7">
      <c r="A1608" s="3"/>
      <c r="B1608" s="3"/>
      <c r="C1608" s="3"/>
      <c r="D1608" s="3"/>
      <c r="E1608" s="3">
        <v>5</v>
      </c>
      <c r="F1608" s="4" t="str">
        <f>HYPERLINK("http://141.218.60.56/~jnz1568/getInfo.php?workbook=14_09.xlsx&amp;sheet=U0&amp;row=1608&amp;col=6&amp;number=3.4&amp;sourceID=14","3.4")</f>
        <v>3.4</v>
      </c>
      <c r="G1608" s="4" t="str">
        <f>HYPERLINK("http://141.218.60.56/~jnz1568/getInfo.php?workbook=14_09.xlsx&amp;sheet=U0&amp;row=1608&amp;col=7&amp;number=0.0453&amp;sourceID=14","0.0453")</f>
        <v>0.0453</v>
      </c>
    </row>
    <row r="1609" spans="1:7">
      <c r="A1609" s="3"/>
      <c r="B1609" s="3"/>
      <c r="C1609" s="3"/>
      <c r="D1609" s="3"/>
      <c r="E1609" s="3">
        <v>6</v>
      </c>
      <c r="F1609" s="4" t="str">
        <f>HYPERLINK("http://141.218.60.56/~jnz1568/getInfo.php?workbook=14_09.xlsx&amp;sheet=U0&amp;row=1609&amp;col=6&amp;number=3.5&amp;sourceID=14","3.5")</f>
        <v>3.5</v>
      </c>
      <c r="G1609" s="4" t="str">
        <f>HYPERLINK("http://141.218.60.56/~jnz1568/getInfo.php?workbook=14_09.xlsx&amp;sheet=U0&amp;row=1609&amp;col=7&amp;number=0.045&amp;sourceID=14","0.045")</f>
        <v>0.045</v>
      </c>
    </row>
    <row r="1610" spans="1:7">
      <c r="A1610" s="3"/>
      <c r="B1610" s="3"/>
      <c r="C1610" s="3"/>
      <c r="D1610" s="3"/>
      <c r="E1610" s="3">
        <v>7</v>
      </c>
      <c r="F1610" s="4" t="str">
        <f>HYPERLINK("http://141.218.60.56/~jnz1568/getInfo.php?workbook=14_09.xlsx&amp;sheet=U0&amp;row=1610&amp;col=6&amp;number=3.6&amp;sourceID=14","3.6")</f>
        <v>3.6</v>
      </c>
      <c r="G1610" s="4" t="str">
        <f>HYPERLINK("http://141.218.60.56/~jnz1568/getInfo.php?workbook=14_09.xlsx&amp;sheet=U0&amp;row=1610&amp;col=7&amp;number=0.0446&amp;sourceID=14","0.0446")</f>
        <v>0.0446</v>
      </c>
    </row>
    <row r="1611" spans="1:7">
      <c r="A1611" s="3"/>
      <c r="B1611" s="3"/>
      <c r="C1611" s="3"/>
      <c r="D1611" s="3"/>
      <c r="E1611" s="3">
        <v>8</v>
      </c>
      <c r="F1611" s="4" t="str">
        <f>HYPERLINK("http://141.218.60.56/~jnz1568/getInfo.php?workbook=14_09.xlsx&amp;sheet=U0&amp;row=1611&amp;col=6&amp;number=3.7&amp;sourceID=14","3.7")</f>
        <v>3.7</v>
      </c>
      <c r="G1611" s="4" t="str">
        <f>HYPERLINK("http://141.218.60.56/~jnz1568/getInfo.php?workbook=14_09.xlsx&amp;sheet=U0&amp;row=1611&amp;col=7&amp;number=0.0442&amp;sourceID=14","0.0442")</f>
        <v>0.0442</v>
      </c>
    </row>
    <row r="1612" spans="1:7">
      <c r="A1612" s="3"/>
      <c r="B1612" s="3"/>
      <c r="C1612" s="3"/>
      <c r="D1612" s="3"/>
      <c r="E1612" s="3">
        <v>9</v>
      </c>
      <c r="F1612" s="4" t="str">
        <f>HYPERLINK("http://141.218.60.56/~jnz1568/getInfo.php?workbook=14_09.xlsx&amp;sheet=U0&amp;row=1612&amp;col=6&amp;number=3.8&amp;sourceID=14","3.8")</f>
        <v>3.8</v>
      </c>
      <c r="G1612" s="4" t="str">
        <f>HYPERLINK("http://141.218.60.56/~jnz1568/getInfo.php?workbook=14_09.xlsx&amp;sheet=U0&amp;row=1612&amp;col=7&amp;number=0.0436&amp;sourceID=14","0.0436")</f>
        <v>0.0436</v>
      </c>
    </row>
    <row r="1613" spans="1:7">
      <c r="A1613" s="3"/>
      <c r="B1613" s="3"/>
      <c r="C1613" s="3"/>
      <c r="D1613" s="3"/>
      <c r="E1613" s="3">
        <v>10</v>
      </c>
      <c r="F1613" s="4" t="str">
        <f>HYPERLINK("http://141.218.60.56/~jnz1568/getInfo.php?workbook=14_09.xlsx&amp;sheet=U0&amp;row=1613&amp;col=6&amp;number=3.9&amp;sourceID=14","3.9")</f>
        <v>3.9</v>
      </c>
      <c r="G1613" s="4" t="str">
        <f>HYPERLINK("http://141.218.60.56/~jnz1568/getInfo.php?workbook=14_09.xlsx&amp;sheet=U0&amp;row=1613&amp;col=7&amp;number=0.0428&amp;sourceID=14","0.0428")</f>
        <v>0.0428</v>
      </c>
    </row>
    <row r="1614" spans="1:7">
      <c r="A1614" s="3"/>
      <c r="B1614" s="3"/>
      <c r="C1614" s="3"/>
      <c r="D1614" s="3"/>
      <c r="E1614" s="3">
        <v>11</v>
      </c>
      <c r="F1614" s="4" t="str">
        <f>HYPERLINK("http://141.218.60.56/~jnz1568/getInfo.php?workbook=14_09.xlsx&amp;sheet=U0&amp;row=1614&amp;col=6&amp;number=4&amp;sourceID=14","4")</f>
        <v>4</v>
      </c>
      <c r="G1614" s="4" t="str">
        <f>HYPERLINK("http://141.218.60.56/~jnz1568/getInfo.php?workbook=14_09.xlsx&amp;sheet=U0&amp;row=1614&amp;col=7&amp;number=0.042&amp;sourceID=14","0.042")</f>
        <v>0.042</v>
      </c>
    </row>
    <row r="1615" spans="1:7">
      <c r="A1615" s="3"/>
      <c r="B1615" s="3"/>
      <c r="C1615" s="3"/>
      <c r="D1615" s="3"/>
      <c r="E1615" s="3">
        <v>12</v>
      </c>
      <c r="F1615" s="4" t="str">
        <f>HYPERLINK("http://141.218.60.56/~jnz1568/getInfo.php?workbook=14_09.xlsx&amp;sheet=U0&amp;row=1615&amp;col=6&amp;number=4.1&amp;sourceID=14","4.1")</f>
        <v>4.1</v>
      </c>
      <c r="G1615" s="4" t="str">
        <f>HYPERLINK("http://141.218.60.56/~jnz1568/getInfo.php?workbook=14_09.xlsx&amp;sheet=U0&amp;row=1615&amp;col=7&amp;number=0.0409&amp;sourceID=14","0.0409")</f>
        <v>0.0409</v>
      </c>
    </row>
    <row r="1616" spans="1:7">
      <c r="A1616" s="3"/>
      <c r="B1616" s="3"/>
      <c r="C1616" s="3"/>
      <c r="D1616" s="3"/>
      <c r="E1616" s="3">
        <v>13</v>
      </c>
      <c r="F1616" s="4" t="str">
        <f>HYPERLINK("http://141.218.60.56/~jnz1568/getInfo.php?workbook=14_09.xlsx&amp;sheet=U0&amp;row=1616&amp;col=6&amp;number=4.2&amp;sourceID=14","4.2")</f>
        <v>4.2</v>
      </c>
      <c r="G1616" s="4" t="str">
        <f>HYPERLINK("http://141.218.60.56/~jnz1568/getInfo.php?workbook=14_09.xlsx&amp;sheet=U0&amp;row=1616&amp;col=7&amp;number=0.0395&amp;sourceID=14","0.0395")</f>
        <v>0.0395</v>
      </c>
    </row>
    <row r="1617" spans="1:7">
      <c r="A1617" s="3"/>
      <c r="B1617" s="3"/>
      <c r="C1617" s="3"/>
      <c r="D1617" s="3"/>
      <c r="E1617" s="3">
        <v>14</v>
      </c>
      <c r="F1617" s="4" t="str">
        <f>HYPERLINK("http://141.218.60.56/~jnz1568/getInfo.php?workbook=14_09.xlsx&amp;sheet=U0&amp;row=1617&amp;col=6&amp;number=4.3&amp;sourceID=14","4.3")</f>
        <v>4.3</v>
      </c>
      <c r="G1617" s="4" t="str">
        <f>HYPERLINK("http://141.218.60.56/~jnz1568/getInfo.php?workbook=14_09.xlsx&amp;sheet=U0&amp;row=1617&amp;col=7&amp;number=0.038&amp;sourceID=14","0.038")</f>
        <v>0.038</v>
      </c>
    </row>
    <row r="1618" spans="1:7">
      <c r="A1618" s="3"/>
      <c r="B1618" s="3"/>
      <c r="C1618" s="3"/>
      <c r="D1618" s="3"/>
      <c r="E1618" s="3">
        <v>15</v>
      </c>
      <c r="F1618" s="4" t="str">
        <f>HYPERLINK("http://141.218.60.56/~jnz1568/getInfo.php?workbook=14_09.xlsx&amp;sheet=U0&amp;row=1618&amp;col=6&amp;number=4.4&amp;sourceID=14","4.4")</f>
        <v>4.4</v>
      </c>
      <c r="G1618" s="4" t="str">
        <f>HYPERLINK("http://141.218.60.56/~jnz1568/getInfo.php?workbook=14_09.xlsx&amp;sheet=U0&amp;row=1618&amp;col=7&amp;number=0.0362&amp;sourceID=14","0.0362")</f>
        <v>0.0362</v>
      </c>
    </row>
    <row r="1619" spans="1:7">
      <c r="A1619" s="3"/>
      <c r="B1619" s="3"/>
      <c r="C1619" s="3"/>
      <c r="D1619" s="3"/>
      <c r="E1619" s="3">
        <v>16</v>
      </c>
      <c r="F1619" s="4" t="str">
        <f>HYPERLINK("http://141.218.60.56/~jnz1568/getInfo.php?workbook=14_09.xlsx&amp;sheet=U0&amp;row=1619&amp;col=6&amp;number=4.5&amp;sourceID=14","4.5")</f>
        <v>4.5</v>
      </c>
      <c r="G1619" s="4" t="str">
        <f>HYPERLINK("http://141.218.60.56/~jnz1568/getInfo.php?workbook=14_09.xlsx&amp;sheet=U0&amp;row=1619&amp;col=7&amp;number=0.0341&amp;sourceID=14","0.0341")</f>
        <v>0.0341</v>
      </c>
    </row>
    <row r="1620" spans="1:7">
      <c r="A1620" s="3"/>
      <c r="B1620" s="3"/>
      <c r="C1620" s="3"/>
      <c r="D1620" s="3"/>
      <c r="E1620" s="3">
        <v>17</v>
      </c>
      <c r="F1620" s="4" t="str">
        <f>HYPERLINK("http://141.218.60.56/~jnz1568/getInfo.php?workbook=14_09.xlsx&amp;sheet=U0&amp;row=1620&amp;col=6&amp;number=4.6&amp;sourceID=14","4.6")</f>
        <v>4.6</v>
      </c>
      <c r="G1620" s="4" t="str">
        <f>HYPERLINK("http://141.218.60.56/~jnz1568/getInfo.php?workbook=14_09.xlsx&amp;sheet=U0&amp;row=1620&amp;col=7&amp;number=0.0319&amp;sourceID=14","0.0319")</f>
        <v>0.0319</v>
      </c>
    </row>
    <row r="1621" spans="1:7">
      <c r="A1621" s="3"/>
      <c r="B1621" s="3"/>
      <c r="C1621" s="3"/>
      <c r="D1621" s="3"/>
      <c r="E1621" s="3">
        <v>18</v>
      </c>
      <c r="F1621" s="4" t="str">
        <f>HYPERLINK("http://141.218.60.56/~jnz1568/getInfo.php?workbook=14_09.xlsx&amp;sheet=U0&amp;row=1621&amp;col=6&amp;number=4.7&amp;sourceID=14","4.7")</f>
        <v>4.7</v>
      </c>
      <c r="G1621" s="4" t="str">
        <f>HYPERLINK("http://141.218.60.56/~jnz1568/getInfo.php?workbook=14_09.xlsx&amp;sheet=U0&amp;row=1621&amp;col=7&amp;number=0.0295&amp;sourceID=14","0.0295")</f>
        <v>0.0295</v>
      </c>
    </row>
    <row r="1622" spans="1:7">
      <c r="A1622" s="3"/>
      <c r="B1622" s="3"/>
      <c r="C1622" s="3"/>
      <c r="D1622" s="3"/>
      <c r="E1622" s="3">
        <v>19</v>
      </c>
      <c r="F1622" s="4" t="str">
        <f>HYPERLINK("http://141.218.60.56/~jnz1568/getInfo.php?workbook=14_09.xlsx&amp;sheet=U0&amp;row=1622&amp;col=6&amp;number=4.8&amp;sourceID=14","4.8")</f>
        <v>4.8</v>
      </c>
      <c r="G1622" s="4" t="str">
        <f>HYPERLINK("http://141.218.60.56/~jnz1568/getInfo.php?workbook=14_09.xlsx&amp;sheet=U0&amp;row=1622&amp;col=7&amp;number=0.0271&amp;sourceID=14","0.0271")</f>
        <v>0.0271</v>
      </c>
    </row>
    <row r="1623" spans="1:7">
      <c r="A1623" s="3"/>
      <c r="B1623" s="3"/>
      <c r="C1623" s="3"/>
      <c r="D1623" s="3"/>
      <c r="E1623" s="3">
        <v>20</v>
      </c>
      <c r="F1623" s="4" t="str">
        <f>HYPERLINK("http://141.218.60.56/~jnz1568/getInfo.php?workbook=14_09.xlsx&amp;sheet=U0&amp;row=1623&amp;col=6&amp;number=4.9&amp;sourceID=14","4.9")</f>
        <v>4.9</v>
      </c>
      <c r="G1623" s="4" t="str">
        <f>HYPERLINK("http://141.218.60.56/~jnz1568/getInfo.php?workbook=14_09.xlsx&amp;sheet=U0&amp;row=1623&amp;col=7&amp;number=0.0247&amp;sourceID=14","0.0247")</f>
        <v>0.0247</v>
      </c>
    </row>
    <row r="1624" spans="1:7">
      <c r="A1624" s="3">
        <v>14</v>
      </c>
      <c r="B1624" s="3">
        <v>9</v>
      </c>
      <c r="C1624" s="3">
        <v>1</v>
      </c>
      <c r="D1624" s="3">
        <v>83</v>
      </c>
      <c r="E1624" s="3">
        <v>1</v>
      </c>
      <c r="F1624" s="4" t="str">
        <f>HYPERLINK("http://141.218.60.56/~jnz1568/getInfo.php?workbook=14_09.xlsx&amp;sheet=U0&amp;row=1624&amp;col=6&amp;number=3&amp;sourceID=14","3")</f>
        <v>3</v>
      </c>
      <c r="G1624" s="4" t="str">
        <f>HYPERLINK("http://141.218.60.56/~jnz1568/getInfo.php?workbook=14_09.xlsx&amp;sheet=U0&amp;row=1624&amp;col=7&amp;number=0.0154&amp;sourceID=14","0.0154")</f>
        <v>0.0154</v>
      </c>
    </row>
    <row r="1625" spans="1:7">
      <c r="A1625" s="3"/>
      <c r="B1625" s="3"/>
      <c r="C1625" s="3"/>
      <c r="D1625" s="3"/>
      <c r="E1625" s="3">
        <v>2</v>
      </c>
      <c r="F1625" s="4" t="str">
        <f>HYPERLINK("http://141.218.60.56/~jnz1568/getInfo.php?workbook=14_09.xlsx&amp;sheet=U0&amp;row=1625&amp;col=6&amp;number=3.1&amp;sourceID=14","3.1")</f>
        <v>3.1</v>
      </c>
      <c r="G1625" s="4" t="str">
        <f>HYPERLINK("http://141.218.60.56/~jnz1568/getInfo.php?workbook=14_09.xlsx&amp;sheet=U0&amp;row=1625&amp;col=7&amp;number=0.0154&amp;sourceID=14","0.0154")</f>
        <v>0.0154</v>
      </c>
    </row>
    <row r="1626" spans="1:7">
      <c r="A1626" s="3"/>
      <c r="B1626" s="3"/>
      <c r="C1626" s="3"/>
      <c r="D1626" s="3"/>
      <c r="E1626" s="3">
        <v>3</v>
      </c>
      <c r="F1626" s="4" t="str">
        <f>HYPERLINK("http://141.218.60.56/~jnz1568/getInfo.php?workbook=14_09.xlsx&amp;sheet=U0&amp;row=1626&amp;col=6&amp;number=3.2&amp;sourceID=14","3.2")</f>
        <v>3.2</v>
      </c>
      <c r="G1626" s="4" t="str">
        <f>HYPERLINK("http://141.218.60.56/~jnz1568/getInfo.php?workbook=14_09.xlsx&amp;sheet=U0&amp;row=1626&amp;col=7&amp;number=0.0154&amp;sourceID=14","0.0154")</f>
        <v>0.0154</v>
      </c>
    </row>
    <row r="1627" spans="1:7">
      <c r="A1627" s="3"/>
      <c r="B1627" s="3"/>
      <c r="C1627" s="3"/>
      <c r="D1627" s="3"/>
      <c r="E1627" s="3">
        <v>4</v>
      </c>
      <c r="F1627" s="4" t="str">
        <f>HYPERLINK("http://141.218.60.56/~jnz1568/getInfo.php?workbook=14_09.xlsx&amp;sheet=U0&amp;row=1627&amp;col=6&amp;number=3.3&amp;sourceID=14","3.3")</f>
        <v>3.3</v>
      </c>
      <c r="G1627" s="4" t="str">
        <f>HYPERLINK("http://141.218.60.56/~jnz1568/getInfo.php?workbook=14_09.xlsx&amp;sheet=U0&amp;row=1627&amp;col=7&amp;number=0.0153&amp;sourceID=14","0.0153")</f>
        <v>0.0153</v>
      </c>
    </row>
    <row r="1628" spans="1:7">
      <c r="A1628" s="3"/>
      <c r="B1628" s="3"/>
      <c r="C1628" s="3"/>
      <c r="D1628" s="3"/>
      <c r="E1628" s="3">
        <v>5</v>
      </c>
      <c r="F1628" s="4" t="str">
        <f>HYPERLINK("http://141.218.60.56/~jnz1568/getInfo.php?workbook=14_09.xlsx&amp;sheet=U0&amp;row=1628&amp;col=6&amp;number=3.4&amp;sourceID=14","3.4")</f>
        <v>3.4</v>
      </c>
      <c r="G1628" s="4" t="str">
        <f>HYPERLINK("http://141.218.60.56/~jnz1568/getInfo.php?workbook=14_09.xlsx&amp;sheet=U0&amp;row=1628&amp;col=7&amp;number=0.0152&amp;sourceID=14","0.0152")</f>
        <v>0.0152</v>
      </c>
    </row>
    <row r="1629" spans="1:7">
      <c r="A1629" s="3"/>
      <c r="B1629" s="3"/>
      <c r="C1629" s="3"/>
      <c r="D1629" s="3"/>
      <c r="E1629" s="3">
        <v>6</v>
      </c>
      <c r="F1629" s="4" t="str">
        <f>HYPERLINK("http://141.218.60.56/~jnz1568/getInfo.php?workbook=14_09.xlsx&amp;sheet=U0&amp;row=1629&amp;col=6&amp;number=3.5&amp;sourceID=14","3.5")</f>
        <v>3.5</v>
      </c>
      <c r="G1629" s="4" t="str">
        <f>HYPERLINK("http://141.218.60.56/~jnz1568/getInfo.php?workbook=14_09.xlsx&amp;sheet=U0&amp;row=1629&amp;col=7&amp;number=0.0152&amp;sourceID=14","0.0152")</f>
        <v>0.0152</v>
      </c>
    </row>
    <row r="1630" spans="1:7">
      <c r="A1630" s="3"/>
      <c r="B1630" s="3"/>
      <c r="C1630" s="3"/>
      <c r="D1630" s="3"/>
      <c r="E1630" s="3">
        <v>7</v>
      </c>
      <c r="F1630" s="4" t="str">
        <f>HYPERLINK("http://141.218.60.56/~jnz1568/getInfo.php?workbook=14_09.xlsx&amp;sheet=U0&amp;row=1630&amp;col=6&amp;number=3.6&amp;sourceID=14","3.6")</f>
        <v>3.6</v>
      </c>
      <c r="G1630" s="4" t="str">
        <f>HYPERLINK("http://141.218.60.56/~jnz1568/getInfo.php?workbook=14_09.xlsx&amp;sheet=U0&amp;row=1630&amp;col=7&amp;number=0.015&amp;sourceID=14","0.015")</f>
        <v>0.015</v>
      </c>
    </row>
    <row r="1631" spans="1:7">
      <c r="A1631" s="3"/>
      <c r="B1631" s="3"/>
      <c r="C1631" s="3"/>
      <c r="D1631" s="3"/>
      <c r="E1631" s="3">
        <v>8</v>
      </c>
      <c r="F1631" s="4" t="str">
        <f>HYPERLINK("http://141.218.60.56/~jnz1568/getInfo.php?workbook=14_09.xlsx&amp;sheet=U0&amp;row=1631&amp;col=6&amp;number=3.7&amp;sourceID=14","3.7")</f>
        <v>3.7</v>
      </c>
      <c r="G1631" s="4" t="str">
        <f>HYPERLINK("http://141.218.60.56/~jnz1568/getInfo.php?workbook=14_09.xlsx&amp;sheet=U0&amp;row=1631&amp;col=7&amp;number=0.0149&amp;sourceID=14","0.0149")</f>
        <v>0.0149</v>
      </c>
    </row>
    <row r="1632" spans="1:7">
      <c r="A1632" s="3"/>
      <c r="B1632" s="3"/>
      <c r="C1632" s="3"/>
      <c r="D1632" s="3"/>
      <c r="E1632" s="3">
        <v>9</v>
      </c>
      <c r="F1632" s="4" t="str">
        <f>HYPERLINK("http://141.218.60.56/~jnz1568/getInfo.php?workbook=14_09.xlsx&amp;sheet=U0&amp;row=1632&amp;col=6&amp;number=3.8&amp;sourceID=14","3.8")</f>
        <v>3.8</v>
      </c>
      <c r="G1632" s="4" t="str">
        <f>HYPERLINK("http://141.218.60.56/~jnz1568/getInfo.php?workbook=14_09.xlsx&amp;sheet=U0&amp;row=1632&amp;col=7&amp;number=0.0147&amp;sourceID=14","0.0147")</f>
        <v>0.0147</v>
      </c>
    </row>
    <row r="1633" spans="1:7">
      <c r="A1633" s="3"/>
      <c r="B1633" s="3"/>
      <c r="C1633" s="3"/>
      <c r="D1633" s="3"/>
      <c r="E1633" s="3">
        <v>10</v>
      </c>
      <c r="F1633" s="4" t="str">
        <f>HYPERLINK("http://141.218.60.56/~jnz1568/getInfo.php?workbook=14_09.xlsx&amp;sheet=U0&amp;row=1633&amp;col=6&amp;number=3.9&amp;sourceID=14","3.9")</f>
        <v>3.9</v>
      </c>
      <c r="G1633" s="4" t="str">
        <f>HYPERLINK("http://141.218.60.56/~jnz1568/getInfo.php?workbook=14_09.xlsx&amp;sheet=U0&amp;row=1633&amp;col=7&amp;number=0.0145&amp;sourceID=14","0.0145")</f>
        <v>0.0145</v>
      </c>
    </row>
    <row r="1634" spans="1:7">
      <c r="A1634" s="3"/>
      <c r="B1634" s="3"/>
      <c r="C1634" s="3"/>
      <c r="D1634" s="3"/>
      <c r="E1634" s="3">
        <v>11</v>
      </c>
      <c r="F1634" s="4" t="str">
        <f>HYPERLINK("http://141.218.60.56/~jnz1568/getInfo.php?workbook=14_09.xlsx&amp;sheet=U0&amp;row=1634&amp;col=6&amp;number=4&amp;sourceID=14","4")</f>
        <v>4</v>
      </c>
      <c r="G1634" s="4" t="str">
        <f>HYPERLINK("http://141.218.60.56/~jnz1568/getInfo.php?workbook=14_09.xlsx&amp;sheet=U0&amp;row=1634&amp;col=7&amp;number=0.0143&amp;sourceID=14","0.0143")</f>
        <v>0.0143</v>
      </c>
    </row>
    <row r="1635" spans="1:7">
      <c r="A1635" s="3"/>
      <c r="B1635" s="3"/>
      <c r="C1635" s="3"/>
      <c r="D1635" s="3"/>
      <c r="E1635" s="3">
        <v>12</v>
      </c>
      <c r="F1635" s="4" t="str">
        <f>HYPERLINK("http://141.218.60.56/~jnz1568/getInfo.php?workbook=14_09.xlsx&amp;sheet=U0&amp;row=1635&amp;col=6&amp;number=4.1&amp;sourceID=14","4.1")</f>
        <v>4.1</v>
      </c>
      <c r="G1635" s="4" t="str">
        <f>HYPERLINK("http://141.218.60.56/~jnz1568/getInfo.php?workbook=14_09.xlsx&amp;sheet=U0&amp;row=1635&amp;col=7&amp;number=0.014&amp;sourceID=14","0.014")</f>
        <v>0.014</v>
      </c>
    </row>
    <row r="1636" spans="1:7">
      <c r="A1636" s="3"/>
      <c r="B1636" s="3"/>
      <c r="C1636" s="3"/>
      <c r="D1636" s="3"/>
      <c r="E1636" s="3">
        <v>13</v>
      </c>
      <c r="F1636" s="4" t="str">
        <f>HYPERLINK("http://141.218.60.56/~jnz1568/getInfo.php?workbook=14_09.xlsx&amp;sheet=U0&amp;row=1636&amp;col=6&amp;number=4.2&amp;sourceID=14","4.2")</f>
        <v>4.2</v>
      </c>
      <c r="G1636" s="4" t="str">
        <f>HYPERLINK("http://141.218.60.56/~jnz1568/getInfo.php?workbook=14_09.xlsx&amp;sheet=U0&amp;row=1636&amp;col=7&amp;number=0.0136&amp;sourceID=14","0.0136")</f>
        <v>0.0136</v>
      </c>
    </row>
    <row r="1637" spans="1:7">
      <c r="A1637" s="3"/>
      <c r="B1637" s="3"/>
      <c r="C1637" s="3"/>
      <c r="D1637" s="3"/>
      <c r="E1637" s="3">
        <v>14</v>
      </c>
      <c r="F1637" s="4" t="str">
        <f>HYPERLINK("http://141.218.60.56/~jnz1568/getInfo.php?workbook=14_09.xlsx&amp;sheet=U0&amp;row=1637&amp;col=6&amp;number=4.3&amp;sourceID=14","4.3")</f>
        <v>4.3</v>
      </c>
      <c r="G1637" s="4" t="str">
        <f>HYPERLINK("http://141.218.60.56/~jnz1568/getInfo.php?workbook=14_09.xlsx&amp;sheet=U0&amp;row=1637&amp;col=7&amp;number=0.0131&amp;sourceID=14","0.0131")</f>
        <v>0.0131</v>
      </c>
    </row>
    <row r="1638" spans="1:7">
      <c r="A1638" s="3"/>
      <c r="B1638" s="3"/>
      <c r="C1638" s="3"/>
      <c r="D1638" s="3"/>
      <c r="E1638" s="3">
        <v>15</v>
      </c>
      <c r="F1638" s="4" t="str">
        <f>HYPERLINK("http://141.218.60.56/~jnz1568/getInfo.php?workbook=14_09.xlsx&amp;sheet=U0&amp;row=1638&amp;col=6&amp;number=4.4&amp;sourceID=14","4.4")</f>
        <v>4.4</v>
      </c>
      <c r="G1638" s="4" t="str">
        <f>HYPERLINK("http://141.218.60.56/~jnz1568/getInfo.php?workbook=14_09.xlsx&amp;sheet=U0&amp;row=1638&amp;col=7&amp;number=0.0125&amp;sourceID=14","0.0125")</f>
        <v>0.0125</v>
      </c>
    </row>
    <row r="1639" spans="1:7">
      <c r="A1639" s="3"/>
      <c r="B1639" s="3"/>
      <c r="C1639" s="3"/>
      <c r="D1639" s="3"/>
      <c r="E1639" s="3">
        <v>16</v>
      </c>
      <c r="F1639" s="4" t="str">
        <f>HYPERLINK("http://141.218.60.56/~jnz1568/getInfo.php?workbook=14_09.xlsx&amp;sheet=U0&amp;row=1639&amp;col=6&amp;number=4.5&amp;sourceID=14","4.5")</f>
        <v>4.5</v>
      </c>
      <c r="G1639" s="4" t="str">
        <f>HYPERLINK("http://141.218.60.56/~jnz1568/getInfo.php?workbook=14_09.xlsx&amp;sheet=U0&amp;row=1639&amp;col=7&amp;number=0.0118&amp;sourceID=14","0.0118")</f>
        <v>0.0118</v>
      </c>
    </row>
    <row r="1640" spans="1:7">
      <c r="A1640" s="3"/>
      <c r="B1640" s="3"/>
      <c r="C1640" s="3"/>
      <c r="D1640" s="3"/>
      <c r="E1640" s="3">
        <v>17</v>
      </c>
      <c r="F1640" s="4" t="str">
        <f>HYPERLINK("http://141.218.60.56/~jnz1568/getInfo.php?workbook=14_09.xlsx&amp;sheet=U0&amp;row=1640&amp;col=6&amp;number=4.6&amp;sourceID=14","4.6")</f>
        <v>4.6</v>
      </c>
      <c r="G1640" s="4" t="str">
        <f>HYPERLINK("http://141.218.60.56/~jnz1568/getInfo.php?workbook=14_09.xlsx&amp;sheet=U0&amp;row=1640&amp;col=7&amp;number=0.011&amp;sourceID=14","0.011")</f>
        <v>0.011</v>
      </c>
    </row>
    <row r="1641" spans="1:7">
      <c r="A1641" s="3"/>
      <c r="B1641" s="3"/>
      <c r="C1641" s="3"/>
      <c r="D1641" s="3"/>
      <c r="E1641" s="3">
        <v>18</v>
      </c>
      <c r="F1641" s="4" t="str">
        <f>HYPERLINK("http://141.218.60.56/~jnz1568/getInfo.php?workbook=14_09.xlsx&amp;sheet=U0&amp;row=1641&amp;col=6&amp;number=4.7&amp;sourceID=14","4.7")</f>
        <v>4.7</v>
      </c>
      <c r="G1641" s="4" t="str">
        <f>HYPERLINK("http://141.218.60.56/~jnz1568/getInfo.php?workbook=14_09.xlsx&amp;sheet=U0&amp;row=1641&amp;col=7&amp;number=0.0101&amp;sourceID=14","0.0101")</f>
        <v>0.0101</v>
      </c>
    </row>
    <row r="1642" spans="1:7">
      <c r="A1642" s="3"/>
      <c r="B1642" s="3"/>
      <c r="C1642" s="3"/>
      <c r="D1642" s="3"/>
      <c r="E1642" s="3">
        <v>19</v>
      </c>
      <c r="F1642" s="4" t="str">
        <f>HYPERLINK("http://141.218.60.56/~jnz1568/getInfo.php?workbook=14_09.xlsx&amp;sheet=U0&amp;row=1642&amp;col=6&amp;number=4.8&amp;sourceID=14","4.8")</f>
        <v>4.8</v>
      </c>
      <c r="G1642" s="4" t="str">
        <f>HYPERLINK("http://141.218.60.56/~jnz1568/getInfo.php?workbook=14_09.xlsx&amp;sheet=U0&amp;row=1642&amp;col=7&amp;number=0.00916&amp;sourceID=14","0.00916")</f>
        <v>0.00916</v>
      </c>
    </row>
    <row r="1643" spans="1:7">
      <c r="A1643" s="3"/>
      <c r="B1643" s="3"/>
      <c r="C1643" s="3"/>
      <c r="D1643" s="3"/>
      <c r="E1643" s="3">
        <v>20</v>
      </c>
      <c r="F1643" s="4" t="str">
        <f>HYPERLINK("http://141.218.60.56/~jnz1568/getInfo.php?workbook=14_09.xlsx&amp;sheet=U0&amp;row=1643&amp;col=6&amp;number=4.9&amp;sourceID=14","4.9")</f>
        <v>4.9</v>
      </c>
      <c r="G1643" s="4" t="str">
        <f>HYPERLINK("http://141.218.60.56/~jnz1568/getInfo.php?workbook=14_09.xlsx&amp;sheet=U0&amp;row=1643&amp;col=7&amp;number=0.00824&amp;sourceID=14","0.00824")</f>
        <v>0.00824</v>
      </c>
    </row>
    <row r="1644" spans="1:7">
      <c r="A1644" s="3">
        <v>14</v>
      </c>
      <c r="B1644" s="3">
        <v>9</v>
      </c>
      <c r="C1644" s="3">
        <v>1</v>
      </c>
      <c r="D1644" s="3">
        <v>84</v>
      </c>
      <c r="E1644" s="3">
        <v>1</v>
      </c>
      <c r="F1644" s="4" t="str">
        <f>HYPERLINK("http://141.218.60.56/~jnz1568/getInfo.php?workbook=14_09.xlsx&amp;sheet=U0&amp;row=1644&amp;col=6&amp;number=3&amp;sourceID=14","3")</f>
        <v>3</v>
      </c>
      <c r="G1644" s="4" t="str">
        <f>HYPERLINK("http://141.218.60.56/~jnz1568/getInfo.php?workbook=14_09.xlsx&amp;sheet=U0&amp;row=1644&amp;col=7&amp;number=0.173&amp;sourceID=14","0.173")</f>
        <v>0.173</v>
      </c>
    </row>
    <row r="1645" spans="1:7">
      <c r="A1645" s="3"/>
      <c r="B1645" s="3"/>
      <c r="C1645" s="3"/>
      <c r="D1645" s="3"/>
      <c r="E1645" s="3">
        <v>2</v>
      </c>
      <c r="F1645" s="4" t="str">
        <f>HYPERLINK("http://141.218.60.56/~jnz1568/getInfo.php?workbook=14_09.xlsx&amp;sheet=U0&amp;row=1645&amp;col=6&amp;number=3.1&amp;sourceID=14","3.1")</f>
        <v>3.1</v>
      </c>
      <c r="G1645" s="4" t="str">
        <f>HYPERLINK("http://141.218.60.56/~jnz1568/getInfo.php?workbook=14_09.xlsx&amp;sheet=U0&amp;row=1645&amp;col=7&amp;number=0.173&amp;sourceID=14","0.173")</f>
        <v>0.173</v>
      </c>
    </row>
    <row r="1646" spans="1:7">
      <c r="A1646" s="3"/>
      <c r="B1646" s="3"/>
      <c r="C1646" s="3"/>
      <c r="D1646" s="3"/>
      <c r="E1646" s="3">
        <v>3</v>
      </c>
      <c r="F1646" s="4" t="str">
        <f>HYPERLINK("http://141.218.60.56/~jnz1568/getInfo.php?workbook=14_09.xlsx&amp;sheet=U0&amp;row=1646&amp;col=6&amp;number=3.2&amp;sourceID=14","3.2")</f>
        <v>3.2</v>
      </c>
      <c r="G1646" s="4" t="str">
        <f>HYPERLINK("http://141.218.60.56/~jnz1568/getInfo.php?workbook=14_09.xlsx&amp;sheet=U0&amp;row=1646&amp;col=7&amp;number=0.172&amp;sourceID=14","0.172")</f>
        <v>0.172</v>
      </c>
    </row>
    <row r="1647" spans="1:7">
      <c r="A1647" s="3"/>
      <c r="B1647" s="3"/>
      <c r="C1647" s="3"/>
      <c r="D1647" s="3"/>
      <c r="E1647" s="3">
        <v>4</v>
      </c>
      <c r="F1647" s="4" t="str">
        <f>HYPERLINK("http://141.218.60.56/~jnz1568/getInfo.php?workbook=14_09.xlsx&amp;sheet=U0&amp;row=1647&amp;col=6&amp;number=3.3&amp;sourceID=14","3.3")</f>
        <v>3.3</v>
      </c>
      <c r="G1647" s="4" t="str">
        <f>HYPERLINK("http://141.218.60.56/~jnz1568/getInfo.php?workbook=14_09.xlsx&amp;sheet=U0&amp;row=1647&amp;col=7&amp;number=0.172&amp;sourceID=14","0.172")</f>
        <v>0.172</v>
      </c>
    </row>
    <row r="1648" spans="1:7">
      <c r="A1648" s="3"/>
      <c r="B1648" s="3"/>
      <c r="C1648" s="3"/>
      <c r="D1648" s="3"/>
      <c r="E1648" s="3">
        <v>5</v>
      </c>
      <c r="F1648" s="4" t="str">
        <f>HYPERLINK("http://141.218.60.56/~jnz1568/getInfo.php?workbook=14_09.xlsx&amp;sheet=U0&amp;row=1648&amp;col=6&amp;number=3.4&amp;sourceID=14","3.4")</f>
        <v>3.4</v>
      </c>
      <c r="G1648" s="4" t="str">
        <f>HYPERLINK("http://141.218.60.56/~jnz1568/getInfo.php?workbook=14_09.xlsx&amp;sheet=U0&amp;row=1648&amp;col=7&amp;number=0.171&amp;sourceID=14","0.171")</f>
        <v>0.171</v>
      </c>
    </row>
    <row r="1649" spans="1:7">
      <c r="A1649" s="3"/>
      <c r="B1649" s="3"/>
      <c r="C1649" s="3"/>
      <c r="D1649" s="3"/>
      <c r="E1649" s="3">
        <v>6</v>
      </c>
      <c r="F1649" s="4" t="str">
        <f>HYPERLINK("http://141.218.60.56/~jnz1568/getInfo.php?workbook=14_09.xlsx&amp;sheet=U0&amp;row=1649&amp;col=6&amp;number=3.5&amp;sourceID=14","3.5")</f>
        <v>3.5</v>
      </c>
      <c r="G1649" s="4" t="str">
        <f>HYPERLINK("http://141.218.60.56/~jnz1568/getInfo.php?workbook=14_09.xlsx&amp;sheet=U0&amp;row=1649&amp;col=7&amp;number=0.17&amp;sourceID=14","0.17")</f>
        <v>0.17</v>
      </c>
    </row>
    <row r="1650" spans="1:7">
      <c r="A1650" s="3"/>
      <c r="B1650" s="3"/>
      <c r="C1650" s="3"/>
      <c r="D1650" s="3"/>
      <c r="E1650" s="3">
        <v>7</v>
      </c>
      <c r="F1650" s="4" t="str">
        <f>HYPERLINK("http://141.218.60.56/~jnz1568/getInfo.php?workbook=14_09.xlsx&amp;sheet=U0&amp;row=1650&amp;col=6&amp;number=3.6&amp;sourceID=14","3.6")</f>
        <v>3.6</v>
      </c>
      <c r="G1650" s="4" t="str">
        <f>HYPERLINK("http://141.218.60.56/~jnz1568/getInfo.php?workbook=14_09.xlsx&amp;sheet=U0&amp;row=1650&amp;col=7&amp;number=0.169&amp;sourceID=14","0.169")</f>
        <v>0.169</v>
      </c>
    </row>
    <row r="1651" spans="1:7">
      <c r="A1651" s="3"/>
      <c r="B1651" s="3"/>
      <c r="C1651" s="3"/>
      <c r="D1651" s="3"/>
      <c r="E1651" s="3">
        <v>8</v>
      </c>
      <c r="F1651" s="4" t="str">
        <f>HYPERLINK("http://141.218.60.56/~jnz1568/getInfo.php?workbook=14_09.xlsx&amp;sheet=U0&amp;row=1651&amp;col=6&amp;number=3.7&amp;sourceID=14","3.7")</f>
        <v>3.7</v>
      </c>
      <c r="G1651" s="4" t="str">
        <f>HYPERLINK("http://141.218.60.56/~jnz1568/getInfo.php?workbook=14_09.xlsx&amp;sheet=U0&amp;row=1651&amp;col=7&amp;number=0.168&amp;sourceID=14","0.168")</f>
        <v>0.168</v>
      </c>
    </row>
    <row r="1652" spans="1:7">
      <c r="A1652" s="3"/>
      <c r="B1652" s="3"/>
      <c r="C1652" s="3"/>
      <c r="D1652" s="3"/>
      <c r="E1652" s="3">
        <v>9</v>
      </c>
      <c r="F1652" s="4" t="str">
        <f>HYPERLINK("http://141.218.60.56/~jnz1568/getInfo.php?workbook=14_09.xlsx&amp;sheet=U0&amp;row=1652&amp;col=6&amp;number=3.8&amp;sourceID=14","3.8")</f>
        <v>3.8</v>
      </c>
      <c r="G1652" s="4" t="str">
        <f>HYPERLINK("http://141.218.60.56/~jnz1568/getInfo.php?workbook=14_09.xlsx&amp;sheet=U0&amp;row=1652&amp;col=7&amp;number=0.166&amp;sourceID=14","0.166")</f>
        <v>0.166</v>
      </c>
    </row>
    <row r="1653" spans="1:7">
      <c r="A1653" s="3"/>
      <c r="B1653" s="3"/>
      <c r="C1653" s="3"/>
      <c r="D1653" s="3"/>
      <c r="E1653" s="3">
        <v>10</v>
      </c>
      <c r="F1653" s="4" t="str">
        <f>HYPERLINK("http://141.218.60.56/~jnz1568/getInfo.php?workbook=14_09.xlsx&amp;sheet=U0&amp;row=1653&amp;col=6&amp;number=3.9&amp;sourceID=14","3.9")</f>
        <v>3.9</v>
      </c>
      <c r="G1653" s="4" t="str">
        <f>HYPERLINK("http://141.218.60.56/~jnz1568/getInfo.php?workbook=14_09.xlsx&amp;sheet=U0&amp;row=1653&amp;col=7&amp;number=0.164&amp;sourceID=14","0.164")</f>
        <v>0.164</v>
      </c>
    </row>
    <row r="1654" spans="1:7">
      <c r="A1654" s="3"/>
      <c r="B1654" s="3"/>
      <c r="C1654" s="3"/>
      <c r="D1654" s="3"/>
      <c r="E1654" s="3">
        <v>11</v>
      </c>
      <c r="F1654" s="4" t="str">
        <f>HYPERLINK("http://141.218.60.56/~jnz1568/getInfo.php?workbook=14_09.xlsx&amp;sheet=U0&amp;row=1654&amp;col=6&amp;number=4&amp;sourceID=14","4")</f>
        <v>4</v>
      </c>
      <c r="G1654" s="4" t="str">
        <f>HYPERLINK("http://141.218.60.56/~jnz1568/getInfo.php?workbook=14_09.xlsx&amp;sheet=U0&amp;row=1654&amp;col=7&amp;number=0.161&amp;sourceID=14","0.161")</f>
        <v>0.161</v>
      </c>
    </row>
    <row r="1655" spans="1:7">
      <c r="A1655" s="3"/>
      <c r="B1655" s="3"/>
      <c r="C1655" s="3"/>
      <c r="D1655" s="3"/>
      <c r="E1655" s="3">
        <v>12</v>
      </c>
      <c r="F1655" s="4" t="str">
        <f>HYPERLINK("http://141.218.60.56/~jnz1568/getInfo.php?workbook=14_09.xlsx&amp;sheet=U0&amp;row=1655&amp;col=6&amp;number=4.1&amp;sourceID=14","4.1")</f>
        <v>4.1</v>
      </c>
      <c r="G1655" s="4" t="str">
        <f>HYPERLINK("http://141.218.60.56/~jnz1568/getInfo.php?workbook=14_09.xlsx&amp;sheet=U0&amp;row=1655&amp;col=7&amp;number=0.158&amp;sourceID=14","0.158")</f>
        <v>0.158</v>
      </c>
    </row>
    <row r="1656" spans="1:7">
      <c r="A1656" s="3"/>
      <c r="B1656" s="3"/>
      <c r="C1656" s="3"/>
      <c r="D1656" s="3"/>
      <c r="E1656" s="3">
        <v>13</v>
      </c>
      <c r="F1656" s="4" t="str">
        <f>HYPERLINK("http://141.218.60.56/~jnz1568/getInfo.php?workbook=14_09.xlsx&amp;sheet=U0&amp;row=1656&amp;col=6&amp;number=4.2&amp;sourceID=14","4.2")</f>
        <v>4.2</v>
      </c>
      <c r="G1656" s="4" t="str">
        <f>HYPERLINK("http://141.218.60.56/~jnz1568/getInfo.php?workbook=14_09.xlsx&amp;sheet=U0&amp;row=1656&amp;col=7&amp;number=0.154&amp;sourceID=14","0.154")</f>
        <v>0.154</v>
      </c>
    </row>
    <row r="1657" spans="1:7">
      <c r="A1657" s="3"/>
      <c r="B1657" s="3"/>
      <c r="C1657" s="3"/>
      <c r="D1657" s="3"/>
      <c r="E1657" s="3">
        <v>14</v>
      </c>
      <c r="F1657" s="4" t="str">
        <f>HYPERLINK("http://141.218.60.56/~jnz1568/getInfo.php?workbook=14_09.xlsx&amp;sheet=U0&amp;row=1657&amp;col=6&amp;number=4.3&amp;sourceID=14","4.3")</f>
        <v>4.3</v>
      </c>
      <c r="G1657" s="4" t="str">
        <f>HYPERLINK("http://141.218.60.56/~jnz1568/getInfo.php?workbook=14_09.xlsx&amp;sheet=U0&amp;row=1657&amp;col=7&amp;number=0.149&amp;sourceID=14","0.149")</f>
        <v>0.149</v>
      </c>
    </row>
    <row r="1658" spans="1:7">
      <c r="A1658" s="3"/>
      <c r="B1658" s="3"/>
      <c r="C1658" s="3"/>
      <c r="D1658" s="3"/>
      <c r="E1658" s="3">
        <v>15</v>
      </c>
      <c r="F1658" s="4" t="str">
        <f>HYPERLINK("http://141.218.60.56/~jnz1568/getInfo.php?workbook=14_09.xlsx&amp;sheet=U0&amp;row=1658&amp;col=6&amp;number=4.4&amp;sourceID=14","4.4")</f>
        <v>4.4</v>
      </c>
      <c r="G1658" s="4" t="str">
        <f>HYPERLINK("http://141.218.60.56/~jnz1568/getInfo.php?workbook=14_09.xlsx&amp;sheet=U0&amp;row=1658&amp;col=7&amp;number=0.143&amp;sourceID=14","0.143")</f>
        <v>0.143</v>
      </c>
    </row>
    <row r="1659" spans="1:7">
      <c r="A1659" s="3"/>
      <c r="B1659" s="3"/>
      <c r="C1659" s="3"/>
      <c r="D1659" s="3"/>
      <c r="E1659" s="3">
        <v>16</v>
      </c>
      <c r="F1659" s="4" t="str">
        <f>HYPERLINK("http://141.218.60.56/~jnz1568/getInfo.php?workbook=14_09.xlsx&amp;sheet=U0&amp;row=1659&amp;col=6&amp;number=4.5&amp;sourceID=14","4.5")</f>
        <v>4.5</v>
      </c>
      <c r="G1659" s="4" t="str">
        <f>HYPERLINK("http://141.218.60.56/~jnz1568/getInfo.php?workbook=14_09.xlsx&amp;sheet=U0&amp;row=1659&amp;col=7&amp;number=0.137&amp;sourceID=14","0.137")</f>
        <v>0.137</v>
      </c>
    </row>
    <row r="1660" spans="1:7">
      <c r="A1660" s="3"/>
      <c r="B1660" s="3"/>
      <c r="C1660" s="3"/>
      <c r="D1660" s="3"/>
      <c r="E1660" s="3">
        <v>17</v>
      </c>
      <c r="F1660" s="4" t="str">
        <f>HYPERLINK("http://141.218.60.56/~jnz1568/getInfo.php?workbook=14_09.xlsx&amp;sheet=U0&amp;row=1660&amp;col=6&amp;number=4.6&amp;sourceID=14","4.6")</f>
        <v>4.6</v>
      </c>
      <c r="G1660" s="4" t="str">
        <f>HYPERLINK("http://141.218.60.56/~jnz1568/getInfo.php?workbook=14_09.xlsx&amp;sheet=U0&amp;row=1660&amp;col=7&amp;number=0.129&amp;sourceID=14","0.129")</f>
        <v>0.129</v>
      </c>
    </row>
    <row r="1661" spans="1:7">
      <c r="A1661" s="3"/>
      <c r="B1661" s="3"/>
      <c r="C1661" s="3"/>
      <c r="D1661" s="3"/>
      <c r="E1661" s="3">
        <v>18</v>
      </c>
      <c r="F1661" s="4" t="str">
        <f>HYPERLINK("http://141.218.60.56/~jnz1568/getInfo.php?workbook=14_09.xlsx&amp;sheet=U0&amp;row=1661&amp;col=6&amp;number=4.7&amp;sourceID=14","4.7")</f>
        <v>4.7</v>
      </c>
      <c r="G1661" s="4" t="str">
        <f>HYPERLINK("http://141.218.60.56/~jnz1568/getInfo.php?workbook=14_09.xlsx&amp;sheet=U0&amp;row=1661&amp;col=7&amp;number=0.121&amp;sourceID=14","0.121")</f>
        <v>0.121</v>
      </c>
    </row>
    <row r="1662" spans="1:7">
      <c r="A1662" s="3"/>
      <c r="B1662" s="3"/>
      <c r="C1662" s="3"/>
      <c r="D1662" s="3"/>
      <c r="E1662" s="3">
        <v>19</v>
      </c>
      <c r="F1662" s="4" t="str">
        <f>HYPERLINK("http://141.218.60.56/~jnz1568/getInfo.php?workbook=14_09.xlsx&amp;sheet=U0&amp;row=1662&amp;col=6&amp;number=4.8&amp;sourceID=14","4.8")</f>
        <v>4.8</v>
      </c>
      <c r="G1662" s="4" t="str">
        <f>HYPERLINK("http://141.218.60.56/~jnz1568/getInfo.php?workbook=14_09.xlsx&amp;sheet=U0&amp;row=1662&amp;col=7&amp;number=0.113&amp;sourceID=14","0.113")</f>
        <v>0.113</v>
      </c>
    </row>
    <row r="1663" spans="1:7">
      <c r="A1663" s="3"/>
      <c r="B1663" s="3"/>
      <c r="C1663" s="3"/>
      <c r="D1663" s="3"/>
      <c r="E1663" s="3">
        <v>20</v>
      </c>
      <c r="F1663" s="4" t="str">
        <f>HYPERLINK("http://141.218.60.56/~jnz1568/getInfo.php?workbook=14_09.xlsx&amp;sheet=U0&amp;row=1663&amp;col=6&amp;number=4.9&amp;sourceID=14","4.9")</f>
        <v>4.9</v>
      </c>
      <c r="G1663" s="4" t="str">
        <f>HYPERLINK("http://141.218.60.56/~jnz1568/getInfo.php?workbook=14_09.xlsx&amp;sheet=U0&amp;row=1663&amp;col=7&amp;number=0.106&amp;sourceID=14","0.106")</f>
        <v>0.106</v>
      </c>
    </row>
    <row r="1664" spans="1:7">
      <c r="A1664" s="3">
        <v>14</v>
      </c>
      <c r="B1664" s="3">
        <v>9</v>
      </c>
      <c r="C1664" s="3">
        <v>1</v>
      </c>
      <c r="D1664" s="3">
        <v>85</v>
      </c>
      <c r="E1664" s="3">
        <v>1</v>
      </c>
      <c r="F1664" s="4" t="str">
        <f>HYPERLINK("http://141.218.60.56/~jnz1568/getInfo.php?workbook=14_09.xlsx&amp;sheet=U0&amp;row=1664&amp;col=6&amp;number=3&amp;sourceID=14","3")</f>
        <v>3</v>
      </c>
      <c r="G1664" s="4" t="str">
        <f>HYPERLINK("http://141.218.60.56/~jnz1568/getInfo.php?workbook=14_09.xlsx&amp;sheet=U0&amp;row=1664&amp;col=7&amp;number=0.0374&amp;sourceID=14","0.0374")</f>
        <v>0.0374</v>
      </c>
    </row>
    <row r="1665" spans="1:7">
      <c r="A1665" s="3"/>
      <c r="B1665" s="3"/>
      <c r="C1665" s="3"/>
      <c r="D1665" s="3"/>
      <c r="E1665" s="3">
        <v>2</v>
      </c>
      <c r="F1665" s="4" t="str">
        <f>HYPERLINK("http://141.218.60.56/~jnz1568/getInfo.php?workbook=14_09.xlsx&amp;sheet=U0&amp;row=1665&amp;col=6&amp;number=3.1&amp;sourceID=14","3.1")</f>
        <v>3.1</v>
      </c>
      <c r="G1665" s="4" t="str">
        <f>HYPERLINK("http://141.218.60.56/~jnz1568/getInfo.php?workbook=14_09.xlsx&amp;sheet=U0&amp;row=1665&amp;col=7&amp;number=0.0373&amp;sourceID=14","0.0373")</f>
        <v>0.0373</v>
      </c>
    </row>
    <row r="1666" spans="1:7">
      <c r="A1666" s="3"/>
      <c r="B1666" s="3"/>
      <c r="C1666" s="3"/>
      <c r="D1666" s="3"/>
      <c r="E1666" s="3">
        <v>3</v>
      </c>
      <c r="F1666" s="4" t="str">
        <f>HYPERLINK("http://141.218.60.56/~jnz1568/getInfo.php?workbook=14_09.xlsx&amp;sheet=U0&amp;row=1666&amp;col=6&amp;number=3.2&amp;sourceID=14","3.2")</f>
        <v>3.2</v>
      </c>
      <c r="G1666" s="4" t="str">
        <f>HYPERLINK("http://141.218.60.56/~jnz1568/getInfo.php?workbook=14_09.xlsx&amp;sheet=U0&amp;row=1666&amp;col=7&amp;number=0.0371&amp;sourceID=14","0.0371")</f>
        <v>0.0371</v>
      </c>
    </row>
    <row r="1667" spans="1:7">
      <c r="A1667" s="3"/>
      <c r="B1667" s="3"/>
      <c r="C1667" s="3"/>
      <c r="D1667" s="3"/>
      <c r="E1667" s="3">
        <v>4</v>
      </c>
      <c r="F1667" s="4" t="str">
        <f>HYPERLINK("http://141.218.60.56/~jnz1568/getInfo.php?workbook=14_09.xlsx&amp;sheet=U0&amp;row=1667&amp;col=6&amp;number=3.3&amp;sourceID=14","3.3")</f>
        <v>3.3</v>
      </c>
      <c r="G1667" s="4" t="str">
        <f>HYPERLINK("http://141.218.60.56/~jnz1568/getInfo.php?workbook=14_09.xlsx&amp;sheet=U0&amp;row=1667&amp;col=7&amp;number=0.0368&amp;sourceID=14","0.0368")</f>
        <v>0.0368</v>
      </c>
    </row>
    <row r="1668" spans="1:7">
      <c r="A1668" s="3"/>
      <c r="B1668" s="3"/>
      <c r="C1668" s="3"/>
      <c r="D1668" s="3"/>
      <c r="E1668" s="3">
        <v>5</v>
      </c>
      <c r="F1668" s="4" t="str">
        <f>HYPERLINK("http://141.218.60.56/~jnz1568/getInfo.php?workbook=14_09.xlsx&amp;sheet=U0&amp;row=1668&amp;col=6&amp;number=3.4&amp;sourceID=14","3.4")</f>
        <v>3.4</v>
      </c>
      <c r="G1668" s="4" t="str">
        <f>HYPERLINK("http://141.218.60.56/~jnz1568/getInfo.php?workbook=14_09.xlsx&amp;sheet=U0&amp;row=1668&amp;col=7&amp;number=0.0365&amp;sourceID=14","0.0365")</f>
        <v>0.0365</v>
      </c>
    </row>
    <row r="1669" spans="1:7">
      <c r="A1669" s="3"/>
      <c r="B1669" s="3"/>
      <c r="C1669" s="3"/>
      <c r="D1669" s="3"/>
      <c r="E1669" s="3">
        <v>6</v>
      </c>
      <c r="F1669" s="4" t="str">
        <f>HYPERLINK("http://141.218.60.56/~jnz1568/getInfo.php?workbook=14_09.xlsx&amp;sheet=U0&amp;row=1669&amp;col=6&amp;number=3.5&amp;sourceID=14","3.5")</f>
        <v>3.5</v>
      </c>
      <c r="G1669" s="4" t="str">
        <f>HYPERLINK("http://141.218.60.56/~jnz1568/getInfo.php?workbook=14_09.xlsx&amp;sheet=U0&amp;row=1669&amp;col=7&amp;number=0.0362&amp;sourceID=14","0.0362")</f>
        <v>0.0362</v>
      </c>
    </row>
    <row r="1670" spans="1:7">
      <c r="A1670" s="3"/>
      <c r="B1670" s="3"/>
      <c r="C1670" s="3"/>
      <c r="D1670" s="3"/>
      <c r="E1670" s="3">
        <v>7</v>
      </c>
      <c r="F1670" s="4" t="str">
        <f>HYPERLINK("http://141.218.60.56/~jnz1568/getInfo.php?workbook=14_09.xlsx&amp;sheet=U0&amp;row=1670&amp;col=6&amp;number=3.6&amp;sourceID=14","3.6")</f>
        <v>3.6</v>
      </c>
      <c r="G1670" s="4" t="str">
        <f>HYPERLINK("http://141.218.60.56/~jnz1568/getInfo.php?workbook=14_09.xlsx&amp;sheet=U0&amp;row=1670&amp;col=7&amp;number=0.0357&amp;sourceID=14","0.0357")</f>
        <v>0.0357</v>
      </c>
    </row>
    <row r="1671" spans="1:7">
      <c r="A1671" s="3"/>
      <c r="B1671" s="3"/>
      <c r="C1671" s="3"/>
      <c r="D1671" s="3"/>
      <c r="E1671" s="3">
        <v>8</v>
      </c>
      <c r="F1671" s="4" t="str">
        <f>HYPERLINK("http://141.218.60.56/~jnz1568/getInfo.php?workbook=14_09.xlsx&amp;sheet=U0&amp;row=1671&amp;col=6&amp;number=3.7&amp;sourceID=14","3.7")</f>
        <v>3.7</v>
      </c>
      <c r="G1671" s="4" t="str">
        <f>HYPERLINK("http://141.218.60.56/~jnz1568/getInfo.php?workbook=14_09.xlsx&amp;sheet=U0&amp;row=1671&amp;col=7&amp;number=0.0351&amp;sourceID=14","0.0351")</f>
        <v>0.0351</v>
      </c>
    </row>
    <row r="1672" spans="1:7">
      <c r="A1672" s="3"/>
      <c r="B1672" s="3"/>
      <c r="C1672" s="3"/>
      <c r="D1672" s="3"/>
      <c r="E1672" s="3">
        <v>9</v>
      </c>
      <c r="F1672" s="4" t="str">
        <f>HYPERLINK("http://141.218.60.56/~jnz1568/getInfo.php?workbook=14_09.xlsx&amp;sheet=U0&amp;row=1672&amp;col=6&amp;number=3.8&amp;sourceID=14","3.8")</f>
        <v>3.8</v>
      </c>
      <c r="G1672" s="4" t="str">
        <f>HYPERLINK("http://141.218.60.56/~jnz1568/getInfo.php?workbook=14_09.xlsx&amp;sheet=U0&amp;row=1672&amp;col=7&amp;number=0.0344&amp;sourceID=14","0.0344")</f>
        <v>0.0344</v>
      </c>
    </row>
    <row r="1673" spans="1:7">
      <c r="A1673" s="3"/>
      <c r="B1673" s="3"/>
      <c r="C1673" s="3"/>
      <c r="D1673" s="3"/>
      <c r="E1673" s="3">
        <v>10</v>
      </c>
      <c r="F1673" s="4" t="str">
        <f>HYPERLINK("http://141.218.60.56/~jnz1568/getInfo.php?workbook=14_09.xlsx&amp;sheet=U0&amp;row=1673&amp;col=6&amp;number=3.9&amp;sourceID=14","3.9")</f>
        <v>3.9</v>
      </c>
      <c r="G1673" s="4" t="str">
        <f>HYPERLINK("http://141.218.60.56/~jnz1568/getInfo.php?workbook=14_09.xlsx&amp;sheet=U0&amp;row=1673&amp;col=7&amp;number=0.0335&amp;sourceID=14","0.0335")</f>
        <v>0.0335</v>
      </c>
    </row>
    <row r="1674" spans="1:7">
      <c r="A1674" s="3"/>
      <c r="B1674" s="3"/>
      <c r="C1674" s="3"/>
      <c r="D1674" s="3"/>
      <c r="E1674" s="3">
        <v>11</v>
      </c>
      <c r="F1674" s="4" t="str">
        <f>HYPERLINK("http://141.218.60.56/~jnz1568/getInfo.php?workbook=14_09.xlsx&amp;sheet=U0&amp;row=1674&amp;col=6&amp;number=4&amp;sourceID=14","4")</f>
        <v>4</v>
      </c>
      <c r="G1674" s="4" t="str">
        <f>HYPERLINK("http://141.218.60.56/~jnz1568/getInfo.php?workbook=14_09.xlsx&amp;sheet=U0&amp;row=1674&amp;col=7&amp;number=0.0324&amp;sourceID=14","0.0324")</f>
        <v>0.0324</v>
      </c>
    </row>
    <row r="1675" spans="1:7">
      <c r="A1675" s="3"/>
      <c r="B1675" s="3"/>
      <c r="C1675" s="3"/>
      <c r="D1675" s="3"/>
      <c r="E1675" s="3">
        <v>12</v>
      </c>
      <c r="F1675" s="4" t="str">
        <f>HYPERLINK("http://141.218.60.56/~jnz1568/getInfo.php?workbook=14_09.xlsx&amp;sheet=U0&amp;row=1675&amp;col=6&amp;number=4.1&amp;sourceID=14","4.1")</f>
        <v>4.1</v>
      </c>
      <c r="G1675" s="4" t="str">
        <f>HYPERLINK("http://141.218.60.56/~jnz1568/getInfo.php?workbook=14_09.xlsx&amp;sheet=U0&amp;row=1675&amp;col=7&amp;number=0.031&amp;sourceID=14","0.031")</f>
        <v>0.031</v>
      </c>
    </row>
    <row r="1676" spans="1:7">
      <c r="A1676" s="3"/>
      <c r="B1676" s="3"/>
      <c r="C1676" s="3"/>
      <c r="D1676" s="3"/>
      <c r="E1676" s="3">
        <v>13</v>
      </c>
      <c r="F1676" s="4" t="str">
        <f>HYPERLINK("http://141.218.60.56/~jnz1568/getInfo.php?workbook=14_09.xlsx&amp;sheet=U0&amp;row=1676&amp;col=6&amp;number=4.2&amp;sourceID=14","4.2")</f>
        <v>4.2</v>
      </c>
      <c r="G1676" s="4" t="str">
        <f>HYPERLINK("http://141.218.60.56/~jnz1568/getInfo.php?workbook=14_09.xlsx&amp;sheet=U0&amp;row=1676&amp;col=7&amp;number=0.0294&amp;sourceID=14","0.0294")</f>
        <v>0.0294</v>
      </c>
    </row>
    <row r="1677" spans="1:7">
      <c r="A1677" s="3"/>
      <c r="B1677" s="3"/>
      <c r="C1677" s="3"/>
      <c r="D1677" s="3"/>
      <c r="E1677" s="3">
        <v>14</v>
      </c>
      <c r="F1677" s="4" t="str">
        <f>HYPERLINK("http://141.218.60.56/~jnz1568/getInfo.php?workbook=14_09.xlsx&amp;sheet=U0&amp;row=1677&amp;col=6&amp;number=4.3&amp;sourceID=14","4.3")</f>
        <v>4.3</v>
      </c>
      <c r="G1677" s="4" t="str">
        <f>HYPERLINK("http://141.218.60.56/~jnz1568/getInfo.php?workbook=14_09.xlsx&amp;sheet=U0&amp;row=1677&amp;col=7&amp;number=0.0274&amp;sourceID=14","0.0274")</f>
        <v>0.0274</v>
      </c>
    </row>
    <row r="1678" spans="1:7">
      <c r="A1678" s="3"/>
      <c r="B1678" s="3"/>
      <c r="C1678" s="3"/>
      <c r="D1678" s="3"/>
      <c r="E1678" s="3">
        <v>15</v>
      </c>
      <c r="F1678" s="4" t="str">
        <f>HYPERLINK("http://141.218.60.56/~jnz1568/getInfo.php?workbook=14_09.xlsx&amp;sheet=U0&amp;row=1678&amp;col=6&amp;number=4.4&amp;sourceID=14","4.4")</f>
        <v>4.4</v>
      </c>
      <c r="G1678" s="4" t="str">
        <f>HYPERLINK("http://141.218.60.56/~jnz1568/getInfo.php?workbook=14_09.xlsx&amp;sheet=U0&amp;row=1678&amp;col=7&amp;number=0.0252&amp;sourceID=14","0.0252")</f>
        <v>0.0252</v>
      </c>
    </row>
    <row r="1679" spans="1:7">
      <c r="A1679" s="3"/>
      <c r="B1679" s="3"/>
      <c r="C1679" s="3"/>
      <c r="D1679" s="3"/>
      <c r="E1679" s="3">
        <v>16</v>
      </c>
      <c r="F1679" s="4" t="str">
        <f>HYPERLINK("http://141.218.60.56/~jnz1568/getInfo.php?workbook=14_09.xlsx&amp;sheet=U0&amp;row=1679&amp;col=6&amp;number=4.5&amp;sourceID=14","4.5")</f>
        <v>4.5</v>
      </c>
      <c r="G1679" s="4" t="str">
        <f>HYPERLINK("http://141.218.60.56/~jnz1568/getInfo.php?workbook=14_09.xlsx&amp;sheet=U0&amp;row=1679&amp;col=7&amp;number=0.0227&amp;sourceID=14","0.0227")</f>
        <v>0.0227</v>
      </c>
    </row>
    <row r="1680" spans="1:7">
      <c r="A1680" s="3"/>
      <c r="B1680" s="3"/>
      <c r="C1680" s="3"/>
      <c r="D1680" s="3"/>
      <c r="E1680" s="3">
        <v>17</v>
      </c>
      <c r="F1680" s="4" t="str">
        <f>HYPERLINK("http://141.218.60.56/~jnz1568/getInfo.php?workbook=14_09.xlsx&amp;sheet=U0&amp;row=1680&amp;col=6&amp;number=4.6&amp;sourceID=14","4.6")</f>
        <v>4.6</v>
      </c>
      <c r="G1680" s="4" t="str">
        <f>HYPERLINK("http://141.218.60.56/~jnz1568/getInfo.php?workbook=14_09.xlsx&amp;sheet=U0&amp;row=1680&amp;col=7&amp;number=0.0202&amp;sourceID=14","0.0202")</f>
        <v>0.0202</v>
      </c>
    </row>
    <row r="1681" spans="1:7">
      <c r="A1681" s="3"/>
      <c r="B1681" s="3"/>
      <c r="C1681" s="3"/>
      <c r="D1681" s="3"/>
      <c r="E1681" s="3">
        <v>18</v>
      </c>
      <c r="F1681" s="4" t="str">
        <f>HYPERLINK("http://141.218.60.56/~jnz1568/getInfo.php?workbook=14_09.xlsx&amp;sheet=U0&amp;row=1681&amp;col=6&amp;number=4.7&amp;sourceID=14","4.7")</f>
        <v>4.7</v>
      </c>
      <c r="G1681" s="4" t="str">
        <f>HYPERLINK("http://141.218.60.56/~jnz1568/getInfo.php?workbook=14_09.xlsx&amp;sheet=U0&amp;row=1681&amp;col=7&amp;number=0.0179&amp;sourceID=14","0.0179")</f>
        <v>0.0179</v>
      </c>
    </row>
    <row r="1682" spans="1:7">
      <c r="A1682" s="3"/>
      <c r="B1682" s="3"/>
      <c r="C1682" s="3"/>
      <c r="D1682" s="3"/>
      <c r="E1682" s="3">
        <v>19</v>
      </c>
      <c r="F1682" s="4" t="str">
        <f>HYPERLINK("http://141.218.60.56/~jnz1568/getInfo.php?workbook=14_09.xlsx&amp;sheet=U0&amp;row=1682&amp;col=6&amp;number=4.8&amp;sourceID=14","4.8")</f>
        <v>4.8</v>
      </c>
      <c r="G1682" s="4" t="str">
        <f>HYPERLINK("http://141.218.60.56/~jnz1568/getInfo.php?workbook=14_09.xlsx&amp;sheet=U0&amp;row=1682&amp;col=7&amp;number=0.0161&amp;sourceID=14","0.0161")</f>
        <v>0.0161</v>
      </c>
    </row>
    <row r="1683" spans="1:7">
      <c r="A1683" s="3"/>
      <c r="B1683" s="3"/>
      <c r="C1683" s="3"/>
      <c r="D1683" s="3"/>
      <c r="E1683" s="3">
        <v>20</v>
      </c>
      <c r="F1683" s="4" t="str">
        <f>HYPERLINK("http://141.218.60.56/~jnz1568/getInfo.php?workbook=14_09.xlsx&amp;sheet=U0&amp;row=1683&amp;col=6&amp;number=4.9&amp;sourceID=14","4.9")</f>
        <v>4.9</v>
      </c>
      <c r="G1683" s="4" t="str">
        <f>HYPERLINK("http://141.218.60.56/~jnz1568/getInfo.php?workbook=14_09.xlsx&amp;sheet=U0&amp;row=1683&amp;col=7&amp;number=0.0149&amp;sourceID=14","0.0149")</f>
        <v>0.0149</v>
      </c>
    </row>
    <row r="1684" spans="1:7">
      <c r="A1684" s="3">
        <v>14</v>
      </c>
      <c r="B1684" s="3">
        <v>9</v>
      </c>
      <c r="C1684" s="3">
        <v>1</v>
      </c>
      <c r="D1684" s="3">
        <v>86</v>
      </c>
      <c r="E1684" s="3">
        <v>1</v>
      </c>
      <c r="F1684" s="4" t="str">
        <f>HYPERLINK("http://141.218.60.56/~jnz1568/getInfo.php?workbook=14_09.xlsx&amp;sheet=U0&amp;row=1684&amp;col=6&amp;number=3&amp;sourceID=14","3")</f>
        <v>3</v>
      </c>
      <c r="G1684" s="4" t="str">
        <f>HYPERLINK("http://141.218.60.56/~jnz1568/getInfo.php?workbook=14_09.xlsx&amp;sheet=U0&amp;row=1684&amp;col=7&amp;number=0.0435&amp;sourceID=14","0.0435")</f>
        <v>0.0435</v>
      </c>
    </row>
    <row r="1685" spans="1:7">
      <c r="A1685" s="3"/>
      <c r="B1685" s="3"/>
      <c r="C1685" s="3"/>
      <c r="D1685" s="3"/>
      <c r="E1685" s="3">
        <v>2</v>
      </c>
      <c r="F1685" s="4" t="str">
        <f>HYPERLINK("http://141.218.60.56/~jnz1568/getInfo.php?workbook=14_09.xlsx&amp;sheet=U0&amp;row=1685&amp;col=6&amp;number=3.1&amp;sourceID=14","3.1")</f>
        <v>3.1</v>
      </c>
      <c r="G1685" s="4" t="str">
        <f>HYPERLINK("http://141.218.60.56/~jnz1568/getInfo.php?workbook=14_09.xlsx&amp;sheet=U0&amp;row=1685&amp;col=7&amp;number=0.0434&amp;sourceID=14","0.0434")</f>
        <v>0.0434</v>
      </c>
    </row>
    <row r="1686" spans="1:7">
      <c r="A1686" s="3"/>
      <c r="B1686" s="3"/>
      <c r="C1686" s="3"/>
      <c r="D1686" s="3"/>
      <c r="E1686" s="3">
        <v>3</v>
      </c>
      <c r="F1686" s="4" t="str">
        <f>HYPERLINK("http://141.218.60.56/~jnz1568/getInfo.php?workbook=14_09.xlsx&amp;sheet=U0&amp;row=1686&amp;col=6&amp;number=3.2&amp;sourceID=14","3.2")</f>
        <v>3.2</v>
      </c>
      <c r="G1686" s="4" t="str">
        <f>HYPERLINK("http://141.218.60.56/~jnz1568/getInfo.php?workbook=14_09.xlsx&amp;sheet=U0&amp;row=1686&amp;col=7&amp;number=0.0433&amp;sourceID=14","0.0433")</f>
        <v>0.0433</v>
      </c>
    </row>
    <row r="1687" spans="1:7">
      <c r="A1687" s="3"/>
      <c r="B1687" s="3"/>
      <c r="C1687" s="3"/>
      <c r="D1687" s="3"/>
      <c r="E1687" s="3">
        <v>4</v>
      </c>
      <c r="F1687" s="4" t="str">
        <f>HYPERLINK("http://141.218.60.56/~jnz1568/getInfo.php?workbook=14_09.xlsx&amp;sheet=U0&amp;row=1687&amp;col=6&amp;number=3.3&amp;sourceID=14","3.3")</f>
        <v>3.3</v>
      </c>
      <c r="G1687" s="4" t="str">
        <f>HYPERLINK("http://141.218.60.56/~jnz1568/getInfo.php?workbook=14_09.xlsx&amp;sheet=U0&amp;row=1687&amp;col=7&amp;number=0.0432&amp;sourceID=14","0.0432")</f>
        <v>0.0432</v>
      </c>
    </row>
    <row r="1688" spans="1:7">
      <c r="A1688" s="3"/>
      <c r="B1688" s="3"/>
      <c r="C1688" s="3"/>
      <c r="D1688" s="3"/>
      <c r="E1688" s="3">
        <v>5</v>
      </c>
      <c r="F1688" s="4" t="str">
        <f>HYPERLINK("http://141.218.60.56/~jnz1568/getInfo.php?workbook=14_09.xlsx&amp;sheet=U0&amp;row=1688&amp;col=6&amp;number=3.4&amp;sourceID=14","3.4")</f>
        <v>3.4</v>
      </c>
      <c r="G1688" s="4" t="str">
        <f>HYPERLINK("http://141.218.60.56/~jnz1568/getInfo.php?workbook=14_09.xlsx&amp;sheet=U0&amp;row=1688&amp;col=7&amp;number=0.043&amp;sourceID=14","0.043")</f>
        <v>0.043</v>
      </c>
    </row>
    <row r="1689" spans="1:7">
      <c r="A1689" s="3"/>
      <c r="B1689" s="3"/>
      <c r="C1689" s="3"/>
      <c r="D1689" s="3"/>
      <c r="E1689" s="3">
        <v>6</v>
      </c>
      <c r="F1689" s="4" t="str">
        <f>HYPERLINK("http://141.218.60.56/~jnz1568/getInfo.php?workbook=14_09.xlsx&amp;sheet=U0&amp;row=1689&amp;col=6&amp;number=3.5&amp;sourceID=14","3.5")</f>
        <v>3.5</v>
      </c>
      <c r="G1689" s="4" t="str">
        <f>HYPERLINK("http://141.218.60.56/~jnz1568/getInfo.php?workbook=14_09.xlsx&amp;sheet=U0&amp;row=1689&amp;col=7&amp;number=0.0429&amp;sourceID=14","0.0429")</f>
        <v>0.0429</v>
      </c>
    </row>
    <row r="1690" spans="1:7">
      <c r="A1690" s="3"/>
      <c r="B1690" s="3"/>
      <c r="C1690" s="3"/>
      <c r="D1690" s="3"/>
      <c r="E1690" s="3">
        <v>7</v>
      </c>
      <c r="F1690" s="4" t="str">
        <f>HYPERLINK("http://141.218.60.56/~jnz1568/getInfo.php?workbook=14_09.xlsx&amp;sheet=U0&amp;row=1690&amp;col=6&amp;number=3.6&amp;sourceID=14","3.6")</f>
        <v>3.6</v>
      </c>
      <c r="G1690" s="4" t="str">
        <f>HYPERLINK("http://141.218.60.56/~jnz1568/getInfo.php?workbook=14_09.xlsx&amp;sheet=U0&amp;row=1690&amp;col=7&amp;number=0.0426&amp;sourceID=14","0.0426")</f>
        <v>0.0426</v>
      </c>
    </row>
    <row r="1691" spans="1:7">
      <c r="A1691" s="3"/>
      <c r="B1691" s="3"/>
      <c r="C1691" s="3"/>
      <c r="D1691" s="3"/>
      <c r="E1691" s="3">
        <v>8</v>
      </c>
      <c r="F1691" s="4" t="str">
        <f>HYPERLINK("http://141.218.60.56/~jnz1568/getInfo.php?workbook=14_09.xlsx&amp;sheet=U0&amp;row=1691&amp;col=6&amp;number=3.7&amp;sourceID=14","3.7")</f>
        <v>3.7</v>
      </c>
      <c r="G1691" s="4" t="str">
        <f>HYPERLINK("http://141.218.60.56/~jnz1568/getInfo.php?workbook=14_09.xlsx&amp;sheet=U0&amp;row=1691&amp;col=7&amp;number=0.0424&amp;sourceID=14","0.0424")</f>
        <v>0.0424</v>
      </c>
    </row>
    <row r="1692" spans="1:7">
      <c r="A1692" s="3"/>
      <c r="B1692" s="3"/>
      <c r="C1692" s="3"/>
      <c r="D1692" s="3"/>
      <c r="E1692" s="3">
        <v>9</v>
      </c>
      <c r="F1692" s="4" t="str">
        <f>HYPERLINK("http://141.218.60.56/~jnz1568/getInfo.php?workbook=14_09.xlsx&amp;sheet=U0&amp;row=1692&amp;col=6&amp;number=3.8&amp;sourceID=14","3.8")</f>
        <v>3.8</v>
      </c>
      <c r="G1692" s="4" t="str">
        <f>HYPERLINK("http://141.218.60.56/~jnz1568/getInfo.php?workbook=14_09.xlsx&amp;sheet=U0&amp;row=1692&amp;col=7&amp;number=0.042&amp;sourceID=14","0.042")</f>
        <v>0.042</v>
      </c>
    </row>
    <row r="1693" spans="1:7">
      <c r="A1693" s="3"/>
      <c r="B1693" s="3"/>
      <c r="C1693" s="3"/>
      <c r="D1693" s="3"/>
      <c r="E1693" s="3">
        <v>10</v>
      </c>
      <c r="F1693" s="4" t="str">
        <f>HYPERLINK("http://141.218.60.56/~jnz1568/getInfo.php?workbook=14_09.xlsx&amp;sheet=U0&amp;row=1693&amp;col=6&amp;number=3.9&amp;sourceID=14","3.9")</f>
        <v>3.9</v>
      </c>
      <c r="G1693" s="4" t="str">
        <f>HYPERLINK("http://141.218.60.56/~jnz1568/getInfo.php?workbook=14_09.xlsx&amp;sheet=U0&amp;row=1693&amp;col=7&amp;number=0.0416&amp;sourceID=14","0.0416")</f>
        <v>0.0416</v>
      </c>
    </row>
    <row r="1694" spans="1:7">
      <c r="A1694" s="3"/>
      <c r="B1694" s="3"/>
      <c r="C1694" s="3"/>
      <c r="D1694" s="3"/>
      <c r="E1694" s="3">
        <v>11</v>
      </c>
      <c r="F1694" s="4" t="str">
        <f>HYPERLINK("http://141.218.60.56/~jnz1568/getInfo.php?workbook=14_09.xlsx&amp;sheet=U0&amp;row=1694&amp;col=6&amp;number=4&amp;sourceID=14","4")</f>
        <v>4</v>
      </c>
      <c r="G1694" s="4" t="str">
        <f>HYPERLINK("http://141.218.60.56/~jnz1568/getInfo.php?workbook=14_09.xlsx&amp;sheet=U0&amp;row=1694&amp;col=7&amp;number=0.0411&amp;sourceID=14","0.0411")</f>
        <v>0.0411</v>
      </c>
    </row>
    <row r="1695" spans="1:7">
      <c r="A1695" s="3"/>
      <c r="B1695" s="3"/>
      <c r="C1695" s="3"/>
      <c r="D1695" s="3"/>
      <c r="E1695" s="3">
        <v>12</v>
      </c>
      <c r="F1695" s="4" t="str">
        <f>HYPERLINK("http://141.218.60.56/~jnz1568/getInfo.php?workbook=14_09.xlsx&amp;sheet=U0&amp;row=1695&amp;col=6&amp;number=4.1&amp;sourceID=14","4.1")</f>
        <v>4.1</v>
      </c>
      <c r="G1695" s="4" t="str">
        <f>HYPERLINK("http://141.218.60.56/~jnz1568/getInfo.php?workbook=14_09.xlsx&amp;sheet=U0&amp;row=1695&amp;col=7&amp;number=0.0404&amp;sourceID=14","0.0404")</f>
        <v>0.0404</v>
      </c>
    </row>
    <row r="1696" spans="1:7">
      <c r="A1696" s="3"/>
      <c r="B1696" s="3"/>
      <c r="C1696" s="3"/>
      <c r="D1696" s="3"/>
      <c r="E1696" s="3">
        <v>13</v>
      </c>
      <c r="F1696" s="4" t="str">
        <f>HYPERLINK("http://141.218.60.56/~jnz1568/getInfo.php?workbook=14_09.xlsx&amp;sheet=U0&amp;row=1696&amp;col=6&amp;number=4.2&amp;sourceID=14","4.2")</f>
        <v>4.2</v>
      </c>
      <c r="G1696" s="4" t="str">
        <f>HYPERLINK("http://141.218.60.56/~jnz1568/getInfo.php?workbook=14_09.xlsx&amp;sheet=U0&amp;row=1696&amp;col=7&amp;number=0.0396&amp;sourceID=14","0.0396")</f>
        <v>0.0396</v>
      </c>
    </row>
    <row r="1697" spans="1:7">
      <c r="A1697" s="3"/>
      <c r="B1697" s="3"/>
      <c r="C1697" s="3"/>
      <c r="D1697" s="3"/>
      <c r="E1697" s="3">
        <v>14</v>
      </c>
      <c r="F1697" s="4" t="str">
        <f>HYPERLINK("http://141.218.60.56/~jnz1568/getInfo.php?workbook=14_09.xlsx&amp;sheet=U0&amp;row=1697&amp;col=6&amp;number=4.3&amp;sourceID=14","4.3")</f>
        <v>4.3</v>
      </c>
      <c r="G1697" s="4" t="str">
        <f>HYPERLINK("http://141.218.60.56/~jnz1568/getInfo.php?workbook=14_09.xlsx&amp;sheet=U0&amp;row=1697&amp;col=7&amp;number=0.0386&amp;sourceID=14","0.0386")</f>
        <v>0.0386</v>
      </c>
    </row>
    <row r="1698" spans="1:7">
      <c r="A1698" s="3"/>
      <c r="B1698" s="3"/>
      <c r="C1698" s="3"/>
      <c r="D1698" s="3"/>
      <c r="E1698" s="3">
        <v>15</v>
      </c>
      <c r="F1698" s="4" t="str">
        <f>HYPERLINK("http://141.218.60.56/~jnz1568/getInfo.php?workbook=14_09.xlsx&amp;sheet=U0&amp;row=1698&amp;col=6&amp;number=4.4&amp;sourceID=14","4.4")</f>
        <v>4.4</v>
      </c>
      <c r="G1698" s="4" t="str">
        <f>HYPERLINK("http://141.218.60.56/~jnz1568/getInfo.php?workbook=14_09.xlsx&amp;sheet=U0&amp;row=1698&amp;col=7&amp;number=0.0374&amp;sourceID=14","0.0374")</f>
        <v>0.0374</v>
      </c>
    </row>
    <row r="1699" spans="1:7">
      <c r="A1699" s="3"/>
      <c r="B1699" s="3"/>
      <c r="C1699" s="3"/>
      <c r="D1699" s="3"/>
      <c r="E1699" s="3">
        <v>16</v>
      </c>
      <c r="F1699" s="4" t="str">
        <f>HYPERLINK("http://141.218.60.56/~jnz1568/getInfo.php?workbook=14_09.xlsx&amp;sheet=U0&amp;row=1699&amp;col=6&amp;number=4.5&amp;sourceID=14","4.5")</f>
        <v>4.5</v>
      </c>
      <c r="G1699" s="4" t="str">
        <f>HYPERLINK("http://141.218.60.56/~jnz1568/getInfo.php?workbook=14_09.xlsx&amp;sheet=U0&amp;row=1699&amp;col=7&amp;number=0.0361&amp;sourceID=14","0.0361")</f>
        <v>0.0361</v>
      </c>
    </row>
    <row r="1700" spans="1:7">
      <c r="A1700" s="3"/>
      <c r="B1700" s="3"/>
      <c r="C1700" s="3"/>
      <c r="D1700" s="3"/>
      <c r="E1700" s="3">
        <v>17</v>
      </c>
      <c r="F1700" s="4" t="str">
        <f>HYPERLINK("http://141.218.60.56/~jnz1568/getInfo.php?workbook=14_09.xlsx&amp;sheet=U0&amp;row=1700&amp;col=6&amp;number=4.6&amp;sourceID=14","4.6")</f>
        <v>4.6</v>
      </c>
      <c r="G1700" s="4" t="str">
        <f>HYPERLINK("http://141.218.60.56/~jnz1568/getInfo.php?workbook=14_09.xlsx&amp;sheet=U0&amp;row=1700&amp;col=7&amp;number=0.0346&amp;sourceID=14","0.0346")</f>
        <v>0.0346</v>
      </c>
    </row>
    <row r="1701" spans="1:7">
      <c r="A1701" s="3"/>
      <c r="B1701" s="3"/>
      <c r="C1701" s="3"/>
      <c r="D1701" s="3"/>
      <c r="E1701" s="3">
        <v>18</v>
      </c>
      <c r="F1701" s="4" t="str">
        <f>HYPERLINK("http://141.218.60.56/~jnz1568/getInfo.php?workbook=14_09.xlsx&amp;sheet=U0&amp;row=1701&amp;col=6&amp;number=4.7&amp;sourceID=14","4.7")</f>
        <v>4.7</v>
      </c>
      <c r="G1701" s="4" t="str">
        <f>HYPERLINK("http://141.218.60.56/~jnz1568/getInfo.php?workbook=14_09.xlsx&amp;sheet=U0&amp;row=1701&amp;col=7&amp;number=0.033&amp;sourceID=14","0.033")</f>
        <v>0.033</v>
      </c>
    </row>
    <row r="1702" spans="1:7">
      <c r="A1702" s="3"/>
      <c r="B1702" s="3"/>
      <c r="C1702" s="3"/>
      <c r="D1702" s="3"/>
      <c r="E1702" s="3">
        <v>19</v>
      </c>
      <c r="F1702" s="4" t="str">
        <f>HYPERLINK("http://141.218.60.56/~jnz1568/getInfo.php?workbook=14_09.xlsx&amp;sheet=U0&amp;row=1702&amp;col=6&amp;number=4.8&amp;sourceID=14","4.8")</f>
        <v>4.8</v>
      </c>
      <c r="G1702" s="4" t="str">
        <f>HYPERLINK("http://141.218.60.56/~jnz1568/getInfo.php?workbook=14_09.xlsx&amp;sheet=U0&amp;row=1702&amp;col=7&amp;number=0.0315&amp;sourceID=14","0.0315")</f>
        <v>0.0315</v>
      </c>
    </row>
    <row r="1703" spans="1:7">
      <c r="A1703" s="3"/>
      <c r="B1703" s="3"/>
      <c r="C1703" s="3"/>
      <c r="D1703" s="3"/>
      <c r="E1703" s="3">
        <v>20</v>
      </c>
      <c r="F1703" s="4" t="str">
        <f>HYPERLINK("http://141.218.60.56/~jnz1568/getInfo.php?workbook=14_09.xlsx&amp;sheet=U0&amp;row=1703&amp;col=6&amp;number=4.9&amp;sourceID=14","4.9")</f>
        <v>4.9</v>
      </c>
      <c r="G1703" s="4" t="str">
        <f>HYPERLINK("http://141.218.60.56/~jnz1568/getInfo.php?workbook=14_09.xlsx&amp;sheet=U0&amp;row=1703&amp;col=7&amp;number=0.0303&amp;sourceID=14","0.0303")</f>
        <v>0.0303</v>
      </c>
    </row>
    <row r="1704" spans="1:7">
      <c r="A1704" s="3">
        <v>14</v>
      </c>
      <c r="B1704" s="3">
        <v>9</v>
      </c>
      <c r="C1704" s="3">
        <v>1</v>
      </c>
      <c r="D1704" s="3">
        <v>87</v>
      </c>
      <c r="E1704" s="3">
        <v>1</v>
      </c>
      <c r="F1704" s="4" t="str">
        <f>HYPERLINK("http://141.218.60.56/~jnz1568/getInfo.php?workbook=14_09.xlsx&amp;sheet=U0&amp;row=1704&amp;col=6&amp;number=3&amp;sourceID=14","3")</f>
        <v>3</v>
      </c>
      <c r="G1704" s="4" t="str">
        <f>HYPERLINK("http://141.218.60.56/~jnz1568/getInfo.php?workbook=14_09.xlsx&amp;sheet=U0&amp;row=1704&amp;col=7&amp;number=0.0362&amp;sourceID=14","0.0362")</f>
        <v>0.0362</v>
      </c>
    </row>
    <row r="1705" spans="1:7">
      <c r="A1705" s="3"/>
      <c r="B1705" s="3"/>
      <c r="C1705" s="3"/>
      <c r="D1705" s="3"/>
      <c r="E1705" s="3">
        <v>2</v>
      </c>
      <c r="F1705" s="4" t="str">
        <f>HYPERLINK("http://141.218.60.56/~jnz1568/getInfo.php?workbook=14_09.xlsx&amp;sheet=U0&amp;row=1705&amp;col=6&amp;number=3.1&amp;sourceID=14","3.1")</f>
        <v>3.1</v>
      </c>
      <c r="G1705" s="4" t="str">
        <f>HYPERLINK("http://141.218.60.56/~jnz1568/getInfo.php?workbook=14_09.xlsx&amp;sheet=U0&amp;row=1705&amp;col=7&amp;number=0.0361&amp;sourceID=14","0.0361")</f>
        <v>0.0361</v>
      </c>
    </row>
    <row r="1706" spans="1:7">
      <c r="A1706" s="3"/>
      <c r="B1706" s="3"/>
      <c r="C1706" s="3"/>
      <c r="D1706" s="3"/>
      <c r="E1706" s="3">
        <v>3</v>
      </c>
      <c r="F1706" s="4" t="str">
        <f>HYPERLINK("http://141.218.60.56/~jnz1568/getInfo.php?workbook=14_09.xlsx&amp;sheet=U0&amp;row=1706&amp;col=6&amp;number=3.2&amp;sourceID=14","3.2")</f>
        <v>3.2</v>
      </c>
      <c r="G1706" s="4" t="str">
        <f>HYPERLINK("http://141.218.60.56/~jnz1568/getInfo.php?workbook=14_09.xlsx&amp;sheet=U0&amp;row=1706&amp;col=7&amp;number=0.0359&amp;sourceID=14","0.0359")</f>
        <v>0.0359</v>
      </c>
    </row>
    <row r="1707" spans="1:7">
      <c r="A1707" s="3"/>
      <c r="B1707" s="3"/>
      <c r="C1707" s="3"/>
      <c r="D1707" s="3"/>
      <c r="E1707" s="3">
        <v>4</v>
      </c>
      <c r="F1707" s="4" t="str">
        <f>HYPERLINK("http://141.218.60.56/~jnz1568/getInfo.php?workbook=14_09.xlsx&amp;sheet=U0&amp;row=1707&amp;col=6&amp;number=3.3&amp;sourceID=14","3.3")</f>
        <v>3.3</v>
      </c>
      <c r="G1707" s="4" t="str">
        <f>HYPERLINK("http://141.218.60.56/~jnz1568/getInfo.php?workbook=14_09.xlsx&amp;sheet=U0&amp;row=1707&amp;col=7&amp;number=0.0357&amp;sourceID=14","0.0357")</f>
        <v>0.0357</v>
      </c>
    </row>
    <row r="1708" spans="1:7">
      <c r="A1708" s="3"/>
      <c r="B1708" s="3"/>
      <c r="C1708" s="3"/>
      <c r="D1708" s="3"/>
      <c r="E1708" s="3">
        <v>5</v>
      </c>
      <c r="F1708" s="4" t="str">
        <f>HYPERLINK("http://141.218.60.56/~jnz1568/getInfo.php?workbook=14_09.xlsx&amp;sheet=U0&amp;row=1708&amp;col=6&amp;number=3.4&amp;sourceID=14","3.4")</f>
        <v>3.4</v>
      </c>
      <c r="G1708" s="4" t="str">
        <f>HYPERLINK("http://141.218.60.56/~jnz1568/getInfo.php?workbook=14_09.xlsx&amp;sheet=U0&amp;row=1708&amp;col=7&amp;number=0.0354&amp;sourceID=14","0.0354")</f>
        <v>0.0354</v>
      </c>
    </row>
    <row r="1709" spans="1:7">
      <c r="A1709" s="3"/>
      <c r="B1709" s="3"/>
      <c r="C1709" s="3"/>
      <c r="D1709" s="3"/>
      <c r="E1709" s="3">
        <v>6</v>
      </c>
      <c r="F1709" s="4" t="str">
        <f>HYPERLINK("http://141.218.60.56/~jnz1568/getInfo.php?workbook=14_09.xlsx&amp;sheet=U0&amp;row=1709&amp;col=6&amp;number=3.5&amp;sourceID=14","3.5")</f>
        <v>3.5</v>
      </c>
      <c r="G1709" s="4" t="str">
        <f>HYPERLINK("http://141.218.60.56/~jnz1568/getInfo.php?workbook=14_09.xlsx&amp;sheet=U0&amp;row=1709&amp;col=7&amp;number=0.0351&amp;sourceID=14","0.0351")</f>
        <v>0.0351</v>
      </c>
    </row>
    <row r="1710" spans="1:7">
      <c r="A1710" s="3"/>
      <c r="B1710" s="3"/>
      <c r="C1710" s="3"/>
      <c r="D1710" s="3"/>
      <c r="E1710" s="3">
        <v>7</v>
      </c>
      <c r="F1710" s="4" t="str">
        <f>HYPERLINK("http://141.218.60.56/~jnz1568/getInfo.php?workbook=14_09.xlsx&amp;sheet=U0&amp;row=1710&amp;col=6&amp;number=3.6&amp;sourceID=14","3.6")</f>
        <v>3.6</v>
      </c>
      <c r="G1710" s="4" t="str">
        <f>HYPERLINK("http://141.218.60.56/~jnz1568/getInfo.php?workbook=14_09.xlsx&amp;sheet=U0&amp;row=1710&amp;col=7&amp;number=0.0347&amp;sourceID=14","0.0347")</f>
        <v>0.0347</v>
      </c>
    </row>
    <row r="1711" spans="1:7">
      <c r="A1711" s="3"/>
      <c r="B1711" s="3"/>
      <c r="C1711" s="3"/>
      <c r="D1711" s="3"/>
      <c r="E1711" s="3">
        <v>8</v>
      </c>
      <c r="F1711" s="4" t="str">
        <f>HYPERLINK("http://141.218.60.56/~jnz1568/getInfo.php?workbook=14_09.xlsx&amp;sheet=U0&amp;row=1711&amp;col=6&amp;number=3.7&amp;sourceID=14","3.7")</f>
        <v>3.7</v>
      </c>
      <c r="G1711" s="4" t="str">
        <f>HYPERLINK("http://141.218.60.56/~jnz1568/getInfo.php?workbook=14_09.xlsx&amp;sheet=U0&amp;row=1711&amp;col=7&amp;number=0.0342&amp;sourceID=14","0.0342")</f>
        <v>0.0342</v>
      </c>
    </row>
    <row r="1712" spans="1:7">
      <c r="A1712" s="3"/>
      <c r="B1712" s="3"/>
      <c r="C1712" s="3"/>
      <c r="D1712" s="3"/>
      <c r="E1712" s="3">
        <v>9</v>
      </c>
      <c r="F1712" s="4" t="str">
        <f>HYPERLINK("http://141.218.60.56/~jnz1568/getInfo.php?workbook=14_09.xlsx&amp;sheet=U0&amp;row=1712&amp;col=6&amp;number=3.8&amp;sourceID=14","3.8")</f>
        <v>3.8</v>
      </c>
      <c r="G1712" s="4" t="str">
        <f>HYPERLINK("http://141.218.60.56/~jnz1568/getInfo.php?workbook=14_09.xlsx&amp;sheet=U0&amp;row=1712&amp;col=7&amp;number=0.0336&amp;sourceID=14","0.0336")</f>
        <v>0.0336</v>
      </c>
    </row>
    <row r="1713" spans="1:7">
      <c r="A1713" s="3"/>
      <c r="B1713" s="3"/>
      <c r="C1713" s="3"/>
      <c r="D1713" s="3"/>
      <c r="E1713" s="3">
        <v>10</v>
      </c>
      <c r="F1713" s="4" t="str">
        <f>HYPERLINK("http://141.218.60.56/~jnz1568/getInfo.php?workbook=14_09.xlsx&amp;sheet=U0&amp;row=1713&amp;col=6&amp;number=3.9&amp;sourceID=14","3.9")</f>
        <v>3.9</v>
      </c>
      <c r="G1713" s="4" t="str">
        <f>HYPERLINK("http://141.218.60.56/~jnz1568/getInfo.php?workbook=14_09.xlsx&amp;sheet=U0&amp;row=1713&amp;col=7&amp;number=0.0328&amp;sourceID=14","0.0328")</f>
        <v>0.0328</v>
      </c>
    </row>
    <row r="1714" spans="1:7">
      <c r="A1714" s="3"/>
      <c r="B1714" s="3"/>
      <c r="C1714" s="3"/>
      <c r="D1714" s="3"/>
      <c r="E1714" s="3">
        <v>11</v>
      </c>
      <c r="F1714" s="4" t="str">
        <f>HYPERLINK("http://141.218.60.56/~jnz1568/getInfo.php?workbook=14_09.xlsx&amp;sheet=U0&amp;row=1714&amp;col=6&amp;number=4&amp;sourceID=14","4")</f>
        <v>4</v>
      </c>
      <c r="G1714" s="4" t="str">
        <f>HYPERLINK("http://141.218.60.56/~jnz1568/getInfo.php?workbook=14_09.xlsx&amp;sheet=U0&amp;row=1714&amp;col=7&amp;number=0.0319&amp;sourceID=14","0.0319")</f>
        <v>0.0319</v>
      </c>
    </row>
    <row r="1715" spans="1:7">
      <c r="A1715" s="3"/>
      <c r="B1715" s="3"/>
      <c r="C1715" s="3"/>
      <c r="D1715" s="3"/>
      <c r="E1715" s="3">
        <v>12</v>
      </c>
      <c r="F1715" s="4" t="str">
        <f>HYPERLINK("http://141.218.60.56/~jnz1568/getInfo.php?workbook=14_09.xlsx&amp;sheet=U0&amp;row=1715&amp;col=6&amp;number=4.1&amp;sourceID=14","4.1")</f>
        <v>4.1</v>
      </c>
      <c r="G1715" s="4" t="str">
        <f>HYPERLINK("http://141.218.60.56/~jnz1568/getInfo.php?workbook=14_09.xlsx&amp;sheet=U0&amp;row=1715&amp;col=7&amp;number=0.0308&amp;sourceID=14","0.0308")</f>
        <v>0.0308</v>
      </c>
    </row>
    <row r="1716" spans="1:7">
      <c r="A1716" s="3"/>
      <c r="B1716" s="3"/>
      <c r="C1716" s="3"/>
      <c r="D1716" s="3"/>
      <c r="E1716" s="3">
        <v>13</v>
      </c>
      <c r="F1716" s="4" t="str">
        <f>HYPERLINK("http://141.218.60.56/~jnz1568/getInfo.php?workbook=14_09.xlsx&amp;sheet=U0&amp;row=1716&amp;col=6&amp;number=4.2&amp;sourceID=14","4.2")</f>
        <v>4.2</v>
      </c>
      <c r="G1716" s="4" t="str">
        <f>HYPERLINK("http://141.218.60.56/~jnz1568/getInfo.php?workbook=14_09.xlsx&amp;sheet=U0&amp;row=1716&amp;col=7&amp;number=0.0295&amp;sourceID=14","0.0295")</f>
        <v>0.0295</v>
      </c>
    </row>
    <row r="1717" spans="1:7">
      <c r="A1717" s="3"/>
      <c r="B1717" s="3"/>
      <c r="C1717" s="3"/>
      <c r="D1717" s="3"/>
      <c r="E1717" s="3">
        <v>14</v>
      </c>
      <c r="F1717" s="4" t="str">
        <f>HYPERLINK("http://141.218.60.56/~jnz1568/getInfo.php?workbook=14_09.xlsx&amp;sheet=U0&amp;row=1717&amp;col=6&amp;number=4.3&amp;sourceID=14","4.3")</f>
        <v>4.3</v>
      </c>
      <c r="G1717" s="4" t="str">
        <f>HYPERLINK("http://141.218.60.56/~jnz1568/getInfo.php?workbook=14_09.xlsx&amp;sheet=U0&amp;row=1717&amp;col=7&amp;number=0.028&amp;sourceID=14","0.028")</f>
        <v>0.028</v>
      </c>
    </row>
    <row r="1718" spans="1:7">
      <c r="A1718" s="3"/>
      <c r="B1718" s="3"/>
      <c r="C1718" s="3"/>
      <c r="D1718" s="3"/>
      <c r="E1718" s="3">
        <v>15</v>
      </c>
      <c r="F1718" s="4" t="str">
        <f>HYPERLINK("http://141.218.60.56/~jnz1568/getInfo.php?workbook=14_09.xlsx&amp;sheet=U0&amp;row=1718&amp;col=6&amp;number=4.4&amp;sourceID=14","4.4")</f>
        <v>4.4</v>
      </c>
      <c r="G1718" s="4" t="str">
        <f>HYPERLINK("http://141.218.60.56/~jnz1568/getInfo.php?workbook=14_09.xlsx&amp;sheet=U0&amp;row=1718&amp;col=7&amp;number=0.0265&amp;sourceID=14","0.0265")</f>
        <v>0.0265</v>
      </c>
    </row>
    <row r="1719" spans="1:7">
      <c r="A1719" s="3"/>
      <c r="B1719" s="3"/>
      <c r="C1719" s="3"/>
      <c r="D1719" s="3"/>
      <c r="E1719" s="3">
        <v>16</v>
      </c>
      <c r="F1719" s="4" t="str">
        <f>HYPERLINK("http://141.218.60.56/~jnz1568/getInfo.php?workbook=14_09.xlsx&amp;sheet=U0&amp;row=1719&amp;col=6&amp;number=4.5&amp;sourceID=14","4.5")</f>
        <v>4.5</v>
      </c>
      <c r="G1719" s="4" t="str">
        <f>HYPERLINK("http://141.218.60.56/~jnz1568/getInfo.php?workbook=14_09.xlsx&amp;sheet=U0&amp;row=1719&amp;col=7&amp;number=0.025&amp;sourceID=14","0.025")</f>
        <v>0.025</v>
      </c>
    </row>
    <row r="1720" spans="1:7">
      <c r="A1720" s="3"/>
      <c r="B1720" s="3"/>
      <c r="C1720" s="3"/>
      <c r="D1720" s="3"/>
      <c r="E1720" s="3">
        <v>17</v>
      </c>
      <c r="F1720" s="4" t="str">
        <f>HYPERLINK("http://141.218.60.56/~jnz1568/getInfo.php?workbook=14_09.xlsx&amp;sheet=U0&amp;row=1720&amp;col=6&amp;number=4.6&amp;sourceID=14","4.6")</f>
        <v>4.6</v>
      </c>
      <c r="G1720" s="4" t="str">
        <f>HYPERLINK("http://141.218.60.56/~jnz1568/getInfo.php?workbook=14_09.xlsx&amp;sheet=U0&amp;row=1720&amp;col=7&amp;number=0.0238&amp;sourceID=14","0.0238")</f>
        <v>0.0238</v>
      </c>
    </row>
    <row r="1721" spans="1:7">
      <c r="A1721" s="3"/>
      <c r="B1721" s="3"/>
      <c r="C1721" s="3"/>
      <c r="D1721" s="3"/>
      <c r="E1721" s="3">
        <v>18</v>
      </c>
      <c r="F1721" s="4" t="str">
        <f>HYPERLINK("http://141.218.60.56/~jnz1568/getInfo.php?workbook=14_09.xlsx&amp;sheet=U0&amp;row=1721&amp;col=6&amp;number=4.7&amp;sourceID=14","4.7")</f>
        <v>4.7</v>
      </c>
      <c r="G1721" s="4" t="str">
        <f>HYPERLINK("http://141.218.60.56/~jnz1568/getInfo.php?workbook=14_09.xlsx&amp;sheet=U0&amp;row=1721&amp;col=7&amp;number=0.0229&amp;sourceID=14","0.0229")</f>
        <v>0.0229</v>
      </c>
    </row>
    <row r="1722" spans="1:7">
      <c r="A1722" s="3"/>
      <c r="B1722" s="3"/>
      <c r="C1722" s="3"/>
      <c r="D1722" s="3"/>
      <c r="E1722" s="3">
        <v>19</v>
      </c>
      <c r="F1722" s="4" t="str">
        <f>HYPERLINK("http://141.218.60.56/~jnz1568/getInfo.php?workbook=14_09.xlsx&amp;sheet=U0&amp;row=1722&amp;col=6&amp;number=4.8&amp;sourceID=14","4.8")</f>
        <v>4.8</v>
      </c>
      <c r="G1722" s="4" t="str">
        <f>HYPERLINK("http://141.218.60.56/~jnz1568/getInfo.php?workbook=14_09.xlsx&amp;sheet=U0&amp;row=1722&amp;col=7&amp;number=0.0222&amp;sourceID=14","0.0222")</f>
        <v>0.0222</v>
      </c>
    </row>
    <row r="1723" spans="1:7">
      <c r="A1723" s="3"/>
      <c r="B1723" s="3"/>
      <c r="C1723" s="3"/>
      <c r="D1723" s="3"/>
      <c r="E1723" s="3">
        <v>20</v>
      </c>
      <c r="F1723" s="4" t="str">
        <f>HYPERLINK("http://141.218.60.56/~jnz1568/getInfo.php?workbook=14_09.xlsx&amp;sheet=U0&amp;row=1723&amp;col=6&amp;number=4.9&amp;sourceID=14","4.9")</f>
        <v>4.9</v>
      </c>
      <c r="G1723" s="4" t="str">
        <f>HYPERLINK("http://141.218.60.56/~jnz1568/getInfo.php?workbook=14_09.xlsx&amp;sheet=U0&amp;row=1723&amp;col=7&amp;number=0.0214&amp;sourceID=14","0.0214")</f>
        <v>0.0214</v>
      </c>
    </row>
    <row r="1724" spans="1:7">
      <c r="A1724" s="3">
        <v>14</v>
      </c>
      <c r="B1724" s="3">
        <v>9</v>
      </c>
      <c r="C1724" s="3">
        <v>1</v>
      </c>
      <c r="D1724" s="3">
        <v>88</v>
      </c>
      <c r="E1724" s="3">
        <v>1</v>
      </c>
      <c r="F1724" s="4" t="str">
        <f>HYPERLINK("http://141.218.60.56/~jnz1568/getInfo.php?workbook=14_09.xlsx&amp;sheet=U0&amp;row=1724&amp;col=6&amp;number=3&amp;sourceID=14","3")</f>
        <v>3</v>
      </c>
      <c r="G1724" s="4" t="str">
        <f>HYPERLINK("http://141.218.60.56/~jnz1568/getInfo.php?workbook=14_09.xlsx&amp;sheet=U0&amp;row=1724&amp;col=7&amp;number=0.0256&amp;sourceID=14","0.0256")</f>
        <v>0.0256</v>
      </c>
    </row>
    <row r="1725" spans="1:7">
      <c r="A1725" s="3"/>
      <c r="B1725" s="3"/>
      <c r="C1725" s="3"/>
      <c r="D1725" s="3"/>
      <c r="E1725" s="3">
        <v>2</v>
      </c>
      <c r="F1725" s="4" t="str">
        <f>HYPERLINK("http://141.218.60.56/~jnz1568/getInfo.php?workbook=14_09.xlsx&amp;sheet=U0&amp;row=1725&amp;col=6&amp;number=3.1&amp;sourceID=14","3.1")</f>
        <v>3.1</v>
      </c>
      <c r="G1725" s="4" t="str">
        <f>HYPERLINK("http://141.218.60.56/~jnz1568/getInfo.php?workbook=14_09.xlsx&amp;sheet=U0&amp;row=1725&amp;col=7&amp;number=0.0255&amp;sourceID=14","0.0255")</f>
        <v>0.0255</v>
      </c>
    </row>
    <row r="1726" spans="1:7">
      <c r="A1726" s="3"/>
      <c r="B1726" s="3"/>
      <c r="C1726" s="3"/>
      <c r="D1726" s="3"/>
      <c r="E1726" s="3">
        <v>3</v>
      </c>
      <c r="F1726" s="4" t="str">
        <f>HYPERLINK("http://141.218.60.56/~jnz1568/getInfo.php?workbook=14_09.xlsx&amp;sheet=U0&amp;row=1726&amp;col=6&amp;number=3.2&amp;sourceID=14","3.2")</f>
        <v>3.2</v>
      </c>
      <c r="G1726" s="4" t="str">
        <f>HYPERLINK("http://141.218.60.56/~jnz1568/getInfo.php?workbook=14_09.xlsx&amp;sheet=U0&amp;row=1726&amp;col=7&amp;number=0.0254&amp;sourceID=14","0.0254")</f>
        <v>0.0254</v>
      </c>
    </row>
    <row r="1727" spans="1:7">
      <c r="A1727" s="3"/>
      <c r="B1727" s="3"/>
      <c r="C1727" s="3"/>
      <c r="D1727" s="3"/>
      <c r="E1727" s="3">
        <v>4</v>
      </c>
      <c r="F1727" s="4" t="str">
        <f>HYPERLINK("http://141.218.60.56/~jnz1568/getInfo.php?workbook=14_09.xlsx&amp;sheet=U0&amp;row=1727&amp;col=6&amp;number=3.3&amp;sourceID=14","3.3")</f>
        <v>3.3</v>
      </c>
      <c r="G1727" s="4" t="str">
        <f>HYPERLINK("http://141.218.60.56/~jnz1568/getInfo.php?workbook=14_09.xlsx&amp;sheet=U0&amp;row=1727&amp;col=7&amp;number=0.0252&amp;sourceID=14","0.0252")</f>
        <v>0.0252</v>
      </c>
    </row>
    <row r="1728" spans="1:7">
      <c r="A1728" s="3"/>
      <c r="B1728" s="3"/>
      <c r="C1728" s="3"/>
      <c r="D1728" s="3"/>
      <c r="E1728" s="3">
        <v>5</v>
      </c>
      <c r="F1728" s="4" t="str">
        <f>HYPERLINK("http://141.218.60.56/~jnz1568/getInfo.php?workbook=14_09.xlsx&amp;sheet=U0&amp;row=1728&amp;col=6&amp;number=3.4&amp;sourceID=14","3.4")</f>
        <v>3.4</v>
      </c>
      <c r="G1728" s="4" t="str">
        <f>HYPERLINK("http://141.218.60.56/~jnz1568/getInfo.php?workbook=14_09.xlsx&amp;sheet=U0&amp;row=1728&amp;col=7&amp;number=0.0249&amp;sourceID=14","0.0249")</f>
        <v>0.0249</v>
      </c>
    </row>
    <row r="1729" spans="1:7">
      <c r="A1729" s="3"/>
      <c r="B1729" s="3"/>
      <c r="C1729" s="3"/>
      <c r="D1729" s="3"/>
      <c r="E1729" s="3">
        <v>6</v>
      </c>
      <c r="F1729" s="4" t="str">
        <f>HYPERLINK("http://141.218.60.56/~jnz1568/getInfo.php?workbook=14_09.xlsx&amp;sheet=U0&amp;row=1729&amp;col=6&amp;number=3.5&amp;sourceID=14","3.5")</f>
        <v>3.5</v>
      </c>
      <c r="G1729" s="4" t="str">
        <f>HYPERLINK("http://141.218.60.56/~jnz1568/getInfo.php?workbook=14_09.xlsx&amp;sheet=U0&amp;row=1729&amp;col=7&amp;number=0.0246&amp;sourceID=14","0.0246")</f>
        <v>0.0246</v>
      </c>
    </row>
    <row r="1730" spans="1:7">
      <c r="A1730" s="3"/>
      <c r="B1730" s="3"/>
      <c r="C1730" s="3"/>
      <c r="D1730" s="3"/>
      <c r="E1730" s="3">
        <v>7</v>
      </c>
      <c r="F1730" s="4" t="str">
        <f>HYPERLINK("http://141.218.60.56/~jnz1568/getInfo.php?workbook=14_09.xlsx&amp;sheet=U0&amp;row=1730&amp;col=6&amp;number=3.6&amp;sourceID=14","3.6")</f>
        <v>3.6</v>
      </c>
      <c r="G1730" s="4" t="str">
        <f>HYPERLINK("http://141.218.60.56/~jnz1568/getInfo.php?workbook=14_09.xlsx&amp;sheet=U0&amp;row=1730&amp;col=7&amp;number=0.0243&amp;sourceID=14","0.0243")</f>
        <v>0.0243</v>
      </c>
    </row>
    <row r="1731" spans="1:7">
      <c r="A1731" s="3"/>
      <c r="B1731" s="3"/>
      <c r="C1731" s="3"/>
      <c r="D1731" s="3"/>
      <c r="E1731" s="3">
        <v>8</v>
      </c>
      <c r="F1731" s="4" t="str">
        <f>HYPERLINK("http://141.218.60.56/~jnz1568/getInfo.php?workbook=14_09.xlsx&amp;sheet=U0&amp;row=1731&amp;col=6&amp;number=3.7&amp;sourceID=14","3.7")</f>
        <v>3.7</v>
      </c>
      <c r="G1731" s="4" t="str">
        <f>HYPERLINK("http://141.218.60.56/~jnz1568/getInfo.php?workbook=14_09.xlsx&amp;sheet=U0&amp;row=1731&amp;col=7&amp;number=0.0238&amp;sourceID=14","0.0238")</f>
        <v>0.0238</v>
      </c>
    </row>
    <row r="1732" spans="1:7">
      <c r="A1732" s="3"/>
      <c r="B1732" s="3"/>
      <c r="C1732" s="3"/>
      <c r="D1732" s="3"/>
      <c r="E1732" s="3">
        <v>9</v>
      </c>
      <c r="F1732" s="4" t="str">
        <f>HYPERLINK("http://141.218.60.56/~jnz1568/getInfo.php?workbook=14_09.xlsx&amp;sheet=U0&amp;row=1732&amp;col=6&amp;number=3.8&amp;sourceID=14","3.8")</f>
        <v>3.8</v>
      </c>
      <c r="G1732" s="4" t="str">
        <f>HYPERLINK("http://141.218.60.56/~jnz1568/getInfo.php?workbook=14_09.xlsx&amp;sheet=U0&amp;row=1732&amp;col=7&amp;number=0.0233&amp;sourceID=14","0.0233")</f>
        <v>0.0233</v>
      </c>
    </row>
    <row r="1733" spans="1:7">
      <c r="A1733" s="3"/>
      <c r="B1733" s="3"/>
      <c r="C1733" s="3"/>
      <c r="D1733" s="3"/>
      <c r="E1733" s="3">
        <v>10</v>
      </c>
      <c r="F1733" s="4" t="str">
        <f>HYPERLINK("http://141.218.60.56/~jnz1568/getInfo.php?workbook=14_09.xlsx&amp;sheet=U0&amp;row=1733&amp;col=6&amp;number=3.9&amp;sourceID=14","3.9")</f>
        <v>3.9</v>
      </c>
      <c r="G1733" s="4" t="str">
        <f>HYPERLINK("http://141.218.60.56/~jnz1568/getInfo.php?workbook=14_09.xlsx&amp;sheet=U0&amp;row=1733&amp;col=7&amp;number=0.0226&amp;sourceID=14","0.0226")</f>
        <v>0.0226</v>
      </c>
    </row>
    <row r="1734" spans="1:7">
      <c r="A1734" s="3"/>
      <c r="B1734" s="3"/>
      <c r="C1734" s="3"/>
      <c r="D1734" s="3"/>
      <c r="E1734" s="3">
        <v>11</v>
      </c>
      <c r="F1734" s="4" t="str">
        <f>HYPERLINK("http://141.218.60.56/~jnz1568/getInfo.php?workbook=14_09.xlsx&amp;sheet=U0&amp;row=1734&amp;col=6&amp;number=4&amp;sourceID=14","4")</f>
        <v>4</v>
      </c>
      <c r="G1734" s="4" t="str">
        <f>HYPERLINK("http://141.218.60.56/~jnz1568/getInfo.php?workbook=14_09.xlsx&amp;sheet=U0&amp;row=1734&amp;col=7&amp;number=0.0218&amp;sourceID=14","0.0218")</f>
        <v>0.0218</v>
      </c>
    </row>
    <row r="1735" spans="1:7">
      <c r="A1735" s="3"/>
      <c r="B1735" s="3"/>
      <c r="C1735" s="3"/>
      <c r="D1735" s="3"/>
      <c r="E1735" s="3">
        <v>12</v>
      </c>
      <c r="F1735" s="4" t="str">
        <f>HYPERLINK("http://141.218.60.56/~jnz1568/getInfo.php?workbook=14_09.xlsx&amp;sheet=U0&amp;row=1735&amp;col=6&amp;number=4.1&amp;sourceID=14","4.1")</f>
        <v>4.1</v>
      </c>
      <c r="G1735" s="4" t="str">
        <f>HYPERLINK("http://141.218.60.56/~jnz1568/getInfo.php?workbook=14_09.xlsx&amp;sheet=U0&amp;row=1735&amp;col=7&amp;number=0.0208&amp;sourceID=14","0.0208")</f>
        <v>0.0208</v>
      </c>
    </row>
    <row r="1736" spans="1:7">
      <c r="A1736" s="3"/>
      <c r="B1736" s="3"/>
      <c r="C1736" s="3"/>
      <c r="D1736" s="3"/>
      <c r="E1736" s="3">
        <v>13</v>
      </c>
      <c r="F1736" s="4" t="str">
        <f>HYPERLINK("http://141.218.60.56/~jnz1568/getInfo.php?workbook=14_09.xlsx&amp;sheet=U0&amp;row=1736&amp;col=6&amp;number=4.2&amp;sourceID=14","4.2")</f>
        <v>4.2</v>
      </c>
      <c r="G1736" s="4" t="str">
        <f>HYPERLINK("http://141.218.60.56/~jnz1568/getInfo.php?workbook=14_09.xlsx&amp;sheet=U0&amp;row=1736&amp;col=7&amp;number=0.0197&amp;sourceID=14","0.0197")</f>
        <v>0.0197</v>
      </c>
    </row>
    <row r="1737" spans="1:7">
      <c r="A1737" s="3"/>
      <c r="B1737" s="3"/>
      <c r="C1737" s="3"/>
      <c r="D1737" s="3"/>
      <c r="E1737" s="3">
        <v>14</v>
      </c>
      <c r="F1737" s="4" t="str">
        <f>HYPERLINK("http://141.218.60.56/~jnz1568/getInfo.php?workbook=14_09.xlsx&amp;sheet=U0&amp;row=1737&amp;col=6&amp;number=4.3&amp;sourceID=14","4.3")</f>
        <v>4.3</v>
      </c>
      <c r="G1737" s="4" t="str">
        <f>HYPERLINK("http://141.218.60.56/~jnz1568/getInfo.php?workbook=14_09.xlsx&amp;sheet=U0&amp;row=1737&amp;col=7&amp;number=0.0184&amp;sourceID=14","0.0184")</f>
        <v>0.0184</v>
      </c>
    </row>
    <row r="1738" spans="1:7">
      <c r="A1738" s="3"/>
      <c r="B1738" s="3"/>
      <c r="C1738" s="3"/>
      <c r="D1738" s="3"/>
      <c r="E1738" s="3">
        <v>15</v>
      </c>
      <c r="F1738" s="4" t="str">
        <f>HYPERLINK("http://141.218.60.56/~jnz1568/getInfo.php?workbook=14_09.xlsx&amp;sheet=U0&amp;row=1738&amp;col=6&amp;number=4.4&amp;sourceID=14","4.4")</f>
        <v>4.4</v>
      </c>
      <c r="G1738" s="4" t="str">
        <f>HYPERLINK("http://141.218.60.56/~jnz1568/getInfo.php?workbook=14_09.xlsx&amp;sheet=U0&amp;row=1738&amp;col=7&amp;number=0.0171&amp;sourceID=14","0.0171")</f>
        <v>0.0171</v>
      </c>
    </row>
    <row r="1739" spans="1:7">
      <c r="A1739" s="3"/>
      <c r="B1739" s="3"/>
      <c r="C1739" s="3"/>
      <c r="D1739" s="3"/>
      <c r="E1739" s="3">
        <v>16</v>
      </c>
      <c r="F1739" s="4" t="str">
        <f>HYPERLINK("http://141.218.60.56/~jnz1568/getInfo.php?workbook=14_09.xlsx&amp;sheet=U0&amp;row=1739&amp;col=6&amp;number=4.5&amp;sourceID=14","4.5")</f>
        <v>4.5</v>
      </c>
      <c r="G1739" s="4" t="str">
        <f>HYPERLINK("http://141.218.60.56/~jnz1568/getInfo.php?workbook=14_09.xlsx&amp;sheet=U0&amp;row=1739&amp;col=7&amp;number=0.0158&amp;sourceID=14","0.0158")</f>
        <v>0.0158</v>
      </c>
    </row>
    <row r="1740" spans="1:7">
      <c r="A1740" s="3"/>
      <c r="B1740" s="3"/>
      <c r="C1740" s="3"/>
      <c r="D1740" s="3"/>
      <c r="E1740" s="3">
        <v>17</v>
      </c>
      <c r="F1740" s="4" t="str">
        <f>HYPERLINK("http://141.218.60.56/~jnz1568/getInfo.php?workbook=14_09.xlsx&amp;sheet=U0&amp;row=1740&amp;col=6&amp;number=4.6&amp;sourceID=14","4.6")</f>
        <v>4.6</v>
      </c>
      <c r="G1740" s="4" t="str">
        <f>HYPERLINK("http://141.218.60.56/~jnz1568/getInfo.php?workbook=14_09.xlsx&amp;sheet=U0&amp;row=1740&amp;col=7&amp;number=0.0149&amp;sourceID=14","0.0149")</f>
        <v>0.0149</v>
      </c>
    </row>
    <row r="1741" spans="1:7">
      <c r="A1741" s="3"/>
      <c r="B1741" s="3"/>
      <c r="C1741" s="3"/>
      <c r="D1741" s="3"/>
      <c r="E1741" s="3">
        <v>18</v>
      </c>
      <c r="F1741" s="4" t="str">
        <f>HYPERLINK("http://141.218.60.56/~jnz1568/getInfo.php?workbook=14_09.xlsx&amp;sheet=U0&amp;row=1741&amp;col=6&amp;number=4.7&amp;sourceID=14","4.7")</f>
        <v>4.7</v>
      </c>
      <c r="G1741" s="4" t="str">
        <f>HYPERLINK("http://141.218.60.56/~jnz1568/getInfo.php?workbook=14_09.xlsx&amp;sheet=U0&amp;row=1741&amp;col=7&amp;number=0.0142&amp;sourceID=14","0.0142")</f>
        <v>0.0142</v>
      </c>
    </row>
    <row r="1742" spans="1:7">
      <c r="A1742" s="3"/>
      <c r="B1742" s="3"/>
      <c r="C1742" s="3"/>
      <c r="D1742" s="3"/>
      <c r="E1742" s="3">
        <v>19</v>
      </c>
      <c r="F1742" s="4" t="str">
        <f>HYPERLINK("http://141.218.60.56/~jnz1568/getInfo.php?workbook=14_09.xlsx&amp;sheet=U0&amp;row=1742&amp;col=6&amp;number=4.8&amp;sourceID=14","4.8")</f>
        <v>4.8</v>
      </c>
      <c r="G1742" s="4" t="str">
        <f>HYPERLINK("http://141.218.60.56/~jnz1568/getInfo.php?workbook=14_09.xlsx&amp;sheet=U0&amp;row=1742&amp;col=7&amp;number=0.0138&amp;sourceID=14","0.0138")</f>
        <v>0.0138</v>
      </c>
    </row>
    <row r="1743" spans="1:7">
      <c r="A1743" s="3"/>
      <c r="B1743" s="3"/>
      <c r="C1743" s="3"/>
      <c r="D1743" s="3"/>
      <c r="E1743" s="3">
        <v>20</v>
      </c>
      <c r="F1743" s="4" t="str">
        <f>HYPERLINK("http://141.218.60.56/~jnz1568/getInfo.php?workbook=14_09.xlsx&amp;sheet=U0&amp;row=1743&amp;col=6&amp;number=4.9&amp;sourceID=14","4.9")</f>
        <v>4.9</v>
      </c>
      <c r="G1743" s="4" t="str">
        <f>HYPERLINK("http://141.218.60.56/~jnz1568/getInfo.php?workbook=14_09.xlsx&amp;sheet=U0&amp;row=1743&amp;col=7&amp;number=0.0132&amp;sourceID=14","0.0132")</f>
        <v>0.0132</v>
      </c>
    </row>
    <row r="1744" spans="1:7">
      <c r="A1744" s="3">
        <v>14</v>
      </c>
      <c r="B1744" s="3">
        <v>9</v>
      </c>
      <c r="C1744" s="3">
        <v>1</v>
      </c>
      <c r="D1744" s="3">
        <v>89</v>
      </c>
      <c r="E1744" s="3">
        <v>1</v>
      </c>
      <c r="F1744" s="4" t="str">
        <f>HYPERLINK("http://141.218.60.56/~jnz1568/getInfo.php?workbook=14_09.xlsx&amp;sheet=U0&amp;row=1744&amp;col=6&amp;number=3&amp;sourceID=14","3")</f>
        <v>3</v>
      </c>
      <c r="G1744" s="4" t="str">
        <f>HYPERLINK("http://141.218.60.56/~jnz1568/getInfo.php?workbook=14_09.xlsx&amp;sheet=U0&amp;row=1744&amp;col=7&amp;number=0.00989&amp;sourceID=14","0.00989")</f>
        <v>0.00989</v>
      </c>
    </row>
    <row r="1745" spans="1:7">
      <c r="A1745" s="3"/>
      <c r="B1745" s="3"/>
      <c r="C1745" s="3"/>
      <c r="D1745" s="3"/>
      <c r="E1745" s="3">
        <v>2</v>
      </c>
      <c r="F1745" s="4" t="str">
        <f>HYPERLINK("http://141.218.60.56/~jnz1568/getInfo.php?workbook=14_09.xlsx&amp;sheet=U0&amp;row=1745&amp;col=6&amp;number=3.1&amp;sourceID=14","3.1")</f>
        <v>3.1</v>
      </c>
      <c r="G1745" s="4" t="str">
        <f>HYPERLINK("http://141.218.60.56/~jnz1568/getInfo.php?workbook=14_09.xlsx&amp;sheet=U0&amp;row=1745&amp;col=7&amp;number=0.00985&amp;sourceID=14","0.00985")</f>
        <v>0.00985</v>
      </c>
    </row>
    <row r="1746" spans="1:7">
      <c r="A1746" s="3"/>
      <c r="B1746" s="3"/>
      <c r="C1746" s="3"/>
      <c r="D1746" s="3"/>
      <c r="E1746" s="3">
        <v>3</v>
      </c>
      <c r="F1746" s="4" t="str">
        <f>HYPERLINK("http://141.218.60.56/~jnz1568/getInfo.php?workbook=14_09.xlsx&amp;sheet=U0&amp;row=1746&amp;col=6&amp;number=3.2&amp;sourceID=14","3.2")</f>
        <v>3.2</v>
      </c>
      <c r="G1746" s="4" t="str">
        <f>HYPERLINK("http://141.218.60.56/~jnz1568/getInfo.php?workbook=14_09.xlsx&amp;sheet=U0&amp;row=1746&amp;col=7&amp;number=0.00981&amp;sourceID=14","0.00981")</f>
        <v>0.00981</v>
      </c>
    </row>
    <row r="1747" spans="1:7">
      <c r="A1747" s="3"/>
      <c r="B1747" s="3"/>
      <c r="C1747" s="3"/>
      <c r="D1747" s="3"/>
      <c r="E1747" s="3">
        <v>4</v>
      </c>
      <c r="F1747" s="4" t="str">
        <f>HYPERLINK("http://141.218.60.56/~jnz1568/getInfo.php?workbook=14_09.xlsx&amp;sheet=U0&amp;row=1747&amp;col=6&amp;number=3.3&amp;sourceID=14","3.3")</f>
        <v>3.3</v>
      </c>
      <c r="G1747" s="4" t="str">
        <f>HYPERLINK("http://141.218.60.56/~jnz1568/getInfo.php?workbook=14_09.xlsx&amp;sheet=U0&amp;row=1747&amp;col=7&amp;number=0.00975&amp;sourceID=14","0.00975")</f>
        <v>0.00975</v>
      </c>
    </row>
    <row r="1748" spans="1:7">
      <c r="A1748" s="3"/>
      <c r="B1748" s="3"/>
      <c r="C1748" s="3"/>
      <c r="D1748" s="3"/>
      <c r="E1748" s="3">
        <v>5</v>
      </c>
      <c r="F1748" s="4" t="str">
        <f>HYPERLINK("http://141.218.60.56/~jnz1568/getInfo.php?workbook=14_09.xlsx&amp;sheet=U0&amp;row=1748&amp;col=6&amp;number=3.4&amp;sourceID=14","3.4")</f>
        <v>3.4</v>
      </c>
      <c r="G1748" s="4" t="str">
        <f>HYPERLINK("http://141.218.60.56/~jnz1568/getInfo.php?workbook=14_09.xlsx&amp;sheet=U0&amp;row=1748&amp;col=7&amp;number=0.00968&amp;sourceID=14","0.00968")</f>
        <v>0.00968</v>
      </c>
    </row>
    <row r="1749" spans="1:7">
      <c r="A1749" s="3"/>
      <c r="B1749" s="3"/>
      <c r="C1749" s="3"/>
      <c r="D1749" s="3"/>
      <c r="E1749" s="3">
        <v>6</v>
      </c>
      <c r="F1749" s="4" t="str">
        <f>HYPERLINK("http://141.218.60.56/~jnz1568/getInfo.php?workbook=14_09.xlsx&amp;sheet=U0&amp;row=1749&amp;col=6&amp;number=3.5&amp;sourceID=14","3.5")</f>
        <v>3.5</v>
      </c>
      <c r="G1749" s="4" t="str">
        <f>HYPERLINK("http://141.218.60.56/~jnz1568/getInfo.php?workbook=14_09.xlsx&amp;sheet=U0&amp;row=1749&amp;col=7&amp;number=0.00959&amp;sourceID=14","0.00959")</f>
        <v>0.00959</v>
      </c>
    </row>
    <row r="1750" spans="1:7">
      <c r="A1750" s="3"/>
      <c r="B1750" s="3"/>
      <c r="C1750" s="3"/>
      <c r="D1750" s="3"/>
      <c r="E1750" s="3">
        <v>7</v>
      </c>
      <c r="F1750" s="4" t="str">
        <f>HYPERLINK("http://141.218.60.56/~jnz1568/getInfo.php?workbook=14_09.xlsx&amp;sheet=U0&amp;row=1750&amp;col=6&amp;number=3.6&amp;sourceID=14","3.6")</f>
        <v>3.6</v>
      </c>
      <c r="G1750" s="4" t="str">
        <f>HYPERLINK("http://141.218.60.56/~jnz1568/getInfo.php?workbook=14_09.xlsx&amp;sheet=U0&amp;row=1750&amp;col=7&amp;number=0.00948&amp;sourceID=14","0.00948")</f>
        <v>0.00948</v>
      </c>
    </row>
    <row r="1751" spans="1:7">
      <c r="A1751" s="3"/>
      <c r="B1751" s="3"/>
      <c r="C1751" s="3"/>
      <c r="D1751" s="3"/>
      <c r="E1751" s="3">
        <v>8</v>
      </c>
      <c r="F1751" s="4" t="str">
        <f>HYPERLINK("http://141.218.60.56/~jnz1568/getInfo.php?workbook=14_09.xlsx&amp;sheet=U0&amp;row=1751&amp;col=6&amp;number=3.7&amp;sourceID=14","3.7")</f>
        <v>3.7</v>
      </c>
      <c r="G1751" s="4" t="str">
        <f>HYPERLINK("http://141.218.60.56/~jnz1568/getInfo.php?workbook=14_09.xlsx&amp;sheet=U0&amp;row=1751&amp;col=7&amp;number=0.00934&amp;sourceID=14","0.00934")</f>
        <v>0.00934</v>
      </c>
    </row>
    <row r="1752" spans="1:7">
      <c r="A1752" s="3"/>
      <c r="B1752" s="3"/>
      <c r="C1752" s="3"/>
      <c r="D1752" s="3"/>
      <c r="E1752" s="3">
        <v>9</v>
      </c>
      <c r="F1752" s="4" t="str">
        <f>HYPERLINK("http://141.218.60.56/~jnz1568/getInfo.php?workbook=14_09.xlsx&amp;sheet=U0&amp;row=1752&amp;col=6&amp;number=3.8&amp;sourceID=14","3.8")</f>
        <v>3.8</v>
      </c>
      <c r="G1752" s="4" t="str">
        <f>HYPERLINK("http://141.218.60.56/~jnz1568/getInfo.php?workbook=14_09.xlsx&amp;sheet=U0&amp;row=1752&amp;col=7&amp;number=0.00917&amp;sourceID=14","0.00917")</f>
        <v>0.00917</v>
      </c>
    </row>
    <row r="1753" spans="1:7">
      <c r="A1753" s="3"/>
      <c r="B1753" s="3"/>
      <c r="C1753" s="3"/>
      <c r="D1753" s="3"/>
      <c r="E1753" s="3">
        <v>10</v>
      </c>
      <c r="F1753" s="4" t="str">
        <f>HYPERLINK("http://141.218.60.56/~jnz1568/getInfo.php?workbook=14_09.xlsx&amp;sheet=U0&amp;row=1753&amp;col=6&amp;number=3.9&amp;sourceID=14","3.9")</f>
        <v>3.9</v>
      </c>
      <c r="G1753" s="4" t="str">
        <f>HYPERLINK("http://141.218.60.56/~jnz1568/getInfo.php?workbook=14_09.xlsx&amp;sheet=U0&amp;row=1753&amp;col=7&amp;number=0.00896&amp;sourceID=14","0.00896")</f>
        <v>0.00896</v>
      </c>
    </row>
    <row r="1754" spans="1:7">
      <c r="A1754" s="3"/>
      <c r="B1754" s="3"/>
      <c r="C1754" s="3"/>
      <c r="D1754" s="3"/>
      <c r="E1754" s="3">
        <v>11</v>
      </c>
      <c r="F1754" s="4" t="str">
        <f>HYPERLINK("http://141.218.60.56/~jnz1568/getInfo.php?workbook=14_09.xlsx&amp;sheet=U0&amp;row=1754&amp;col=6&amp;number=4&amp;sourceID=14","4")</f>
        <v>4</v>
      </c>
      <c r="G1754" s="4" t="str">
        <f>HYPERLINK("http://141.218.60.56/~jnz1568/getInfo.php?workbook=14_09.xlsx&amp;sheet=U0&amp;row=1754&amp;col=7&amp;number=0.0087&amp;sourceID=14","0.0087")</f>
        <v>0.0087</v>
      </c>
    </row>
    <row r="1755" spans="1:7">
      <c r="A1755" s="3"/>
      <c r="B1755" s="3"/>
      <c r="C1755" s="3"/>
      <c r="D1755" s="3"/>
      <c r="E1755" s="3">
        <v>12</v>
      </c>
      <c r="F1755" s="4" t="str">
        <f>HYPERLINK("http://141.218.60.56/~jnz1568/getInfo.php?workbook=14_09.xlsx&amp;sheet=U0&amp;row=1755&amp;col=6&amp;number=4.1&amp;sourceID=14","4.1")</f>
        <v>4.1</v>
      </c>
      <c r="G1755" s="4" t="str">
        <f>HYPERLINK("http://141.218.60.56/~jnz1568/getInfo.php?workbook=14_09.xlsx&amp;sheet=U0&amp;row=1755&amp;col=7&amp;number=0.0084&amp;sourceID=14","0.0084")</f>
        <v>0.0084</v>
      </c>
    </row>
    <row r="1756" spans="1:7">
      <c r="A1756" s="3"/>
      <c r="B1756" s="3"/>
      <c r="C1756" s="3"/>
      <c r="D1756" s="3"/>
      <c r="E1756" s="3">
        <v>13</v>
      </c>
      <c r="F1756" s="4" t="str">
        <f>HYPERLINK("http://141.218.60.56/~jnz1568/getInfo.php?workbook=14_09.xlsx&amp;sheet=U0&amp;row=1756&amp;col=6&amp;number=4.2&amp;sourceID=14","4.2")</f>
        <v>4.2</v>
      </c>
      <c r="G1756" s="4" t="str">
        <f>HYPERLINK("http://141.218.60.56/~jnz1568/getInfo.php?workbook=14_09.xlsx&amp;sheet=U0&amp;row=1756&amp;col=7&amp;number=0.00804&amp;sourceID=14","0.00804")</f>
        <v>0.00804</v>
      </c>
    </row>
    <row r="1757" spans="1:7">
      <c r="A1757" s="3"/>
      <c r="B1757" s="3"/>
      <c r="C1757" s="3"/>
      <c r="D1757" s="3"/>
      <c r="E1757" s="3">
        <v>14</v>
      </c>
      <c r="F1757" s="4" t="str">
        <f>HYPERLINK("http://141.218.60.56/~jnz1568/getInfo.php?workbook=14_09.xlsx&amp;sheet=U0&amp;row=1757&amp;col=6&amp;number=4.3&amp;sourceID=14","4.3")</f>
        <v>4.3</v>
      </c>
      <c r="G1757" s="4" t="str">
        <f>HYPERLINK("http://141.218.60.56/~jnz1568/getInfo.php?workbook=14_09.xlsx&amp;sheet=U0&amp;row=1757&amp;col=7&amp;number=0.00762&amp;sourceID=14","0.00762")</f>
        <v>0.00762</v>
      </c>
    </row>
    <row r="1758" spans="1:7">
      <c r="A1758" s="3"/>
      <c r="B1758" s="3"/>
      <c r="C1758" s="3"/>
      <c r="D1758" s="3"/>
      <c r="E1758" s="3">
        <v>15</v>
      </c>
      <c r="F1758" s="4" t="str">
        <f>HYPERLINK("http://141.218.60.56/~jnz1568/getInfo.php?workbook=14_09.xlsx&amp;sheet=U0&amp;row=1758&amp;col=6&amp;number=4.4&amp;sourceID=14","4.4")</f>
        <v>4.4</v>
      </c>
      <c r="G1758" s="4" t="str">
        <f>HYPERLINK("http://141.218.60.56/~jnz1568/getInfo.php?workbook=14_09.xlsx&amp;sheet=U0&amp;row=1758&amp;col=7&amp;number=0.00718&amp;sourceID=14","0.00718")</f>
        <v>0.00718</v>
      </c>
    </row>
    <row r="1759" spans="1:7">
      <c r="A1759" s="3"/>
      <c r="B1759" s="3"/>
      <c r="C1759" s="3"/>
      <c r="D1759" s="3"/>
      <c r="E1759" s="3">
        <v>16</v>
      </c>
      <c r="F1759" s="4" t="str">
        <f>HYPERLINK("http://141.218.60.56/~jnz1568/getInfo.php?workbook=14_09.xlsx&amp;sheet=U0&amp;row=1759&amp;col=6&amp;number=4.5&amp;sourceID=14","4.5")</f>
        <v>4.5</v>
      </c>
      <c r="G1759" s="4" t="str">
        <f>HYPERLINK("http://141.218.60.56/~jnz1568/getInfo.php?workbook=14_09.xlsx&amp;sheet=U0&amp;row=1759&amp;col=7&amp;number=0.00673&amp;sourceID=14","0.00673")</f>
        <v>0.00673</v>
      </c>
    </row>
    <row r="1760" spans="1:7">
      <c r="A1760" s="3"/>
      <c r="B1760" s="3"/>
      <c r="C1760" s="3"/>
      <c r="D1760" s="3"/>
      <c r="E1760" s="3">
        <v>17</v>
      </c>
      <c r="F1760" s="4" t="str">
        <f>HYPERLINK("http://141.218.60.56/~jnz1568/getInfo.php?workbook=14_09.xlsx&amp;sheet=U0&amp;row=1760&amp;col=6&amp;number=4.6&amp;sourceID=14","4.6")</f>
        <v>4.6</v>
      </c>
      <c r="G1760" s="4" t="str">
        <f>HYPERLINK("http://141.218.60.56/~jnz1568/getInfo.php?workbook=14_09.xlsx&amp;sheet=U0&amp;row=1760&amp;col=7&amp;number=0.00633&amp;sourceID=14","0.00633")</f>
        <v>0.00633</v>
      </c>
    </row>
    <row r="1761" spans="1:7">
      <c r="A1761" s="3"/>
      <c r="B1761" s="3"/>
      <c r="C1761" s="3"/>
      <c r="D1761" s="3"/>
      <c r="E1761" s="3">
        <v>18</v>
      </c>
      <c r="F1761" s="4" t="str">
        <f>HYPERLINK("http://141.218.60.56/~jnz1568/getInfo.php?workbook=14_09.xlsx&amp;sheet=U0&amp;row=1761&amp;col=6&amp;number=4.7&amp;sourceID=14","4.7")</f>
        <v>4.7</v>
      </c>
      <c r="G1761" s="4" t="str">
        <f>HYPERLINK("http://141.218.60.56/~jnz1568/getInfo.php?workbook=14_09.xlsx&amp;sheet=U0&amp;row=1761&amp;col=7&amp;number=0.00598&amp;sourceID=14","0.00598")</f>
        <v>0.00598</v>
      </c>
    </row>
    <row r="1762" spans="1:7">
      <c r="A1762" s="3"/>
      <c r="B1762" s="3"/>
      <c r="C1762" s="3"/>
      <c r="D1762" s="3"/>
      <c r="E1762" s="3">
        <v>19</v>
      </c>
      <c r="F1762" s="4" t="str">
        <f>HYPERLINK("http://141.218.60.56/~jnz1568/getInfo.php?workbook=14_09.xlsx&amp;sheet=U0&amp;row=1762&amp;col=6&amp;number=4.8&amp;sourceID=14","4.8")</f>
        <v>4.8</v>
      </c>
      <c r="G1762" s="4" t="str">
        <f>HYPERLINK("http://141.218.60.56/~jnz1568/getInfo.php?workbook=14_09.xlsx&amp;sheet=U0&amp;row=1762&amp;col=7&amp;number=0.0057&amp;sourceID=14","0.0057")</f>
        <v>0.0057</v>
      </c>
    </row>
    <row r="1763" spans="1:7">
      <c r="A1763" s="3"/>
      <c r="B1763" s="3"/>
      <c r="C1763" s="3"/>
      <c r="D1763" s="3"/>
      <c r="E1763" s="3">
        <v>20</v>
      </c>
      <c r="F1763" s="4" t="str">
        <f>HYPERLINK("http://141.218.60.56/~jnz1568/getInfo.php?workbook=14_09.xlsx&amp;sheet=U0&amp;row=1763&amp;col=6&amp;number=4.9&amp;sourceID=14","4.9")</f>
        <v>4.9</v>
      </c>
      <c r="G1763" s="4" t="str">
        <f>HYPERLINK("http://141.218.60.56/~jnz1568/getInfo.php?workbook=14_09.xlsx&amp;sheet=U0&amp;row=1763&amp;col=7&amp;number=0.00544&amp;sourceID=14","0.00544")</f>
        <v>0.00544</v>
      </c>
    </row>
    <row r="1764" spans="1:7">
      <c r="A1764" s="3">
        <v>14</v>
      </c>
      <c r="B1764" s="3">
        <v>9</v>
      </c>
      <c r="C1764" s="3">
        <v>1</v>
      </c>
      <c r="D1764" s="3">
        <v>90</v>
      </c>
      <c r="E1764" s="3">
        <v>1</v>
      </c>
      <c r="F1764" s="4" t="str">
        <f>HYPERLINK("http://141.218.60.56/~jnz1568/getInfo.php?workbook=14_09.xlsx&amp;sheet=U0&amp;row=1764&amp;col=6&amp;number=3&amp;sourceID=14","3")</f>
        <v>3</v>
      </c>
      <c r="G1764" s="4" t="str">
        <f>HYPERLINK("http://141.218.60.56/~jnz1568/getInfo.php?workbook=14_09.xlsx&amp;sheet=U0&amp;row=1764&amp;col=7&amp;number=0.034&amp;sourceID=14","0.034")</f>
        <v>0.034</v>
      </c>
    </row>
    <row r="1765" spans="1:7">
      <c r="A1765" s="3"/>
      <c r="B1765" s="3"/>
      <c r="C1765" s="3"/>
      <c r="D1765" s="3"/>
      <c r="E1765" s="3">
        <v>2</v>
      </c>
      <c r="F1765" s="4" t="str">
        <f>HYPERLINK("http://141.218.60.56/~jnz1568/getInfo.php?workbook=14_09.xlsx&amp;sheet=U0&amp;row=1765&amp;col=6&amp;number=3.1&amp;sourceID=14","3.1")</f>
        <v>3.1</v>
      </c>
      <c r="G1765" s="4" t="str">
        <f>HYPERLINK("http://141.218.60.56/~jnz1568/getInfo.php?workbook=14_09.xlsx&amp;sheet=U0&amp;row=1765&amp;col=7&amp;number=0.0339&amp;sourceID=14","0.0339")</f>
        <v>0.0339</v>
      </c>
    </row>
    <row r="1766" spans="1:7">
      <c r="A1766" s="3"/>
      <c r="B1766" s="3"/>
      <c r="C1766" s="3"/>
      <c r="D1766" s="3"/>
      <c r="E1766" s="3">
        <v>3</v>
      </c>
      <c r="F1766" s="4" t="str">
        <f>HYPERLINK("http://141.218.60.56/~jnz1568/getInfo.php?workbook=14_09.xlsx&amp;sheet=U0&amp;row=1766&amp;col=6&amp;number=3.2&amp;sourceID=14","3.2")</f>
        <v>3.2</v>
      </c>
      <c r="G1766" s="4" t="str">
        <f>HYPERLINK("http://141.218.60.56/~jnz1568/getInfo.php?workbook=14_09.xlsx&amp;sheet=U0&amp;row=1766&amp;col=7&amp;number=0.0339&amp;sourceID=14","0.0339")</f>
        <v>0.0339</v>
      </c>
    </row>
    <row r="1767" spans="1:7">
      <c r="A1767" s="3"/>
      <c r="B1767" s="3"/>
      <c r="C1767" s="3"/>
      <c r="D1767" s="3"/>
      <c r="E1767" s="3">
        <v>4</v>
      </c>
      <c r="F1767" s="4" t="str">
        <f>HYPERLINK("http://141.218.60.56/~jnz1568/getInfo.php?workbook=14_09.xlsx&amp;sheet=U0&amp;row=1767&amp;col=6&amp;number=3.3&amp;sourceID=14","3.3")</f>
        <v>3.3</v>
      </c>
      <c r="G1767" s="4" t="str">
        <f>HYPERLINK("http://141.218.60.56/~jnz1568/getInfo.php?workbook=14_09.xlsx&amp;sheet=U0&amp;row=1767&amp;col=7&amp;number=0.0338&amp;sourceID=14","0.0338")</f>
        <v>0.0338</v>
      </c>
    </row>
    <row r="1768" spans="1:7">
      <c r="A1768" s="3"/>
      <c r="B1768" s="3"/>
      <c r="C1768" s="3"/>
      <c r="D1768" s="3"/>
      <c r="E1768" s="3">
        <v>5</v>
      </c>
      <c r="F1768" s="4" t="str">
        <f>HYPERLINK("http://141.218.60.56/~jnz1568/getInfo.php?workbook=14_09.xlsx&amp;sheet=U0&amp;row=1768&amp;col=6&amp;number=3.4&amp;sourceID=14","3.4")</f>
        <v>3.4</v>
      </c>
      <c r="G1768" s="4" t="str">
        <f>HYPERLINK("http://141.218.60.56/~jnz1568/getInfo.php?workbook=14_09.xlsx&amp;sheet=U0&amp;row=1768&amp;col=7&amp;number=0.0337&amp;sourceID=14","0.0337")</f>
        <v>0.0337</v>
      </c>
    </row>
    <row r="1769" spans="1:7">
      <c r="A1769" s="3"/>
      <c r="B1769" s="3"/>
      <c r="C1769" s="3"/>
      <c r="D1769" s="3"/>
      <c r="E1769" s="3">
        <v>6</v>
      </c>
      <c r="F1769" s="4" t="str">
        <f>HYPERLINK("http://141.218.60.56/~jnz1568/getInfo.php?workbook=14_09.xlsx&amp;sheet=U0&amp;row=1769&amp;col=6&amp;number=3.5&amp;sourceID=14","3.5")</f>
        <v>3.5</v>
      </c>
      <c r="G1769" s="4" t="str">
        <f>HYPERLINK("http://141.218.60.56/~jnz1568/getInfo.php?workbook=14_09.xlsx&amp;sheet=U0&amp;row=1769&amp;col=7&amp;number=0.0336&amp;sourceID=14","0.0336")</f>
        <v>0.0336</v>
      </c>
    </row>
    <row r="1770" spans="1:7">
      <c r="A1770" s="3"/>
      <c r="B1770" s="3"/>
      <c r="C1770" s="3"/>
      <c r="D1770" s="3"/>
      <c r="E1770" s="3">
        <v>7</v>
      </c>
      <c r="F1770" s="4" t="str">
        <f>HYPERLINK("http://141.218.60.56/~jnz1568/getInfo.php?workbook=14_09.xlsx&amp;sheet=U0&amp;row=1770&amp;col=6&amp;number=3.6&amp;sourceID=14","3.6")</f>
        <v>3.6</v>
      </c>
      <c r="G1770" s="4" t="str">
        <f>HYPERLINK("http://141.218.60.56/~jnz1568/getInfo.php?workbook=14_09.xlsx&amp;sheet=U0&amp;row=1770&amp;col=7&amp;number=0.0334&amp;sourceID=14","0.0334")</f>
        <v>0.0334</v>
      </c>
    </row>
    <row r="1771" spans="1:7">
      <c r="A1771" s="3"/>
      <c r="B1771" s="3"/>
      <c r="C1771" s="3"/>
      <c r="D1771" s="3"/>
      <c r="E1771" s="3">
        <v>8</v>
      </c>
      <c r="F1771" s="4" t="str">
        <f>HYPERLINK("http://141.218.60.56/~jnz1568/getInfo.php?workbook=14_09.xlsx&amp;sheet=U0&amp;row=1771&amp;col=6&amp;number=3.7&amp;sourceID=14","3.7")</f>
        <v>3.7</v>
      </c>
      <c r="G1771" s="4" t="str">
        <f>HYPERLINK("http://141.218.60.56/~jnz1568/getInfo.php?workbook=14_09.xlsx&amp;sheet=U0&amp;row=1771&amp;col=7&amp;number=0.0332&amp;sourceID=14","0.0332")</f>
        <v>0.0332</v>
      </c>
    </row>
    <row r="1772" spans="1:7">
      <c r="A1772" s="3"/>
      <c r="B1772" s="3"/>
      <c r="C1772" s="3"/>
      <c r="D1772" s="3"/>
      <c r="E1772" s="3">
        <v>9</v>
      </c>
      <c r="F1772" s="4" t="str">
        <f>HYPERLINK("http://141.218.60.56/~jnz1568/getInfo.php?workbook=14_09.xlsx&amp;sheet=U0&amp;row=1772&amp;col=6&amp;number=3.8&amp;sourceID=14","3.8")</f>
        <v>3.8</v>
      </c>
      <c r="G1772" s="4" t="str">
        <f>HYPERLINK("http://141.218.60.56/~jnz1568/getInfo.php?workbook=14_09.xlsx&amp;sheet=U0&amp;row=1772&amp;col=7&amp;number=0.0329&amp;sourceID=14","0.0329")</f>
        <v>0.0329</v>
      </c>
    </row>
    <row r="1773" spans="1:7">
      <c r="A1773" s="3"/>
      <c r="B1773" s="3"/>
      <c r="C1773" s="3"/>
      <c r="D1773" s="3"/>
      <c r="E1773" s="3">
        <v>10</v>
      </c>
      <c r="F1773" s="4" t="str">
        <f>HYPERLINK("http://141.218.60.56/~jnz1568/getInfo.php?workbook=14_09.xlsx&amp;sheet=U0&amp;row=1773&amp;col=6&amp;number=3.9&amp;sourceID=14","3.9")</f>
        <v>3.9</v>
      </c>
      <c r="G1773" s="4" t="str">
        <f>HYPERLINK("http://141.218.60.56/~jnz1568/getInfo.php?workbook=14_09.xlsx&amp;sheet=U0&amp;row=1773&amp;col=7&amp;number=0.0326&amp;sourceID=14","0.0326")</f>
        <v>0.0326</v>
      </c>
    </row>
    <row r="1774" spans="1:7">
      <c r="A1774" s="3"/>
      <c r="B1774" s="3"/>
      <c r="C1774" s="3"/>
      <c r="D1774" s="3"/>
      <c r="E1774" s="3">
        <v>11</v>
      </c>
      <c r="F1774" s="4" t="str">
        <f>HYPERLINK("http://141.218.60.56/~jnz1568/getInfo.php?workbook=14_09.xlsx&amp;sheet=U0&amp;row=1774&amp;col=6&amp;number=4&amp;sourceID=14","4")</f>
        <v>4</v>
      </c>
      <c r="G1774" s="4" t="str">
        <f>HYPERLINK("http://141.218.60.56/~jnz1568/getInfo.php?workbook=14_09.xlsx&amp;sheet=U0&amp;row=1774&amp;col=7&amp;number=0.0322&amp;sourceID=14","0.0322")</f>
        <v>0.0322</v>
      </c>
    </row>
    <row r="1775" spans="1:7">
      <c r="A1775" s="3"/>
      <c r="B1775" s="3"/>
      <c r="C1775" s="3"/>
      <c r="D1775" s="3"/>
      <c r="E1775" s="3">
        <v>12</v>
      </c>
      <c r="F1775" s="4" t="str">
        <f>HYPERLINK("http://141.218.60.56/~jnz1568/getInfo.php?workbook=14_09.xlsx&amp;sheet=U0&amp;row=1775&amp;col=6&amp;number=4.1&amp;sourceID=14","4.1")</f>
        <v>4.1</v>
      </c>
      <c r="G1775" s="4" t="str">
        <f>HYPERLINK("http://141.218.60.56/~jnz1568/getInfo.php?workbook=14_09.xlsx&amp;sheet=U0&amp;row=1775&amp;col=7&amp;number=0.0317&amp;sourceID=14","0.0317")</f>
        <v>0.0317</v>
      </c>
    </row>
    <row r="1776" spans="1:7">
      <c r="A1776" s="3"/>
      <c r="B1776" s="3"/>
      <c r="C1776" s="3"/>
      <c r="D1776" s="3"/>
      <c r="E1776" s="3">
        <v>13</v>
      </c>
      <c r="F1776" s="4" t="str">
        <f>HYPERLINK("http://141.218.60.56/~jnz1568/getInfo.php?workbook=14_09.xlsx&amp;sheet=U0&amp;row=1776&amp;col=6&amp;number=4.2&amp;sourceID=14","4.2")</f>
        <v>4.2</v>
      </c>
      <c r="G1776" s="4" t="str">
        <f>HYPERLINK("http://141.218.60.56/~jnz1568/getInfo.php?workbook=14_09.xlsx&amp;sheet=U0&amp;row=1776&amp;col=7&amp;number=0.0311&amp;sourceID=14","0.0311")</f>
        <v>0.0311</v>
      </c>
    </row>
    <row r="1777" spans="1:7">
      <c r="A1777" s="3"/>
      <c r="B1777" s="3"/>
      <c r="C1777" s="3"/>
      <c r="D1777" s="3"/>
      <c r="E1777" s="3">
        <v>14</v>
      </c>
      <c r="F1777" s="4" t="str">
        <f>HYPERLINK("http://141.218.60.56/~jnz1568/getInfo.php?workbook=14_09.xlsx&amp;sheet=U0&amp;row=1777&amp;col=6&amp;number=4.3&amp;sourceID=14","4.3")</f>
        <v>4.3</v>
      </c>
      <c r="G1777" s="4" t="str">
        <f>HYPERLINK("http://141.218.60.56/~jnz1568/getInfo.php?workbook=14_09.xlsx&amp;sheet=U0&amp;row=1777&amp;col=7&amp;number=0.0304&amp;sourceID=14","0.0304")</f>
        <v>0.0304</v>
      </c>
    </row>
    <row r="1778" spans="1:7">
      <c r="A1778" s="3"/>
      <c r="B1778" s="3"/>
      <c r="C1778" s="3"/>
      <c r="D1778" s="3"/>
      <c r="E1778" s="3">
        <v>15</v>
      </c>
      <c r="F1778" s="4" t="str">
        <f>HYPERLINK("http://141.218.60.56/~jnz1568/getInfo.php?workbook=14_09.xlsx&amp;sheet=U0&amp;row=1778&amp;col=6&amp;number=4.4&amp;sourceID=14","4.4")</f>
        <v>4.4</v>
      </c>
      <c r="G1778" s="4" t="str">
        <f>HYPERLINK("http://141.218.60.56/~jnz1568/getInfo.php?workbook=14_09.xlsx&amp;sheet=U0&amp;row=1778&amp;col=7&amp;number=0.0295&amp;sourceID=14","0.0295")</f>
        <v>0.0295</v>
      </c>
    </row>
    <row r="1779" spans="1:7">
      <c r="A1779" s="3"/>
      <c r="B1779" s="3"/>
      <c r="C1779" s="3"/>
      <c r="D1779" s="3"/>
      <c r="E1779" s="3">
        <v>16</v>
      </c>
      <c r="F1779" s="4" t="str">
        <f>HYPERLINK("http://141.218.60.56/~jnz1568/getInfo.php?workbook=14_09.xlsx&amp;sheet=U0&amp;row=1779&amp;col=6&amp;number=4.5&amp;sourceID=14","4.5")</f>
        <v>4.5</v>
      </c>
      <c r="G1779" s="4" t="str">
        <f>HYPERLINK("http://141.218.60.56/~jnz1568/getInfo.php?workbook=14_09.xlsx&amp;sheet=U0&amp;row=1779&amp;col=7&amp;number=0.0285&amp;sourceID=14","0.0285")</f>
        <v>0.0285</v>
      </c>
    </row>
    <row r="1780" spans="1:7">
      <c r="A1780" s="3"/>
      <c r="B1780" s="3"/>
      <c r="C1780" s="3"/>
      <c r="D1780" s="3"/>
      <c r="E1780" s="3">
        <v>17</v>
      </c>
      <c r="F1780" s="4" t="str">
        <f>HYPERLINK("http://141.218.60.56/~jnz1568/getInfo.php?workbook=14_09.xlsx&amp;sheet=U0&amp;row=1780&amp;col=6&amp;number=4.6&amp;sourceID=14","4.6")</f>
        <v>4.6</v>
      </c>
      <c r="G1780" s="4" t="str">
        <f>HYPERLINK("http://141.218.60.56/~jnz1568/getInfo.php?workbook=14_09.xlsx&amp;sheet=U0&amp;row=1780&amp;col=7&amp;number=0.0273&amp;sourceID=14","0.0273")</f>
        <v>0.0273</v>
      </c>
    </row>
    <row r="1781" spans="1:7">
      <c r="A1781" s="3"/>
      <c r="B1781" s="3"/>
      <c r="C1781" s="3"/>
      <c r="D1781" s="3"/>
      <c r="E1781" s="3">
        <v>18</v>
      </c>
      <c r="F1781" s="4" t="str">
        <f>HYPERLINK("http://141.218.60.56/~jnz1568/getInfo.php?workbook=14_09.xlsx&amp;sheet=U0&amp;row=1781&amp;col=6&amp;number=4.7&amp;sourceID=14","4.7")</f>
        <v>4.7</v>
      </c>
      <c r="G1781" s="4" t="str">
        <f>HYPERLINK("http://141.218.60.56/~jnz1568/getInfo.php?workbook=14_09.xlsx&amp;sheet=U0&amp;row=1781&amp;col=7&amp;number=0.0261&amp;sourceID=14","0.0261")</f>
        <v>0.0261</v>
      </c>
    </row>
    <row r="1782" spans="1:7">
      <c r="A1782" s="3"/>
      <c r="B1782" s="3"/>
      <c r="C1782" s="3"/>
      <c r="D1782" s="3"/>
      <c r="E1782" s="3">
        <v>19</v>
      </c>
      <c r="F1782" s="4" t="str">
        <f>HYPERLINK("http://141.218.60.56/~jnz1568/getInfo.php?workbook=14_09.xlsx&amp;sheet=U0&amp;row=1782&amp;col=6&amp;number=4.8&amp;sourceID=14","4.8")</f>
        <v>4.8</v>
      </c>
      <c r="G1782" s="4" t="str">
        <f>HYPERLINK("http://141.218.60.56/~jnz1568/getInfo.php?workbook=14_09.xlsx&amp;sheet=U0&amp;row=1782&amp;col=7&amp;number=0.0249&amp;sourceID=14","0.0249")</f>
        <v>0.0249</v>
      </c>
    </row>
    <row r="1783" spans="1:7">
      <c r="A1783" s="3"/>
      <c r="B1783" s="3"/>
      <c r="C1783" s="3"/>
      <c r="D1783" s="3"/>
      <c r="E1783" s="3">
        <v>20</v>
      </c>
      <c r="F1783" s="4" t="str">
        <f>HYPERLINK("http://141.218.60.56/~jnz1568/getInfo.php?workbook=14_09.xlsx&amp;sheet=U0&amp;row=1783&amp;col=6&amp;number=4.9&amp;sourceID=14","4.9")</f>
        <v>4.9</v>
      </c>
      <c r="G1783" s="4" t="str">
        <f>HYPERLINK("http://141.218.60.56/~jnz1568/getInfo.php?workbook=14_09.xlsx&amp;sheet=U0&amp;row=1783&amp;col=7&amp;number=0.024&amp;sourceID=14","0.024")</f>
        <v>0.024</v>
      </c>
    </row>
    <row r="1784" spans="1:7">
      <c r="A1784" s="3">
        <v>14</v>
      </c>
      <c r="B1784" s="3">
        <v>9</v>
      </c>
      <c r="C1784" s="3">
        <v>1</v>
      </c>
      <c r="D1784" s="3">
        <v>91</v>
      </c>
      <c r="E1784" s="3">
        <v>1</v>
      </c>
      <c r="F1784" s="4" t="str">
        <f>HYPERLINK("http://141.218.60.56/~jnz1568/getInfo.php?workbook=14_09.xlsx&amp;sheet=U0&amp;row=1784&amp;col=6&amp;number=3&amp;sourceID=14","3")</f>
        <v>3</v>
      </c>
      <c r="G1784" s="4" t="str">
        <f>HYPERLINK("http://141.218.60.56/~jnz1568/getInfo.php?workbook=14_09.xlsx&amp;sheet=U0&amp;row=1784&amp;col=7&amp;number=0.0286&amp;sourceID=14","0.0286")</f>
        <v>0.0286</v>
      </c>
    </row>
    <row r="1785" spans="1:7">
      <c r="A1785" s="3"/>
      <c r="B1785" s="3"/>
      <c r="C1785" s="3"/>
      <c r="D1785" s="3"/>
      <c r="E1785" s="3">
        <v>2</v>
      </c>
      <c r="F1785" s="4" t="str">
        <f>HYPERLINK("http://141.218.60.56/~jnz1568/getInfo.php?workbook=14_09.xlsx&amp;sheet=U0&amp;row=1785&amp;col=6&amp;number=3.1&amp;sourceID=14","3.1")</f>
        <v>3.1</v>
      </c>
      <c r="G1785" s="4" t="str">
        <f>HYPERLINK("http://141.218.60.56/~jnz1568/getInfo.php?workbook=14_09.xlsx&amp;sheet=U0&amp;row=1785&amp;col=7&amp;number=0.0285&amp;sourceID=14","0.0285")</f>
        <v>0.0285</v>
      </c>
    </row>
    <row r="1786" spans="1:7">
      <c r="A1786" s="3"/>
      <c r="B1786" s="3"/>
      <c r="C1786" s="3"/>
      <c r="D1786" s="3"/>
      <c r="E1786" s="3">
        <v>3</v>
      </c>
      <c r="F1786" s="4" t="str">
        <f>HYPERLINK("http://141.218.60.56/~jnz1568/getInfo.php?workbook=14_09.xlsx&amp;sheet=U0&amp;row=1786&amp;col=6&amp;number=3.2&amp;sourceID=14","3.2")</f>
        <v>3.2</v>
      </c>
      <c r="G1786" s="4" t="str">
        <f>HYPERLINK("http://141.218.60.56/~jnz1568/getInfo.php?workbook=14_09.xlsx&amp;sheet=U0&amp;row=1786&amp;col=7&amp;number=0.0285&amp;sourceID=14","0.0285")</f>
        <v>0.0285</v>
      </c>
    </row>
    <row r="1787" spans="1:7">
      <c r="A1787" s="3"/>
      <c r="B1787" s="3"/>
      <c r="C1787" s="3"/>
      <c r="D1787" s="3"/>
      <c r="E1787" s="3">
        <v>4</v>
      </c>
      <c r="F1787" s="4" t="str">
        <f>HYPERLINK("http://141.218.60.56/~jnz1568/getInfo.php?workbook=14_09.xlsx&amp;sheet=U0&amp;row=1787&amp;col=6&amp;number=3.3&amp;sourceID=14","3.3")</f>
        <v>3.3</v>
      </c>
      <c r="G1787" s="4" t="str">
        <f>HYPERLINK("http://141.218.60.56/~jnz1568/getInfo.php?workbook=14_09.xlsx&amp;sheet=U0&amp;row=1787&amp;col=7&amp;number=0.0284&amp;sourceID=14","0.0284")</f>
        <v>0.0284</v>
      </c>
    </row>
    <row r="1788" spans="1:7">
      <c r="A1788" s="3"/>
      <c r="B1788" s="3"/>
      <c r="C1788" s="3"/>
      <c r="D1788" s="3"/>
      <c r="E1788" s="3">
        <v>5</v>
      </c>
      <c r="F1788" s="4" t="str">
        <f>HYPERLINK("http://141.218.60.56/~jnz1568/getInfo.php?workbook=14_09.xlsx&amp;sheet=U0&amp;row=1788&amp;col=6&amp;number=3.4&amp;sourceID=14","3.4")</f>
        <v>3.4</v>
      </c>
      <c r="G1788" s="4" t="str">
        <f>HYPERLINK("http://141.218.60.56/~jnz1568/getInfo.php?workbook=14_09.xlsx&amp;sheet=U0&amp;row=1788&amp;col=7&amp;number=0.0283&amp;sourceID=14","0.0283")</f>
        <v>0.0283</v>
      </c>
    </row>
    <row r="1789" spans="1:7">
      <c r="A1789" s="3"/>
      <c r="B1789" s="3"/>
      <c r="C1789" s="3"/>
      <c r="D1789" s="3"/>
      <c r="E1789" s="3">
        <v>6</v>
      </c>
      <c r="F1789" s="4" t="str">
        <f>HYPERLINK("http://141.218.60.56/~jnz1568/getInfo.php?workbook=14_09.xlsx&amp;sheet=U0&amp;row=1789&amp;col=6&amp;number=3.5&amp;sourceID=14","3.5")</f>
        <v>3.5</v>
      </c>
      <c r="G1789" s="4" t="str">
        <f>HYPERLINK("http://141.218.60.56/~jnz1568/getInfo.php?workbook=14_09.xlsx&amp;sheet=U0&amp;row=1789&amp;col=7&amp;number=0.0281&amp;sourceID=14","0.0281")</f>
        <v>0.0281</v>
      </c>
    </row>
    <row r="1790" spans="1:7">
      <c r="A1790" s="3"/>
      <c r="B1790" s="3"/>
      <c r="C1790" s="3"/>
      <c r="D1790" s="3"/>
      <c r="E1790" s="3">
        <v>7</v>
      </c>
      <c r="F1790" s="4" t="str">
        <f>HYPERLINK("http://141.218.60.56/~jnz1568/getInfo.php?workbook=14_09.xlsx&amp;sheet=U0&amp;row=1790&amp;col=6&amp;number=3.6&amp;sourceID=14","3.6")</f>
        <v>3.6</v>
      </c>
      <c r="G1790" s="4" t="str">
        <f>HYPERLINK("http://141.218.60.56/~jnz1568/getInfo.php?workbook=14_09.xlsx&amp;sheet=U0&amp;row=1790&amp;col=7&amp;number=0.028&amp;sourceID=14","0.028")</f>
        <v>0.028</v>
      </c>
    </row>
    <row r="1791" spans="1:7">
      <c r="A1791" s="3"/>
      <c r="B1791" s="3"/>
      <c r="C1791" s="3"/>
      <c r="D1791" s="3"/>
      <c r="E1791" s="3">
        <v>8</v>
      </c>
      <c r="F1791" s="4" t="str">
        <f>HYPERLINK("http://141.218.60.56/~jnz1568/getInfo.php?workbook=14_09.xlsx&amp;sheet=U0&amp;row=1791&amp;col=6&amp;number=3.7&amp;sourceID=14","3.7")</f>
        <v>3.7</v>
      </c>
      <c r="G1791" s="4" t="str">
        <f>HYPERLINK("http://141.218.60.56/~jnz1568/getInfo.php?workbook=14_09.xlsx&amp;sheet=U0&amp;row=1791&amp;col=7&amp;number=0.0277&amp;sourceID=14","0.0277")</f>
        <v>0.0277</v>
      </c>
    </row>
    <row r="1792" spans="1:7">
      <c r="A1792" s="3"/>
      <c r="B1792" s="3"/>
      <c r="C1792" s="3"/>
      <c r="D1792" s="3"/>
      <c r="E1792" s="3">
        <v>9</v>
      </c>
      <c r="F1792" s="4" t="str">
        <f>HYPERLINK("http://141.218.60.56/~jnz1568/getInfo.php?workbook=14_09.xlsx&amp;sheet=U0&amp;row=1792&amp;col=6&amp;number=3.8&amp;sourceID=14","3.8")</f>
        <v>3.8</v>
      </c>
      <c r="G1792" s="4" t="str">
        <f>HYPERLINK("http://141.218.60.56/~jnz1568/getInfo.php?workbook=14_09.xlsx&amp;sheet=U0&amp;row=1792&amp;col=7&amp;number=0.0275&amp;sourceID=14","0.0275")</f>
        <v>0.0275</v>
      </c>
    </row>
    <row r="1793" spans="1:7">
      <c r="A1793" s="3"/>
      <c r="B1793" s="3"/>
      <c r="C1793" s="3"/>
      <c r="D1793" s="3"/>
      <c r="E1793" s="3">
        <v>10</v>
      </c>
      <c r="F1793" s="4" t="str">
        <f>HYPERLINK("http://141.218.60.56/~jnz1568/getInfo.php?workbook=14_09.xlsx&amp;sheet=U0&amp;row=1793&amp;col=6&amp;number=3.9&amp;sourceID=14","3.9")</f>
        <v>3.9</v>
      </c>
      <c r="G1793" s="4" t="str">
        <f>HYPERLINK("http://141.218.60.56/~jnz1568/getInfo.php?workbook=14_09.xlsx&amp;sheet=U0&amp;row=1793&amp;col=7&amp;number=0.0271&amp;sourceID=14","0.0271")</f>
        <v>0.0271</v>
      </c>
    </row>
    <row r="1794" spans="1:7">
      <c r="A1794" s="3"/>
      <c r="B1794" s="3"/>
      <c r="C1794" s="3"/>
      <c r="D1794" s="3"/>
      <c r="E1794" s="3">
        <v>11</v>
      </c>
      <c r="F1794" s="4" t="str">
        <f>HYPERLINK("http://141.218.60.56/~jnz1568/getInfo.php?workbook=14_09.xlsx&amp;sheet=U0&amp;row=1794&amp;col=6&amp;number=4&amp;sourceID=14","4")</f>
        <v>4</v>
      </c>
      <c r="G1794" s="4" t="str">
        <f>HYPERLINK("http://141.218.60.56/~jnz1568/getInfo.php?workbook=14_09.xlsx&amp;sheet=U0&amp;row=1794&amp;col=7&amp;number=0.0267&amp;sourceID=14","0.0267")</f>
        <v>0.0267</v>
      </c>
    </row>
    <row r="1795" spans="1:7">
      <c r="A1795" s="3"/>
      <c r="B1795" s="3"/>
      <c r="C1795" s="3"/>
      <c r="D1795" s="3"/>
      <c r="E1795" s="3">
        <v>12</v>
      </c>
      <c r="F1795" s="4" t="str">
        <f>HYPERLINK("http://141.218.60.56/~jnz1568/getInfo.php?workbook=14_09.xlsx&amp;sheet=U0&amp;row=1795&amp;col=6&amp;number=4.1&amp;sourceID=14","4.1")</f>
        <v>4.1</v>
      </c>
      <c r="G1795" s="4" t="str">
        <f>HYPERLINK("http://141.218.60.56/~jnz1568/getInfo.php?workbook=14_09.xlsx&amp;sheet=U0&amp;row=1795&amp;col=7&amp;number=0.0262&amp;sourceID=14","0.0262")</f>
        <v>0.0262</v>
      </c>
    </row>
    <row r="1796" spans="1:7">
      <c r="A1796" s="3"/>
      <c r="B1796" s="3"/>
      <c r="C1796" s="3"/>
      <c r="D1796" s="3"/>
      <c r="E1796" s="3">
        <v>13</v>
      </c>
      <c r="F1796" s="4" t="str">
        <f>HYPERLINK("http://141.218.60.56/~jnz1568/getInfo.php?workbook=14_09.xlsx&amp;sheet=U0&amp;row=1796&amp;col=6&amp;number=4.2&amp;sourceID=14","4.2")</f>
        <v>4.2</v>
      </c>
      <c r="G1796" s="4" t="str">
        <f>HYPERLINK("http://141.218.60.56/~jnz1568/getInfo.php?workbook=14_09.xlsx&amp;sheet=U0&amp;row=1796&amp;col=7&amp;number=0.0256&amp;sourceID=14","0.0256")</f>
        <v>0.0256</v>
      </c>
    </row>
    <row r="1797" spans="1:7">
      <c r="A1797" s="3"/>
      <c r="B1797" s="3"/>
      <c r="C1797" s="3"/>
      <c r="D1797" s="3"/>
      <c r="E1797" s="3">
        <v>14</v>
      </c>
      <c r="F1797" s="4" t="str">
        <f>HYPERLINK("http://141.218.60.56/~jnz1568/getInfo.php?workbook=14_09.xlsx&amp;sheet=U0&amp;row=1797&amp;col=6&amp;number=4.3&amp;sourceID=14","4.3")</f>
        <v>4.3</v>
      </c>
      <c r="G1797" s="4" t="str">
        <f>HYPERLINK("http://141.218.60.56/~jnz1568/getInfo.php?workbook=14_09.xlsx&amp;sheet=U0&amp;row=1797&amp;col=7&amp;number=0.0248&amp;sourceID=14","0.0248")</f>
        <v>0.0248</v>
      </c>
    </row>
    <row r="1798" spans="1:7">
      <c r="A1798" s="3"/>
      <c r="B1798" s="3"/>
      <c r="C1798" s="3"/>
      <c r="D1798" s="3"/>
      <c r="E1798" s="3">
        <v>15</v>
      </c>
      <c r="F1798" s="4" t="str">
        <f>HYPERLINK("http://141.218.60.56/~jnz1568/getInfo.php?workbook=14_09.xlsx&amp;sheet=U0&amp;row=1798&amp;col=6&amp;number=4.4&amp;sourceID=14","4.4")</f>
        <v>4.4</v>
      </c>
      <c r="G1798" s="4" t="str">
        <f>HYPERLINK("http://141.218.60.56/~jnz1568/getInfo.php?workbook=14_09.xlsx&amp;sheet=U0&amp;row=1798&amp;col=7&amp;number=0.0239&amp;sourceID=14","0.0239")</f>
        <v>0.0239</v>
      </c>
    </row>
    <row r="1799" spans="1:7">
      <c r="A1799" s="3"/>
      <c r="B1799" s="3"/>
      <c r="C1799" s="3"/>
      <c r="D1799" s="3"/>
      <c r="E1799" s="3">
        <v>16</v>
      </c>
      <c r="F1799" s="4" t="str">
        <f>HYPERLINK("http://141.218.60.56/~jnz1568/getInfo.php?workbook=14_09.xlsx&amp;sheet=U0&amp;row=1799&amp;col=6&amp;number=4.5&amp;sourceID=14","4.5")</f>
        <v>4.5</v>
      </c>
      <c r="G1799" s="4" t="str">
        <f>HYPERLINK("http://141.218.60.56/~jnz1568/getInfo.php?workbook=14_09.xlsx&amp;sheet=U0&amp;row=1799&amp;col=7&amp;number=0.0229&amp;sourceID=14","0.0229")</f>
        <v>0.0229</v>
      </c>
    </row>
    <row r="1800" spans="1:7">
      <c r="A1800" s="3"/>
      <c r="B1800" s="3"/>
      <c r="C1800" s="3"/>
      <c r="D1800" s="3"/>
      <c r="E1800" s="3">
        <v>17</v>
      </c>
      <c r="F1800" s="4" t="str">
        <f>HYPERLINK("http://141.218.60.56/~jnz1568/getInfo.php?workbook=14_09.xlsx&amp;sheet=U0&amp;row=1800&amp;col=6&amp;number=4.6&amp;sourceID=14","4.6")</f>
        <v>4.6</v>
      </c>
      <c r="G1800" s="4" t="str">
        <f>HYPERLINK("http://141.218.60.56/~jnz1568/getInfo.php?workbook=14_09.xlsx&amp;sheet=U0&amp;row=1800&amp;col=7&amp;number=0.0217&amp;sourceID=14","0.0217")</f>
        <v>0.0217</v>
      </c>
    </row>
    <row r="1801" spans="1:7">
      <c r="A1801" s="3"/>
      <c r="B1801" s="3"/>
      <c r="C1801" s="3"/>
      <c r="D1801" s="3"/>
      <c r="E1801" s="3">
        <v>18</v>
      </c>
      <c r="F1801" s="4" t="str">
        <f>HYPERLINK("http://141.218.60.56/~jnz1568/getInfo.php?workbook=14_09.xlsx&amp;sheet=U0&amp;row=1801&amp;col=6&amp;number=4.7&amp;sourceID=14","4.7")</f>
        <v>4.7</v>
      </c>
      <c r="G1801" s="4" t="str">
        <f>HYPERLINK("http://141.218.60.56/~jnz1568/getInfo.php?workbook=14_09.xlsx&amp;sheet=U0&amp;row=1801&amp;col=7&amp;number=0.0205&amp;sourceID=14","0.0205")</f>
        <v>0.0205</v>
      </c>
    </row>
    <row r="1802" spans="1:7">
      <c r="A1802" s="3"/>
      <c r="B1802" s="3"/>
      <c r="C1802" s="3"/>
      <c r="D1802" s="3"/>
      <c r="E1802" s="3">
        <v>19</v>
      </c>
      <c r="F1802" s="4" t="str">
        <f>HYPERLINK("http://141.218.60.56/~jnz1568/getInfo.php?workbook=14_09.xlsx&amp;sheet=U0&amp;row=1802&amp;col=6&amp;number=4.8&amp;sourceID=14","4.8")</f>
        <v>4.8</v>
      </c>
      <c r="G1802" s="4" t="str">
        <f>HYPERLINK("http://141.218.60.56/~jnz1568/getInfo.php?workbook=14_09.xlsx&amp;sheet=U0&amp;row=1802&amp;col=7&amp;number=0.0193&amp;sourceID=14","0.0193")</f>
        <v>0.0193</v>
      </c>
    </row>
    <row r="1803" spans="1:7">
      <c r="A1803" s="3"/>
      <c r="B1803" s="3"/>
      <c r="C1803" s="3"/>
      <c r="D1803" s="3"/>
      <c r="E1803" s="3">
        <v>20</v>
      </c>
      <c r="F1803" s="4" t="str">
        <f>HYPERLINK("http://141.218.60.56/~jnz1568/getInfo.php?workbook=14_09.xlsx&amp;sheet=U0&amp;row=1803&amp;col=6&amp;number=4.9&amp;sourceID=14","4.9")</f>
        <v>4.9</v>
      </c>
      <c r="G1803" s="4" t="str">
        <f>HYPERLINK("http://141.218.60.56/~jnz1568/getInfo.php?workbook=14_09.xlsx&amp;sheet=U0&amp;row=1803&amp;col=7&amp;number=0.0184&amp;sourceID=14","0.0184")</f>
        <v>0.0184</v>
      </c>
    </row>
    <row r="1804" spans="1:7">
      <c r="A1804" s="3">
        <v>14</v>
      </c>
      <c r="B1804" s="3">
        <v>9</v>
      </c>
      <c r="C1804" s="3">
        <v>1</v>
      </c>
      <c r="D1804" s="3">
        <v>92</v>
      </c>
      <c r="E1804" s="3">
        <v>1</v>
      </c>
      <c r="F1804" s="4" t="str">
        <f>HYPERLINK("http://141.218.60.56/~jnz1568/getInfo.php?workbook=14_09.xlsx&amp;sheet=U0&amp;row=1804&amp;col=6&amp;number=3&amp;sourceID=14","3")</f>
        <v>3</v>
      </c>
      <c r="G1804" s="4" t="str">
        <f>HYPERLINK("http://141.218.60.56/~jnz1568/getInfo.php?workbook=14_09.xlsx&amp;sheet=U0&amp;row=1804&amp;col=7&amp;number=0.0075&amp;sourceID=14","0.0075")</f>
        <v>0.0075</v>
      </c>
    </row>
    <row r="1805" spans="1:7">
      <c r="A1805" s="3"/>
      <c r="B1805" s="3"/>
      <c r="C1805" s="3"/>
      <c r="D1805" s="3"/>
      <c r="E1805" s="3">
        <v>2</v>
      </c>
      <c r="F1805" s="4" t="str">
        <f>HYPERLINK("http://141.218.60.56/~jnz1568/getInfo.php?workbook=14_09.xlsx&amp;sheet=U0&amp;row=1805&amp;col=6&amp;number=3.1&amp;sourceID=14","3.1")</f>
        <v>3.1</v>
      </c>
      <c r="G1805" s="4" t="str">
        <f>HYPERLINK("http://141.218.60.56/~jnz1568/getInfo.php?workbook=14_09.xlsx&amp;sheet=U0&amp;row=1805&amp;col=7&amp;number=0.00748&amp;sourceID=14","0.00748")</f>
        <v>0.00748</v>
      </c>
    </row>
    <row r="1806" spans="1:7">
      <c r="A1806" s="3"/>
      <c r="B1806" s="3"/>
      <c r="C1806" s="3"/>
      <c r="D1806" s="3"/>
      <c r="E1806" s="3">
        <v>3</v>
      </c>
      <c r="F1806" s="4" t="str">
        <f>HYPERLINK("http://141.218.60.56/~jnz1568/getInfo.php?workbook=14_09.xlsx&amp;sheet=U0&amp;row=1806&amp;col=6&amp;number=3.2&amp;sourceID=14","3.2")</f>
        <v>3.2</v>
      </c>
      <c r="G1806" s="4" t="str">
        <f>HYPERLINK("http://141.218.60.56/~jnz1568/getInfo.php?workbook=14_09.xlsx&amp;sheet=U0&amp;row=1806&amp;col=7&amp;number=0.00746&amp;sourceID=14","0.00746")</f>
        <v>0.00746</v>
      </c>
    </row>
    <row r="1807" spans="1:7">
      <c r="A1807" s="3"/>
      <c r="B1807" s="3"/>
      <c r="C1807" s="3"/>
      <c r="D1807" s="3"/>
      <c r="E1807" s="3">
        <v>4</v>
      </c>
      <c r="F1807" s="4" t="str">
        <f>HYPERLINK("http://141.218.60.56/~jnz1568/getInfo.php?workbook=14_09.xlsx&amp;sheet=U0&amp;row=1807&amp;col=6&amp;number=3.3&amp;sourceID=14","3.3")</f>
        <v>3.3</v>
      </c>
      <c r="G1807" s="4" t="str">
        <f>HYPERLINK("http://141.218.60.56/~jnz1568/getInfo.php?workbook=14_09.xlsx&amp;sheet=U0&amp;row=1807&amp;col=7&amp;number=0.00744&amp;sourceID=14","0.00744")</f>
        <v>0.00744</v>
      </c>
    </row>
    <row r="1808" spans="1:7">
      <c r="A1808" s="3"/>
      <c r="B1808" s="3"/>
      <c r="C1808" s="3"/>
      <c r="D1808" s="3"/>
      <c r="E1808" s="3">
        <v>5</v>
      </c>
      <c r="F1808" s="4" t="str">
        <f>HYPERLINK("http://141.218.60.56/~jnz1568/getInfo.php?workbook=14_09.xlsx&amp;sheet=U0&amp;row=1808&amp;col=6&amp;number=3.4&amp;sourceID=14","3.4")</f>
        <v>3.4</v>
      </c>
      <c r="G1808" s="4" t="str">
        <f>HYPERLINK("http://141.218.60.56/~jnz1568/getInfo.php?workbook=14_09.xlsx&amp;sheet=U0&amp;row=1808&amp;col=7&amp;number=0.00741&amp;sourceID=14","0.00741")</f>
        <v>0.00741</v>
      </c>
    </row>
    <row r="1809" spans="1:7">
      <c r="A1809" s="3"/>
      <c r="B1809" s="3"/>
      <c r="C1809" s="3"/>
      <c r="D1809" s="3"/>
      <c r="E1809" s="3">
        <v>6</v>
      </c>
      <c r="F1809" s="4" t="str">
        <f>HYPERLINK("http://141.218.60.56/~jnz1568/getInfo.php?workbook=14_09.xlsx&amp;sheet=U0&amp;row=1809&amp;col=6&amp;number=3.5&amp;sourceID=14","3.5")</f>
        <v>3.5</v>
      </c>
      <c r="G1809" s="4" t="str">
        <f>HYPERLINK("http://141.218.60.56/~jnz1568/getInfo.php?workbook=14_09.xlsx&amp;sheet=U0&amp;row=1809&amp;col=7&amp;number=0.00737&amp;sourceID=14","0.00737")</f>
        <v>0.00737</v>
      </c>
    </row>
    <row r="1810" spans="1:7">
      <c r="A1810" s="3"/>
      <c r="B1810" s="3"/>
      <c r="C1810" s="3"/>
      <c r="D1810" s="3"/>
      <c r="E1810" s="3">
        <v>7</v>
      </c>
      <c r="F1810" s="4" t="str">
        <f>HYPERLINK("http://141.218.60.56/~jnz1568/getInfo.php?workbook=14_09.xlsx&amp;sheet=U0&amp;row=1810&amp;col=6&amp;number=3.6&amp;sourceID=14","3.6")</f>
        <v>3.6</v>
      </c>
      <c r="G1810" s="4" t="str">
        <f>HYPERLINK("http://141.218.60.56/~jnz1568/getInfo.php?workbook=14_09.xlsx&amp;sheet=U0&amp;row=1810&amp;col=7&amp;number=0.00733&amp;sourceID=14","0.00733")</f>
        <v>0.00733</v>
      </c>
    </row>
    <row r="1811" spans="1:7">
      <c r="A1811" s="3"/>
      <c r="B1811" s="3"/>
      <c r="C1811" s="3"/>
      <c r="D1811" s="3"/>
      <c r="E1811" s="3">
        <v>8</v>
      </c>
      <c r="F1811" s="4" t="str">
        <f>HYPERLINK("http://141.218.60.56/~jnz1568/getInfo.php?workbook=14_09.xlsx&amp;sheet=U0&amp;row=1811&amp;col=6&amp;number=3.7&amp;sourceID=14","3.7")</f>
        <v>3.7</v>
      </c>
      <c r="G1811" s="4" t="str">
        <f>HYPERLINK("http://141.218.60.56/~jnz1568/getInfo.php?workbook=14_09.xlsx&amp;sheet=U0&amp;row=1811&amp;col=7&amp;number=0.00727&amp;sourceID=14","0.00727")</f>
        <v>0.00727</v>
      </c>
    </row>
    <row r="1812" spans="1:7">
      <c r="A1812" s="3"/>
      <c r="B1812" s="3"/>
      <c r="C1812" s="3"/>
      <c r="D1812" s="3"/>
      <c r="E1812" s="3">
        <v>9</v>
      </c>
      <c r="F1812" s="4" t="str">
        <f>HYPERLINK("http://141.218.60.56/~jnz1568/getInfo.php?workbook=14_09.xlsx&amp;sheet=U0&amp;row=1812&amp;col=6&amp;number=3.8&amp;sourceID=14","3.8")</f>
        <v>3.8</v>
      </c>
      <c r="G1812" s="4" t="str">
        <f>HYPERLINK("http://141.218.60.56/~jnz1568/getInfo.php?workbook=14_09.xlsx&amp;sheet=U0&amp;row=1812&amp;col=7&amp;number=0.0072&amp;sourceID=14","0.0072")</f>
        <v>0.0072</v>
      </c>
    </row>
    <row r="1813" spans="1:7">
      <c r="A1813" s="3"/>
      <c r="B1813" s="3"/>
      <c r="C1813" s="3"/>
      <c r="D1813" s="3"/>
      <c r="E1813" s="3">
        <v>10</v>
      </c>
      <c r="F1813" s="4" t="str">
        <f>HYPERLINK("http://141.218.60.56/~jnz1568/getInfo.php?workbook=14_09.xlsx&amp;sheet=U0&amp;row=1813&amp;col=6&amp;number=3.9&amp;sourceID=14","3.9")</f>
        <v>3.9</v>
      </c>
      <c r="G1813" s="4" t="str">
        <f>HYPERLINK("http://141.218.60.56/~jnz1568/getInfo.php?workbook=14_09.xlsx&amp;sheet=U0&amp;row=1813&amp;col=7&amp;number=0.00711&amp;sourceID=14","0.00711")</f>
        <v>0.00711</v>
      </c>
    </row>
    <row r="1814" spans="1:7">
      <c r="A1814" s="3"/>
      <c r="B1814" s="3"/>
      <c r="C1814" s="3"/>
      <c r="D1814" s="3"/>
      <c r="E1814" s="3">
        <v>11</v>
      </c>
      <c r="F1814" s="4" t="str">
        <f>HYPERLINK("http://141.218.60.56/~jnz1568/getInfo.php?workbook=14_09.xlsx&amp;sheet=U0&amp;row=1814&amp;col=6&amp;number=4&amp;sourceID=14","4")</f>
        <v>4</v>
      </c>
      <c r="G1814" s="4" t="str">
        <f>HYPERLINK("http://141.218.60.56/~jnz1568/getInfo.php?workbook=14_09.xlsx&amp;sheet=U0&amp;row=1814&amp;col=7&amp;number=0.007&amp;sourceID=14","0.007")</f>
        <v>0.007</v>
      </c>
    </row>
    <row r="1815" spans="1:7">
      <c r="A1815" s="3"/>
      <c r="B1815" s="3"/>
      <c r="C1815" s="3"/>
      <c r="D1815" s="3"/>
      <c r="E1815" s="3">
        <v>12</v>
      </c>
      <c r="F1815" s="4" t="str">
        <f>HYPERLINK("http://141.218.60.56/~jnz1568/getInfo.php?workbook=14_09.xlsx&amp;sheet=U0&amp;row=1815&amp;col=6&amp;number=4.1&amp;sourceID=14","4.1")</f>
        <v>4.1</v>
      </c>
      <c r="G1815" s="4" t="str">
        <f>HYPERLINK("http://141.218.60.56/~jnz1568/getInfo.php?workbook=14_09.xlsx&amp;sheet=U0&amp;row=1815&amp;col=7&amp;number=0.00686&amp;sourceID=14","0.00686")</f>
        <v>0.00686</v>
      </c>
    </row>
    <row r="1816" spans="1:7">
      <c r="A1816" s="3"/>
      <c r="B1816" s="3"/>
      <c r="C1816" s="3"/>
      <c r="D1816" s="3"/>
      <c r="E1816" s="3">
        <v>13</v>
      </c>
      <c r="F1816" s="4" t="str">
        <f>HYPERLINK("http://141.218.60.56/~jnz1568/getInfo.php?workbook=14_09.xlsx&amp;sheet=U0&amp;row=1816&amp;col=6&amp;number=4.2&amp;sourceID=14","4.2")</f>
        <v>4.2</v>
      </c>
      <c r="G1816" s="4" t="str">
        <f>HYPERLINK("http://141.218.60.56/~jnz1568/getInfo.php?workbook=14_09.xlsx&amp;sheet=U0&amp;row=1816&amp;col=7&amp;number=0.00669&amp;sourceID=14","0.00669")</f>
        <v>0.00669</v>
      </c>
    </row>
    <row r="1817" spans="1:7">
      <c r="A1817" s="3"/>
      <c r="B1817" s="3"/>
      <c r="C1817" s="3"/>
      <c r="D1817" s="3"/>
      <c r="E1817" s="3">
        <v>14</v>
      </c>
      <c r="F1817" s="4" t="str">
        <f>HYPERLINK("http://141.218.60.56/~jnz1568/getInfo.php?workbook=14_09.xlsx&amp;sheet=U0&amp;row=1817&amp;col=6&amp;number=4.3&amp;sourceID=14","4.3")</f>
        <v>4.3</v>
      </c>
      <c r="G1817" s="4" t="str">
        <f>HYPERLINK("http://141.218.60.56/~jnz1568/getInfo.php?workbook=14_09.xlsx&amp;sheet=U0&amp;row=1817&amp;col=7&amp;number=0.00649&amp;sourceID=14","0.00649")</f>
        <v>0.00649</v>
      </c>
    </row>
    <row r="1818" spans="1:7">
      <c r="A1818" s="3"/>
      <c r="B1818" s="3"/>
      <c r="C1818" s="3"/>
      <c r="D1818" s="3"/>
      <c r="E1818" s="3">
        <v>15</v>
      </c>
      <c r="F1818" s="4" t="str">
        <f>HYPERLINK("http://141.218.60.56/~jnz1568/getInfo.php?workbook=14_09.xlsx&amp;sheet=U0&amp;row=1818&amp;col=6&amp;number=4.4&amp;sourceID=14","4.4")</f>
        <v>4.4</v>
      </c>
      <c r="G1818" s="4" t="str">
        <f>HYPERLINK("http://141.218.60.56/~jnz1568/getInfo.php?workbook=14_09.xlsx&amp;sheet=U0&amp;row=1818&amp;col=7&amp;number=0.00625&amp;sourceID=14","0.00625")</f>
        <v>0.00625</v>
      </c>
    </row>
    <row r="1819" spans="1:7">
      <c r="A1819" s="3"/>
      <c r="B1819" s="3"/>
      <c r="C1819" s="3"/>
      <c r="D1819" s="3"/>
      <c r="E1819" s="3">
        <v>16</v>
      </c>
      <c r="F1819" s="4" t="str">
        <f>HYPERLINK("http://141.218.60.56/~jnz1568/getInfo.php?workbook=14_09.xlsx&amp;sheet=U0&amp;row=1819&amp;col=6&amp;number=4.5&amp;sourceID=14","4.5")</f>
        <v>4.5</v>
      </c>
      <c r="G1819" s="4" t="str">
        <f>HYPERLINK("http://141.218.60.56/~jnz1568/getInfo.php?workbook=14_09.xlsx&amp;sheet=U0&amp;row=1819&amp;col=7&amp;number=0.00597&amp;sourceID=14","0.00597")</f>
        <v>0.00597</v>
      </c>
    </row>
    <row r="1820" spans="1:7">
      <c r="A1820" s="3"/>
      <c r="B1820" s="3"/>
      <c r="C1820" s="3"/>
      <c r="D1820" s="3"/>
      <c r="E1820" s="3">
        <v>17</v>
      </c>
      <c r="F1820" s="4" t="str">
        <f>HYPERLINK("http://141.218.60.56/~jnz1568/getInfo.php?workbook=14_09.xlsx&amp;sheet=U0&amp;row=1820&amp;col=6&amp;number=4.6&amp;sourceID=14","4.6")</f>
        <v>4.6</v>
      </c>
      <c r="G1820" s="4" t="str">
        <f>HYPERLINK("http://141.218.60.56/~jnz1568/getInfo.php?workbook=14_09.xlsx&amp;sheet=U0&amp;row=1820&amp;col=7&amp;number=0.00566&amp;sourceID=14","0.00566")</f>
        <v>0.00566</v>
      </c>
    </row>
    <row r="1821" spans="1:7">
      <c r="A1821" s="3"/>
      <c r="B1821" s="3"/>
      <c r="C1821" s="3"/>
      <c r="D1821" s="3"/>
      <c r="E1821" s="3">
        <v>18</v>
      </c>
      <c r="F1821" s="4" t="str">
        <f>HYPERLINK("http://141.218.60.56/~jnz1568/getInfo.php?workbook=14_09.xlsx&amp;sheet=U0&amp;row=1821&amp;col=6&amp;number=4.7&amp;sourceID=14","4.7")</f>
        <v>4.7</v>
      </c>
      <c r="G1821" s="4" t="str">
        <f>HYPERLINK("http://141.218.60.56/~jnz1568/getInfo.php?workbook=14_09.xlsx&amp;sheet=U0&amp;row=1821&amp;col=7&amp;number=0.00533&amp;sourceID=14","0.00533")</f>
        <v>0.00533</v>
      </c>
    </row>
    <row r="1822" spans="1:7">
      <c r="A1822" s="3"/>
      <c r="B1822" s="3"/>
      <c r="C1822" s="3"/>
      <c r="D1822" s="3"/>
      <c r="E1822" s="3">
        <v>19</v>
      </c>
      <c r="F1822" s="4" t="str">
        <f>HYPERLINK("http://141.218.60.56/~jnz1568/getInfo.php?workbook=14_09.xlsx&amp;sheet=U0&amp;row=1822&amp;col=6&amp;number=4.8&amp;sourceID=14","4.8")</f>
        <v>4.8</v>
      </c>
      <c r="G1822" s="4" t="str">
        <f>HYPERLINK("http://141.218.60.56/~jnz1568/getInfo.php?workbook=14_09.xlsx&amp;sheet=U0&amp;row=1822&amp;col=7&amp;number=0.00504&amp;sourceID=14","0.00504")</f>
        <v>0.00504</v>
      </c>
    </row>
    <row r="1823" spans="1:7">
      <c r="A1823" s="3"/>
      <c r="B1823" s="3"/>
      <c r="C1823" s="3"/>
      <c r="D1823" s="3"/>
      <c r="E1823" s="3">
        <v>20</v>
      </c>
      <c r="F1823" s="4" t="str">
        <f>HYPERLINK("http://141.218.60.56/~jnz1568/getInfo.php?workbook=14_09.xlsx&amp;sheet=U0&amp;row=1823&amp;col=6&amp;number=4.9&amp;sourceID=14","4.9")</f>
        <v>4.9</v>
      </c>
      <c r="G1823" s="4" t="str">
        <f>HYPERLINK("http://141.218.60.56/~jnz1568/getInfo.php?workbook=14_09.xlsx&amp;sheet=U0&amp;row=1823&amp;col=7&amp;number=0.00482&amp;sourceID=14","0.00482")</f>
        <v>0.00482</v>
      </c>
    </row>
    <row r="1824" spans="1:7">
      <c r="A1824" s="3">
        <v>14</v>
      </c>
      <c r="B1824" s="3">
        <v>9</v>
      </c>
      <c r="C1824" s="3">
        <v>1</v>
      </c>
      <c r="D1824" s="3">
        <v>93</v>
      </c>
      <c r="E1824" s="3">
        <v>1</v>
      </c>
      <c r="F1824" s="4" t="str">
        <f>HYPERLINK("http://141.218.60.56/~jnz1568/getInfo.php?workbook=14_09.xlsx&amp;sheet=U0&amp;row=1824&amp;col=6&amp;number=3&amp;sourceID=14","3")</f>
        <v>3</v>
      </c>
      <c r="G1824" s="4" t="str">
        <f>HYPERLINK("http://141.218.60.56/~jnz1568/getInfo.php?workbook=14_09.xlsx&amp;sheet=U0&amp;row=1824&amp;col=7&amp;number=0.0278&amp;sourceID=14","0.0278")</f>
        <v>0.0278</v>
      </c>
    </row>
    <row r="1825" spans="1:7">
      <c r="A1825" s="3"/>
      <c r="B1825" s="3"/>
      <c r="C1825" s="3"/>
      <c r="D1825" s="3"/>
      <c r="E1825" s="3">
        <v>2</v>
      </c>
      <c r="F1825" s="4" t="str">
        <f>HYPERLINK("http://141.218.60.56/~jnz1568/getInfo.php?workbook=14_09.xlsx&amp;sheet=U0&amp;row=1825&amp;col=6&amp;number=3.1&amp;sourceID=14","3.1")</f>
        <v>3.1</v>
      </c>
      <c r="G1825" s="4" t="str">
        <f>HYPERLINK("http://141.218.60.56/~jnz1568/getInfo.php?workbook=14_09.xlsx&amp;sheet=U0&amp;row=1825&amp;col=7&amp;number=0.0278&amp;sourceID=14","0.0278")</f>
        <v>0.0278</v>
      </c>
    </row>
    <row r="1826" spans="1:7">
      <c r="A1826" s="3"/>
      <c r="B1826" s="3"/>
      <c r="C1826" s="3"/>
      <c r="D1826" s="3"/>
      <c r="E1826" s="3">
        <v>3</v>
      </c>
      <c r="F1826" s="4" t="str">
        <f>HYPERLINK("http://141.218.60.56/~jnz1568/getInfo.php?workbook=14_09.xlsx&amp;sheet=U0&amp;row=1826&amp;col=6&amp;number=3.2&amp;sourceID=14","3.2")</f>
        <v>3.2</v>
      </c>
      <c r="G1826" s="4" t="str">
        <f>HYPERLINK("http://141.218.60.56/~jnz1568/getInfo.php?workbook=14_09.xlsx&amp;sheet=U0&amp;row=1826&amp;col=7&amp;number=0.0278&amp;sourceID=14","0.0278")</f>
        <v>0.0278</v>
      </c>
    </row>
    <row r="1827" spans="1:7">
      <c r="A1827" s="3"/>
      <c r="B1827" s="3"/>
      <c r="C1827" s="3"/>
      <c r="D1827" s="3"/>
      <c r="E1827" s="3">
        <v>4</v>
      </c>
      <c r="F1827" s="4" t="str">
        <f>HYPERLINK("http://141.218.60.56/~jnz1568/getInfo.php?workbook=14_09.xlsx&amp;sheet=U0&amp;row=1827&amp;col=6&amp;number=3.3&amp;sourceID=14","3.3")</f>
        <v>3.3</v>
      </c>
      <c r="G1827" s="4" t="str">
        <f>HYPERLINK("http://141.218.60.56/~jnz1568/getInfo.php?workbook=14_09.xlsx&amp;sheet=U0&amp;row=1827&amp;col=7&amp;number=0.0277&amp;sourceID=14","0.0277")</f>
        <v>0.0277</v>
      </c>
    </row>
    <row r="1828" spans="1:7">
      <c r="A1828" s="3"/>
      <c r="B1828" s="3"/>
      <c r="C1828" s="3"/>
      <c r="D1828" s="3"/>
      <c r="E1828" s="3">
        <v>5</v>
      </c>
      <c r="F1828" s="4" t="str">
        <f>HYPERLINK("http://141.218.60.56/~jnz1568/getInfo.php?workbook=14_09.xlsx&amp;sheet=U0&amp;row=1828&amp;col=6&amp;number=3.4&amp;sourceID=14","3.4")</f>
        <v>3.4</v>
      </c>
      <c r="G1828" s="4" t="str">
        <f>HYPERLINK("http://141.218.60.56/~jnz1568/getInfo.php?workbook=14_09.xlsx&amp;sheet=U0&amp;row=1828&amp;col=7&amp;number=0.0276&amp;sourceID=14","0.0276")</f>
        <v>0.0276</v>
      </c>
    </row>
    <row r="1829" spans="1:7">
      <c r="A1829" s="3"/>
      <c r="B1829" s="3"/>
      <c r="C1829" s="3"/>
      <c r="D1829" s="3"/>
      <c r="E1829" s="3">
        <v>6</v>
      </c>
      <c r="F1829" s="4" t="str">
        <f>HYPERLINK("http://141.218.60.56/~jnz1568/getInfo.php?workbook=14_09.xlsx&amp;sheet=U0&amp;row=1829&amp;col=6&amp;number=3.5&amp;sourceID=14","3.5")</f>
        <v>3.5</v>
      </c>
      <c r="G1829" s="4" t="str">
        <f>HYPERLINK("http://141.218.60.56/~jnz1568/getInfo.php?workbook=14_09.xlsx&amp;sheet=U0&amp;row=1829&amp;col=7&amp;number=0.0275&amp;sourceID=14","0.0275")</f>
        <v>0.0275</v>
      </c>
    </row>
    <row r="1830" spans="1:7">
      <c r="A1830" s="3"/>
      <c r="B1830" s="3"/>
      <c r="C1830" s="3"/>
      <c r="D1830" s="3"/>
      <c r="E1830" s="3">
        <v>7</v>
      </c>
      <c r="F1830" s="4" t="str">
        <f>HYPERLINK("http://141.218.60.56/~jnz1568/getInfo.php?workbook=14_09.xlsx&amp;sheet=U0&amp;row=1830&amp;col=6&amp;number=3.6&amp;sourceID=14","3.6")</f>
        <v>3.6</v>
      </c>
      <c r="G1830" s="4" t="str">
        <f>HYPERLINK("http://141.218.60.56/~jnz1568/getInfo.php?workbook=14_09.xlsx&amp;sheet=U0&amp;row=1830&amp;col=7&amp;number=0.0274&amp;sourceID=14","0.0274")</f>
        <v>0.0274</v>
      </c>
    </row>
    <row r="1831" spans="1:7">
      <c r="A1831" s="3"/>
      <c r="B1831" s="3"/>
      <c r="C1831" s="3"/>
      <c r="D1831" s="3"/>
      <c r="E1831" s="3">
        <v>8</v>
      </c>
      <c r="F1831" s="4" t="str">
        <f>HYPERLINK("http://141.218.60.56/~jnz1568/getInfo.php?workbook=14_09.xlsx&amp;sheet=U0&amp;row=1831&amp;col=6&amp;number=3.7&amp;sourceID=14","3.7")</f>
        <v>3.7</v>
      </c>
      <c r="G1831" s="4" t="str">
        <f>HYPERLINK("http://141.218.60.56/~jnz1568/getInfo.php?workbook=14_09.xlsx&amp;sheet=U0&amp;row=1831&amp;col=7&amp;number=0.0273&amp;sourceID=14","0.0273")</f>
        <v>0.0273</v>
      </c>
    </row>
    <row r="1832" spans="1:7">
      <c r="A1832" s="3"/>
      <c r="B1832" s="3"/>
      <c r="C1832" s="3"/>
      <c r="D1832" s="3"/>
      <c r="E1832" s="3">
        <v>9</v>
      </c>
      <c r="F1832" s="4" t="str">
        <f>HYPERLINK("http://141.218.60.56/~jnz1568/getInfo.php?workbook=14_09.xlsx&amp;sheet=U0&amp;row=1832&amp;col=6&amp;number=3.8&amp;sourceID=14","3.8")</f>
        <v>3.8</v>
      </c>
      <c r="G1832" s="4" t="str">
        <f>HYPERLINK("http://141.218.60.56/~jnz1568/getInfo.php?workbook=14_09.xlsx&amp;sheet=U0&amp;row=1832&amp;col=7&amp;number=0.0271&amp;sourceID=14","0.0271")</f>
        <v>0.0271</v>
      </c>
    </row>
    <row r="1833" spans="1:7">
      <c r="A1833" s="3"/>
      <c r="B1833" s="3"/>
      <c r="C1833" s="3"/>
      <c r="D1833" s="3"/>
      <c r="E1833" s="3">
        <v>10</v>
      </c>
      <c r="F1833" s="4" t="str">
        <f>HYPERLINK("http://141.218.60.56/~jnz1568/getInfo.php?workbook=14_09.xlsx&amp;sheet=U0&amp;row=1833&amp;col=6&amp;number=3.9&amp;sourceID=14","3.9")</f>
        <v>3.9</v>
      </c>
      <c r="G1833" s="4" t="str">
        <f>HYPERLINK("http://141.218.60.56/~jnz1568/getInfo.php?workbook=14_09.xlsx&amp;sheet=U0&amp;row=1833&amp;col=7&amp;number=0.0269&amp;sourceID=14","0.0269")</f>
        <v>0.0269</v>
      </c>
    </row>
    <row r="1834" spans="1:7">
      <c r="A1834" s="3"/>
      <c r="B1834" s="3"/>
      <c r="C1834" s="3"/>
      <c r="D1834" s="3"/>
      <c r="E1834" s="3">
        <v>11</v>
      </c>
      <c r="F1834" s="4" t="str">
        <f>HYPERLINK("http://141.218.60.56/~jnz1568/getInfo.php?workbook=14_09.xlsx&amp;sheet=U0&amp;row=1834&amp;col=6&amp;number=4&amp;sourceID=14","4")</f>
        <v>4</v>
      </c>
      <c r="G1834" s="4" t="str">
        <f>HYPERLINK("http://141.218.60.56/~jnz1568/getInfo.php?workbook=14_09.xlsx&amp;sheet=U0&amp;row=1834&amp;col=7&amp;number=0.0266&amp;sourceID=14","0.0266")</f>
        <v>0.0266</v>
      </c>
    </row>
    <row r="1835" spans="1:7">
      <c r="A1835" s="3"/>
      <c r="B1835" s="3"/>
      <c r="C1835" s="3"/>
      <c r="D1835" s="3"/>
      <c r="E1835" s="3">
        <v>12</v>
      </c>
      <c r="F1835" s="4" t="str">
        <f>HYPERLINK("http://141.218.60.56/~jnz1568/getInfo.php?workbook=14_09.xlsx&amp;sheet=U0&amp;row=1835&amp;col=6&amp;number=4.1&amp;sourceID=14","4.1")</f>
        <v>4.1</v>
      </c>
      <c r="G1835" s="4" t="str">
        <f>HYPERLINK("http://141.218.60.56/~jnz1568/getInfo.php?workbook=14_09.xlsx&amp;sheet=U0&amp;row=1835&amp;col=7&amp;number=0.0262&amp;sourceID=14","0.0262")</f>
        <v>0.0262</v>
      </c>
    </row>
    <row r="1836" spans="1:7">
      <c r="A1836" s="3"/>
      <c r="B1836" s="3"/>
      <c r="C1836" s="3"/>
      <c r="D1836" s="3"/>
      <c r="E1836" s="3">
        <v>13</v>
      </c>
      <c r="F1836" s="4" t="str">
        <f>HYPERLINK("http://141.218.60.56/~jnz1568/getInfo.php?workbook=14_09.xlsx&amp;sheet=U0&amp;row=1836&amp;col=6&amp;number=4.2&amp;sourceID=14","4.2")</f>
        <v>4.2</v>
      </c>
      <c r="G1836" s="4" t="str">
        <f>HYPERLINK("http://141.218.60.56/~jnz1568/getInfo.php?workbook=14_09.xlsx&amp;sheet=U0&amp;row=1836&amp;col=7&amp;number=0.0258&amp;sourceID=14","0.0258")</f>
        <v>0.0258</v>
      </c>
    </row>
    <row r="1837" spans="1:7">
      <c r="A1837" s="3"/>
      <c r="B1837" s="3"/>
      <c r="C1837" s="3"/>
      <c r="D1837" s="3"/>
      <c r="E1837" s="3">
        <v>14</v>
      </c>
      <c r="F1837" s="4" t="str">
        <f>HYPERLINK("http://141.218.60.56/~jnz1568/getInfo.php?workbook=14_09.xlsx&amp;sheet=U0&amp;row=1837&amp;col=6&amp;number=4.3&amp;sourceID=14","4.3")</f>
        <v>4.3</v>
      </c>
      <c r="G1837" s="4" t="str">
        <f>HYPERLINK("http://141.218.60.56/~jnz1568/getInfo.php?workbook=14_09.xlsx&amp;sheet=U0&amp;row=1837&amp;col=7&amp;number=0.0253&amp;sourceID=14","0.0253")</f>
        <v>0.0253</v>
      </c>
    </row>
    <row r="1838" spans="1:7">
      <c r="A1838" s="3"/>
      <c r="B1838" s="3"/>
      <c r="C1838" s="3"/>
      <c r="D1838" s="3"/>
      <c r="E1838" s="3">
        <v>15</v>
      </c>
      <c r="F1838" s="4" t="str">
        <f>HYPERLINK("http://141.218.60.56/~jnz1568/getInfo.php?workbook=14_09.xlsx&amp;sheet=U0&amp;row=1838&amp;col=6&amp;number=4.4&amp;sourceID=14","4.4")</f>
        <v>4.4</v>
      </c>
      <c r="G1838" s="4" t="str">
        <f>HYPERLINK("http://141.218.60.56/~jnz1568/getInfo.php?workbook=14_09.xlsx&amp;sheet=U0&amp;row=1838&amp;col=7&amp;number=0.0246&amp;sourceID=14","0.0246")</f>
        <v>0.0246</v>
      </c>
    </row>
    <row r="1839" spans="1:7">
      <c r="A1839" s="3"/>
      <c r="B1839" s="3"/>
      <c r="C1839" s="3"/>
      <c r="D1839" s="3"/>
      <c r="E1839" s="3">
        <v>16</v>
      </c>
      <c r="F1839" s="4" t="str">
        <f>HYPERLINK("http://141.218.60.56/~jnz1568/getInfo.php?workbook=14_09.xlsx&amp;sheet=U0&amp;row=1839&amp;col=6&amp;number=4.5&amp;sourceID=14","4.5")</f>
        <v>4.5</v>
      </c>
      <c r="G1839" s="4" t="str">
        <f>HYPERLINK("http://141.218.60.56/~jnz1568/getInfo.php?workbook=14_09.xlsx&amp;sheet=U0&amp;row=1839&amp;col=7&amp;number=0.0239&amp;sourceID=14","0.0239")</f>
        <v>0.0239</v>
      </c>
    </row>
    <row r="1840" spans="1:7">
      <c r="A1840" s="3"/>
      <c r="B1840" s="3"/>
      <c r="C1840" s="3"/>
      <c r="D1840" s="3"/>
      <c r="E1840" s="3">
        <v>17</v>
      </c>
      <c r="F1840" s="4" t="str">
        <f>HYPERLINK("http://141.218.60.56/~jnz1568/getInfo.php?workbook=14_09.xlsx&amp;sheet=U0&amp;row=1840&amp;col=6&amp;number=4.6&amp;sourceID=14","4.6")</f>
        <v>4.6</v>
      </c>
      <c r="G1840" s="4" t="str">
        <f>HYPERLINK("http://141.218.60.56/~jnz1568/getInfo.php?workbook=14_09.xlsx&amp;sheet=U0&amp;row=1840&amp;col=7&amp;number=0.023&amp;sourceID=14","0.023")</f>
        <v>0.023</v>
      </c>
    </row>
    <row r="1841" spans="1:7">
      <c r="A1841" s="3"/>
      <c r="B1841" s="3"/>
      <c r="C1841" s="3"/>
      <c r="D1841" s="3"/>
      <c r="E1841" s="3">
        <v>18</v>
      </c>
      <c r="F1841" s="4" t="str">
        <f>HYPERLINK("http://141.218.60.56/~jnz1568/getInfo.php?workbook=14_09.xlsx&amp;sheet=U0&amp;row=1841&amp;col=6&amp;number=4.7&amp;sourceID=14","4.7")</f>
        <v>4.7</v>
      </c>
      <c r="G1841" s="4" t="str">
        <f>HYPERLINK("http://141.218.60.56/~jnz1568/getInfo.php?workbook=14_09.xlsx&amp;sheet=U0&amp;row=1841&amp;col=7&amp;number=0.0219&amp;sourceID=14","0.0219")</f>
        <v>0.0219</v>
      </c>
    </row>
    <row r="1842" spans="1:7">
      <c r="A1842" s="3"/>
      <c r="B1842" s="3"/>
      <c r="C1842" s="3"/>
      <c r="D1842" s="3"/>
      <c r="E1842" s="3">
        <v>19</v>
      </c>
      <c r="F1842" s="4" t="str">
        <f>HYPERLINK("http://141.218.60.56/~jnz1568/getInfo.php?workbook=14_09.xlsx&amp;sheet=U0&amp;row=1842&amp;col=6&amp;number=4.8&amp;sourceID=14","4.8")</f>
        <v>4.8</v>
      </c>
      <c r="G1842" s="4" t="str">
        <f>HYPERLINK("http://141.218.60.56/~jnz1568/getInfo.php?workbook=14_09.xlsx&amp;sheet=U0&amp;row=1842&amp;col=7&amp;number=0.0208&amp;sourceID=14","0.0208")</f>
        <v>0.0208</v>
      </c>
    </row>
    <row r="1843" spans="1:7">
      <c r="A1843" s="3"/>
      <c r="B1843" s="3"/>
      <c r="C1843" s="3"/>
      <c r="D1843" s="3"/>
      <c r="E1843" s="3">
        <v>20</v>
      </c>
      <c r="F1843" s="4" t="str">
        <f>HYPERLINK("http://141.218.60.56/~jnz1568/getInfo.php?workbook=14_09.xlsx&amp;sheet=U0&amp;row=1843&amp;col=6&amp;number=4.9&amp;sourceID=14","4.9")</f>
        <v>4.9</v>
      </c>
      <c r="G1843" s="4" t="str">
        <f>HYPERLINK("http://141.218.60.56/~jnz1568/getInfo.php?workbook=14_09.xlsx&amp;sheet=U0&amp;row=1843&amp;col=7&amp;number=0.0198&amp;sourceID=14","0.0198")</f>
        <v>0.0198</v>
      </c>
    </row>
    <row r="1844" spans="1:7">
      <c r="A1844" s="3">
        <v>14</v>
      </c>
      <c r="B1844" s="3">
        <v>9</v>
      </c>
      <c r="C1844" s="3">
        <v>1</v>
      </c>
      <c r="D1844" s="3">
        <v>94</v>
      </c>
      <c r="E1844" s="3">
        <v>1</v>
      </c>
      <c r="F1844" s="4" t="str">
        <f>HYPERLINK("http://141.218.60.56/~jnz1568/getInfo.php?workbook=14_09.xlsx&amp;sheet=U0&amp;row=1844&amp;col=6&amp;number=3&amp;sourceID=14","3")</f>
        <v>3</v>
      </c>
      <c r="G1844" s="4" t="str">
        <f>HYPERLINK("http://141.218.60.56/~jnz1568/getInfo.php?workbook=14_09.xlsx&amp;sheet=U0&amp;row=1844&amp;col=7&amp;number=0.0151&amp;sourceID=14","0.0151")</f>
        <v>0.0151</v>
      </c>
    </row>
    <row r="1845" spans="1:7">
      <c r="A1845" s="3"/>
      <c r="B1845" s="3"/>
      <c r="C1845" s="3"/>
      <c r="D1845" s="3"/>
      <c r="E1845" s="3">
        <v>2</v>
      </c>
      <c r="F1845" s="4" t="str">
        <f>HYPERLINK("http://141.218.60.56/~jnz1568/getInfo.php?workbook=14_09.xlsx&amp;sheet=U0&amp;row=1845&amp;col=6&amp;number=3.1&amp;sourceID=14","3.1")</f>
        <v>3.1</v>
      </c>
      <c r="G1845" s="4" t="str">
        <f>HYPERLINK("http://141.218.60.56/~jnz1568/getInfo.php?workbook=14_09.xlsx&amp;sheet=U0&amp;row=1845&amp;col=7&amp;number=0.0151&amp;sourceID=14","0.0151")</f>
        <v>0.0151</v>
      </c>
    </row>
    <row r="1846" spans="1:7">
      <c r="A1846" s="3"/>
      <c r="B1846" s="3"/>
      <c r="C1846" s="3"/>
      <c r="D1846" s="3"/>
      <c r="E1846" s="3">
        <v>3</v>
      </c>
      <c r="F1846" s="4" t="str">
        <f>HYPERLINK("http://141.218.60.56/~jnz1568/getInfo.php?workbook=14_09.xlsx&amp;sheet=U0&amp;row=1846&amp;col=6&amp;number=3.2&amp;sourceID=14","3.2")</f>
        <v>3.2</v>
      </c>
      <c r="G1846" s="4" t="str">
        <f>HYPERLINK("http://141.218.60.56/~jnz1568/getInfo.php?workbook=14_09.xlsx&amp;sheet=U0&amp;row=1846&amp;col=7&amp;number=0.015&amp;sourceID=14","0.015")</f>
        <v>0.015</v>
      </c>
    </row>
    <row r="1847" spans="1:7">
      <c r="A1847" s="3"/>
      <c r="B1847" s="3"/>
      <c r="C1847" s="3"/>
      <c r="D1847" s="3"/>
      <c r="E1847" s="3">
        <v>4</v>
      </c>
      <c r="F1847" s="4" t="str">
        <f>HYPERLINK("http://141.218.60.56/~jnz1568/getInfo.php?workbook=14_09.xlsx&amp;sheet=U0&amp;row=1847&amp;col=6&amp;number=3.3&amp;sourceID=14","3.3")</f>
        <v>3.3</v>
      </c>
      <c r="G1847" s="4" t="str">
        <f>HYPERLINK("http://141.218.60.56/~jnz1568/getInfo.php?workbook=14_09.xlsx&amp;sheet=U0&amp;row=1847&amp;col=7&amp;number=0.015&amp;sourceID=14","0.015")</f>
        <v>0.015</v>
      </c>
    </row>
    <row r="1848" spans="1:7">
      <c r="A1848" s="3"/>
      <c r="B1848" s="3"/>
      <c r="C1848" s="3"/>
      <c r="D1848" s="3"/>
      <c r="E1848" s="3">
        <v>5</v>
      </c>
      <c r="F1848" s="4" t="str">
        <f>HYPERLINK("http://141.218.60.56/~jnz1568/getInfo.php?workbook=14_09.xlsx&amp;sheet=U0&amp;row=1848&amp;col=6&amp;number=3.4&amp;sourceID=14","3.4")</f>
        <v>3.4</v>
      </c>
      <c r="G1848" s="4" t="str">
        <f>HYPERLINK("http://141.218.60.56/~jnz1568/getInfo.php?workbook=14_09.xlsx&amp;sheet=U0&amp;row=1848&amp;col=7&amp;number=0.015&amp;sourceID=14","0.015")</f>
        <v>0.015</v>
      </c>
    </row>
    <row r="1849" spans="1:7">
      <c r="A1849" s="3"/>
      <c r="B1849" s="3"/>
      <c r="C1849" s="3"/>
      <c r="D1849" s="3"/>
      <c r="E1849" s="3">
        <v>6</v>
      </c>
      <c r="F1849" s="4" t="str">
        <f>HYPERLINK("http://141.218.60.56/~jnz1568/getInfo.php?workbook=14_09.xlsx&amp;sheet=U0&amp;row=1849&amp;col=6&amp;number=3.5&amp;sourceID=14","3.5")</f>
        <v>3.5</v>
      </c>
      <c r="G1849" s="4" t="str">
        <f>HYPERLINK("http://141.218.60.56/~jnz1568/getInfo.php?workbook=14_09.xlsx&amp;sheet=U0&amp;row=1849&amp;col=7&amp;number=0.0149&amp;sourceID=14","0.0149")</f>
        <v>0.0149</v>
      </c>
    </row>
    <row r="1850" spans="1:7">
      <c r="A1850" s="3"/>
      <c r="B1850" s="3"/>
      <c r="C1850" s="3"/>
      <c r="D1850" s="3"/>
      <c r="E1850" s="3">
        <v>7</v>
      </c>
      <c r="F1850" s="4" t="str">
        <f>HYPERLINK("http://141.218.60.56/~jnz1568/getInfo.php?workbook=14_09.xlsx&amp;sheet=U0&amp;row=1850&amp;col=6&amp;number=3.6&amp;sourceID=14","3.6")</f>
        <v>3.6</v>
      </c>
      <c r="G1850" s="4" t="str">
        <f>HYPERLINK("http://141.218.60.56/~jnz1568/getInfo.php?workbook=14_09.xlsx&amp;sheet=U0&amp;row=1850&amp;col=7&amp;number=0.0149&amp;sourceID=14","0.0149")</f>
        <v>0.0149</v>
      </c>
    </row>
    <row r="1851" spans="1:7">
      <c r="A1851" s="3"/>
      <c r="B1851" s="3"/>
      <c r="C1851" s="3"/>
      <c r="D1851" s="3"/>
      <c r="E1851" s="3">
        <v>8</v>
      </c>
      <c r="F1851" s="4" t="str">
        <f>HYPERLINK("http://141.218.60.56/~jnz1568/getInfo.php?workbook=14_09.xlsx&amp;sheet=U0&amp;row=1851&amp;col=6&amp;number=3.7&amp;sourceID=14","3.7")</f>
        <v>3.7</v>
      </c>
      <c r="G1851" s="4" t="str">
        <f>HYPERLINK("http://141.218.60.56/~jnz1568/getInfo.php?workbook=14_09.xlsx&amp;sheet=U0&amp;row=1851&amp;col=7&amp;number=0.0148&amp;sourceID=14","0.0148")</f>
        <v>0.0148</v>
      </c>
    </row>
    <row r="1852" spans="1:7">
      <c r="A1852" s="3"/>
      <c r="B1852" s="3"/>
      <c r="C1852" s="3"/>
      <c r="D1852" s="3"/>
      <c r="E1852" s="3">
        <v>9</v>
      </c>
      <c r="F1852" s="4" t="str">
        <f>HYPERLINK("http://141.218.60.56/~jnz1568/getInfo.php?workbook=14_09.xlsx&amp;sheet=U0&amp;row=1852&amp;col=6&amp;number=3.8&amp;sourceID=14","3.8")</f>
        <v>3.8</v>
      </c>
      <c r="G1852" s="4" t="str">
        <f>HYPERLINK("http://141.218.60.56/~jnz1568/getInfo.php?workbook=14_09.xlsx&amp;sheet=U0&amp;row=1852&amp;col=7&amp;number=0.0147&amp;sourceID=14","0.0147")</f>
        <v>0.0147</v>
      </c>
    </row>
    <row r="1853" spans="1:7">
      <c r="A1853" s="3"/>
      <c r="B1853" s="3"/>
      <c r="C1853" s="3"/>
      <c r="D1853" s="3"/>
      <c r="E1853" s="3">
        <v>10</v>
      </c>
      <c r="F1853" s="4" t="str">
        <f>HYPERLINK("http://141.218.60.56/~jnz1568/getInfo.php?workbook=14_09.xlsx&amp;sheet=U0&amp;row=1853&amp;col=6&amp;number=3.9&amp;sourceID=14","3.9")</f>
        <v>3.9</v>
      </c>
      <c r="G1853" s="4" t="str">
        <f>HYPERLINK("http://141.218.60.56/~jnz1568/getInfo.php?workbook=14_09.xlsx&amp;sheet=U0&amp;row=1853&amp;col=7&amp;number=0.0146&amp;sourceID=14","0.0146")</f>
        <v>0.0146</v>
      </c>
    </row>
    <row r="1854" spans="1:7">
      <c r="A1854" s="3"/>
      <c r="B1854" s="3"/>
      <c r="C1854" s="3"/>
      <c r="D1854" s="3"/>
      <c r="E1854" s="3">
        <v>11</v>
      </c>
      <c r="F1854" s="4" t="str">
        <f>HYPERLINK("http://141.218.60.56/~jnz1568/getInfo.php?workbook=14_09.xlsx&amp;sheet=U0&amp;row=1854&amp;col=6&amp;number=4&amp;sourceID=14","4")</f>
        <v>4</v>
      </c>
      <c r="G1854" s="4" t="str">
        <f>HYPERLINK("http://141.218.60.56/~jnz1568/getInfo.php?workbook=14_09.xlsx&amp;sheet=U0&amp;row=1854&amp;col=7&amp;number=0.0145&amp;sourceID=14","0.0145")</f>
        <v>0.0145</v>
      </c>
    </row>
    <row r="1855" spans="1:7">
      <c r="A1855" s="3"/>
      <c r="B1855" s="3"/>
      <c r="C1855" s="3"/>
      <c r="D1855" s="3"/>
      <c r="E1855" s="3">
        <v>12</v>
      </c>
      <c r="F1855" s="4" t="str">
        <f>HYPERLINK("http://141.218.60.56/~jnz1568/getInfo.php?workbook=14_09.xlsx&amp;sheet=U0&amp;row=1855&amp;col=6&amp;number=4.1&amp;sourceID=14","4.1")</f>
        <v>4.1</v>
      </c>
      <c r="G1855" s="4" t="str">
        <f>HYPERLINK("http://141.218.60.56/~jnz1568/getInfo.php?workbook=14_09.xlsx&amp;sheet=U0&amp;row=1855&amp;col=7&amp;number=0.0144&amp;sourceID=14","0.0144")</f>
        <v>0.0144</v>
      </c>
    </row>
    <row r="1856" spans="1:7">
      <c r="A1856" s="3"/>
      <c r="B1856" s="3"/>
      <c r="C1856" s="3"/>
      <c r="D1856" s="3"/>
      <c r="E1856" s="3">
        <v>13</v>
      </c>
      <c r="F1856" s="4" t="str">
        <f>HYPERLINK("http://141.218.60.56/~jnz1568/getInfo.php?workbook=14_09.xlsx&amp;sheet=U0&amp;row=1856&amp;col=6&amp;number=4.2&amp;sourceID=14","4.2")</f>
        <v>4.2</v>
      </c>
      <c r="G1856" s="4" t="str">
        <f>HYPERLINK("http://141.218.60.56/~jnz1568/getInfo.php?workbook=14_09.xlsx&amp;sheet=U0&amp;row=1856&amp;col=7&amp;number=0.0142&amp;sourceID=14","0.0142")</f>
        <v>0.0142</v>
      </c>
    </row>
    <row r="1857" spans="1:7">
      <c r="A1857" s="3"/>
      <c r="B1857" s="3"/>
      <c r="C1857" s="3"/>
      <c r="D1857" s="3"/>
      <c r="E1857" s="3">
        <v>14</v>
      </c>
      <c r="F1857" s="4" t="str">
        <f>HYPERLINK("http://141.218.60.56/~jnz1568/getInfo.php?workbook=14_09.xlsx&amp;sheet=U0&amp;row=1857&amp;col=6&amp;number=4.3&amp;sourceID=14","4.3")</f>
        <v>4.3</v>
      </c>
      <c r="G1857" s="4" t="str">
        <f>HYPERLINK("http://141.218.60.56/~jnz1568/getInfo.php?workbook=14_09.xlsx&amp;sheet=U0&amp;row=1857&amp;col=7&amp;number=0.0139&amp;sourceID=14","0.0139")</f>
        <v>0.0139</v>
      </c>
    </row>
    <row r="1858" spans="1:7">
      <c r="A1858" s="3"/>
      <c r="B1858" s="3"/>
      <c r="C1858" s="3"/>
      <c r="D1858" s="3"/>
      <c r="E1858" s="3">
        <v>15</v>
      </c>
      <c r="F1858" s="4" t="str">
        <f>HYPERLINK("http://141.218.60.56/~jnz1568/getInfo.php?workbook=14_09.xlsx&amp;sheet=U0&amp;row=1858&amp;col=6&amp;number=4.4&amp;sourceID=14","4.4")</f>
        <v>4.4</v>
      </c>
      <c r="G1858" s="4" t="str">
        <f>HYPERLINK("http://141.218.60.56/~jnz1568/getInfo.php?workbook=14_09.xlsx&amp;sheet=U0&amp;row=1858&amp;col=7&amp;number=0.0136&amp;sourceID=14","0.0136")</f>
        <v>0.0136</v>
      </c>
    </row>
    <row r="1859" spans="1:7">
      <c r="A1859" s="3"/>
      <c r="B1859" s="3"/>
      <c r="C1859" s="3"/>
      <c r="D1859" s="3"/>
      <c r="E1859" s="3">
        <v>16</v>
      </c>
      <c r="F1859" s="4" t="str">
        <f>HYPERLINK("http://141.218.60.56/~jnz1568/getInfo.php?workbook=14_09.xlsx&amp;sheet=U0&amp;row=1859&amp;col=6&amp;number=4.5&amp;sourceID=14","4.5")</f>
        <v>4.5</v>
      </c>
      <c r="G1859" s="4" t="str">
        <f>HYPERLINK("http://141.218.60.56/~jnz1568/getInfo.php?workbook=14_09.xlsx&amp;sheet=U0&amp;row=1859&amp;col=7&amp;number=0.0133&amp;sourceID=14","0.0133")</f>
        <v>0.0133</v>
      </c>
    </row>
    <row r="1860" spans="1:7">
      <c r="A1860" s="3"/>
      <c r="B1860" s="3"/>
      <c r="C1860" s="3"/>
      <c r="D1860" s="3"/>
      <c r="E1860" s="3">
        <v>17</v>
      </c>
      <c r="F1860" s="4" t="str">
        <f>HYPERLINK("http://141.218.60.56/~jnz1568/getInfo.php?workbook=14_09.xlsx&amp;sheet=U0&amp;row=1860&amp;col=6&amp;number=4.6&amp;sourceID=14","4.6")</f>
        <v>4.6</v>
      </c>
      <c r="G1860" s="4" t="str">
        <f>HYPERLINK("http://141.218.60.56/~jnz1568/getInfo.php?workbook=14_09.xlsx&amp;sheet=U0&amp;row=1860&amp;col=7&amp;number=0.0129&amp;sourceID=14","0.0129")</f>
        <v>0.0129</v>
      </c>
    </row>
    <row r="1861" spans="1:7">
      <c r="A1861" s="3"/>
      <c r="B1861" s="3"/>
      <c r="C1861" s="3"/>
      <c r="D1861" s="3"/>
      <c r="E1861" s="3">
        <v>18</v>
      </c>
      <c r="F1861" s="4" t="str">
        <f>HYPERLINK("http://141.218.60.56/~jnz1568/getInfo.php?workbook=14_09.xlsx&amp;sheet=U0&amp;row=1861&amp;col=6&amp;number=4.7&amp;sourceID=14","4.7")</f>
        <v>4.7</v>
      </c>
      <c r="G1861" s="4" t="str">
        <f>HYPERLINK("http://141.218.60.56/~jnz1568/getInfo.php?workbook=14_09.xlsx&amp;sheet=U0&amp;row=1861&amp;col=7&amp;number=0.0124&amp;sourceID=14","0.0124")</f>
        <v>0.0124</v>
      </c>
    </row>
    <row r="1862" spans="1:7">
      <c r="A1862" s="3"/>
      <c r="B1862" s="3"/>
      <c r="C1862" s="3"/>
      <c r="D1862" s="3"/>
      <c r="E1862" s="3">
        <v>19</v>
      </c>
      <c r="F1862" s="4" t="str">
        <f>HYPERLINK("http://141.218.60.56/~jnz1568/getInfo.php?workbook=14_09.xlsx&amp;sheet=U0&amp;row=1862&amp;col=6&amp;number=4.8&amp;sourceID=14","4.8")</f>
        <v>4.8</v>
      </c>
      <c r="G1862" s="4" t="str">
        <f>HYPERLINK("http://141.218.60.56/~jnz1568/getInfo.php?workbook=14_09.xlsx&amp;sheet=U0&amp;row=1862&amp;col=7&amp;number=0.0119&amp;sourceID=14","0.0119")</f>
        <v>0.0119</v>
      </c>
    </row>
    <row r="1863" spans="1:7">
      <c r="A1863" s="3"/>
      <c r="B1863" s="3"/>
      <c r="C1863" s="3"/>
      <c r="D1863" s="3"/>
      <c r="E1863" s="3">
        <v>20</v>
      </c>
      <c r="F1863" s="4" t="str">
        <f>HYPERLINK("http://141.218.60.56/~jnz1568/getInfo.php?workbook=14_09.xlsx&amp;sheet=U0&amp;row=1863&amp;col=6&amp;number=4.9&amp;sourceID=14","4.9")</f>
        <v>4.9</v>
      </c>
      <c r="G1863" s="4" t="str">
        <f>HYPERLINK("http://141.218.60.56/~jnz1568/getInfo.php?workbook=14_09.xlsx&amp;sheet=U0&amp;row=1863&amp;col=7&amp;number=0.0115&amp;sourceID=14","0.0115")</f>
        <v>0.0115</v>
      </c>
    </row>
    <row r="1864" spans="1:7">
      <c r="A1864" s="3">
        <v>14</v>
      </c>
      <c r="B1864" s="3">
        <v>9</v>
      </c>
      <c r="C1864" s="3">
        <v>1</v>
      </c>
      <c r="D1864" s="3">
        <v>95</v>
      </c>
      <c r="E1864" s="3">
        <v>1</v>
      </c>
      <c r="F1864" s="4" t="str">
        <f>HYPERLINK("http://141.218.60.56/~jnz1568/getInfo.php?workbook=14_09.xlsx&amp;sheet=U0&amp;row=1864&amp;col=6&amp;number=3&amp;sourceID=14","3")</f>
        <v>3</v>
      </c>
      <c r="G1864" s="4" t="str">
        <f>HYPERLINK("http://141.218.60.56/~jnz1568/getInfo.php?workbook=14_09.xlsx&amp;sheet=U0&amp;row=1864&amp;col=7&amp;number=0.0214&amp;sourceID=14","0.0214")</f>
        <v>0.0214</v>
      </c>
    </row>
    <row r="1865" spans="1:7">
      <c r="A1865" s="3"/>
      <c r="B1865" s="3"/>
      <c r="C1865" s="3"/>
      <c r="D1865" s="3"/>
      <c r="E1865" s="3">
        <v>2</v>
      </c>
      <c r="F1865" s="4" t="str">
        <f>HYPERLINK("http://141.218.60.56/~jnz1568/getInfo.php?workbook=14_09.xlsx&amp;sheet=U0&amp;row=1865&amp;col=6&amp;number=3.1&amp;sourceID=14","3.1")</f>
        <v>3.1</v>
      </c>
      <c r="G1865" s="4" t="str">
        <f>HYPERLINK("http://141.218.60.56/~jnz1568/getInfo.php?workbook=14_09.xlsx&amp;sheet=U0&amp;row=1865&amp;col=7&amp;number=0.0214&amp;sourceID=14","0.0214")</f>
        <v>0.0214</v>
      </c>
    </row>
    <row r="1866" spans="1:7">
      <c r="A1866" s="3"/>
      <c r="B1866" s="3"/>
      <c r="C1866" s="3"/>
      <c r="D1866" s="3"/>
      <c r="E1866" s="3">
        <v>3</v>
      </c>
      <c r="F1866" s="4" t="str">
        <f>HYPERLINK("http://141.218.60.56/~jnz1568/getInfo.php?workbook=14_09.xlsx&amp;sheet=U0&amp;row=1866&amp;col=6&amp;number=3.2&amp;sourceID=14","3.2")</f>
        <v>3.2</v>
      </c>
      <c r="G1866" s="4" t="str">
        <f>HYPERLINK("http://141.218.60.56/~jnz1568/getInfo.php?workbook=14_09.xlsx&amp;sheet=U0&amp;row=1866&amp;col=7&amp;number=0.0213&amp;sourceID=14","0.0213")</f>
        <v>0.0213</v>
      </c>
    </row>
    <row r="1867" spans="1:7">
      <c r="A1867" s="3"/>
      <c r="B1867" s="3"/>
      <c r="C1867" s="3"/>
      <c r="D1867" s="3"/>
      <c r="E1867" s="3">
        <v>4</v>
      </c>
      <c r="F1867" s="4" t="str">
        <f>HYPERLINK("http://141.218.60.56/~jnz1568/getInfo.php?workbook=14_09.xlsx&amp;sheet=U0&amp;row=1867&amp;col=6&amp;number=3.3&amp;sourceID=14","3.3")</f>
        <v>3.3</v>
      </c>
      <c r="G1867" s="4" t="str">
        <f>HYPERLINK("http://141.218.60.56/~jnz1568/getInfo.php?workbook=14_09.xlsx&amp;sheet=U0&amp;row=1867&amp;col=7&amp;number=0.0213&amp;sourceID=14","0.0213")</f>
        <v>0.0213</v>
      </c>
    </row>
    <row r="1868" spans="1:7">
      <c r="A1868" s="3"/>
      <c r="B1868" s="3"/>
      <c r="C1868" s="3"/>
      <c r="D1868" s="3"/>
      <c r="E1868" s="3">
        <v>5</v>
      </c>
      <c r="F1868" s="4" t="str">
        <f>HYPERLINK("http://141.218.60.56/~jnz1568/getInfo.php?workbook=14_09.xlsx&amp;sheet=U0&amp;row=1868&amp;col=6&amp;number=3.4&amp;sourceID=14","3.4")</f>
        <v>3.4</v>
      </c>
      <c r="G1868" s="4" t="str">
        <f>HYPERLINK("http://141.218.60.56/~jnz1568/getInfo.php?workbook=14_09.xlsx&amp;sheet=U0&amp;row=1868&amp;col=7&amp;number=0.0212&amp;sourceID=14","0.0212")</f>
        <v>0.0212</v>
      </c>
    </row>
    <row r="1869" spans="1:7">
      <c r="A1869" s="3"/>
      <c r="B1869" s="3"/>
      <c r="C1869" s="3"/>
      <c r="D1869" s="3"/>
      <c r="E1869" s="3">
        <v>6</v>
      </c>
      <c r="F1869" s="4" t="str">
        <f>HYPERLINK("http://141.218.60.56/~jnz1568/getInfo.php?workbook=14_09.xlsx&amp;sheet=U0&amp;row=1869&amp;col=6&amp;number=3.5&amp;sourceID=14","3.5")</f>
        <v>3.5</v>
      </c>
      <c r="G1869" s="4" t="str">
        <f>HYPERLINK("http://141.218.60.56/~jnz1568/getInfo.php?workbook=14_09.xlsx&amp;sheet=U0&amp;row=1869&amp;col=7&amp;number=0.0211&amp;sourceID=14","0.0211")</f>
        <v>0.0211</v>
      </c>
    </row>
    <row r="1870" spans="1:7">
      <c r="A1870" s="3"/>
      <c r="B1870" s="3"/>
      <c r="C1870" s="3"/>
      <c r="D1870" s="3"/>
      <c r="E1870" s="3">
        <v>7</v>
      </c>
      <c r="F1870" s="4" t="str">
        <f>HYPERLINK("http://141.218.60.56/~jnz1568/getInfo.php?workbook=14_09.xlsx&amp;sheet=U0&amp;row=1870&amp;col=6&amp;number=3.6&amp;sourceID=14","3.6")</f>
        <v>3.6</v>
      </c>
      <c r="G1870" s="4" t="str">
        <f>HYPERLINK("http://141.218.60.56/~jnz1568/getInfo.php?workbook=14_09.xlsx&amp;sheet=U0&amp;row=1870&amp;col=7&amp;number=0.0209&amp;sourceID=14","0.0209")</f>
        <v>0.0209</v>
      </c>
    </row>
    <row r="1871" spans="1:7">
      <c r="A1871" s="3"/>
      <c r="B1871" s="3"/>
      <c r="C1871" s="3"/>
      <c r="D1871" s="3"/>
      <c r="E1871" s="3">
        <v>8</v>
      </c>
      <c r="F1871" s="4" t="str">
        <f>HYPERLINK("http://141.218.60.56/~jnz1568/getInfo.php?workbook=14_09.xlsx&amp;sheet=U0&amp;row=1871&amp;col=6&amp;number=3.7&amp;sourceID=14","3.7")</f>
        <v>3.7</v>
      </c>
      <c r="G1871" s="4" t="str">
        <f>HYPERLINK("http://141.218.60.56/~jnz1568/getInfo.php?workbook=14_09.xlsx&amp;sheet=U0&amp;row=1871&amp;col=7&amp;number=0.0208&amp;sourceID=14","0.0208")</f>
        <v>0.0208</v>
      </c>
    </row>
    <row r="1872" spans="1:7">
      <c r="A1872" s="3"/>
      <c r="B1872" s="3"/>
      <c r="C1872" s="3"/>
      <c r="D1872" s="3"/>
      <c r="E1872" s="3">
        <v>9</v>
      </c>
      <c r="F1872" s="4" t="str">
        <f>HYPERLINK("http://141.218.60.56/~jnz1568/getInfo.php?workbook=14_09.xlsx&amp;sheet=U0&amp;row=1872&amp;col=6&amp;number=3.8&amp;sourceID=14","3.8")</f>
        <v>3.8</v>
      </c>
      <c r="G1872" s="4" t="str">
        <f>HYPERLINK("http://141.218.60.56/~jnz1568/getInfo.php?workbook=14_09.xlsx&amp;sheet=U0&amp;row=1872&amp;col=7&amp;number=0.0206&amp;sourceID=14","0.0206")</f>
        <v>0.0206</v>
      </c>
    </row>
    <row r="1873" spans="1:7">
      <c r="A1873" s="3"/>
      <c r="B1873" s="3"/>
      <c r="C1873" s="3"/>
      <c r="D1873" s="3"/>
      <c r="E1873" s="3">
        <v>10</v>
      </c>
      <c r="F1873" s="4" t="str">
        <f>HYPERLINK("http://141.218.60.56/~jnz1568/getInfo.php?workbook=14_09.xlsx&amp;sheet=U0&amp;row=1873&amp;col=6&amp;number=3.9&amp;sourceID=14","3.9")</f>
        <v>3.9</v>
      </c>
      <c r="G1873" s="4" t="str">
        <f>HYPERLINK("http://141.218.60.56/~jnz1568/getInfo.php?workbook=14_09.xlsx&amp;sheet=U0&amp;row=1873&amp;col=7&amp;number=0.0203&amp;sourceID=14","0.0203")</f>
        <v>0.0203</v>
      </c>
    </row>
    <row r="1874" spans="1:7">
      <c r="A1874" s="3"/>
      <c r="B1874" s="3"/>
      <c r="C1874" s="3"/>
      <c r="D1874" s="3"/>
      <c r="E1874" s="3">
        <v>11</v>
      </c>
      <c r="F1874" s="4" t="str">
        <f>HYPERLINK("http://141.218.60.56/~jnz1568/getInfo.php?workbook=14_09.xlsx&amp;sheet=U0&amp;row=1874&amp;col=6&amp;number=4&amp;sourceID=14","4")</f>
        <v>4</v>
      </c>
      <c r="G1874" s="4" t="str">
        <f>HYPERLINK("http://141.218.60.56/~jnz1568/getInfo.php?workbook=14_09.xlsx&amp;sheet=U0&amp;row=1874&amp;col=7&amp;number=0.02&amp;sourceID=14","0.02")</f>
        <v>0.02</v>
      </c>
    </row>
    <row r="1875" spans="1:7">
      <c r="A1875" s="3"/>
      <c r="B1875" s="3"/>
      <c r="C1875" s="3"/>
      <c r="D1875" s="3"/>
      <c r="E1875" s="3">
        <v>12</v>
      </c>
      <c r="F1875" s="4" t="str">
        <f>HYPERLINK("http://141.218.60.56/~jnz1568/getInfo.php?workbook=14_09.xlsx&amp;sheet=U0&amp;row=1875&amp;col=6&amp;number=4.1&amp;sourceID=14","4.1")</f>
        <v>4.1</v>
      </c>
      <c r="G1875" s="4" t="str">
        <f>HYPERLINK("http://141.218.60.56/~jnz1568/getInfo.php?workbook=14_09.xlsx&amp;sheet=U0&amp;row=1875&amp;col=7&amp;number=0.0196&amp;sourceID=14","0.0196")</f>
        <v>0.0196</v>
      </c>
    </row>
    <row r="1876" spans="1:7">
      <c r="A1876" s="3"/>
      <c r="B1876" s="3"/>
      <c r="C1876" s="3"/>
      <c r="D1876" s="3"/>
      <c r="E1876" s="3">
        <v>13</v>
      </c>
      <c r="F1876" s="4" t="str">
        <f>HYPERLINK("http://141.218.60.56/~jnz1568/getInfo.php?workbook=14_09.xlsx&amp;sheet=U0&amp;row=1876&amp;col=6&amp;number=4.2&amp;sourceID=14","4.2")</f>
        <v>4.2</v>
      </c>
      <c r="G1876" s="4" t="str">
        <f>HYPERLINK("http://141.218.60.56/~jnz1568/getInfo.php?workbook=14_09.xlsx&amp;sheet=U0&amp;row=1876&amp;col=7&amp;number=0.0192&amp;sourceID=14","0.0192")</f>
        <v>0.0192</v>
      </c>
    </row>
    <row r="1877" spans="1:7">
      <c r="A1877" s="3"/>
      <c r="B1877" s="3"/>
      <c r="C1877" s="3"/>
      <c r="D1877" s="3"/>
      <c r="E1877" s="3">
        <v>14</v>
      </c>
      <c r="F1877" s="4" t="str">
        <f>HYPERLINK("http://141.218.60.56/~jnz1568/getInfo.php?workbook=14_09.xlsx&amp;sheet=U0&amp;row=1877&amp;col=6&amp;number=4.3&amp;sourceID=14","4.3")</f>
        <v>4.3</v>
      </c>
      <c r="G1877" s="4" t="str">
        <f>HYPERLINK("http://141.218.60.56/~jnz1568/getInfo.php?workbook=14_09.xlsx&amp;sheet=U0&amp;row=1877&amp;col=7&amp;number=0.0186&amp;sourceID=14","0.0186")</f>
        <v>0.0186</v>
      </c>
    </row>
    <row r="1878" spans="1:7">
      <c r="A1878" s="3"/>
      <c r="B1878" s="3"/>
      <c r="C1878" s="3"/>
      <c r="D1878" s="3"/>
      <c r="E1878" s="3">
        <v>15</v>
      </c>
      <c r="F1878" s="4" t="str">
        <f>HYPERLINK("http://141.218.60.56/~jnz1568/getInfo.php?workbook=14_09.xlsx&amp;sheet=U0&amp;row=1878&amp;col=6&amp;number=4.4&amp;sourceID=14","4.4")</f>
        <v>4.4</v>
      </c>
      <c r="G1878" s="4" t="str">
        <f>HYPERLINK("http://141.218.60.56/~jnz1568/getInfo.php?workbook=14_09.xlsx&amp;sheet=U0&amp;row=1878&amp;col=7&amp;number=0.0179&amp;sourceID=14","0.0179")</f>
        <v>0.0179</v>
      </c>
    </row>
    <row r="1879" spans="1:7">
      <c r="A1879" s="3"/>
      <c r="B1879" s="3"/>
      <c r="C1879" s="3"/>
      <c r="D1879" s="3"/>
      <c r="E1879" s="3">
        <v>16</v>
      </c>
      <c r="F1879" s="4" t="str">
        <f>HYPERLINK("http://141.218.60.56/~jnz1568/getInfo.php?workbook=14_09.xlsx&amp;sheet=U0&amp;row=1879&amp;col=6&amp;number=4.5&amp;sourceID=14","4.5")</f>
        <v>4.5</v>
      </c>
      <c r="G1879" s="4" t="str">
        <f>HYPERLINK("http://141.218.60.56/~jnz1568/getInfo.php?workbook=14_09.xlsx&amp;sheet=U0&amp;row=1879&amp;col=7&amp;number=0.0171&amp;sourceID=14","0.0171")</f>
        <v>0.0171</v>
      </c>
    </row>
    <row r="1880" spans="1:7">
      <c r="A1880" s="3"/>
      <c r="B1880" s="3"/>
      <c r="C1880" s="3"/>
      <c r="D1880" s="3"/>
      <c r="E1880" s="3">
        <v>17</v>
      </c>
      <c r="F1880" s="4" t="str">
        <f>HYPERLINK("http://141.218.60.56/~jnz1568/getInfo.php?workbook=14_09.xlsx&amp;sheet=U0&amp;row=1880&amp;col=6&amp;number=4.6&amp;sourceID=14","4.6")</f>
        <v>4.6</v>
      </c>
      <c r="G1880" s="4" t="str">
        <f>HYPERLINK("http://141.218.60.56/~jnz1568/getInfo.php?workbook=14_09.xlsx&amp;sheet=U0&amp;row=1880&amp;col=7&amp;number=0.0162&amp;sourceID=14","0.0162")</f>
        <v>0.0162</v>
      </c>
    </row>
    <row r="1881" spans="1:7">
      <c r="A1881" s="3"/>
      <c r="B1881" s="3"/>
      <c r="C1881" s="3"/>
      <c r="D1881" s="3"/>
      <c r="E1881" s="3">
        <v>18</v>
      </c>
      <c r="F1881" s="4" t="str">
        <f>HYPERLINK("http://141.218.60.56/~jnz1568/getInfo.php?workbook=14_09.xlsx&amp;sheet=U0&amp;row=1881&amp;col=6&amp;number=4.7&amp;sourceID=14","4.7")</f>
        <v>4.7</v>
      </c>
      <c r="G1881" s="4" t="str">
        <f>HYPERLINK("http://141.218.60.56/~jnz1568/getInfo.php?workbook=14_09.xlsx&amp;sheet=U0&amp;row=1881&amp;col=7&amp;number=0.0153&amp;sourceID=14","0.0153")</f>
        <v>0.0153</v>
      </c>
    </row>
    <row r="1882" spans="1:7">
      <c r="A1882" s="3"/>
      <c r="B1882" s="3"/>
      <c r="C1882" s="3"/>
      <c r="D1882" s="3"/>
      <c r="E1882" s="3">
        <v>19</v>
      </c>
      <c r="F1882" s="4" t="str">
        <f>HYPERLINK("http://141.218.60.56/~jnz1568/getInfo.php?workbook=14_09.xlsx&amp;sheet=U0&amp;row=1882&amp;col=6&amp;number=4.8&amp;sourceID=14","4.8")</f>
        <v>4.8</v>
      </c>
      <c r="G1882" s="4" t="str">
        <f>HYPERLINK("http://141.218.60.56/~jnz1568/getInfo.php?workbook=14_09.xlsx&amp;sheet=U0&amp;row=1882&amp;col=7&amp;number=0.0144&amp;sourceID=14","0.0144")</f>
        <v>0.0144</v>
      </c>
    </row>
    <row r="1883" spans="1:7">
      <c r="A1883" s="3"/>
      <c r="B1883" s="3"/>
      <c r="C1883" s="3"/>
      <c r="D1883" s="3"/>
      <c r="E1883" s="3">
        <v>20</v>
      </c>
      <c r="F1883" s="4" t="str">
        <f>HYPERLINK("http://141.218.60.56/~jnz1568/getInfo.php?workbook=14_09.xlsx&amp;sheet=U0&amp;row=1883&amp;col=6&amp;number=4.9&amp;sourceID=14","4.9")</f>
        <v>4.9</v>
      </c>
      <c r="G1883" s="4" t="str">
        <f>HYPERLINK("http://141.218.60.56/~jnz1568/getInfo.php?workbook=14_09.xlsx&amp;sheet=U0&amp;row=1883&amp;col=7&amp;number=0.0137&amp;sourceID=14","0.0137")</f>
        <v>0.0137</v>
      </c>
    </row>
    <row r="1884" spans="1:7">
      <c r="A1884" s="3">
        <v>14</v>
      </c>
      <c r="B1884" s="3">
        <v>9</v>
      </c>
      <c r="C1884" s="3">
        <v>1</v>
      </c>
      <c r="D1884" s="3">
        <v>96</v>
      </c>
      <c r="E1884" s="3">
        <v>1</v>
      </c>
      <c r="F1884" s="4" t="str">
        <f>HYPERLINK("http://141.218.60.56/~jnz1568/getInfo.php?workbook=14_09.xlsx&amp;sheet=U0&amp;row=1884&amp;col=6&amp;number=3&amp;sourceID=14","3")</f>
        <v>3</v>
      </c>
      <c r="G1884" s="4" t="str">
        <f>HYPERLINK("http://141.218.60.56/~jnz1568/getInfo.php?workbook=14_09.xlsx&amp;sheet=U0&amp;row=1884&amp;col=7&amp;number=0.0109&amp;sourceID=14","0.0109")</f>
        <v>0.0109</v>
      </c>
    </row>
    <row r="1885" spans="1:7">
      <c r="A1885" s="3"/>
      <c r="B1885" s="3"/>
      <c r="C1885" s="3"/>
      <c r="D1885" s="3"/>
      <c r="E1885" s="3">
        <v>2</v>
      </c>
      <c r="F1885" s="4" t="str">
        <f>HYPERLINK("http://141.218.60.56/~jnz1568/getInfo.php?workbook=14_09.xlsx&amp;sheet=U0&amp;row=1885&amp;col=6&amp;number=3.1&amp;sourceID=14","3.1")</f>
        <v>3.1</v>
      </c>
      <c r="G1885" s="4" t="str">
        <f>HYPERLINK("http://141.218.60.56/~jnz1568/getInfo.php?workbook=14_09.xlsx&amp;sheet=U0&amp;row=1885&amp;col=7&amp;number=0.0109&amp;sourceID=14","0.0109")</f>
        <v>0.0109</v>
      </c>
    </row>
    <row r="1886" spans="1:7">
      <c r="A1886" s="3"/>
      <c r="B1886" s="3"/>
      <c r="C1886" s="3"/>
      <c r="D1886" s="3"/>
      <c r="E1886" s="3">
        <v>3</v>
      </c>
      <c r="F1886" s="4" t="str">
        <f>HYPERLINK("http://141.218.60.56/~jnz1568/getInfo.php?workbook=14_09.xlsx&amp;sheet=U0&amp;row=1886&amp;col=6&amp;number=3.2&amp;sourceID=14","3.2")</f>
        <v>3.2</v>
      </c>
      <c r="G1886" s="4" t="str">
        <f>HYPERLINK("http://141.218.60.56/~jnz1568/getInfo.php?workbook=14_09.xlsx&amp;sheet=U0&amp;row=1886&amp;col=7&amp;number=0.0108&amp;sourceID=14","0.0108")</f>
        <v>0.0108</v>
      </c>
    </row>
    <row r="1887" spans="1:7">
      <c r="A1887" s="3"/>
      <c r="B1887" s="3"/>
      <c r="C1887" s="3"/>
      <c r="D1887" s="3"/>
      <c r="E1887" s="3">
        <v>4</v>
      </c>
      <c r="F1887" s="4" t="str">
        <f>HYPERLINK("http://141.218.60.56/~jnz1568/getInfo.php?workbook=14_09.xlsx&amp;sheet=U0&amp;row=1887&amp;col=6&amp;number=3.3&amp;sourceID=14","3.3")</f>
        <v>3.3</v>
      </c>
      <c r="G1887" s="4" t="str">
        <f>HYPERLINK("http://141.218.60.56/~jnz1568/getInfo.php?workbook=14_09.xlsx&amp;sheet=U0&amp;row=1887&amp;col=7&amp;number=0.0108&amp;sourceID=14","0.0108")</f>
        <v>0.0108</v>
      </c>
    </row>
    <row r="1888" spans="1:7">
      <c r="A1888" s="3"/>
      <c r="B1888" s="3"/>
      <c r="C1888" s="3"/>
      <c r="D1888" s="3"/>
      <c r="E1888" s="3">
        <v>5</v>
      </c>
      <c r="F1888" s="4" t="str">
        <f>HYPERLINK("http://141.218.60.56/~jnz1568/getInfo.php?workbook=14_09.xlsx&amp;sheet=U0&amp;row=1888&amp;col=6&amp;number=3.4&amp;sourceID=14","3.4")</f>
        <v>3.4</v>
      </c>
      <c r="G1888" s="4" t="str">
        <f>HYPERLINK("http://141.218.60.56/~jnz1568/getInfo.php?workbook=14_09.xlsx&amp;sheet=U0&amp;row=1888&amp;col=7&amp;number=0.0107&amp;sourceID=14","0.0107")</f>
        <v>0.0107</v>
      </c>
    </row>
    <row r="1889" spans="1:7">
      <c r="A1889" s="3"/>
      <c r="B1889" s="3"/>
      <c r="C1889" s="3"/>
      <c r="D1889" s="3"/>
      <c r="E1889" s="3">
        <v>6</v>
      </c>
      <c r="F1889" s="4" t="str">
        <f>HYPERLINK("http://141.218.60.56/~jnz1568/getInfo.php?workbook=14_09.xlsx&amp;sheet=U0&amp;row=1889&amp;col=6&amp;number=3.5&amp;sourceID=14","3.5")</f>
        <v>3.5</v>
      </c>
      <c r="G1889" s="4" t="str">
        <f>HYPERLINK("http://141.218.60.56/~jnz1568/getInfo.php?workbook=14_09.xlsx&amp;sheet=U0&amp;row=1889&amp;col=7&amp;number=0.0106&amp;sourceID=14","0.0106")</f>
        <v>0.0106</v>
      </c>
    </row>
    <row r="1890" spans="1:7">
      <c r="A1890" s="3"/>
      <c r="B1890" s="3"/>
      <c r="C1890" s="3"/>
      <c r="D1890" s="3"/>
      <c r="E1890" s="3">
        <v>7</v>
      </c>
      <c r="F1890" s="4" t="str">
        <f>HYPERLINK("http://141.218.60.56/~jnz1568/getInfo.php?workbook=14_09.xlsx&amp;sheet=U0&amp;row=1890&amp;col=6&amp;number=3.6&amp;sourceID=14","3.6")</f>
        <v>3.6</v>
      </c>
      <c r="G1890" s="4" t="str">
        <f>HYPERLINK("http://141.218.60.56/~jnz1568/getInfo.php?workbook=14_09.xlsx&amp;sheet=U0&amp;row=1890&amp;col=7&amp;number=0.0105&amp;sourceID=14","0.0105")</f>
        <v>0.0105</v>
      </c>
    </row>
    <row r="1891" spans="1:7">
      <c r="A1891" s="3"/>
      <c r="B1891" s="3"/>
      <c r="C1891" s="3"/>
      <c r="D1891" s="3"/>
      <c r="E1891" s="3">
        <v>8</v>
      </c>
      <c r="F1891" s="4" t="str">
        <f>HYPERLINK("http://141.218.60.56/~jnz1568/getInfo.php?workbook=14_09.xlsx&amp;sheet=U0&amp;row=1891&amp;col=6&amp;number=3.7&amp;sourceID=14","3.7")</f>
        <v>3.7</v>
      </c>
      <c r="G1891" s="4" t="str">
        <f>HYPERLINK("http://141.218.60.56/~jnz1568/getInfo.php?workbook=14_09.xlsx&amp;sheet=U0&amp;row=1891&amp;col=7&amp;number=0.0103&amp;sourceID=14","0.0103")</f>
        <v>0.0103</v>
      </c>
    </row>
    <row r="1892" spans="1:7">
      <c r="A1892" s="3"/>
      <c r="B1892" s="3"/>
      <c r="C1892" s="3"/>
      <c r="D1892" s="3"/>
      <c r="E1892" s="3">
        <v>9</v>
      </c>
      <c r="F1892" s="4" t="str">
        <f>HYPERLINK("http://141.218.60.56/~jnz1568/getInfo.php?workbook=14_09.xlsx&amp;sheet=U0&amp;row=1892&amp;col=6&amp;number=3.8&amp;sourceID=14","3.8")</f>
        <v>3.8</v>
      </c>
      <c r="G1892" s="4" t="str">
        <f>HYPERLINK("http://141.218.60.56/~jnz1568/getInfo.php?workbook=14_09.xlsx&amp;sheet=U0&amp;row=1892&amp;col=7&amp;number=0.0101&amp;sourceID=14","0.0101")</f>
        <v>0.0101</v>
      </c>
    </row>
    <row r="1893" spans="1:7">
      <c r="A1893" s="3"/>
      <c r="B1893" s="3"/>
      <c r="C1893" s="3"/>
      <c r="D1893" s="3"/>
      <c r="E1893" s="3">
        <v>10</v>
      </c>
      <c r="F1893" s="4" t="str">
        <f>HYPERLINK("http://141.218.60.56/~jnz1568/getInfo.php?workbook=14_09.xlsx&amp;sheet=U0&amp;row=1893&amp;col=6&amp;number=3.9&amp;sourceID=14","3.9")</f>
        <v>3.9</v>
      </c>
      <c r="G1893" s="4" t="str">
        <f>HYPERLINK("http://141.218.60.56/~jnz1568/getInfo.php?workbook=14_09.xlsx&amp;sheet=U0&amp;row=1893&amp;col=7&amp;number=0.0099&amp;sourceID=14","0.0099")</f>
        <v>0.0099</v>
      </c>
    </row>
    <row r="1894" spans="1:7">
      <c r="A1894" s="3"/>
      <c r="B1894" s="3"/>
      <c r="C1894" s="3"/>
      <c r="D1894" s="3"/>
      <c r="E1894" s="3">
        <v>11</v>
      </c>
      <c r="F1894" s="4" t="str">
        <f>HYPERLINK("http://141.218.60.56/~jnz1568/getInfo.php?workbook=14_09.xlsx&amp;sheet=U0&amp;row=1894&amp;col=6&amp;number=4&amp;sourceID=14","4")</f>
        <v>4</v>
      </c>
      <c r="G1894" s="4" t="str">
        <f>HYPERLINK("http://141.218.60.56/~jnz1568/getInfo.php?workbook=14_09.xlsx&amp;sheet=U0&amp;row=1894&amp;col=7&amp;number=0.00962&amp;sourceID=14","0.00962")</f>
        <v>0.00962</v>
      </c>
    </row>
    <row r="1895" spans="1:7">
      <c r="A1895" s="3"/>
      <c r="B1895" s="3"/>
      <c r="C1895" s="3"/>
      <c r="D1895" s="3"/>
      <c r="E1895" s="3">
        <v>12</v>
      </c>
      <c r="F1895" s="4" t="str">
        <f>HYPERLINK("http://141.218.60.56/~jnz1568/getInfo.php?workbook=14_09.xlsx&amp;sheet=U0&amp;row=1895&amp;col=6&amp;number=4.1&amp;sourceID=14","4.1")</f>
        <v>4.1</v>
      </c>
      <c r="G1895" s="4" t="str">
        <f>HYPERLINK("http://141.218.60.56/~jnz1568/getInfo.php?workbook=14_09.xlsx&amp;sheet=U0&amp;row=1895&amp;col=7&amp;number=0.00928&amp;sourceID=14","0.00928")</f>
        <v>0.00928</v>
      </c>
    </row>
    <row r="1896" spans="1:7">
      <c r="A1896" s="3"/>
      <c r="B1896" s="3"/>
      <c r="C1896" s="3"/>
      <c r="D1896" s="3"/>
      <c r="E1896" s="3">
        <v>13</v>
      </c>
      <c r="F1896" s="4" t="str">
        <f>HYPERLINK("http://141.218.60.56/~jnz1568/getInfo.php?workbook=14_09.xlsx&amp;sheet=U0&amp;row=1896&amp;col=6&amp;number=4.2&amp;sourceID=14","4.2")</f>
        <v>4.2</v>
      </c>
      <c r="G1896" s="4" t="str">
        <f>HYPERLINK("http://141.218.60.56/~jnz1568/getInfo.php?workbook=14_09.xlsx&amp;sheet=U0&amp;row=1896&amp;col=7&amp;number=0.00889&amp;sourceID=14","0.00889")</f>
        <v>0.00889</v>
      </c>
    </row>
    <row r="1897" spans="1:7">
      <c r="A1897" s="3"/>
      <c r="B1897" s="3"/>
      <c r="C1897" s="3"/>
      <c r="D1897" s="3"/>
      <c r="E1897" s="3">
        <v>14</v>
      </c>
      <c r="F1897" s="4" t="str">
        <f>HYPERLINK("http://141.218.60.56/~jnz1568/getInfo.php?workbook=14_09.xlsx&amp;sheet=U0&amp;row=1897&amp;col=6&amp;number=4.3&amp;sourceID=14","4.3")</f>
        <v>4.3</v>
      </c>
      <c r="G1897" s="4" t="str">
        <f>HYPERLINK("http://141.218.60.56/~jnz1568/getInfo.php?workbook=14_09.xlsx&amp;sheet=U0&amp;row=1897&amp;col=7&amp;number=0.00845&amp;sourceID=14","0.00845")</f>
        <v>0.00845</v>
      </c>
    </row>
    <row r="1898" spans="1:7">
      <c r="A1898" s="3"/>
      <c r="B1898" s="3"/>
      <c r="C1898" s="3"/>
      <c r="D1898" s="3"/>
      <c r="E1898" s="3">
        <v>15</v>
      </c>
      <c r="F1898" s="4" t="str">
        <f>HYPERLINK("http://141.218.60.56/~jnz1568/getInfo.php?workbook=14_09.xlsx&amp;sheet=U0&amp;row=1898&amp;col=6&amp;number=4.4&amp;sourceID=14","4.4")</f>
        <v>4.4</v>
      </c>
      <c r="G1898" s="4" t="str">
        <f>HYPERLINK("http://141.218.60.56/~jnz1568/getInfo.php?workbook=14_09.xlsx&amp;sheet=U0&amp;row=1898&amp;col=7&amp;number=0.00796&amp;sourceID=14","0.00796")</f>
        <v>0.00796</v>
      </c>
    </row>
    <row r="1899" spans="1:7">
      <c r="A1899" s="3"/>
      <c r="B1899" s="3"/>
      <c r="C1899" s="3"/>
      <c r="D1899" s="3"/>
      <c r="E1899" s="3">
        <v>16</v>
      </c>
      <c r="F1899" s="4" t="str">
        <f>HYPERLINK("http://141.218.60.56/~jnz1568/getInfo.php?workbook=14_09.xlsx&amp;sheet=U0&amp;row=1899&amp;col=6&amp;number=4.5&amp;sourceID=14","4.5")</f>
        <v>4.5</v>
      </c>
      <c r="G1899" s="4" t="str">
        <f>HYPERLINK("http://141.218.60.56/~jnz1568/getInfo.php?workbook=14_09.xlsx&amp;sheet=U0&amp;row=1899&amp;col=7&amp;number=0.00747&amp;sourceID=14","0.00747")</f>
        <v>0.00747</v>
      </c>
    </row>
    <row r="1900" spans="1:7">
      <c r="A1900" s="3"/>
      <c r="B1900" s="3"/>
      <c r="C1900" s="3"/>
      <c r="D1900" s="3"/>
      <c r="E1900" s="3">
        <v>17</v>
      </c>
      <c r="F1900" s="4" t="str">
        <f>HYPERLINK("http://141.218.60.56/~jnz1568/getInfo.php?workbook=14_09.xlsx&amp;sheet=U0&amp;row=1900&amp;col=6&amp;number=4.6&amp;sourceID=14","4.6")</f>
        <v>4.6</v>
      </c>
      <c r="G1900" s="4" t="str">
        <f>HYPERLINK("http://141.218.60.56/~jnz1568/getInfo.php?workbook=14_09.xlsx&amp;sheet=U0&amp;row=1900&amp;col=7&amp;number=0.00703&amp;sourceID=14","0.00703")</f>
        <v>0.00703</v>
      </c>
    </row>
    <row r="1901" spans="1:7">
      <c r="A1901" s="3"/>
      <c r="B1901" s="3"/>
      <c r="C1901" s="3"/>
      <c r="D1901" s="3"/>
      <c r="E1901" s="3">
        <v>18</v>
      </c>
      <c r="F1901" s="4" t="str">
        <f>HYPERLINK("http://141.218.60.56/~jnz1568/getInfo.php?workbook=14_09.xlsx&amp;sheet=U0&amp;row=1901&amp;col=6&amp;number=4.7&amp;sourceID=14","4.7")</f>
        <v>4.7</v>
      </c>
      <c r="G1901" s="4" t="str">
        <f>HYPERLINK("http://141.218.60.56/~jnz1568/getInfo.php?workbook=14_09.xlsx&amp;sheet=U0&amp;row=1901&amp;col=7&amp;number=0.00665&amp;sourceID=14","0.00665")</f>
        <v>0.00665</v>
      </c>
    </row>
    <row r="1902" spans="1:7">
      <c r="A1902" s="3"/>
      <c r="B1902" s="3"/>
      <c r="C1902" s="3"/>
      <c r="D1902" s="3"/>
      <c r="E1902" s="3">
        <v>19</v>
      </c>
      <c r="F1902" s="4" t="str">
        <f>HYPERLINK("http://141.218.60.56/~jnz1568/getInfo.php?workbook=14_09.xlsx&amp;sheet=U0&amp;row=1902&amp;col=6&amp;number=4.8&amp;sourceID=14","4.8")</f>
        <v>4.8</v>
      </c>
      <c r="G1902" s="4" t="str">
        <f>HYPERLINK("http://141.218.60.56/~jnz1568/getInfo.php?workbook=14_09.xlsx&amp;sheet=U0&amp;row=1902&amp;col=7&amp;number=0.00634&amp;sourceID=14","0.00634")</f>
        <v>0.00634</v>
      </c>
    </row>
    <row r="1903" spans="1:7">
      <c r="A1903" s="3"/>
      <c r="B1903" s="3"/>
      <c r="C1903" s="3"/>
      <c r="D1903" s="3"/>
      <c r="E1903" s="3">
        <v>20</v>
      </c>
      <c r="F1903" s="4" t="str">
        <f>HYPERLINK("http://141.218.60.56/~jnz1568/getInfo.php?workbook=14_09.xlsx&amp;sheet=U0&amp;row=1903&amp;col=6&amp;number=4.9&amp;sourceID=14","4.9")</f>
        <v>4.9</v>
      </c>
      <c r="G1903" s="4" t="str">
        <f>HYPERLINK("http://141.218.60.56/~jnz1568/getInfo.php?workbook=14_09.xlsx&amp;sheet=U0&amp;row=1903&amp;col=7&amp;number=0.00605&amp;sourceID=14","0.00605")</f>
        <v>0.00605</v>
      </c>
    </row>
    <row r="1904" spans="1:7">
      <c r="A1904" s="3">
        <v>14</v>
      </c>
      <c r="B1904" s="3">
        <v>9</v>
      </c>
      <c r="C1904" s="3">
        <v>1</v>
      </c>
      <c r="D1904" s="3">
        <v>97</v>
      </c>
      <c r="E1904" s="3">
        <v>1</v>
      </c>
      <c r="F1904" s="4" t="str">
        <f>HYPERLINK("http://141.218.60.56/~jnz1568/getInfo.php?workbook=14_09.xlsx&amp;sheet=U0&amp;row=1904&amp;col=6&amp;number=3&amp;sourceID=14","3")</f>
        <v>3</v>
      </c>
      <c r="G1904" s="4" t="str">
        <f>HYPERLINK("http://141.218.60.56/~jnz1568/getInfo.php?workbook=14_09.xlsx&amp;sheet=U0&amp;row=1904&amp;col=7&amp;number=0.0207&amp;sourceID=14","0.0207")</f>
        <v>0.0207</v>
      </c>
    </row>
    <row r="1905" spans="1:7">
      <c r="A1905" s="3"/>
      <c r="B1905" s="3"/>
      <c r="C1905" s="3"/>
      <c r="D1905" s="3"/>
      <c r="E1905" s="3">
        <v>2</v>
      </c>
      <c r="F1905" s="4" t="str">
        <f>HYPERLINK("http://141.218.60.56/~jnz1568/getInfo.php?workbook=14_09.xlsx&amp;sheet=U0&amp;row=1905&amp;col=6&amp;number=3.1&amp;sourceID=14","3.1")</f>
        <v>3.1</v>
      </c>
      <c r="G1905" s="4" t="str">
        <f>HYPERLINK("http://141.218.60.56/~jnz1568/getInfo.php?workbook=14_09.xlsx&amp;sheet=U0&amp;row=1905&amp;col=7&amp;number=0.0207&amp;sourceID=14","0.0207")</f>
        <v>0.0207</v>
      </c>
    </row>
    <row r="1906" spans="1:7">
      <c r="A1906" s="3"/>
      <c r="B1906" s="3"/>
      <c r="C1906" s="3"/>
      <c r="D1906" s="3"/>
      <c r="E1906" s="3">
        <v>3</v>
      </c>
      <c r="F1906" s="4" t="str">
        <f>HYPERLINK("http://141.218.60.56/~jnz1568/getInfo.php?workbook=14_09.xlsx&amp;sheet=U0&amp;row=1906&amp;col=6&amp;number=3.2&amp;sourceID=14","3.2")</f>
        <v>3.2</v>
      </c>
      <c r="G1906" s="4" t="str">
        <f>HYPERLINK("http://141.218.60.56/~jnz1568/getInfo.php?workbook=14_09.xlsx&amp;sheet=U0&amp;row=1906&amp;col=7&amp;number=0.0206&amp;sourceID=14","0.0206")</f>
        <v>0.0206</v>
      </c>
    </row>
    <row r="1907" spans="1:7">
      <c r="A1907" s="3"/>
      <c r="B1907" s="3"/>
      <c r="C1907" s="3"/>
      <c r="D1907" s="3"/>
      <c r="E1907" s="3">
        <v>4</v>
      </c>
      <c r="F1907" s="4" t="str">
        <f>HYPERLINK("http://141.218.60.56/~jnz1568/getInfo.php?workbook=14_09.xlsx&amp;sheet=U0&amp;row=1907&amp;col=6&amp;number=3.3&amp;sourceID=14","3.3")</f>
        <v>3.3</v>
      </c>
      <c r="G1907" s="4" t="str">
        <f>HYPERLINK("http://141.218.60.56/~jnz1568/getInfo.php?workbook=14_09.xlsx&amp;sheet=U0&amp;row=1907&amp;col=7&amp;number=0.0206&amp;sourceID=14","0.0206")</f>
        <v>0.0206</v>
      </c>
    </row>
    <row r="1908" spans="1:7">
      <c r="A1908" s="3"/>
      <c r="B1908" s="3"/>
      <c r="C1908" s="3"/>
      <c r="D1908" s="3"/>
      <c r="E1908" s="3">
        <v>5</v>
      </c>
      <c r="F1908" s="4" t="str">
        <f>HYPERLINK("http://141.218.60.56/~jnz1568/getInfo.php?workbook=14_09.xlsx&amp;sheet=U0&amp;row=1908&amp;col=6&amp;number=3.4&amp;sourceID=14","3.4")</f>
        <v>3.4</v>
      </c>
      <c r="G1908" s="4" t="str">
        <f>HYPERLINK("http://141.218.60.56/~jnz1568/getInfo.php?workbook=14_09.xlsx&amp;sheet=U0&amp;row=1908&amp;col=7&amp;number=0.0206&amp;sourceID=14","0.0206")</f>
        <v>0.0206</v>
      </c>
    </row>
    <row r="1909" spans="1:7">
      <c r="A1909" s="3"/>
      <c r="B1909" s="3"/>
      <c r="C1909" s="3"/>
      <c r="D1909" s="3"/>
      <c r="E1909" s="3">
        <v>6</v>
      </c>
      <c r="F1909" s="4" t="str">
        <f>HYPERLINK("http://141.218.60.56/~jnz1568/getInfo.php?workbook=14_09.xlsx&amp;sheet=U0&amp;row=1909&amp;col=6&amp;number=3.5&amp;sourceID=14","3.5")</f>
        <v>3.5</v>
      </c>
      <c r="G1909" s="4" t="str">
        <f>HYPERLINK("http://141.218.60.56/~jnz1568/getInfo.php?workbook=14_09.xlsx&amp;sheet=U0&amp;row=1909&amp;col=7&amp;number=0.0205&amp;sourceID=14","0.0205")</f>
        <v>0.0205</v>
      </c>
    </row>
    <row r="1910" spans="1:7">
      <c r="A1910" s="3"/>
      <c r="B1910" s="3"/>
      <c r="C1910" s="3"/>
      <c r="D1910" s="3"/>
      <c r="E1910" s="3">
        <v>7</v>
      </c>
      <c r="F1910" s="4" t="str">
        <f>HYPERLINK("http://141.218.60.56/~jnz1568/getInfo.php?workbook=14_09.xlsx&amp;sheet=U0&amp;row=1910&amp;col=6&amp;number=3.6&amp;sourceID=14","3.6")</f>
        <v>3.6</v>
      </c>
      <c r="G1910" s="4" t="str">
        <f>HYPERLINK("http://141.218.60.56/~jnz1568/getInfo.php?workbook=14_09.xlsx&amp;sheet=U0&amp;row=1910&amp;col=7&amp;number=0.0204&amp;sourceID=14","0.0204")</f>
        <v>0.0204</v>
      </c>
    </row>
    <row r="1911" spans="1:7">
      <c r="A1911" s="3"/>
      <c r="B1911" s="3"/>
      <c r="C1911" s="3"/>
      <c r="D1911" s="3"/>
      <c r="E1911" s="3">
        <v>8</v>
      </c>
      <c r="F1911" s="4" t="str">
        <f>HYPERLINK("http://141.218.60.56/~jnz1568/getInfo.php?workbook=14_09.xlsx&amp;sheet=U0&amp;row=1911&amp;col=6&amp;number=3.7&amp;sourceID=14","3.7")</f>
        <v>3.7</v>
      </c>
      <c r="G1911" s="4" t="str">
        <f>HYPERLINK("http://141.218.60.56/~jnz1568/getInfo.php?workbook=14_09.xlsx&amp;sheet=U0&amp;row=1911&amp;col=7&amp;number=0.0203&amp;sourceID=14","0.0203")</f>
        <v>0.0203</v>
      </c>
    </row>
    <row r="1912" spans="1:7">
      <c r="A1912" s="3"/>
      <c r="B1912" s="3"/>
      <c r="C1912" s="3"/>
      <c r="D1912" s="3"/>
      <c r="E1912" s="3">
        <v>9</v>
      </c>
      <c r="F1912" s="4" t="str">
        <f>HYPERLINK("http://141.218.60.56/~jnz1568/getInfo.php?workbook=14_09.xlsx&amp;sheet=U0&amp;row=1912&amp;col=6&amp;number=3.8&amp;sourceID=14","3.8")</f>
        <v>3.8</v>
      </c>
      <c r="G1912" s="4" t="str">
        <f>HYPERLINK("http://141.218.60.56/~jnz1568/getInfo.php?workbook=14_09.xlsx&amp;sheet=U0&amp;row=1912&amp;col=7&amp;number=0.0202&amp;sourceID=14","0.0202")</f>
        <v>0.0202</v>
      </c>
    </row>
    <row r="1913" spans="1:7">
      <c r="A1913" s="3"/>
      <c r="B1913" s="3"/>
      <c r="C1913" s="3"/>
      <c r="D1913" s="3"/>
      <c r="E1913" s="3">
        <v>10</v>
      </c>
      <c r="F1913" s="4" t="str">
        <f>HYPERLINK("http://141.218.60.56/~jnz1568/getInfo.php?workbook=14_09.xlsx&amp;sheet=U0&amp;row=1913&amp;col=6&amp;number=3.9&amp;sourceID=14","3.9")</f>
        <v>3.9</v>
      </c>
      <c r="G1913" s="4" t="str">
        <f>HYPERLINK("http://141.218.60.56/~jnz1568/getInfo.php?workbook=14_09.xlsx&amp;sheet=U0&amp;row=1913&amp;col=7&amp;number=0.0201&amp;sourceID=14","0.0201")</f>
        <v>0.0201</v>
      </c>
    </row>
    <row r="1914" spans="1:7">
      <c r="A1914" s="3"/>
      <c r="B1914" s="3"/>
      <c r="C1914" s="3"/>
      <c r="D1914" s="3"/>
      <c r="E1914" s="3">
        <v>11</v>
      </c>
      <c r="F1914" s="4" t="str">
        <f>HYPERLINK("http://141.218.60.56/~jnz1568/getInfo.php?workbook=14_09.xlsx&amp;sheet=U0&amp;row=1914&amp;col=6&amp;number=4&amp;sourceID=14","4")</f>
        <v>4</v>
      </c>
      <c r="G1914" s="4" t="str">
        <f>HYPERLINK("http://141.218.60.56/~jnz1568/getInfo.php?workbook=14_09.xlsx&amp;sheet=U0&amp;row=1914&amp;col=7&amp;number=0.0199&amp;sourceID=14","0.0199")</f>
        <v>0.0199</v>
      </c>
    </row>
    <row r="1915" spans="1:7">
      <c r="A1915" s="3"/>
      <c r="B1915" s="3"/>
      <c r="C1915" s="3"/>
      <c r="D1915" s="3"/>
      <c r="E1915" s="3">
        <v>12</v>
      </c>
      <c r="F1915" s="4" t="str">
        <f>HYPERLINK("http://141.218.60.56/~jnz1568/getInfo.php?workbook=14_09.xlsx&amp;sheet=U0&amp;row=1915&amp;col=6&amp;number=4.1&amp;sourceID=14","4.1")</f>
        <v>4.1</v>
      </c>
      <c r="G1915" s="4" t="str">
        <f>HYPERLINK("http://141.218.60.56/~jnz1568/getInfo.php?workbook=14_09.xlsx&amp;sheet=U0&amp;row=1915&amp;col=7&amp;number=0.0197&amp;sourceID=14","0.0197")</f>
        <v>0.0197</v>
      </c>
    </row>
    <row r="1916" spans="1:7">
      <c r="A1916" s="3"/>
      <c r="B1916" s="3"/>
      <c r="C1916" s="3"/>
      <c r="D1916" s="3"/>
      <c r="E1916" s="3">
        <v>13</v>
      </c>
      <c r="F1916" s="4" t="str">
        <f>HYPERLINK("http://141.218.60.56/~jnz1568/getInfo.php?workbook=14_09.xlsx&amp;sheet=U0&amp;row=1916&amp;col=6&amp;number=4.2&amp;sourceID=14","4.2")</f>
        <v>4.2</v>
      </c>
      <c r="G1916" s="4" t="str">
        <f>HYPERLINK("http://141.218.60.56/~jnz1568/getInfo.php?workbook=14_09.xlsx&amp;sheet=U0&amp;row=1916&amp;col=7&amp;number=0.0194&amp;sourceID=14","0.0194")</f>
        <v>0.0194</v>
      </c>
    </row>
    <row r="1917" spans="1:7">
      <c r="A1917" s="3"/>
      <c r="B1917" s="3"/>
      <c r="C1917" s="3"/>
      <c r="D1917" s="3"/>
      <c r="E1917" s="3">
        <v>14</v>
      </c>
      <c r="F1917" s="4" t="str">
        <f>HYPERLINK("http://141.218.60.56/~jnz1568/getInfo.php?workbook=14_09.xlsx&amp;sheet=U0&amp;row=1917&amp;col=6&amp;number=4.3&amp;sourceID=14","4.3")</f>
        <v>4.3</v>
      </c>
      <c r="G1917" s="4" t="str">
        <f>HYPERLINK("http://141.218.60.56/~jnz1568/getInfo.php?workbook=14_09.xlsx&amp;sheet=U0&amp;row=1917&amp;col=7&amp;number=0.0191&amp;sourceID=14","0.0191")</f>
        <v>0.0191</v>
      </c>
    </row>
    <row r="1918" spans="1:7">
      <c r="A1918" s="3"/>
      <c r="B1918" s="3"/>
      <c r="C1918" s="3"/>
      <c r="D1918" s="3"/>
      <c r="E1918" s="3">
        <v>15</v>
      </c>
      <c r="F1918" s="4" t="str">
        <f>HYPERLINK("http://141.218.60.56/~jnz1568/getInfo.php?workbook=14_09.xlsx&amp;sheet=U0&amp;row=1918&amp;col=6&amp;number=4.4&amp;sourceID=14","4.4")</f>
        <v>4.4</v>
      </c>
      <c r="G1918" s="4" t="str">
        <f>HYPERLINK("http://141.218.60.56/~jnz1568/getInfo.php?workbook=14_09.xlsx&amp;sheet=U0&amp;row=1918&amp;col=7&amp;number=0.0187&amp;sourceID=14","0.0187")</f>
        <v>0.0187</v>
      </c>
    </row>
    <row r="1919" spans="1:7">
      <c r="A1919" s="3"/>
      <c r="B1919" s="3"/>
      <c r="C1919" s="3"/>
      <c r="D1919" s="3"/>
      <c r="E1919" s="3">
        <v>16</v>
      </c>
      <c r="F1919" s="4" t="str">
        <f>HYPERLINK("http://141.218.60.56/~jnz1568/getInfo.php?workbook=14_09.xlsx&amp;sheet=U0&amp;row=1919&amp;col=6&amp;number=4.5&amp;sourceID=14","4.5")</f>
        <v>4.5</v>
      </c>
      <c r="G1919" s="4" t="str">
        <f>HYPERLINK("http://141.218.60.56/~jnz1568/getInfo.php?workbook=14_09.xlsx&amp;sheet=U0&amp;row=1919&amp;col=7&amp;number=0.0182&amp;sourceID=14","0.0182")</f>
        <v>0.0182</v>
      </c>
    </row>
    <row r="1920" spans="1:7">
      <c r="A1920" s="3"/>
      <c r="B1920" s="3"/>
      <c r="C1920" s="3"/>
      <c r="D1920" s="3"/>
      <c r="E1920" s="3">
        <v>17</v>
      </c>
      <c r="F1920" s="4" t="str">
        <f>HYPERLINK("http://141.218.60.56/~jnz1568/getInfo.php?workbook=14_09.xlsx&amp;sheet=U0&amp;row=1920&amp;col=6&amp;number=4.6&amp;sourceID=14","4.6")</f>
        <v>4.6</v>
      </c>
      <c r="G1920" s="4" t="str">
        <f>HYPERLINK("http://141.218.60.56/~jnz1568/getInfo.php?workbook=14_09.xlsx&amp;sheet=U0&amp;row=1920&amp;col=7&amp;number=0.0176&amp;sourceID=14","0.0176")</f>
        <v>0.0176</v>
      </c>
    </row>
    <row r="1921" spans="1:7">
      <c r="A1921" s="3"/>
      <c r="B1921" s="3"/>
      <c r="C1921" s="3"/>
      <c r="D1921" s="3"/>
      <c r="E1921" s="3">
        <v>18</v>
      </c>
      <c r="F1921" s="4" t="str">
        <f>HYPERLINK("http://141.218.60.56/~jnz1568/getInfo.php?workbook=14_09.xlsx&amp;sheet=U0&amp;row=1921&amp;col=6&amp;number=4.7&amp;sourceID=14","4.7")</f>
        <v>4.7</v>
      </c>
      <c r="G1921" s="4" t="str">
        <f>HYPERLINK("http://141.218.60.56/~jnz1568/getInfo.php?workbook=14_09.xlsx&amp;sheet=U0&amp;row=1921&amp;col=7&amp;number=0.017&amp;sourceID=14","0.017")</f>
        <v>0.017</v>
      </c>
    </row>
    <row r="1922" spans="1:7">
      <c r="A1922" s="3"/>
      <c r="B1922" s="3"/>
      <c r="C1922" s="3"/>
      <c r="D1922" s="3"/>
      <c r="E1922" s="3">
        <v>19</v>
      </c>
      <c r="F1922" s="4" t="str">
        <f>HYPERLINK("http://141.218.60.56/~jnz1568/getInfo.php?workbook=14_09.xlsx&amp;sheet=U0&amp;row=1922&amp;col=6&amp;number=4.8&amp;sourceID=14","4.8")</f>
        <v>4.8</v>
      </c>
      <c r="G1922" s="4" t="str">
        <f>HYPERLINK("http://141.218.60.56/~jnz1568/getInfo.php?workbook=14_09.xlsx&amp;sheet=U0&amp;row=1922&amp;col=7&amp;number=0.0163&amp;sourceID=14","0.0163")</f>
        <v>0.0163</v>
      </c>
    </row>
    <row r="1923" spans="1:7">
      <c r="A1923" s="3"/>
      <c r="B1923" s="3"/>
      <c r="C1923" s="3"/>
      <c r="D1923" s="3"/>
      <c r="E1923" s="3">
        <v>20</v>
      </c>
      <c r="F1923" s="4" t="str">
        <f>HYPERLINK("http://141.218.60.56/~jnz1568/getInfo.php?workbook=14_09.xlsx&amp;sheet=U0&amp;row=1923&amp;col=6&amp;number=4.9&amp;sourceID=14","4.9")</f>
        <v>4.9</v>
      </c>
      <c r="G1923" s="4" t="str">
        <f>HYPERLINK("http://141.218.60.56/~jnz1568/getInfo.php?workbook=14_09.xlsx&amp;sheet=U0&amp;row=1923&amp;col=7&amp;number=0.0156&amp;sourceID=14","0.0156")</f>
        <v>0.0156</v>
      </c>
    </row>
    <row r="1924" spans="1:7">
      <c r="A1924" s="3">
        <v>14</v>
      </c>
      <c r="B1924" s="3">
        <v>9</v>
      </c>
      <c r="C1924" s="3">
        <v>1</v>
      </c>
      <c r="D1924" s="3">
        <v>98</v>
      </c>
      <c r="E1924" s="3">
        <v>1</v>
      </c>
      <c r="F1924" s="4" t="str">
        <f>HYPERLINK("http://141.218.60.56/~jnz1568/getInfo.php?workbook=14_09.xlsx&amp;sheet=U0&amp;row=1924&amp;col=6&amp;number=3&amp;sourceID=14","3")</f>
        <v>3</v>
      </c>
      <c r="G1924" s="4" t="str">
        <f>HYPERLINK("http://141.218.60.56/~jnz1568/getInfo.php?workbook=14_09.xlsx&amp;sheet=U0&amp;row=1924&amp;col=7&amp;number=0.0191&amp;sourceID=14","0.0191")</f>
        <v>0.0191</v>
      </c>
    </row>
    <row r="1925" spans="1:7">
      <c r="A1925" s="3"/>
      <c r="B1925" s="3"/>
      <c r="C1925" s="3"/>
      <c r="D1925" s="3"/>
      <c r="E1925" s="3">
        <v>2</v>
      </c>
      <c r="F1925" s="4" t="str">
        <f>HYPERLINK("http://141.218.60.56/~jnz1568/getInfo.php?workbook=14_09.xlsx&amp;sheet=U0&amp;row=1925&amp;col=6&amp;number=3.1&amp;sourceID=14","3.1")</f>
        <v>3.1</v>
      </c>
      <c r="G1925" s="4" t="str">
        <f>HYPERLINK("http://141.218.60.56/~jnz1568/getInfo.php?workbook=14_09.xlsx&amp;sheet=U0&amp;row=1925&amp;col=7&amp;number=0.019&amp;sourceID=14","0.019")</f>
        <v>0.019</v>
      </c>
    </row>
    <row r="1926" spans="1:7">
      <c r="A1926" s="3"/>
      <c r="B1926" s="3"/>
      <c r="C1926" s="3"/>
      <c r="D1926" s="3"/>
      <c r="E1926" s="3">
        <v>3</v>
      </c>
      <c r="F1926" s="4" t="str">
        <f>HYPERLINK("http://141.218.60.56/~jnz1568/getInfo.php?workbook=14_09.xlsx&amp;sheet=U0&amp;row=1926&amp;col=6&amp;number=3.2&amp;sourceID=14","3.2")</f>
        <v>3.2</v>
      </c>
      <c r="G1926" s="4" t="str">
        <f>HYPERLINK("http://141.218.60.56/~jnz1568/getInfo.php?workbook=14_09.xlsx&amp;sheet=U0&amp;row=1926&amp;col=7&amp;number=0.019&amp;sourceID=14","0.019")</f>
        <v>0.019</v>
      </c>
    </row>
    <row r="1927" spans="1:7">
      <c r="A1927" s="3"/>
      <c r="B1927" s="3"/>
      <c r="C1927" s="3"/>
      <c r="D1927" s="3"/>
      <c r="E1927" s="3">
        <v>4</v>
      </c>
      <c r="F1927" s="4" t="str">
        <f>HYPERLINK("http://141.218.60.56/~jnz1568/getInfo.php?workbook=14_09.xlsx&amp;sheet=U0&amp;row=1927&amp;col=6&amp;number=3.3&amp;sourceID=14","3.3")</f>
        <v>3.3</v>
      </c>
      <c r="G1927" s="4" t="str">
        <f>HYPERLINK("http://141.218.60.56/~jnz1568/getInfo.php?workbook=14_09.xlsx&amp;sheet=U0&amp;row=1927&amp;col=7&amp;number=0.019&amp;sourceID=14","0.019")</f>
        <v>0.019</v>
      </c>
    </row>
    <row r="1928" spans="1:7">
      <c r="A1928" s="3"/>
      <c r="B1928" s="3"/>
      <c r="C1928" s="3"/>
      <c r="D1928" s="3"/>
      <c r="E1928" s="3">
        <v>5</v>
      </c>
      <c r="F1928" s="4" t="str">
        <f>HYPERLINK("http://141.218.60.56/~jnz1568/getInfo.php?workbook=14_09.xlsx&amp;sheet=U0&amp;row=1928&amp;col=6&amp;number=3.4&amp;sourceID=14","3.4")</f>
        <v>3.4</v>
      </c>
      <c r="G1928" s="4" t="str">
        <f>HYPERLINK("http://141.218.60.56/~jnz1568/getInfo.php?workbook=14_09.xlsx&amp;sheet=U0&amp;row=1928&amp;col=7&amp;number=0.019&amp;sourceID=14","0.019")</f>
        <v>0.019</v>
      </c>
    </row>
    <row r="1929" spans="1:7">
      <c r="A1929" s="3"/>
      <c r="B1929" s="3"/>
      <c r="C1929" s="3"/>
      <c r="D1929" s="3"/>
      <c r="E1929" s="3">
        <v>6</v>
      </c>
      <c r="F1929" s="4" t="str">
        <f>HYPERLINK("http://141.218.60.56/~jnz1568/getInfo.php?workbook=14_09.xlsx&amp;sheet=U0&amp;row=1929&amp;col=6&amp;number=3.5&amp;sourceID=14","3.5")</f>
        <v>3.5</v>
      </c>
      <c r="G1929" s="4" t="str">
        <f>HYPERLINK("http://141.218.60.56/~jnz1568/getInfo.php?workbook=14_09.xlsx&amp;sheet=U0&amp;row=1929&amp;col=7&amp;number=0.019&amp;sourceID=14","0.019")</f>
        <v>0.019</v>
      </c>
    </row>
    <row r="1930" spans="1:7">
      <c r="A1930" s="3"/>
      <c r="B1930" s="3"/>
      <c r="C1930" s="3"/>
      <c r="D1930" s="3"/>
      <c r="E1930" s="3">
        <v>7</v>
      </c>
      <c r="F1930" s="4" t="str">
        <f>HYPERLINK("http://141.218.60.56/~jnz1568/getInfo.php?workbook=14_09.xlsx&amp;sheet=U0&amp;row=1930&amp;col=6&amp;number=3.6&amp;sourceID=14","3.6")</f>
        <v>3.6</v>
      </c>
      <c r="G1930" s="4" t="str">
        <f>HYPERLINK("http://141.218.60.56/~jnz1568/getInfo.php?workbook=14_09.xlsx&amp;sheet=U0&amp;row=1930&amp;col=7&amp;number=0.0189&amp;sourceID=14","0.0189")</f>
        <v>0.0189</v>
      </c>
    </row>
    <row r="1931" spans="1:7">
      <c r="A1931" s="3"/>
      <c r="B1931" s="3"/>
      <c r="C1931" s="3"/>
      <c r="D1931" s="3"/>
      <c r="E1931" s="3">
        <v>8</v>
      </c>
      <c r="F1931" s="4" t="str">
        <f>HYPERLINK("http://141.218.60.56/~jnz1568/getInfo.php?workbook=14_09.xlsx&amp;sheet=U0&amp;row=1931&amp;col=6&amp;number=3.7&amp;sourceID=14","3.7")</f>
        <v>3.7</v>
      </c>
      <c r="G1931" s="4" t="str">
        <f>HYPERLINK("http://141.218.60.56/~jnz1568/getInfo.php?workbook=14_09.xlsx&amp;sheet=U0&amp;row=1931&amp;col=7&amp;number=0.0189&amp;sourceID=14","0.0189")</f>
        <v>0.0189</v>
      </c>
    </row>
    <row r="1932" spans="1:7">
      <c r="A1932" s="3"/>
      <c r="B1932" s="3"/>
      <c r="C1932" s="3"/>
      <c r="D1932" s="3"/>
      <c r="E1932" s="3">
        <v>9</v>
      </c>
      <c r="F1932" s="4" t="str">
        <f>HYPERLINK("http://141.218.60.56/~jnz1568/getInfo.php?workbook=14_09.xlsx&amp;sheet=U0&amp;row=1932&amp;col=6&amp;number=3.8&amp;sourceID=14","3.8")</f>
        <v>3.8</v>
      </c>
      <c r="G1932" s="4" t="str">
        <f>HYPERLINK("http://141.218.60.56/~jnz1568/getInfo.php?workbook=14_09.xlsx&amp;sheet=U0&amp;row=1932&amp;col=7&amp;number=0.0188&amp;sourceID=14","0.0188")</f>
        <v>0.0188</v>
      </c>
    </row>
    <row r="1933" spans="1:7">
      <c r="A1933" s="3"/>
      <c r="B1933" s="3"/>
      <c r="C1933" s="3"/>
      <c r="D1933" s="3"/>
      <c r="E1933" s="3">
        <v>10</v>
      </c>
      <c r="F1933" s="4" t="str">
        <f>HYPERLINK("http://141.218.60.56/~jnz1568/getInfo.php?workbook=14_09.xlsx&amp;sheet=U0&amp;row=1933&amp;col=6&amp;number=3.9&amp;sourceID=14","3.9")</f>
        <v>3.9</v>
      </c>
      <c r="G1933" s="4" t="str">
        <f>HYPERLINK("http://141.218.60.56/~jnz1568/getInfo.php?workbook=14_09.xlsx&amp;sheet=U0&amp;row=1933&amp;col=7&amp;number=0.0188&amp;sourceID=14","0.0188")</f>
        <v>0.0188</v>
      </c>
    </row>
    <row r="1934" spans="1:7">
      <c r="A1934" s="3"/>
      <c r="B1934" s="3"/>
      <c r="C1934" s="3"/>
      <c r="D1934" s="3"/>
      <c r="E1934" s="3">
        <v>11</v>
      </c>
      <c r="F1934" s="4" t="str">
        <f>HYPERLINK("http://141.218.60.56/~jnz1568/getInfo.php?workbook=14_09.xlsx&amp;sheet=U0&amp;row=1934&amp;col=6&amp;number=4&amp;sourceID=14","4")</f>
        <v>4</v>
      </c>
      <c r="G1934" s="4" t="str">
        <f>HYPERLINK("http://141.218.60.56/~jnz1568/getInfo.php?workbook=14_09.xlsx&amp;sheet=U0&amp;row=1934&amp;col=7&amp;number=0.0187&amp;sourceID=14","0.0187")</f>
        <v>0.0187</v>
      </c>
    </row>
    <row r="1935" spans="1:7">
      <c r="A1935" s="3"/>
      <c r="B1935" s="3"/>
      <c r="C1935" s="3"/>
      <c r="D1935" s="3"/>
      <c r="E1935" s="3">
        <v>12</v>
      </c>
      <c r="F1935" s="4" t="str">
        <f>HYPERLINK("http://141.218.60.56/~jnz1568/getInfo.php?workbook=14_09.xlsx&amp;sheet=U0&amp;row=1935&amp;col=6&amp;number=4.1&amp;sourceID=14","4.1")</f>
        <v>4.1</v>
      </c>
      <c r="G1935" s="4" t="str">
        <f>HYPERLINK("http://141.218.60.56/~jnz1568/getInfo.php?workbook=14_09.xlsx&amp;sheet=U0&amp;row=1935&amp;col=7&amp;number=0.0186&amp;sourceID=14","0.0186")</f>
        <v>0.0186</v>
      </c>
    </row>
    <row r="1936" spans="1:7">
      <c r="A1936" s="3"/>
      <c r="B1936" s="3"/>
      <c r="C1936" s="3"/>
      <c r="D1936" s="3"/>
      <c r="E1936" s="3">
        <v>13</v>
      </c>
      <c r="F1936" s="4" t="str">
        <f>HYPERLINK("http://141.218.60.56/~jnz1568/getInfo.php?workbook=14_09.xlsx&amp;sheet=U0&amp;row=1936&amp;col=6&amp;number=4.2&amp;sourceID=14","4.2")</f>
        <v>4.2</v>
      </c>
      <c r="G1936" s="4" t="str">
        <f>HYPERLINK("http://141.218.60.56/~jnz1568/getInfo.php?workbook=14_09.xlsx&amp;sheet=U0&amp;row=1936&amp;col=7&amp;number=0.0185&amp;sourceID=14","0.0185")</f>
        <v>0.0185</v>
      </c>
    </row>
    <row r="1937" spans="1:7">
      <c r="A1937" s="3"/>
      <c r="B1937" s="3"/>
      <c r="C1937" s="3"/>
      <c r="D1937" s="3"/>
      <c r="E1937" s="3">
        <v>14</v>
      </c>
      <c r="F1937" s="4" t="str">
        <f>HYPERLINK("http://141.218.60.56/~jnz1568/getInfo.php?workbook=14_09.xlsx&amp;sheet=U0&amp;row=1937&amp;col=6&amp;number=4.3&amp;sourceID=14","4.3")</f>
        <v>4.3</v>
      </c>
      <c r="G1937" s="4" t="str">
        <f>HYPERLINK("http://141.218.60.56/~jnz1568/getInfo.php?workbook=14_09.xlsx&amp;sheet=U0&amp;row=1937&amp;col=7&amp;number=0.0183&amp;sourceID=14","0.0183")</f>
        <v>0.0183</v>
      </c>
    </row>
    <row r="1938" spans="1:7">
      <c r="A1938" s="3"/>
      <c r="B1938" s="3"/>
      <c r="C1938" s="3"/>
      <c r="D1938" s="3"/>
      <c r="E1938" s="3">
        <v>15</v>
      </c>
      <c r="F1938" s="4" t="str">
        <f>HYPERLINK("http://141.218.60.56/~jnz1568/getInfo.php?workbook=14_09.xlsx&amp;sheet=U0&amp;row=1938&amp;col=6&amp;number=4.4&amp;sourceID=14","4.4")</f>
        <v>4.4</v>
      </c>
      <c r="G1938" s="4" t="str">
        <f>HYPERLINK("http://141.218.60.56/~jnz1568/getInfo.php?workbook=14_09.xlsx&amp;sheet=U0&amp;row=1938&amp;col=7&amp;number=0.0181&amp;sourceID=14","0.0181")</f>
        <v>0.0181</v>
      </c>
    </row>
    <row r="1939" spans="1:7">
      <c r="A1939" s="3"/>
      <c r="B1939" s="3"/>
      <c r="C1939" s="3"/>
      <c r="D1939" s="3"/>
      <c r="E1939" s="3">
        <v>16</v>
      </c>
      <c r="F1939" s="4" t="str">
        <f>HYPERLINK("http://141.218.60.56/~jnz1568/getInfo.php?workbook=14_09.xlsx&amp;sheet=U0&amp;row=1939&amp;col=6&amp;number=4.5&amp;sourceID=14","4.5")</f>
        <v>4.5</v>
      </c>
      <c r="G1939" s="4" t="str">
        <f>HYPERLINK("http://141.218.60.56/~jnz1568/getInfo.php?workbook=14_09.xlsx&amp;sheet=U0&amp;row=1939&amp;col=7&amp;number=0.0179&amp;sourceID=14","0.0179")</f>
        <v>0.0179</v>
      </c>
    </row>
    <row r="1940" spans="1:7">
      <c r="A1940" s="3"/>
      <c r="B1940" s="3"/>
      <c r="C1940" s="3"/>
      <c r="D1940" s="3"/>
      <c r="E1940" s="3">
        <v>17</v>
      </c>
      <c r="F1940" s="4" t="str">
        <f>HYPERLINK("http://141.218.60.56/~jnz1568/getInfo.php?workbook=14_09.xlsx&amp;sheet=U0&amp;row=1940&amp;col=6&amp;number=4.6&amp;sourceID=14","4.6")</f>
        <v>4.6</v>
      </c>
      <c r="G1940" s="4" t="str">
        <f>HYPERLINK("http://141.218.60.56/~jnz1568/getInfo.php?workbook=14_09.xlsx&amp;sheet=U0&amp;row=1940&amp;col=7&amp;number=0.0176&amp;sourceID=14","0.0176")</f>
        <v>0.0176</v>
      </c>
    </row>
    <row r="1941" spans="1:7">
      <c r="A1941" s="3"/>
      <c r="B1941" s="3"/>
      <c r="C1941" s="3"/>
      <c r="D1941" s="3"/>
      <c r="E1941" s="3">
        <v>18</v>
      </c>
      <c r="F1941" s="4" t="str">
        <f>HYPERLINK("http://141.218.60.56/~jnz1568/getInfo.php?workbook=14_09.xlsx&amp;sheet=U0&amp;row=1941&amp;col=6&amp;number=4.7&amp;sourceID=14","4.7")</f>
        <v>4.7</v>
      </c>
      <c r="G1941" s="4" t="str">
        <f>HYPERLINK("http://141.218.60.56/~jnz1568/getInfo.php?workbook=14_09.xlsx&amp;sheet=U0&amp;row=1941&amp;col=7&amp;number=0.0173&amp;sourceID=14","0.0173")</f>
        <v>0.0173</v>
      </c>
    </row>
    <row r="1942" spans="1:7">
      <c r="A1942" s="3"/>
      <c r="B1942" s="3"/>
      <c r="C1942" s="3"/>
      <c r="D1942" s="3"/>
      <c r="E1942" s="3">
        <v>19</v>
      </c>
      <c r="F1942" s="4" t="str">
        <f>HYPERLINK("http://141.218.60.56/~jnz1568/getInfo.php?workbook=14_09.xlsx&amp;sheet=U0&amp;row=1942&amp;col=6&amp;number=4.8&amp;sourceID=14","4.8")</f>
        <v>4.8</v>
      </c>
      <c r="G1942" s="4" t="str">
        <f>HYPERLINK("http://141.218.60.56/~jnz1568/getInfo.php?workbook=14_09.xlsx&amp;sheet=U0&amp;row=1942&amp;col=7&amp;number=0.0169&amp;sourceID=14","0.0169")</f>
        <v>0.0169</v>
      </c>
    </row>
    <row r="1943" spans="1:7">
      <c r="A1943" s="3"/>
      <c r="B1943" s="3"/>
      <c r="C1943" s="3"/>
      <c r="D1943" s="3"/>
      <c r="E1943" s="3">
        <v>20</v>
      </c>
      <c r="F1943" s="4" t="str">
        <f>HYPERLINK("http://141.218.60.56/~jnz1568/getInfo.php?workbook=14_09.xlsx&amp;sheet=U0&amp;row=1943&amp;col=6&amp;number=4.9&amp;sourceID=14","4.9")</f>
        <v>4.9</v>
      </c>
      <c r="G1943" s="4" t="str">
        <f>HYPERLINK("http://141.218.60.56/~jnz1568/getInfo.php?workbook=14_09.xlsx&amp;sheet=U0&amp;row=1943&amp;col=7&amp;number=0.0164&amp;sourceID=14","0.0164")</f>
        <v>0.0164</v>
      </c>
    </row>
    <row r="1944" spans="1:7">
      <c r="A1944" s="3">
        <v>14</v>
      </c>
      <c r="B1944" s="3">
        <v>9</v>
      </c>
      <c r="C1944" s="3">
        <v>1</v>
      </c>
      <c r="D1944" s="3">
        <v>99</v>
      </c>
      <c r="E1944" s="3">
        <v>1</v>
      </c>
      <c r="F1944" s="4" t="str">
        <f>HYPERLINK("http://141.218.60.56/~jnz1568/getInfo.php?workbook=14_09.xlsx&amp;sheet=U0&amp;row=1944&amp;col=6&amp;number=3&amp;sourceID=14","3")</f>
        <v>3</v>
      </c>
      <c r="G1944" s="4" t="str">
        <f>HYPERLINK("http://141.218.60.56/~jnz1568/getInfo.php?workbook=14_09.xlsx&amp;sheet=U0&amp;row=1944&amp;col=7&amp;number=0.0117&amp;sourceID=14","0.0117")</f>
        <v>0.0117</v>
      </c>
    </row>
    <row r="1945" spans="1:7">
      <c r="A1945" s="3"/>
      <c r="B1945" s="3"/>
      <c r="C1945" s="3"/>
      <c r="D1945" s="3"/>
      <c r="E1945" s="3">
        <v>2</v>
      </c>
      <c r="F1945" s="4" t="str">
        <f>HYPERLINK("http://141.218.60.56/~jnz1568/getInfo.php?workbook=14_09.xlsx&amp;sheet=U0&amp;row=1945&amp;col=6&amp;number=3.1&amp;sourceID=14","3.1")</f>
        <v>3.1</v>
      </c>
      <c r="G1945" s="4" t="str">
        <f>HYPERLINK("http://141.218.60.56/~jnz1568/getInfo.php?workbook=14_09.xlsx&amp;sheet=U0&amp;row=1945&amp;col=7&amp;number=0.0117&amp;sourceID=14","0.0117")</f>
        <v>0.0117</v>
      </c>
    </row>
    <row r="1946" spans="1:7">
      <c r="A1946" s="3"/>
      <c r="B1946" s="3"/>
      <c r="C1946" s="3"/>
      <c r="D1946" s="3"/>
      <c r="E1946" s="3">
        <v>3</v>
      </c>
      <c r="F1946" s="4" t="str">
        <f>HYPERLINK("http://141.218.60.56/~jnz1568/getInfo.php?workbook=14_09.xlsx&amp;sheet=U0&amp;row=1946&amp;col=6&amp;number=3.2&amp;sourceID=14","3.2")</f>
        <v>3.2</v>
      </c>
      <c r="G1946" s="4" t="str">
        <f>HYPERLINK("http://141.218.60.56/~jnz1568/getInfo.php?workbook=14_09.xlsx&amp;sheet=U0&amp;row=1946&amp;col=7&amp;number=0.0117&amp;sourceID=14","0.0117")</f>
        <v>0.0117</v>
      </c>
    </row>
    <row r="1947" spans="1:7">
      <c r="A1947" s="3"/>
      <c r="B1947" s="3"/>
      <c r="C1947" s="3"/>
      <c r="D1947" s="3"/>
      <c r="E1947" s="3">
        <v>4</v>
      </c>
      <c r="F1947" s="4" t="str">
        <f>HYPERLINK("http://141.218.60.56/~jnz1568/getInfo.php?workbook=14_09.xlsx&amp;sheet=U0&amp;row=1947&amp;col=6&amp;number=3.3&amp;sourceID=14","3.3")</f>
        <v>3.3</v>
      </c>
      <c r="G1947" s="4" t="str">
        <f>HYPERLINK("http://141.218.60.56/~jnz1568/getInfo.php?workbook=14_09.xlsx&amp;sheet=U0&amp;row=1947&amp;col=7&amp;number=0.0117&amp;sourceID=14","0.0117")</f>
        <v>0.0117</v>
      </c>
    </row>
    <row r="1948" spans="1:7">
      <c r="A1948" s="3"/>
      <c r="B1948" s="3"/>
      <c r="C1948" s="3"/>
      <c r="D1948" s="3"/>
      <c r="E1948" s="3">
        <v>5</v>
      </c>
      <c r="F1948" s="4" t="str">
        <f>HYPERLINK("http://141.218.60.56/~jnz1568/getInfo.php?workbook=14_09.xlsx&amp;sheet=U0&amp;row=1948&amp;col=6&amp;number=3.4&amp;sourceID=14","3.4")</f>
        <v>3.4</v>
      </c>
      <c r="G1948" s="4" t="str">
        <f>HYPERLINK("http://141.218.60.56/~jnz1568/getInfo.php?workbook=14_09.xlsx&amp;sheet=U0&amp;row=1948&amp;col=7&amp;number=0.0117&amp;sourceID=14","0.0117")</f>
        <v>0.0117</v>
      </c>
    </row>
    <row r="1949" spans="1:7">
      <c r="A1949" s="3"/>
      <c r="B1949" s="3"/>
      <c r="C1949" s="3"/>
      <c r="D1949" s="3"/>
      <c r="E1949" s="3">
        <v>6</v>
      </c>
      <c r="F1949" s="4" t="str">
        <f>HYPERLINK("http://141.218.60.56/~jnz1568/getInfo.php?workbook=14_09.xlsx&amp;sheet=U0&amp;row=1949&amp;col=6&amp;number=3.5&amp;sourceID=14","3.5")</f>
        <v>3.5</v>
      </c>
      <c r="G1949" s="4" t="str">
        <f>HYPERLINK("http://141.218.60.56/~jnz1568/getInfo.php?workbook=14_09.xlsx&amp;sheet=U0&amp;row=1949&amp;col=7&amp;number=0.0117&amp;sourceID=14","0.0117")</f>
        <v>0.0117</v>
      </c>
    </row>
    <row r="1950" spans="1:7">
      <c r="A1950" s="3"/>
      <c r="B1950" s="3"/>
      <c r="C1950" s="3"/>
      <c r="D1950" s="3"/>
      <c r="E1950" s="3">
        <v>7</v>
      </c>
      <c r="F1950" s="4" t="str">
        <f>HYPERLINK("http://141.218.60.56/~jnz1568/getInfo.php?workbook=14_09.xlsx&amp;sheet=U0&amp;row=1950&amp;col=6&amp;number=3.6&amp;sourceID=14","3.6")</f>
        <v>3.6</v>
      </c>
      <c r="G1950" s="4" t="str">
        <f>HYPERLINK("http://141.218.60.56/~jnz1568/getInfo.php?workbook=14_09.xlsx&amp;sheet=U0&amp;row=1950&amp;col=7&amp;number=0.0117&amp;sourceID=14","0.0117")</f>
        <v>0.0117</v>
      </c>
    </row>
    <row r="1951" spans="1:7">
      <c r="A1951" s="3"/>
      <c r="B1951" s="3"/>
      <c r="C1951" s="3"/>
      <c r="D1951" s="3"/>
      <c r="E1951" s="3">
        <v>8</v>
      </c>
      <c r="F1951" s="4" t="str">
        <f>HYPERLINK("http://141.218.60.56/~jnz1568/getInfo.php?workbook=14_09.xlsx&amp;sheet=U0&amp;row=1951&amp;col=6&amp;number=3.7&amp;sourceID=14","3.7")</f>
        <v>3.7</v>
      </c>
      <c r="G1951" s="4" t="str">
        <f>HYPERLINK("http://141.218.60.56/~jnz1568/getInfo.php?workbook=14_09.xlsx&amp;sheet=U0&amp;row=1951&amp;col=7&amp;number=0.0117&amp;sourceID=14","0.0117")</f>
        <v>0.0117</v>
      </c>
    </row>
    <row r="1952" spans="1:7">
      <c r="A1952" s="3"/>
      <c r="B1952" s="3"/>
      <c r="C1952" s="3"/>
      <c r="D1952" s="3"/>
      <c r="E1952" s="3">
        <v>9</v>
      </c>
      <c r="F1952" s="4" t="str">
        <f>HYPERLINK("http://141.218.60.56/~jnz1568/getInfo.php?workbook=14_09.xlsx&amp;sheet=U0&amp;row=1952&amp;col=6&amp;number=3.8&amp;sourceID=14","3.8")</f>
        <v>3.8</v>
      </c>
      <c r="G1952" s="4" t="str">
        <f>HYPERLINK("http://141.218.60.56/~jnz1568/getInfo.php?workbook=14_09.xlsx&amp;sheet=U0&amp;row=1952&amp;col=7&amp;number=0.0117&amp;sourceID=14","0.0117")</f>
        <v>0.0117</v>
      </c>
    </row>
    <row r="1953" spans="1:7">
      <c r="A1953" s="3"/>
      <c r="B1953" s="3"/>
      <c r="C1953" s="3"/>
      <c r="D1953" s="3"/>
      <c r="E1953" s="3">
        <v>10</v>
      </c>
      <c r="F1953" s="4" t="str">
        <f>HYPERLINK("http://141.218.60.56/~jnz1568/getInfo.php?workbook=14_09.xlsx&amp;sheet=U0&amp;row=1953&amp;col=6&amp;number=3.9&amp;sourceID=14","3.9")</f>
        <v>3.9</v>
      </c>
      <c r="G1953" s="4" t="str">
        <f>HYPERLINK("http://141.218.60.56/~jnz1568/getInfo.php?workbook=14_09.xlsx&amp;sheet=U0&amp;row=1953&amp;col=7&amp;number=0.0116&amp;sourceID=14","0.0116")</f>
        <v>0.0116</v>
      </c>
    </row>
    <row r="1954" spans="1:7">
      <c r="A1954" s="3"/>
      <c r="B1954" s="3"/>
      <c r="C1954" s="3"/>
      <c r="D1954" s="3"/>
      <c r="E1954" s="3">
        <v>11</v>
      </c>
      <c r="F1954" s="4" t="str">
        <f>HYPERLINK("http://141.218.60.56/~jnz1568/getInfo.php?workbook=14_09.xlsx&amp;sheet=U0&amp;row=1954&amp;col=6&amp;number=4&amp;sourceID=14","4")</f>
        <v>4</v>
      </c>
      <c r="G1954" s="4" t="str">
        <f>HYPERLINK("http://141.218.60.56/~jnz1568/getInfo.php?workbook=14_09.xlsx&amp;sheet=U0&amp;row=1954&amp;col=7&amp;number=0.0116&amp;sourceID=14","0.0116")</f>
        <v>0.0116</v>
      </c>
    </row>
    <row r="1955" spans="1:7">
      <c r="A1955" s="3"/>
      <c r="B1955" s="3"/>
      <c r="C1955" s="3"/>
      <c r="D1955" s="3"/>
      <c r="E1955" s="3">
        <v>12</v>
      </c>
      <c r="F1955" s="4" t="str">
        <f>HYPERLINK("http://141.218.60.56/~jnz1568/getInfo.php?workbook=14_09.xlsx&amp;sheet=U0&amp;row=1955&amp;col=6&amp;number=4.1&amp;sourceID=14","4.1")</f>
        <v>4.1</v>
      </c>
      <c r="G1955" s="4" t="str">
        <f>HYPERLINK("http://141.218.60.56/~jnz1568/getInfo.php?workbook=14_09.xlsx&amp;sheet=U0&amp;row=1955&amp;col=7&amp;number=0.0116&amp;sourceID=14","0.0116")</f>
        <v>0.0116</v>
      </c>
    </row>
    <row r="1956" spans="1:7">
      <c r="A1956" s="3"/>
      <c r="B1956" s="3"/>
      <c r="C1956" s="3"/>
      <c r="D1956" s="3"/>
      <c r="E1956" s="3">
        <v>13</v>
      </c>
      <c r="F1956" s="4" t="str">
        <f>HYPERLINK("http://141.218.60.56/~jnz1568/getInfo.php?workbook=14_09.xlsx&amp;sheet=U0&amp;row=1956&amp;col=6&amp;number=4.2&amp;sourceID=14","4.2")</f>
        <v>4.2</v>
      </c>
      <c r="G1956" s="4" t="str">
        <f>HYPERLINK("http://141.218.60.56/~jnz1568/getInfo.php?workbook=14_09.xlsx&amp;sheet=U0&amp;row=1956&amp;col=7&amp;number=0.0116&amp;sourceID=14","0.0116")</f>
        <v>0.0116</v>
      </c>
    </row>
    <row r="1957" spans="1:7">
      <c r="A1957" s="3"/>
      <c r="B1957" s="3"/>
      <c r="C1957" s="3"/>
      <c r="D1957" s="3"/>
      <c r="E1957" s="3">
        <v>14</v>
      </c>
      <c r="F1957" s="4" t="str">
        <f>HYPERLINK("http://141.218.60.56/~jnz1568/getInfo.php?workbook=14_09.xlsx&amp;sheet=U0&amp;row=1957&amp;col=6&amp;number=4.3&amp;sourceID=14","4.3")</f>
        <v>4.3</v>
      </c>
      <c r="G1957" s="4" t="str">
        <f>HYPERLINK("http://141.218.60.56/~jnz1568/getInfo.php?workbook=14_09.xlsx&amp;sheet=U0&amp;row=1957&amp;col=7&amp;number=0.0116&amp;sourceID=14","0.0116")</f>
        <v>0.0116</v>
      </c>
    </row>
    <row r="1958" spans="1:7">
      <c r="A1958" s="3"/>
      <c r="B1958" s="3"/>
      <c r="C1958" s="3"/>
      <c r="D1958" s="3"/>
      <c r="E1958" s="3">
        <v>15</v>
      </c>
      <c r="F1958" s="4" t="str">
        <f>HYPERLINK("http://141.218.60.56/~jnz1568/getInfo.php?workbook=14_09.xlsx&amp;sheet=U0&amp;row=1958&amp;col=6&amp;number=4.4&amp;sourceID=14","4.4")</f>
        <v>4.4</v>
      </c>
      <c r="G1958" s="4" t="str">
        <f>HYPERLINK("http://141.218.60.56/~jnz1568/getInfo.php?workbook=14_09.xlsx&amp;sheet=U0&amp;row=1958&amp;col=7&amp;number=0.0115&amp;sourceID=14","0.0115")</f>
        <v>0.0115</v>
      </c>
    </row>
    <row r="1959" spans="1:7">
      <c r="A1959" s="3"/>
      <c r="B1959" s="3"/>
      <c r="C1959" s="3"/>
      <c r="D1959" s="3"/>
      <c r="E1959" s="3">
        <v>16</v>
      </c>
      <c r="F1959" s="4" t="str">
        <f>HYPERLINK("http://141.218.60.56/~jnz1568/getInfo.php?workbook=14_09.xlsx&amp;sheet=U0&amp;row=1959&amp;col=6&amp;number=4.5&amp;sourceID=14","4.5")</f>
        <v>4.5</v>
      </c>
      <c r="G1959" s="4" t="str">
        <f>HYPERLINK("http://141.218.60.56/~jnz1568/getInfo.php?workbook=14_09.xlsx&amp;sheet=U0&amp;row=1959&amp;col=7&amp;number=0.0115&amp;sourceID=14","0.0115")</f>
        <v>0.0115</v>
      </c>
    </row>
    <row r="1960" spans="1:7">
      <c r="A1960" s="3"/>
      <c r="B1960" s="3"/>
      <c r="C1960" s="3"/>
      <c r="D1960" s="3"/>
      <c r="E1960" s="3">
        <v>17</v>
      </c>
      <c r="F1960" s="4" t="str">
        <f>HYPERLINK("http://141.218.60.56/~jnz1568/getInfo.php?workbook=14_09.xlsx&amp;sheet=U0&amp;row=1960&amp;col=6&amp;number=4.6&amp;sourceID=14","4.6")</f>
        <v>4.6</v>
      </c>
      <c r="G1960" s="4" t="str">
        <f>HYPERLINK("http://141.218.60.56/~jnz1568/getInfo.php?workbook=14_09.xlsx&amp;sheet=U0&amp;row=1960&amp;col=7&amp;number=0.0114&amp;sourceID=14","0.0114")</f>
        <v>0.0114</v>
      </c>
    </row>
    <row r="1961" spans="1:7">
      <c r="A1961" s="3"/>
      <c r="B1961" s="3"/>
      <c r="C1961" s="3"/>
      <c r="D1961" s="3"/>
      <c r="E1961" s="3">
        <v>18</v>
      </c>
      <c r="F1961" s="4" t="str">
        <f>HYPERLINK("http://141.218.60.56/~jnz1568/getInfo.php?workbook=14_09.xlsx&amp;sheet=U0&amp;row=1961&amp;col=6&amp;number=4.7&amp;sourceID=14","4.7")</f>
        <v>4.7</v>
      </c>
      <c r="G1961" s="4" t="str">
        <f>HYPERLINK("http://141.218.60.56/~jnz1568/getInfo.php?workbook=14_09.xlsx&amp;sheet=U0&amp;row=1961&amp;col=7&amp;number=0.0114&amp;sourceID=14","0.0114")</f>
        <v>0.0114</v>
      </c>
    </row>
    <row r="1962" spans="1:7">
      <c r="A1962" s="3"/>
      <c r="B1962" s="3"/>
      <c r="C1962" s="3"/>
      <c r="D1962" s="3"/>
      <c r="E1962" s="3">
        <v>19</v>
      </c>
      <c r="F1962" s="4" t="str">
        <f>HYPERLINK("http://141.218.60.56/~jnz1568/getInfo.php?workbook=14_09.xlsx&amp;sheet=U0&amp;row=1962&amp;col=6&amp;number=4.8&amp;sourceID=14","4.8")</f>
        <v>4.8</v>
      </c>
      <c r="G1962" s="4" t="str">
        <f>HYPERLINK("http://141.218.60.56/~jnz1568/getInfo.php?workbook=14_09.xlsx&amp;sheet=U0&amp;row=1962&amp;col=7&amp;number=0.0113&amp;sourceID=14","0.0113")</f>
        <v>0.0113</v>
      </c>
    </row>
    <row r="1963" spans="1:7">
      <c r="A1963" s="3"/>
      <c r="B1963" s="3"/>
      <c r="C1963" s="3"/>
      <c r="D1963" s="3"/>
      <c r="E1963" s="3">
        <v>20</v>
      </c>
      <c r="F1963" s="4" t="str">
        <f>HYPERLINK("http://141.218.60.56/~jnz1568/getInfo.php?workbook=14_09.xlsx&amp;sheet=U0&amp;row=1963&amp;col=6&amp;number=4.9&amp;sourceID=14","4.9")</f>
        <v>4.9</v>
      </c>
      <c r="G1963" s="4" t="str">
        <f>HYPERLINK("http://141.218.60.56/~jnz1568/getInfo.php?workbook=14_09.xlsx&amp;sheet=U0&amp;row=1963&amp;col=7&amp;number=0.0112&amp;sourceID=14","0.0112")</f>
        <v>0.0112</v>
      </c>
    </row>
    <row r="1964" spans="1:7">
      <c r="A1964" s="3">
        <v>14</v>
      </c>
      <c r="B1964" s="3">
        <v>9</v>
      </c>
      <c r="C1964" s="3">
        <v>1</v>
      </c>
      <c r="D1964" s="3">
        <v>100</v>
      </c>
      <c r="E1964" s="3">
        <v>1</v>
      </c>
      <c r="F1964" s="4" t="str">
        <f>HYPERLINK("http://141.218.60.56/~jnz1568/getInfo.php?workbook=14_09.xlsx&amp;sheet=U0&amp;row=1964&amp;col=6&amp;number=3&amp;sourceID=14","3")</f>
        <v>3</v>
      </c>
      <c r="G1964" s="4" t="str">
        <f>HYPERLINK("http://141.218.60.56/~jnz1568/getInfo.php?workbook=14_09.xlsx&amp;sheet=U0&amp;row=1964&amp;col=7&amp;number=0.0466&amp;sourceID=14","0.0466")</f>
        <v>0.0466</v>
      </c>
    </row>
    <row r="1965" spans="1:7">
      <c r="A1965" s="3"/>
      <c r="B1965" s="3"/>
      <c r="C1965" s="3"/>
      <c r="D1965" s="3"/>
      <c r="E1965" s="3">
        <v>2</v>
      </c>
      <c r="F1965" s="4" t="str">
        <f>HYPERLINK("http://141.218.60.56/~jnz1568/getInfo.php?workbook=14_09.xlsx&amp;sheet=U0&amp;row=1965&amp;col=6&amp;number=3.1&amp;sourceID=14","3.1")</f>
        <v>3.1</v>
      </c>
      <c r="G1965" s="4" t="str">
        <f>HYPERLINK("http://141.218.60.56/~jnz1568/getInfo.php?workbook=14_09.xlsx&amp;sheet=U0&amp;row=1965&amp;col=7&amp;number=0.0466&amp;sourceID=14","0.0466")</f>
        <v>0.0466</v>
      </c>
    </row>
    <row r="1966" spans="1:7">
      <c r="A1966" s="3"/>
      <c r="B1966" s="3"/>
      <c r="C1966" s="3"/>
      <c r="D1966" s="3"/>
      <c r="E1966" s="3">
        <v>3</v>
      </c>
      <c r="F1966" s="4" t="str">
        <f>HYPERLINK("http://141.218.60.56/~jnz1568/getInfo.php?workbook=14_09.xlsx&amp;sheet=U0&amp;row=1966&amp;col=6&amp;number=3.2&amp;sourceID=14","3.2")</f>
        <v>3.2</v>
      </c>
      <c r="G1966" s="4" t="str">
        <f>HYPERLINK("http://141.218.60.56/~jnz1568/getInfo.php?workbook=14_09.xlsx&amp;sheet=U0&amp;row=1966&amp;col=7&amp;number=0.0466&amp;sourceID=14","0.0466")</f>
        <v>0.0466</v>
      </c>
    </row>
    <row r="1967" spans="1:7">
      <c r="A1967" s="3"/>
      <c r="B1967" s="3"/>
      <c r="C1967" s="3"/>
      <c r="D1967" s="3"/>
      <c r="E1967" s="3">
        <v>4</v>
      </c>
      <c r="F1967" s="4" t="str">
        <f>HYPERLINK("http://141.218.60.56/~jnz1568/getInfo.php?workbook=14_09.xlsx&amp;sheet=U0&amp;row=1967&amp;col=6&amp;number=3.3&amp;sourceID=14","3.3")</f>
        <v>3.3</v>
      </c>
      <c r="G1967" s="4" t="str">
        <f>HYPERLINK("http://141.218.60.56/~jnz1568/getInfo.php?workbook=14_09.xlsx&amp;sheet=U0&amp;row=1967&amp;col=7&amp;number=0.0467&amp;sourceID=14","0.0467")</f>
        <v>0.0467</v>
      </c>
    </row>
    <row r="1968" spans="1:7">
      <c r="A1968" s="3"/>
      <c r="B1968" s="3"/>
      <c r="C1968" s="3"/>
      <c r="D1968" s="3"/>
      <c r="E1968" s="3">
        <v>5</v>
      </c>
      <c r="F1968" s="4" t="str">
        <f>HYPERLINK("http://141.218.60.56/~jnz1568/getInfo.php?workbook=14_09.xlsx&amp;sheet=U0&amp;row=1968&amp;col=6&amp;number=3.4&amp;sourceID=14","3.4")</f>
        <v>3.4</v>
      </c>
      <c r="G1968" s="4" t="str">
        <f>HYPERLINK("http://141.218.60.56/~jnz1568/getInfo.php?workbook=14_09.xlsx&amp;sheet=U0&amp;row=1968&amp;col=7&amp;number=0.0467&amp;sourceID=14","0.0467")</f>
        <v>0.0467</v>
      </c>
    </row>
    <row r="1969" spans="1:7">
      <c r="A1969" s="3"/>
      <c r="B1969" s="3"/>
      <c r="C1969" s="3"/>
      <c r="D1969" s="3"/>
      <c r="E1969" s="3">
        <v>6</v>
      </c>
      <c r="F1969" s="4" t="str">
        <f>HYPERLINK("http://141.218.60.56/~jnz1568/getInfo.php?workbook=14_09.xlsx&amp;sheet=U0&amp;row=1969&amp;col=6&amp;number=3.5&amp;sourceID=14","3.5")</f>
        <v>3.5</v>
      </c>
      <c r="G1969" s="4" t="str">
        <f>HYPERLINK("http://141.218.60.56/~jnz1568/getInfo.php?workbook=14_09.xlsx&amp;sheet=U0&amp;row=1969&amp;col=7&amp;number=0.0467&amp;sourceID=14","0.0467")</f>
        <v>0.0467</v>
      </c>
    </row>
    <row r="1970" spans="1:7">
      <c r="A1970" s="3"/>
      <c r="B1970" s="3"/>
      <c r="C1970" s="3"/>
      <c r="D1970" s="3"/>
      <c r="E1970" s="3">
        <v>7</v>
      </c>
      <c r="F1970" s="4" t="str">
        <f>HYPERLINK("http://141.218.60.56/~jnz1568/getInfo.php?workbook=14_09.xlsx&amp;sheet=U0&amp;row=1970&amp;col=6&amp;number=3.6&amp;sourceID=14","3.6")</f>
        <v>3.6</v>
      </c>
      <c r="G1970" s="4" t="str">
        <f>HYPERLINK("http://141.218.60.56/~jnz1568/getInfo.php?workbook=14_09.xlsx&amp;sheet=U0&amp;row=1970&amp;col=7&amp;number=0.0467&amp;sourceID=14","0.0467")</f>
        <v>0.0467</v>
      </c>
    </row>
    <row r="1971" spans="1:7">
      <c r="A1971" s="3"/>
      <c r="B1971" s="3"/>
      <c r="C1971" s="3"/>
      <c r="D1971" s="3"/>
      <c r="E1971" s="3">
        <v>8</v>
      </c>
      <c r="F1971" s="4" t="str">
        <f>HYPERLINK("http://141.218.60.56/~jnz1568/getInfo.php?workbook=14_09.xlsx&amp;sheet=U0&amp;row=1971&amp;col=6&amp;number=3.7&amp;sourceID=14","3.7")</f>
        <v>3.7</v>
      </c>
      <c r="G1971" s="4" t="str">
        <f>HYPERLINK("http://141.218.60.56/~jnz1568/getInfo.php?workbook=14_09.xlsx&amp;sheet=U0&amp;row=1971&amp;col=7&amp;number=0.0467&amp;sourceID=14","0.0467")</f>
        <v>0.0467</v>
      </c>
    </row>
    <row r="1972" spans="1:7">
      <c r="A1972" s="3"/>
      <c r="B1972" s="3"/>
      <c r="C1972" s="3"/>
      <c r="D1972" s="3"/>
      <c r="E1972" s="3">
        <v>9</v>
      </c>
      <c r="F1972" s="4" t="str">
        <f>HYPERLINK("http://141.218.60.56/~jnz1568/getInfo.php?workbook=14_09.xlsx&amp;sheet=U0&amp;row=1972&amp;col=6&amp;number=3.8&amp;sourceID=14","3.8")</f>
        <v>3.8</v>
      </c>
      <c r="G1972" s="4" t="str">
        <f>HYPERLINK("http://141.218.60.56/~jnz1568/getInfo.php?workbook=14_09.xlsx&amp;sheet=U0&amp;row=1972&amp;col=7&amp;number=0.0467&amp;sourceID=14","0.0467")</f>
        <v>0.0467</v>
      </c>
    </row>
    <row r="1973" spans="1:7">
      <c r="A1973" s="3"/>
      <c r="B1973" s="3"/>
      <c r="C1973" s="3"/>
      <c r="D1973" s="3"/>
      <c r="E1973" s="3">
        <v>10</v>
      </c>
      <c r="F1973" s="4" t="str">
        <f>HYPERLINK("http://141.218.60.56/~jnz1568/getInfo.php?workbook=14_09.xlsx&amp;sheet=U0&amp;row=1973&amp;col=6&amp;number=3.9&amp;sourceID=14","3.9")</f>
        <v>3.9</v>
      </c>
      <c r="G1973" s="4" t="str">
        <f>HYPERLINK("http://141.218.60.56/~jnz1568/getInfo.php?workbook=14_09.xlsx&amp;sheet=U0&amp;row=1973&amp;col=7&amp;number=0.0467&amp;sourceID=14","0.0467")</f>
        <v>0.0467</v>
      </c>
    </row>
    <row r="1974" spans="1:7">
      <c r="A1974" s="3"/>
      <c r="B1974" s="3"/>
      <c r="C1974" s="3"/>
      <c r="D1974" s="3"/>
      <c r="E1974" s="3">
        <v>11</v>
      </c>
      <c r="F1974" s="4" t="str">
        <f>HYPERLINK("http://141.218.60.56/~jnz1568/getInfo.php?workbook=14_09.xlsx&amp;sheet=U0&amp;row=1974&amp;col=6&amp;number=4&amp;sourceID=14","4")</f>
        <v>4</v>
      </c>
      <c r="G1974" s="4" t="str">
        <f>HYPERLINK("http://141.218.60.56/~jnz1568/getInfo.php?workbook=14_09.xlsx&amp;sheet=U0&amp;row=1974&amp;col=7&amp;number=0.0468&amp;sourceID=14","0.0468")</f>
        <v>0.0468</v>
      </c>
    </row>
    <row r="1975" spans="1:7">
      <c r="A1975" s="3"/>
      <c r="B1975" s="3"/>
      <c r="C1975" s="3"/>
      <c r="D1975" s="3"/>
      <c r="E1975" s="3">
        <v>12</v>
      </c>
      <c r="F1975" s="4" t="str">
        <f>HYPERLINK("http://141.218.60.56/~jnz1568/getInfo.php?workbook=14_09.xlsx&amp;sheet=U0&amp;row=1975&amp;col=6&amp;number=4.1&amp;sourceID=14","4.1")</f>
        <v>4.1</v>
      </c>
      <c r="G1975" s="4" t="str">
        <f>HYPERLINK("http://141.218.60.56/~jnz1568/getInfo.php?workbook=14_09.xlsx&amp;sheet=U0&amp;row=1975&amp;col=7&amp;number=0.0468&amp;sourceID=14","0.0468")</f>
        <v>0.0468</v>
      </c>
    </row>
    <row r="1976" spans="1:7">
      <c r="A1976" s="3"/>
      <c r="B1976" s="3"/>
      <c r="C1976" s="3"/>
      <c r="D1976" s="3"/>
      <c r="E1976" s="3">
        <v>13</v>
      </c>
      <c r="F1976" s="4" t="str">
        <f>HYPERLINK("http://141.218.60.56/~jnz1568/getInfo.php?workbook=14_09.xlsx&amp;sheet=U0&amp;row=1976&amp;col=6&amp;number=4.2&amp;sourceID=14","4.2")</f>
        <v>4.2</v>
      </c>
      <c r="G1976" s="4" t="str">
        <f>HYPERLINK("http://141.218.60.56/~jnz1568/getInfo.php?workbook=14_09.xlsx&amp;sheet=U0&amp;row=1976&amp;col=7&amp;number=0.0469&amp;sourceID=14","0.0469")</f>
        <v>0.0469</v>
      </c>
    </row>
    <row r="1977" spans="1:7">
      <c r="A1977" s="3"/>
      <c r="B1977" s="3"/>
      <c r="C1977" s="3"/>
      <c r="D1977" s="3"/>
      <c r="E1977" s="3">
        <v>14</v>
      </c>
      <c r="F1977" s="4" t="str">
        <f>HYPERLINK("http://141.218.60.56/~jnz1568/getInfo.php?workbook=14_09.xlsx&amp;sheet=U0&amp;row=1977&amp;col=6&amp;number=4.3&amp;sourceID=14","4.3")</f>
        <v>4.3</v>
      </c>
      <c r="G1977" s="4" t="str">
        <f>HYPERLINK("http://141.218.60.56/~jnz1568/getInfo.php?workbook=14_09.xlsx&amp;sheet=U0&amp;row=1977&amp;col=7&amp;number=0.0469&amp;sourceID=14","0.0469")</f>
        <v>0.0469</v>
      </c>
    </row>
    <row r="1978" spans="1:7">
      <c r="A1978" s="3"/>
      <c r="B1978" s="3"/>
      <c r="C1978" s="3"/>
      <c r="D1978" s="3"/>
      <c r="E1978" s="3">
        <v>15</v>
      </c>
      <c r="F1978" s="4" t="str">
        <f>HYPERLINK("http://141.218.60.56/~jnz1568/getInfo.php?workbook=14_09.xlsx&amp;sheet=U0&amp;row=1978&amp;col=6&amp;number=4.4&amp;sourceID=14","4.4")</f>
        <v>4.4</v>
      </c>
      <c r="G1978" s="4" t="str">
        <f>HYPERLINK("http://141.218.60.56/~jnz1568/getInfo.php?workbook=14_09.xlsx&amp;sheet=U0&amp;row=1978&amp;col=7&amp;number=0.047&amp;sourceID=14","0.047")</f>
        <v>0.047</v>
      </c>
    </row>
    <row r="1979" spans="1:7">
      <c r="A1979" s="3"/>
      <c r="B1979" s="3"/>
      <c r="C1979" s="3"/>
      <c r="D1979" s="3"/>
      <c r="E1979" s="3">
        <v>16</v>
      </c>
      <c r="F1979" s="4" t="str">
        <f>HYPERLINK("http://141.218.60.56/~jnz1568/getInfo.php?workbook=14_09.xlsx&amp;sheet=U0&amp;row=1979&amp;col=6&amp;number=4.5&amp;sourceID=14","4.5")</f>
        <v>4.5</v>
      </c>
      <c r="G1979" s="4" t="str">
        <f>HYPERLINK("http://141.218.60.56/~jnz1568/getInfo.php?workbook=14_09.xlsx&amp;sheet=U0&amp;row=1979&amp;col=7&amp;number=0.0471&amp;sourceID=14","0.0471")</f>
        <v>0.0471</v>
      </c>
    </row>
    <row r="1980" spans="1:7">
      <c r="A1980" s="3"/>
      <c r="B1980" s="3"/>
      <c r="C1980" s="3"/>
      <c r="D1980" s="3"/>
      <c r="E1980" s="3">
        <v>17</v>
      </c>
      <c r="F1980" s="4" t="str">
        <f>HYPERLINK("http://141.218.60.56/~jnz1568/getInfo.php?workbook=14_09.xlsx&amp;sheet=U0&amp;row=1980&amp;col=6&amp;number=4.6&amp;sourceID=14","4.6")</f>
        <v>4.6</v>
      </c>
      <c r="G1980" s="4" t="str">
        <f>HYPERLINK("http://141.218.60.56/~jnz1568/getInfo.php?workbook=14_09.xlsx&amp;sheet=U0&amp;row=1980&amp;col=7&amp;number=0.0473&amp;sourceID=14","0.0473")</f>
        <v>0.0473</v>
      </c>
    </row>
    <row r="1981" spans="1:7">
      <c r="A1981" s="3"/>
      <c r="B1981" s="3"/>
      <c r="C1981" s="3"/>
      <c r="D1981" s="3"/>
      <c r="E1981" s="3">
        <v>18</v>
      </c>
      <c r="F1981" s="4" t="str">
        <f>HYPERLINK("http://141.218.60.56/~jnz1568/getInfo.php?workbook=14_09.xlsx&amp;sheet=U0&amp;row=1981&amp;col=6&amp;number=4.7&amp;sourceID=14","4.7")</f>
        <v>4.7</v>
      </c>
      <c r="G1981" s="4" t="str">
        <f>HYPERLINK("http://141.218.60.56/~jnz1568/getInfo.php?workbook=14_09.xlsx&amp;sheet=U0&amp;row=1981&amp;col=7&amp;number=0.0475&amp;sourceID=14","0.0475")</f>
        <v>0.0475</v>
      </c>
    </row>
    <row r="1982" spans="1:7">
      <c r="A1982" s="3"/>
      <c r="B1982" s="3"/>
      <c r="C1982" s="3"/>
      <c r="D1982" s="3"/>
      <c r="E1982" s="3">
        <v>19</v>
      </c>
      <c r="F1982" s="4" t="str">
        <f>HYPERLINK("http://141.218.60.56/~jnz1568/getInfo.php?workbook=14_09.xlsx&amp;sheet=U0&amp;row=1982&amp;col=6&amp;number=4.8&amp;sourceID=14","4.8")</f>
        <v>4.8</v>
      </c>
      <c r="G1982" s="4" t="str">
        <f>HYPERLINK("http://141.218.60.56/~jnz1568/getInfo.php?workbook=14_09.xlsx&amp;sheet=U0&amp;row=1982&amp;col=7&amp;number=0.0477&amp;sourceID=14","0.0477")</f>
        <v>0.0477</v>
      </c>
    </row>
    <row r="1983" spans="1:7">
      <c r="A1983" s="3"/>
      <c r="B1983" s="3"/>
      <c r="C1983" s="3"/>
      <c r="D1983" s="3"/>
      <c r="E1983" s="3">
        <v>20</v>
      </c>
      <c r="F1983" s="4" t="str">
        <f>HYPERLINK("http://141.218.60.56/~jnz1568/getInfo.php?workbook=14_09.xlsx&amp;sheet=U0&amp;row=1983&amp;col=6&amp;number=4.9&amp;sourceID=14","4.9")</f>
        <v>4.9</v>
      </c>
      <c r="G1983" s="4" t="str">
        <f>HYPERLINK("http://141.218.60.56/~jnz1568/getInfo.php?workbook=14_09.xlsx&amp;sheet=U0&amp;row=1983&amp;col=7&amp;number=0.048&amp;sourceID=14","0.048")</f>
        <v>0.048</v>
      </c>
    </row>
    <row r="1984" spans="1:7">
      <c r="A1984" s="3">
        <v>14</v>
      </c>
      <c r="B1984" s="3">
        <v>9</v>
      </c>
      <c r="C1984" s="3">
        <v>1</v>
      </c>
      <c r="D1984" s="3">
        <v>101</v>
      </c>
      <c r="E1984" s="3">
        <v>1</v>
      </c>
      <c r="F1984" s="4" t="str">
        <f>HYPERLINK("http://141.218.60.56/~jnz1568/getInfo.php?workbook=14_09.xlsx&amp;sheet=U0&amp;row=1984&amp;col=6&amp;number=3&amp;sourceID=14","3")</f>
        <v>3</v>
      </c>
      <c r="G1984" s="4" t="str">
        <f>HYPERLINK("http://141.218.60.56/~jnz1568/getInfo.php?workbook=14_09.xlsx&amp;sheet=U0&amp;row=1984&amp;col=7&amp;number=0.0351&amp;sourceID=14","0.0351")</f>
        <v>0.0351</v>
      </c>
    </row>
    <row r="1985" spans="1:7">
      <c r="A1985" s="3"/>
      <c r="B1985" s="3"/>
      <c r="C1985" s="3"/>
      <c r="D1985" s="3"/>
      <c r="E1985" s="3">
        <v>2</v>
      </c>
      <c r="F1985" s="4" t="str">
        <f>HYPERLINK("http://141.218.60.56/~jnz1568/getInfo.php?workbook=14_09.xlsx&amp;sheet=U0&amp;row=1985&amp;col=6&amp;number=3.1&amp;sourceID=14","3.1")</f>
        <v>3.1</v>
      </c>
      <c r="G1985" s="4" t="str">
        <f>HYPERLINK("http://141.218.60.56/~jnz1568/getInfo.php?workbook=14_09.xlsx&amp;sheet=U0&amp;row=1985&amp;col=7&amp;number=0.035&amp;sourceID=14","0.035")</f>
        <v>0.035</v>
      </c>
    </row>
    <row r="1986" spans="1:7">
      <c r="A1986" s="3"/>
      <c r="B1986" s="3"/>
      <c r="C1986" s="3"/>
      <c r="D1986" s="3"/>
      <c r="E1986" s="3">
        <v>3</v>
      </c>
      <c r="F1986" s="4" t="str">
        <f>HYPERLINK("http://141.218.60.56/~jnz1568/getInfo.php?workbook=14_09.xlsx&amp;sheet=U0&amp;row=1986&amp;col=6&amp;number=3.2&amp;sourceID=14","3.2")</f>
        <v>3.2</v>
      </c>
      <c r="G1986" s="4" t="str">
        <f>HYPERLINK("http://141.218.60.56/~jnz1568/getInfo.php?workbook=14_09.xlsx&amp;sheet=U0&amp;row=1986&amp;col=7&amp;number=0.035&amp;sourceID=14","0.035")</f>
        <v>0.035</v>
      </c>
    </row>
    <row r="1987" spans="1:7">
      <c r="A1987" s="3"/>
      <c r="B1987" s="3"/>
      <c r="C1987" s="3"/>
      <c r="D1987" s="3"/>
      <c r="E1987" s="3">
        <v>4</v>
      </c>
      <c r="F1987" s="4" t="str">
        <f>HYPERLINK("http://141.218.60.56/~jnz1568/getInfo.php?workbook=14_09.xlsx&amp;sheet=U0&amp;row=1987&amp;col=6&amp;number=3.3&amp;sourceID=14","3.3")</f>
        <v>3.3</v>
      </c>
      <c r="G1987" s="4" t="str">
        <f>HYPERLINK("http://141.218.60.56/~jnz1568/getInfo.php?workbook=14_09.xlsx&amp;sheet=U0&amp;row=1987&amp;col=7&amp;number=0.0348&amp;sourceID=14","0.0348")</f>
        <v>0.0348</v>
      </c>
    </row>
    <row r="1988" spans="1:7">
      <c r="A1988" s="3"/>
      <c r="B1988" s="3"/>
      <c r="C1988" s="3"/>
      <c r="D1988" s="3"/>
      <c r="E1988" s="3">
        <v>5</v>
      </c>
      <c r="F1988" s="4" t="str">
        <f>HYPERLINK("http://141.218.60.56/~jnz1568/getInfo.php?workbook=14_09.xlsx&amp;sheet=U0&amp;row=1988&amp;col=6&amp;number=3.4&amp;sourceID=14","3.4")</f>
        <v>3.4</v>
      </c>
      <c r="G1988" s="4" t="str">
        <f>HYPERLINK("http://141.218.60.56/~jnz1568/getInfo.php?workbook=14_09.xlsx&amp;sheet=U0&amp;row=1988&amp;col=7&amp;number=0.0347&amp;sourceID=14","0.0347")</f>
        <v>0.0347</v>
      </c>
    </row>
    <row r="1989" spans="1:7">
      <c r="A1989" s="3"/>
      <c r="B1989" s="3"/>
      <c r="C1989" s="3"/>
      <c r="D1989" s="3"/>
      <c r="E1989" s="3">
        <v>6</v>
      </c>
      <c r="F1989" s="4" t="str">
        <f>HYPERLINK("http://141.218.60.56/~jnz1568/getInfo.php?workbook=14_09.xlsx&amp;sheet=U0&amp;row=1989&amp;col=6&amp;number=3.5&amp;sourceID=14","3.5")</f>
        <v>3.5</v>
      </c>
      <c r="G1989" s="4" t="str">
        <f>HYPERLINK("http://141.218.60.56/~jnz1568/getInfo.php?workbook=14_09.xlsx&amp;sheet=U0&amp;row=1989&amp;col=7&amp;number=0.0345&amp;sourceID=14","0.0345")</f>
        <v>0.0345</v>
      </c>
    </row>
    <row r="1990" spans="1:7">
      <c r="A1990" s="3"/>
      <c r="B1990" s="3"/>
      <c r="C1990" s="3"/>
      <c r="D1990" s="3"/>
      <c r="E1990" s="3">
        <v>7</v>
      </c>
      <c r="F1990" s="4" t="str">
        <f>HYPERLINK("http://141.218.60.56/~jnz1568/getInfo.php?workbook=14_09.xlsx&amp;sheet=U0&amp;row=1990&amp;col=6&amp;number=3.6&amp;sourceID=14","3.6")</f>
        <v>3.6</v>
      </c>
      <c r="G1990" s="4" t="str">
        <f>HYPERLINK("http://141.218.60.56/~jnz1568/getInfo.php?workbook=14_09.xlsx&amp;sheet=U0&amp;row=1990&amp;col=7&amp;number=0.0343&amp;sourceID=14","0.0343")</f>
        <v>0.0343</v>
      </c>
    </row>
    <row r="1991" spans="1:7">
      <c r="A1991" s="3"/>
      <c r="B1991" s="3"/>
      <c r="C1991" s="3"/>
      <c r="D1991" s="3"/>
      <c r="E1991" s="3">
        <v>8</v>
      </c>
      <c r="F1991" s="4" t="str">
        <f>HYPERLINK("http://141.218.60.56/~jnz1568/getInfo.php?workbook=14_09.xlsx&amp;sheet=U0&amp;row=1991&amp;col=6&amp;number=3.7&amp;sourceID=14","3.7")</f>
        <v>3.7</v>
      </c>
      <c r="G1991" s="4" t="str">
        <f>HYPERLINK("http://141.218.60.56/~jnz1568/getInfo.php?workbook=14_09.xlsx&amp;sheet=U0&amp;row=1991&amp;col=7&amp;number=0.0341&amp;sourceID=14","0.0341")</f>
        <v>0.0341</v>
      </c>
    </row>
    <row r="1992" spans="1:7">
      <c r="A1992" s="3"/>
      <c r="B1992" s="3"/>
      <c r="C1992" s="3"/>
      <c r="D1992" s="3"/>
      <c r="E1992" s="3">
        <v>9</v>
      </c>
      <c r="F1992" s="4" t="str">
        <f>HYPERLINK("http://141.218.60.56/~jnz1568/getInfo.php?workbook=14_09.xlsx&amp;sheet=U0&amp;row=1992&amp;col=6&amp;number=3.8&amp;sourceID=14","3.8")</f>
        <v>3.8</v>
      </c>
      <c r="G1992" s="4" t="str">
        <f>HYPERLINK("http://141.218.60.56/~jnz1568/getInfo.php?workbook=14_09.xlsx&amp;sheet=U0&amp;row=1992&amp;col=7&amp;number=0.0337&amp;sourceID=14","0.0337")</f>
        <v>0.0337</v>
      </c>
    </row>
    <row r="1993" spans="1:7">
      <c r="A1993" s="3"/>
      <c r="B1993" s="3"/>
      <c r="C1993" s="3"/>
      <c r="D1993" s="3"/>
      <c r="E1993" s="3">
        <v>10</v>
      </c>
      <c r="F1993" s="4" t="str">
        <f>HYPERLINK("http://141.218.60.56/~jnz1568/getInfo.php?workbook=14_09.xlsx&amp;sheet=U0&amp;row=1993&amp;col=6&amp;number=3.9&amp;sourceID=14","3.9")</f>
        <v>3.9</v>
      </c>
      <c r="G1993" s="4" t="str">
        <f>HYPERLINK("http://141.218.60.56/~jnz1568/getInfo.php?workbook=14_09.xlsx&amp;sheet=U0&amp;row=1993&amp;col=7&amp;number=0.0333&amp;sourceID=14","0.0333")</f>
        <v>0.0333</v>
      </c>
    </row>
    <row r="1994" spans="1:7">
      <c r="A1994" s="3"/>
      <c r="B1994" s="3"/>
      <c r="C1994" s="3"/>
      <c r="D1994" s="3"/>
      <c r="E1994" s="3">
        <v>11</v>
      </c>
      <c r="F1994" s="4" t="str">
        <f>HYPERLINK("http://141.218.60.56/~jnz1568/getInfo.php?workbook=14_09.xlsx&amp;sheet=U0&amp;row=1994&amp;col=6&amp;number=4&amp;sourceID=14","4")</f>
        <v>4</v>
      </c>
      <c r="G1994" s="4" t="str">
        <f>HYPERLINK("http://141.218.60.56/~jnz1568/getInfo.php?workbook=14_09.xlsx&amp;sheet=U0&amp;row=1994&amp;col=7&amp;number=0.0328&amp;sourceID=14","0.0328")</f>
        <v>0.0328</v>
      </c>
    </row>
    <row r="1995" spans="1:7">
      <c r="A1995" s="3"/>
      <c r="B1995" s="3"/>
      <c r="C1995" s="3"/>
      <c r="D1995" s="3"/>
      <c r="E1995" s="3">
        <v>12</v>
      </c>
      <c r="F1995" s="4" t="str">
        <f>HYPERLINK("http://141.218.60.56/~jnz1568/getInfo.php?workbook=14_09.xlsx&amp;sheet=U0&amp;row=1995&amp;col=6&amp;number=4.1&amp;sourceID=14","4.1")</f>
        <v>4.1</v>
      </c>
      <c r="G1995" s="4" t="str">
        <f>HYPERLINK("http://141.218.60.56/~jnz1568/getInfo.php?workbook=14_09.xlsx&amp;sheet=U0&amp;row=1995&amp;col=7&amp;number=0.0321&amp;sourceID=14","0.0321")</f>
        <v>0.0321</v>
      </c>
    </row>
    <row r="1996" spans="1:7">
      <c r="A1996" s="3"/>
      <c r="B1996" s="3"/>
      <c r="C1996" s="3"/>
      <c r="D1996" s="3"/>
      <c r="E1996" s="3">
        <v>13</v>
      </c>
      <c r="F1996" s="4" t="str">
        <f>HYPERLINK("http://141.218.60.56/~jnz1568/getInfo.php?workbook=14_09.xlsx&amp;sheet=U0&amp;row=1996&amp;col=6&amp;number=4.2&amp;sourceID=14","4.2")</f>
        <v>4.2</v>
      </c>
      <c r="G1996" s="4" t="str">
        <f>HYPERLINK("http://141.218.60.56/~jnz1568/getInfo.php?workbook=14_09.xlsx&amp;sheet=U0&amp;row=1996&amp;col=7&amp;number=0.0313&amp;sourceID=14","0.0313")</f>
        <v>0.0313</v>
      </c>
    </row>
    <row r="1997" spans="1:7">
      <c r="A1997" s="3"/>
      <c r="B1997" s="3"/>
      <c r="C1997" s="3"/>
      <c r="D1997" s="3"/>
      <c r="E1997" s="3">
        <v>14</v>
      </c>
      <c r="F1997" s="4" t="str">
        <f>HYPERLINK("http://141.218.60.56/~jnz1568/getInfo.php?workbook=14_09.xlsx&amp;sheet=U0&amp;row=1997&amp;col=6&amp;number=4.3&amp;sourceID=14","4.3")</f>
        <v>4.3</v>
      </c>
      <c r="G1997" s="4" t="str">
        <f>HYPERLINK("http://141.218.60.56/~jnz1568/getInfo.php?workbook=14_09.xlsx&amp;sheet=U0&amp;row=1997&amp;col=7&amp;number=0.0304&amp;sourceID=14","0.0304")</f>
        <v>0.0304</v>
      </c>
    </row>
    <row r="1998" spans="1:7">
      <c r="A1998" s="3"/>
      <c r="B1998" s="3"/>
      <c r="C1998" s="3"/>
      <c r="D1998" s="3"/>
      <c r="E1998" s="3">
        <v>15</v>
      </c>
      <c r="F1998" s="4" t="str">
        <f>HYPERLINK("http://141.218.60.56/~jnz1568/getInfo.php?workbook=14_09.xlsx&amp;sheet=U0&amp;row=1998&amp;col=6&amp;number=4.4&amp;sourceID=14","4.4")</f>
        <v>4.4</v>
      </c>
      <c r="G1998" s="4" t="str">
        <f>HYPERLINK("http://141.218.60.56/~jnz1568/getInfo.php?workbook=14_09.xlsx&amp;sheet=U0&amp;row=1998&amp;col=7&amp;number=0.0292&amp;sourceID=14","0.0292")</f>
        <v>0.0292</v>
      </c>
    </row>
    <row r="1999" spans="1:7">
      <c r="A1999" s="3"/>
      <c r="B1999" s="3"/>
      <c r="C1999" s="3"/>
      <c r="D1999" s="3"/>
      <c r="E1999" s="3">
        <v>16</v>
      </c>
      <c r="F1999" s="4" t="str">
        <f>HYPERLINK("http://141.218.60.56/~jnz1568/getInfo.php?workbook=14_09.xlsx&amp;sheet=U0&amp;row=1999&amp;col=6&amp;number=4.5&amp;sourceID=14","4.5")</f>
        <v>4.5</v>
      </c>
      <c r="G1999" s="4" t="str">
        <f>HYPERLINK("http://141.218.60.56/~jnz1568/getInfo.php?workbook=14_09.xlsx&amp;sheet=U0&amp;row=1999&amp;col=7&amp;number=0.0278&amp;sourceID=14","0.0278")</f>
        <v>0.0278</v>
      </c>
    </row>
    <row r="2000" spans="1:7">
      <c r="A2000" s="3"/>
      <c r="B2000" s="3"/>
      <c r="C2000" s="3"/>
      <c r="D2000" s="3"/>
      <c r="E2000" s="3">
        <v>17</v>
      </c>
      <c r="F2000" s="4" t="str">
        <f>HYPERLINK("http://141.218.60.56/~jnz1568/getInfo.php?workbook=14_09.xlsx&amp;sheet=U0&amp;row=2000&amp;col=6&amp;number=4.6&amp;sourceID=14","4.6")</f>
        <v>4.6</v>
      </c>
      <c r="G2000" s="4" t="str">
        <f>HYPERLINK("http://141.218.60.56/~jnz1568/getInfo.php?workbook=14_09.xlsx&amp;sheet=U0&amp;row=2000&amp;col=7&amp;number=0.0262&amp;sourceID=14","0.0262")</f>
        <v>0.0262</v>
      </c>
    </row>
    <row r="2001" spans="1:7">
      <c r="A2001" s="3"/>
      <c r="B2001" s="3"/>
      <c r="C2001" s="3"/>
      <c r="D2001" s="3"/>
      <c r="E2001" s="3">
        <v>18</v>
      </c>
      <c r="F2001" s="4" t="str">
        <f>HYPERLINK("http://141.218.60.56/~jnz1568/getInfo.php?workbook=14_09.xlsx&amp;sheet=U0&amp;row=2001&amp;col=6&amp;number=4.7&amp;sourceID=14","4.7")</f>
        <v>4.7</v>
      </c>
      <c r="G2001" s="4" t="str">
        <f>HYPERLINK("http://141.218.60.56/~jnz1568/getInfo.php?workbook=14_09.xlsx&amp;sheet=U0&amp;row=2001&amp;col=7&amp;number=0.0245&amp;sourceID=14","0.0245")</f>
        <v>0.0245</v>
      </c>
    </row>
    <row r="2002" spans="1:7">
      <c r="A2002" s="3"/>
      <c r="B2002" s="3"/>
      <c r="C2002" s="3"/>
      <c r="D2002" s="3"/>
      <c r="E2002" s="3">
        <v>19</v>
      </c>
      <c r="F2002" s="4" t="str">
        <f>HYPERLINK("http://141.218.60.56/~jnz1568/getInfo.php?workbook=14_09.xlsx&amp;sheet=U0&amp;row=2002&amp;col=6&amp;number=4.8&amp;sourceID=14","4.8")</f>
        <v>4.8</v>
      </c>
      <c r="G2002" s="4" t="str">
        <f>HYPERLINK("http://141.218.60.56/~jnz1568/getInfo.php?workbook=14_09.xlsx&amp;sheet=U0&amp;row=2002&amp;col=7&amp;number=0.0227&amp;sourceID=14","0.0227")</f>
        <v>0.0227</v>
      </c>
    </row>
    <row r="2003" spans="1:7">
      <c r="A2003" s="3"/>
      <c r="B2003" s="3"/>
      <c r="C2003" s="3"/>
      <c r="D2003" s="3"/>
      <c r="E2003" s="3">
        <v>20</v>
      </c>
      <c r="F2003" s="4" t="str">
        <f>HYPERLINK("http://141.218.60.56/~jnz1568/getInfo.php?workbook=14_09.xlsx&amp;sheet=U0&amp;row=2003&amp;col=6&amp;number=4.9&amp;sourceID=14","4.9")</f>
        <v>4.9</v>
      </c>
      <c r="G2003" s="4" t="str">
        <f>HYPERLINK("http://141.218.60.56/~jnz1568/getInfo.php?workbook=14_09.xlsx&amp;sheet=U0&amp;row=2003&amp;col=7&amp;number=0.0211&amp;sourceID=14","0.0211")</f>
        <v>0.0211</v>
      </c>
    </row>
    <row r="2004" spans="1:7">
      <c r="A2004" s="3">
        <v>14</v>
      </c>
      <c r="B2004" s="3">
        <v>9</v>
      </c>
      <c r="C2004" s="3">
        <v>1</v>
      </c>
      <c r="D2004" s="3">
        <v>102</v>
      </c>
      <c r="E2004" s="3">
        <v>1</v>
      </c>
      <c r="F2004" s="4" t="str">
        <f>HYPERLINK("http://141.218.60.56/~jnz1568/getInfo.php?workbook=14_09.xlsx&amp;sheet=U0&amp;row=2004&amp;col=6&amp;number=3&amp;sourceID=14","3")</f>
        <v>3</v>
      </c>
      <c r="G2004" s="4" t="str">
        <f>HYPERLINK("http://141.218.60.56/~jnz1568/getInfo.php?workbook=14_09.xlsx&amp;sheet=U0&amp;row=2004&amp;col=7&amp;number=0.0596&amp;sourceID=14","0.0596")</f>
        <v>0.0596</v>
      </c>
    </row>
    <row r="2005" spans="1:7">
      <c r="A2005" s="3"/>
      <c r="B2005" s="3"/>
      <c r="C2005" s="3"/>
      <c r="D2005" s="3"/>
      <c r="E2005" s="3">
        <v>2</v>
      </c>
      <c r="F2005" s="4" t="str">
        <f>HYPERLINK("http://141.218.60.56/~jnz1568/getInfo.php?workbook=14_09.xlsx&amp;sheet=U0&amp;row=2005&amp;col=6&amp;number=3.1&amp;sourceID=14","3.1")</f>
        <v>3.1</v>
      </c>
      <c r="G2005" s="4" t="str">
        <f>HYPERLINK("http://141.218.60.56/~jnz1568/getInfo.php?workbook=14_09.xlsx&amp;sheet=U0&amp;row=2005&amp;col=7&amp;number=0.0595&amp;sourceID=14","0.0595")</f>
        <v>0.0595</v>
      </c>
    </row>
    <row r="2006" spans="1:7">
      <c r="A2006" s="3"/>
      <c r="B2006" s="3"/>
      <c r="C2006" s="3"/>
      <c r="D2006" s="3"/>
      <c r="E2006" s="3">
        <v>3</v>
      </c>
      <c r="F2006" s="4" t="str">
        <f>HYPERLINK("http://141.218.60.56/~jnz1568/getInfo.php?workbook=14_09.xlsx&amp;sheet=U0&amp;row=2006&amp;col=6&amp;number=3.2&amp;sourceID=14","3.2")</f>
        <v>3.2</v>
      </c>
      <c r="G2006" s="4" t="str">
        <f>HYPERLINK("http://141.218.60.56/~jnz1568/getInfo.php?workbook=14_09.xlsx&amp;sheet=U0&amp;row=2006&amp;col=7&amp;number=0.0593&amp;sourceID=14","0.0593")</f>
        <v>0.0593</v>
      </c>
    </row>
    <row r="2007" spans="1:7">
      <c r="A2007" s="3"/>
      <c r="B2007" s="3"/>
      <c r="C2007" s="3"/>
      <c r="D2007" s="3"/>
      <c r="E2007" s="3">
        <v>4</v>
      </c>
      <c r="F2007" s="4" t="str">
        <f>HYPERLINK("http://141.218.60.56/~jnz1568/getInfo.php?workbook=14_09.xlsx&amp;sheet=U0&amp;row=2007&amp;col=6&amp;number=3.3&amp;sourceID=14","3.3")</f>
        <v>3.3</v>
      </c>
      <c r="G2007" s="4" t="str">
        <f>HYPERLINK("http://141.218.60.56/~jnz1568/getInfo.php?workbook=14_09.xlsx&amp;sheet=U0&amp;row=2007&amp;col=7&amp;number=0.059&amp;sourceID=14","0.059")</f>
        <v>0.059</v>
      </c>
    </row>
    <row r="2008" spans="1:7">
      <c r="A2008" s="3"/>
      <c r="B2008" s="3"/>
      <c r="C2008" s="3"/>
      <c r="D2008" s="3"/>
      <c r="E2008" s="3">
        <v>5</v>
      </c>
      <c r="F2008" s="4" t="str">
        <f>HYPERLINK("http://141.218.60.56/~jnz1568/getInfo.php?workbook=14_09.xlsx&amp;sheet=U0&amp;row=2008&amp;col=6&amp;number=3.4&amp;sourceID=14","3.4")</f>
        <v>3.4</v>
      </c>
      <c r="G2008" s="4" t="str">
        <f>HYPERLINK("http://141.218.60.56/~jnz1568/getInfo.php?workbook=14_09.xlsx&amp;sheet=U0&amp;row=2008&amp;col=7&amp;number=0.0587&amp;sourceID=14","0.0587")</f>
        <v>0.0587</v>
      </c>
    </row>
    <row r="2009" spans="1:7">
      <c r="A2009" s="3"/>
      <c r="B2009" s="3"/>
      <c r="C2009" s="3"/>
      <c r="D2009" s="3"/>
      <c r="E2009" s="3">
        <v>6</v>
      </c>
      <c r="F2009" s="4" t="str">
        <f>HYPERLINK("http://141.218.60.56/~jnz1568/getInfo.php?workbook=14_09.xlsx&amp;sheet=U0&amp;row=2009&amp;col=6&amp;number=3.5&amp;sourceID=14","3.5")</f>
        <v>3.5</v>
      </c>
      <c r="G2009" s="4" t="str">
        <f>HYPERLINK("http://141.218.60.56/~jnz1568/getInfo.php?workbook=14_09.xlsx&amp;sheet=U0&amp;row=2009&amp;col=7&amp;number=0.0584&amp;sourceID=14","0.0584")</f>
        <v>0.0584</v>
      </c>
    </row>
    <row r="2010" spans="1:7">
      <c r="A2010" s="3"/>
      <c r="B2010" s="3"/>
      <c r="C2010" s="3"/>
      <c r="D2010" s="3"/>
      <c r="E2010" s="3">
        <v>7</v>
      </c>
      <c r="F2010" s="4" t="str">
        <f>HYPERLINK("http://141.218.60.56/~jnz1568/getInfo.php?workbook=14_09.xlsx&amp;sheet=U0&amp;row=2010&amp;col=6&amp;number=3.6&amp;sourceID=14","3.6")</f>
        <v>3.6</v>
      </c>
      <c r="G2010" s="4" t="str">
        <f>HYPERLINK("http://141.218.60.56/~jnz1568/getInfo.php?workbook=14_09.xlsx&amp;sheet=U0&amp;row=2010&amp;col=7&amp;number=0.0579&amp;sourceID=14","0.0579")</f>
        <v>0.0579</v>
      </c>
    </row>
    <row r="2011" spans="1:7">
      <c r="A2011" s="3"/>
      <c r="B2011" s="3"/>
      <c r="C2011" s="3"/>
      <c r="D2011" s="3"/>
      <c r="E2011" s="3">
        <v>8</v>
      </c>
      <c r="F2011" s="4" t="str">
        <f>HYPERLINK("http://141.218.60.56/~jnz1568/getInfo.php?workbook=14_09.xlsx&amp;sheet=U0&amp;row=2011&amp;col=6&amp;number=3.7&amp;sourceID=14","3.7")</f>
        <v>3.7</v>
      </c>
      <c r="G2011" s="4" t="str">
        <f>HYPERLINK("http://141.218.60.56/~jnz1568/getInfo.php?workbook=14_09.xlsx&amp;sheet=U0&amp;row=2011&amp;col=7&amp;number=0.0573&amp;sourceID=14","0.0573")</f>
        <v>0.0573</v>
      </c>
    </row>
    <row r="2012" spans="1:7">
      <c r="A2012" s="3"/>
      <c r="B2012" s="3"/>
      <c r="C2012" s="3"/>
      <c r="D2012" s="3"/>
      <c r="E2012" s="3">
        <v>9</v>
      </c>
      <c r="F2012" s="4" t="str">
        <f>HYPERLINK("http://141.218.60.56/~jnz1568/getInfo.php?workbook=14_09.xlsx&amp;sheet=U0&amp;row=2012&amp;col=6&amp;number=3.8&amp;sourceID=14","3.8")</f>
        <v>3.8</v>
      </c>
      <c r="G2012" s="4" t="str">
        <f>HYPERLINK("http://141.218.60.56/~jnz1568/getInfo.php?workbook=14_09.xlsx&amp;sheet=U0&amp;row=2012&amp;col=7&amp;number=0.0566&amp;sourceID=14","0.0566")</f>
        <v>0.0566</v>
      </c>
    </row>
    <row r="2013" spans="1:7">
      <c r="A2013" s="3"/>
      <c r="B2013" s="3"/>
      <c r="C2013" s="3"/>
      <c r="D2013" s="3"/>
      <c r="E2013" s="3">
        <v>10</v>
      </c>
      <c r="F2013" s="4" t="str">
        <f>HYPERLINK("http://141.218.60.56/~jnz1568/getInfo.php?workbook=14_09.xlsx&amp;sheet=U0&amp;row=2013&amp;col=6&amp;number=3.9&amp;sourceID=14","3.9")</f>
        <v>3.9</v>
      </c>
      <c r="G2013" s="4" t="str">
        <f>HYPERLINK("http://141.218.60.56/~jnz1568/getInfo.php?workbook=14_09.xlsx&amp;sheet=U0&amp;row=2013&amp;col=7&amp;number=0.0557&amp;sourceID=14","0.0557")</f>
        <v>0.0557</v>
      </c>
    </row>
    <row r="2014" spans="1:7">
      <c r="A2014" s="3"/>
      <c r="B2014" s="3"/>
      <c r="C2014" s="3"/>
      <c r="D2014" s="3"/>
      <c r="E2014" s="3">
        <v>11</v>
      </c>
      <c r="F2014" s="4" t="str">
        <f>HYPERLINK("http://141.218.60.56/~jnz1568/getInfo.php?workbook=14_09.xlsx&amp;sheet=U0&amp;row=2014&amp;col=6&amp;number=4&amp;sourceID=14","4")</f>
        <v>4</v>
      </c>
      <c r="G2014" s="4" t="str">
        <f>HYPERLINK("http://141.218.60.56/~jnz1568/getInfo.php?workbook=14_09.xlsx&amp;sheet=U0&amp;row=2014&amp;col=7&amp;number=0.0546&amp;sourceID=14","0.0546")</f>
        <v>0.0546</v>
      </c>
    </row>
    <row r="2015" spans="1:7">
      <c r="A2015" s="3"/>
      <c r="B2015" s="3"/>
      <c r="C2015" s="3"/>
      <c r="D2015" s="3"/>
      <c r="E2015" s="3">
        <v>12</v>
      </c>
      <c r="F2015" s="4" t="str">
        <f>HYPERLINK("http://141.218.60.56/~jnz1568/getInfo.php?workbook=14_09.xlsx&amp;sheet=U0&amp;row=2015&amp;col=6&amp;number=4.1&amp;sourceID=14","4.1")</f>
        <v>4.1</v>
      </c>
      <c r="G2015" s="4" t="str">
        <f>HYPERLINK("http://141.218.60.56/~jnz1568/getInfo.php?workbook=14_09.xlsx&amp;sheet=U0&amp;row=2015&amp;col=7&amp;number=0.0532&amp;sourceID=14","0.0532")</f>
        <v>0.0532</v>
      </c>
    </row>
    <row r="2016" spans="1:7">
      <c r="A2016" s="3"/>
      <c r="B2016" s="3"/>
      <c r="C2016" s="3"/>
      <c r="D2016" s="3"/>
      <c r="E2016" s="3">
        <v>13</v>
      </c>
      <c r="F2016" s="4" t="str">
        <f>HYPERLINK("http://141.218.60.56/~jnz1568/getInfo.php?workbook=14_09.xlsx&amp;sheet=U0&amp;row=2016&amp;col=6&amp;number=4.2&amp;sourceID=14","4.2")</f>
        <v>4.2</v>
      </c>
      <c r="G2016" s="4" t="str">
        <f>HYPERLINK("http://141.218.60.56/~jnz1568/getInfo.php?workbook=14_09.xlsx&amp;sheet=U0&amp;row=2016&amp;col=7&amp;number=0.0516&amp;sourceID=14","0.0516")</f>
        <v>0.0516</v>
      </c>
    </row>
    <row r="2017" spans="1:7">
      <c r="A2017" s="3"/>
      <c r="B2017" s="3"/>
      <c r="C2017" s="3"/>
      <c r="D2017" s="3"/>
      <c r="E2017" s="3">
        <v>14</v>
      </c>
      <c r="F2017" s="4" t="str">
        <f>HYPERLINK("http://141.218.60.56/~jnz1568/getInfo.php?workbook=14_09.xlsx&amp;sheet=U0&amp;row=2017&amp;col=6&amp;number=4.3&amp;sourceID=14","4.3")</f>
        <v>4.3</v>
      </c>
      <c r="G2017" s="4" t="str">
        <f>HYPERLINK("http://141.218.60.56/~jnz1568/getInfo.php?workbook=14_09.xlsx&amp;sheet=U0&amp;row=2017&amp;col=7&amp;number=0.0495&amp;sourceID=14","0.0495")</f>
        <v>0.0495</v>
      </c>
    </row>
    <row r="2018" spans="1:7">
      <c r="A2018" s="3"/>
      <c r="B2018" s="3"/>
      <c r="C2018" s="3"/>
      <c r="D2018" s="3"/>
      <c r="E2018" s="3">
        <v>15</v>
      </c>
      <c r="F2018" s="4" t="str">
        <f>HYPERLINK("http://141.218.60.56/~jnz1568/getInfo.php?workbook=14_09.xlsx&amp;sheet=U0&amp;row=2018&amp;col=6&amp;number=4.4&amp;sourceID=14","4.4")</f>
        <v>4.4</v>
      </c>
      <c r="G2018" s="4" t="str">
        <f>HYPERLINK("http://141.218.60.56/~jnz1568/getInfo.php?workbook=14_09.xlsx&amp;sheet=U0&amp;row=2018&amp;col=7&amp;number=0.0471&amp;sourceID=14","0.0471")</f>
        <v>0.0471</v>
      </c>
    </row>
    <row r="2019" spans="1:7">
      <c r="A2019" s="3"/>
      <c r="B2019" s="3"/>
      <c r="C2019" s="3"/>
      <c r="D2019" s="3"/>
      <c r="E2019" s="3">
        <v>16</v>
      </c>
      <c r="F2019" s="4" t="str">
        <f>HYPERLINK("http://141.218.60.56/~jnz1568/getInfo.php?workbook=14_09.xlsx&amp;sheet=U0&amp;row=2019&amp;col=6&amp;number=4.5&amp;sourceID=14","4.5")</f>
        <v>4.5</v>
      </c>
      <c r="G2019" s="4" t="str">
        <f>HYPERLINK("http://141.218.60.56/~jnz1568/getInfo.php?workbook=14_09.xlsx&amp;sheet=U0&amp;row=2019&amp;col=7&amp;number=0.0442&amp;sourceID=14","0.0442")</f>
        <v>0.0442</v>
      </c>
    </row>
    <row r="2020" spans="1:7">
      <c r="A2020" s="3"/>
      <c r="B2020" s="3"/>
      <c r="C2020" s="3"/>
      <c r="D2020" s="3"/>
      <c r="E2020" s="3">
        <v>17</v>
      </c>
      <c r="F2020" s="4" t="str">
        <f>HYPERLINK("http://141.218.60.56/~jnz1568/getInfo.php?workbook=14_09.xlsx&amp;sheet=U0&amp;row=2020&amp;col=6&amp;number=4.6&amp;sourceID=14","4.6")</f>
        <v>4.6</v>
      </c>
      <c r="G2020" s="4" t="str">
        <f>HYPERLINK("http://141.218.60.56/~jnz1568/getInfo.php?workbook=14_09.xlsx&amp;sheet=U0&amp;row=2020&amp;col=7&amp;number=0.0409&amp;sourceID=14","0.0409")</f>
        <v>0.0409</v>
      </c>
    </row>
    <row r="2021" spans="1:7">
      <c r="A2021" s="3"/>
      <c r="B2021" s="3"/>
      <c r="C2021" s="3"/>
      <c r="D2021" s="3"/>
      <c r="E2021" s="3">
        <v>18</v>
      </c>
      <c r="F2021" s="4" t="str">
        <f>HYPERLINK("http://141.218.60.56/~jnz1568/getInfo.php?workbook=14_09.xlsx&amp;sheet=U0&amp;row=2021&amp;col=6&amp;number=4.7&amp;sourceID=14","4.7")</f>
        <v>4.7</v>
      </c>
      <c r="G2021" s="4" t="str">
        <f>HYPERLINK("http://141.218.60.56/~jnz1568/getInfo.php?workbook=14_09.xlsx&amp;sheet=U0&amp;row=2021&amp;col=7&amp;number=0.0374&amp;sourceID=14","0.0374")</f>
        <v>0.0374</v>
      </c>
    </row>
    <row r="2022" spans="1:7">
      <c r="A2022" s="3"/>
      <c r="B2022" s="3"/>
      <c r="C2022" s="3"/>
      <c r="D2022" s="3"/>
      <c r="E2022" s="3">
        <v>19</v>
      </c>
      <c r="F2022" s="4" t="str">
        <f>HYPERLINK("http://141.218.60.56/~jnz1568/getInfo.php?workbook=14_09.xlsx&amp;sheet=U0&amp;row=2022&amp;col=6&amp;number=4.8&amp;sourceID=14","4.8")</f>
        <v>4.8</v>
      </c>
      <c r="G2022" s="4" t="str">
        <f>HYPERLINK("http://141.218.60.56/~jnz1568/getInfo.php?workbook=14_09.xlsx&amp;sheet=U0&amp;row=2022&amp;col=7&amp;number=0.0339&amp;sourceID=14","0.0339")</f>
        <v>0.0339</v>
      </c>
    </row>
    <row r="2023" spans="1:7">
      <c r="A2023" s="3"/>
      <c r="B2023" s="3"/>
      <c r="C2023" s="3"/>
      <c r="D2023" s="3"/>
      <c r="E2023" s="3">
        <v>20</v>
      </c>
      <c r="F2023" s="4" t="str">
        <f>HYPERLINK("http://141.218.60.56/~jnz1568/getInfo.php?workbook=14_09.xlsx&amp;sheet=U0&amp;row=2023&amp;col=6&amp;number=4.9&amp;sourceID=14","4.9")</f>
        <v>4.9</v>
      </c>
      <c r="G2023" s="4" t="str">
        <f>HYPERLINK("http://141.218.60.56/~jnz1568/getInfo.php?workbook=14_09.xlsx&amp;sheet=U0&amp;row=2023&amp;col=7&amp;number=0.0309&amp;sourceID=14","0.0309")</f>
        <v>0.0309</v>
      </c>
    </row>
    <row r="2024" spans="1:7">
      <c r="A2024" s="3">
        <v>14</v>
      </c>
      <c r="B2024" s="3">
        <v>9</v>
      </c>
      <c r="C2024" s="3">
        <v>1</v>
      </c>
      <c r="D2024" s="3">
        <v>103</v>
      </c>
      <c r="E2024" s="3">
        <v>1</v>
      </c>
      <c r="F2024" s="4" t="str">
        <f>HYPERLINK("http://141.218.60.56/~jnz1568/getInfo.php?workbook=14_09.xlsx&amp;sheet=U0&amp;row=2024&amp;col=6&amp;number=3&amp;sourceID=14","3")</f>
        <v>3</v>
      </c>
      <c r="G2024" s="4" t="str">
        <f>HYPERLINK("http://141.218.60.56/~jnz1568/getInfo.php?workbook=14_09.xlsx&amp;sheet=U0&amp;row=2024&amp;col=7&amp;number=0.106&amp;sourceID=14","0.106")</f>
        <v>0.106</v>
      </c>
    </row>
    <row r="2025" spans="1:7">
      <c r="A2025" s="3"/>
      <c r="B2025" s="3"/>
      <c r="C2025" s="3"/>
      <c r="D2025" s="3"/>
      <c r="E2025" s="3">
        <v>2</v>
      </c>
      <c r="F2025" s="4" t="str">
        <f>HYPERLINK("http://141.218.60.56/~jnz1568/getInfo.php?workbook=14_09.xlsx&amp;sheet=U0&amp;row=2025&amp;col=6&amp;number=3.1&amp;sourceID=14","3.1")</f>
        <v>3.1</v>
      </c>
      <c r="G2025" s="4" t="str">
        <f>HYPERLINK("http://141.218.60.56/~jnz1568/getInfo.php?workbook=14_09.xlsx&amp;sheet=U0&amp;row=2025&amp;col=7&amp;number=0.106&amp;sourceID=14","0.106")</f>
        <v>0.106</v>
      </c>
    </row>
    <row r="2026" spans="1:7">
      <c r="A2026" s="3"/>
      <c r="B2026" s="3"/>
      <c r="C2026" s="3"/>
      <c r="D2026" s="3"/>
      <c r="E2026" s="3">
        <v>3</v>
      </c>
      <c r="F2026" s="4" t="str">
        <f>HYPERLINK("http://141.218.60.56/~jnz1568/getInfo.php?workbook=14_09.xlsx&amp;sheet=U0&amp;row=2026&amp;col=6&amp;number=3.2&amp;sourceID=14","3.2")</f>
        <v>3.2</v>
      </c>
      <c r="G2026" s="4" t="str">
        <f>HYPERLINK("http://141.218.60.56/~jnz1568/getInfo.php?workbook=14_09.xlsx&amp;sheet=U0&amp;row=2026&amp;col=7&amp;number=0.106&amp;sourceID=14","0.106")</f>
        <v>0.106</v>
      </c>
    </row>
    <row r="2027" spans="1:7">
      <c r="A2027" s="3"/>
      <c r="B2027" s="3"/>
      <c r="C2027" s="3"/>
      <c r="D2027" s="3"/>
      <c r="E2027" s="3">
        <v>4</v>
      </c>
      <c r="F2027" s="4" t="str">
        <f>HYPERLINK("http://141.218.60.56/~jnz1568/getInfo.php?workbook=14_09.xlsx&amp;sheet=U0&amp;row=2027&amp;col=6&amp;number=3.3&amp;sourceID=14","3.3")</f>
        <v>3.3</v>
      </c>
      <c r="G2027" s="4" t="str">
        <f>HYPERLINK("http://141.218.60.56/~jnz1568/getInfo.php?workbook=14_09.xlsx&amp;sheet=U0&amp;row=2027&amp;col=7&amp;number=0.106&amp;sourceID=14","0.106")</f>
        <v>0.106</v>
      </c>
    </row>
    <row r="2028" spans="1:7">
      <c r="A2028" s="3"/>
      <c r="B2028" s="3"/>
      <c r="C2028" s="3"/>
      <c r="D2028" s="3"/>
      <c r="E2028" s="3">
        <v>5</v>
      </c>
      <c r="F2028" s="4" t="str">
        <f>HYPERLINK("http://141.218.60.56/~jnz1568/getInfo.php?workbook=14_09.xlsx&amp;sheet=U0&amp;row=2028&amp;col=6&amp;number=3.4&amp;sourceID=14","3.4")</f>
        <v>3.4</v>
      </c>
      <c r="G2028" s="4" t="str">
        <f>HYPERLINK("http://141.218.60.56/~jnz1568/getInfo.php?workbook=14_09.xlsx&amp;sheet=U0&amp;row=2028&amp;col=7&amp;number=0.106&amp;sourceID=14","0.106")</f>
        <v>0.106</v>
      </c>
    </row>
    <row r="2029" spans="1:7">
      <c r="A2029" s="3"/>
      <c r="B2029" s="3"/>
      <c r="C2029" s="3"/>
      <c r="D2029" s="3"/>
      <c r="E2029" s="3">
        <v>6</v>
      </c>
      <c r="F2029" s="4" t="str">
        <f>HYPERLINK("http://141.218.60.56/~jnz1568/getInfo.php?workbook=14_09.xlsx&amp;sheet=U0&amp;row=2029&amp;col=6&amp;number=3.5&amp;sourceID=14","3.5")</f>
        <v>3.5</v>
      </c>
      <c r="G2029" s="4" t="str">
        <f>HYPERLINK("http://141.218.60.56/~jnz1568/getInfo.php?workbook=14_09.xlsx&amp;sheet=U0&amp;row=2029&amp;col=7&amp;number=0.106&amp;sourceID=14","0.106")</f>
        <v>0.106</v>
      </c>
    </row>
    <row r="2030" spans="1:7">
      <c r="A2030" s="3"/>
      <c r="B2030" s="3"/>
      <c r="C2030" s="3"/>
      <c r="D2030" s="3"/>
      <c r="E2030" s="3">
        <v>7</v>
      </c>
      <c r="F2030" s="4" t="str">
        <f>HYPERLINK("http://141.218.60.56/~jnz1568/getInfo.php?workbook=14_09.xlsx&amp;sheet=U0&amp;row=2030&amp;col=6&amp;number=3.6&amp;sourceID=14","3.6")</f>
        <v>3.6</v>
      </c>
      <c r="G2030" s="4" t="str">
        <f>HYPERLINK("http://141.218.60.56/~jnz1568/getInfo.php?workbook=14_09.xlsx&amp;sheet=U0&amp;row=2030&amp;col=7&amp;number=0.106&amp;sourceID=14","0.106")</f>
        <v>0.106</v>
      </c>
    </row>
    <row r="2031" spans="1:7">
      <c r="A2031" s="3"/>
      <c r="B2031" s="3"/>
      <c r="C2031" s="3"/>
      <c r="D2031" s="3"/>
      <c r="E2031" s="3">
        <v>8</v>
      </c>
      <c r="F2031" s="4" t="str">
        <f>HYPERLINK("http://141.218.60.56/~jnz1568/getInfo.php?workbook=14_09.xlsx&amp;sheet=U0&amp;row=2031&amp;col=6&amp;number=3.7&amp;sourceID=14","3.7")</f>
        <v>3.7</v>
      </c>
      <c r="G2031" s="4" t="str">
        <f>HYPERLINK("http://141.218.60.56/~jnz1568/getInfo.php?workbook=14_09.xlsx&amp;sheet=U0&amp;row=2031&amp;col=7&amp;number=0.107&amp;sourceID=14","0.107")</f>
        <v>0.107</v>
      </c>
    </row>
    <row r="2032" spans="1:7">
      <c r="A2032" s="3"/>
      <c r="B2032" s="3"/>
      <c r="C2032" s="3"/>
      <c r="D2032" s="3"/>
      <c r="E2032" s="3">
        <v>9</v>
      </c>
      <c r="F2032" s="4" t="str">
        <f>HYPERLINK("http://141.218.60.56/~jnz1568/getInfo.php?workbook=14_09.xlsx&amp;sheet=U0&amp;row=2032&amp;col=6&amp;number=3.8&amp;sourceID=14","3.8")</f>
        <v>3.8</v>
      </c>
      <c r="G2032" s="4" t="str">
        <f>HYPERLINK("http://141.218.60.56/~jnz1568/getInfo.php?workbook=14_09.xlsx&amp;sheet=U0&amp;row=2032&amp;col=7&amp;number=0.107&amp;sourceID=14","0.107")</f>
        <v>0.107</v>
      </c>
    </row>
    <row r="2033" spans="1:7">
      <c r="A2033" s="3"/>
      <c r="B2033" s="3"/>
      <c r="C2033" s="3"/>
      <c r="D2033" s="3"/>
      <c r="E2033" s="3">
        <v>10</v>
      </c>
      <c r="F2033" s="4" t="str">
        <f>HYPERLINK("http://141.218.60.56/~jnz1568/getInfo.php?workbook=14_09.xlsx&amp;sheet=U0&amp;row=2033&amp;col=6&amp;number=3.9&amp;sourceID=14","3.9")</f>
        <v>3.9</v>
      </c>
      <c r="G2033" s="4" t="str">
        <f>HYPERLINK("http://141.218.60.56/~jnz1568/getInfo.php?workbook=14_09.xlsx&amp;sheet=U0&amp;row=2033&amp;col=7&amp;number=0.107&amp;sourceID=14","0.107")</f>
        <v>0.107</v>
      </c>
    </row>
    <row r="2034" spans="1:7">
      <c r="A2034" s="3"/>
      <c r="B2034" s="3"/>
      <c r="C2034" s="3"/>
      <c r="D2034" s="3"/>
      <c r="E2034" s="3">
        <v>11</v>
      </c>
      <c r="F2034" s="4" t="str">
        <f>HYPERLINK("http://141.218.60.56/~jnz1568/getInfo.php?workbook=14_09.xlsx&amp;sheet=U0&amp;row=2034&amp;col=6&amp;number=4&amp;sourceID=14","4")</f>
        <v>4</v>
      </c>
      <c r="G2034" s="4" t="str">
        <f>HYPERLINK("http://141.218.60.56/~jnz1568/getInfo.php?workbook=14_09.xlsx&amp;sheet=U0&amp;row=2034&amp;col=7&amp;number=0.107&amp;sourceID=14","0.107")</f>
        <v>0.107</v>
      </c>
    </row>
    <row r="2035" spans="1:7">
      <c r="A2035" s="3"/>
      <c r="B2035" s="3"/>
      <c r="C2035" s="3"/>
      <c r="D2035" s="3"/>
      <c r="E2035" s="3">
        <v>12</v>
      </c>
      <c r="F2035" s="4" t="str">
        <f>HYPERLINK("http://141.218.60.56/~jnz1568/getInfo.php?workbook=14_09.xlsx&amp;sheet=U0&amp;row=2035&amp;col=6&amp;number=4.1&amp;sourceID=14","4.1")</f>
        <v>4.1</v>
      </c>
      <c r="G2035" s="4" t="str">
        <f>HYPERLINK("http://141.218.60.56/~jnz1568/getInfo.php?workbook=14_09.xlsx&amp;sheet=U0&amp;row=2035&amp;col=7&amp;number=0.107&amp;sourceID=14","0.107")</f>
        <v>0.107</v>
      </c>
    </row>
    <row r="2036" spans="1:7">
      <c r="A2036" s="3"/>
      <c r="B2036" s="3"/>
      <c r="C2036" s="3"/>
      <c r="D2036" s="3"/>
      <c r="E2036" s="3">
        <v>13</v>
      </c>
      <c r="F2036" s="4" t="str">
        <f>HYPERLINK("http://141.218.60.56/~jnz1568/getInfo.php?workbook=14_09.xlsx&amp;sheet=U0&amp;row=2036&amp;col=6&amp;number=4.2&amp;sourceID=14","4.2")</f>
        <v>4.2</v>
      </c>
      <c r="G2036" s="4" t="str">
        <f>HYPERLINK("http://141.218.60.56/~jnz1568/getInfo.php?workbook=14_09.xlsx&amp;sheet=U0&amp;row=2036&amp;col=7&amp;number=0.107&amp;sourceID=14","0.107")</f>
        <v>0.107</v>
      </c>
    </row>
    <row r="2037" spans="1:7">
      <c r="A2037" s="3"/>
      <c r="B2037" s="3"/>
      <c r="C2037" s="3"/>
      <c r="D2037" s="3"/>
      <c r="E2037" s="3">
        <v>14</v>
      </c>
      <c r="F2037" s="4" t="str">
        <f>HYPERLINK("http://141.218.60.56/~jnz1568/getInfo.php?workbook=14_09.xlsx&amp;sheet=U0&amp;row=2037&amp;col=6&amp;number=4.3&amp;sourceID=14","4.3")</f>
        <v>4.3</v>
      </c>
      <c r="G2037" s="4" t="str">
        <f>HYPERLINK("http://141.218.60.56/~jnz1568/getInfo.php?workbook=14_09.xlsx&amp;sheet=U0&amp;row=2037&amp;col=7&amp;number=0.107&amp;sourceID=14","0.107")</f>
        <v>0.107</v>
      </c>
    </row>
    <row r="2038" spans="1:7">
      <c r="A2038" s="3"/>
      <c r="B2038" s="3"/>
      <c r="C2038" s="3"/>
      <c r="D2038" s="3"/>
      <c r="E2038" s="3">
        <v>15</v>
      </c>
      <c r="F2038" s="4" t="str">
        <f>HYPERLINK("http://141.218.60.56/~jnz1568/getInfo.php?workbook=14_09.xlsx&amp;sheet=U0&amp;row=2038&amp;col=6&amp;number=4.4&amp;sourceID=14","4.4")</f>
        <v>4.4</v>
      </c>
      <c r="G2038" s="4" t="str">
        <f>HYPERLINK("http://141.218.60.56/~jnz1568/getInfo.php?workbook=14_09.xlsx&amp;sheet=U0&amp;row=2038&amp;col=7&amp;number=0.108&amp;sourceID=14","0.108")</f>
        <v>0.108</v>
      </c>
    </row>
    <row r="2039" spans="1:7">
      <c r="A2039" s="3"/>
      <c r="B2039" s="3"/>
      <c r="C2039" s="3"/>
      <c r="D2039" s="3"/>
      <c r="E2039" s="3">
        <v>16</v>
      </c>
      <c r="F2039" s="4" t="str">
        <f>HYPERLINK("http://141.218.60.56/~jnz1568/getInfo.php?workbook=14_09.xlsx&amp;sheet=U0&amp;row=2039&amp;col=6&amp;number=4.5&amp;sourceID=14","4.5")</f>
        <v>4.5</v>
      </c>
      <c r="G2039" s="4" t="str">
        <f>HYPERLINK("http://141.218.60.56/~jnz1568/getInfo.php?workbook=14_09.xlsx&amp;sheet=U0&amp;row=2039&amp;col=7&amp;number=0.108&amp;sourceID=14","0.108")</f>
        <v>0.108</v>
      </c>
    </row>
    <row r="2040" spans="1:7">
      <c r="A2040" s="3"/>
      <c r="B2040" s="3"/>
      <c r="C2040" s="3"/>
      <c r="D2040" s="3"/>
      <c r="E2040" s="3">
        <v>17</v>
      </c>
      <c r="F2040" s="4" t="str">
        <f>HYPERLINK("http://141.218.60.56/~jnz1568/getInfo.php?workbook=14_09.xlsx&amp;sheet=U0&amp;row=2040&amp;col=6&amp;number=4.6&amp;sourceID=14","4.6")</f>
        <v>4.6</v>
      </c>
      <c r="G2040" s="4" t="str">
        <f>HYPERLINK("http://141.218.60.56/~jnz1568/getInfo.php?workbook=14_09.xlsx&amp;sheet=U0&amp;row=2040&amp;col=7&amp;number=0.109&amp;sourceID=14","0.109")</f>
        <v>0.109</v>
      </c>
    </row>
    <row r="2041" spans="1:7">
      <c r="A2041" s="3"/>
      <c r="B2041" s="3"/>
      <c r="C2041" s="3"/>
      <c r="D2041" s="3"/>
      <c r="E2041" s="3">
        <v>18</v>
      </c>
      <c r="F2041" s="4" t="str">
        <f>HYPERLINK("http://141.218.60.56/~jnz1568/getInfo.php?workbook=14_09.xlsx&amp;sheet=U0&amp;row=2041&amp;col=6&amp;number=4.7&amp;sourceID=14","4.7")</f>
        <v>4.7</v>
      </c>
      <c r="G2041" s="4" t="str">
        <f>HYPERLINK("http://141.218.60.56/~jnz1568/getInfo.php?workbook=14_09.xlsx&amp;sheet=U0&amp;row=2041&amp;col=7&amp;number=0.109&amp;sourceID=14","0.109")</f>
        <v>0.109</v>
      </c>
    </row>
    <row r="2042" spans="1:7">
      <c r="A2042" s="3"/>
      <c r="B2042" s="3"/>
      <c r="C2042" s="3"/>
      <c r="D2042" s="3"/>
      <c r="E2042" s="3">
        <v>19</v>
      </c>
      <c r="F2042" s="4" t="str">
        <f>HYPERLINK("http://141.218.60.56/~jnz1568/getInfo.php?workbook=14_09.xlsx&amp;sheet=U0&amp;row=2042&amp;col=6&amp;number=4.8&amp;sourceID=14","4.8")</f>
        <v>4.8</v>
      </c>
      <c r="G2042" s="4" t="str">
        <f>HYPERLINK("http://141.218.60.56/~jnz1568/getInfo.php?workbook=14_09.xlsx&amp;sheet=U0&amp;row=2042&amp;col=7&amp;number=0.11&amp;sourceID=14","0.11")</f>
        <v>0.11</v>
      </c>
    </row>
    <row r="2043" spans="1:7">
      <c r="A2043" s="3"/>
      <c r="B2043" s="3"/>
      <c r="C2043" s="3"/>
      <c r="D2043" s="3"/>
      <c r="E2043" s="3">
        <v>20</v>
      </c>
      <c r="F2043" s="4" t="str">
        <f>HYPERLINK("http://141.218.60.56/~jnz1568/getInfo.php?workbook=14_09.xlsx&amp;sheet=U0&amp;row=2043&amp;col=6&amp;number=4.9&amp;sourceID=14","4.9")</f>
        <v>4.9</v>
      </c>
      <c r="G2043" s="4" t="str">
        <f>HYPERLINK("http://141.218.60.56/~jnz1568/getInfo.php?workbook=14_09.xlsx&amp;sheet=U0&amp;row=2043&amp;col=7&amp;number=0.111&amp;sourceID=14","0.111")</f>
        <v>0.111</v>
      </c>
    </row>
    <row r="2044" spans="1:7">
      <c r="A2044" s="3">
        <v>14</v>
      </c>
      <c r="B2044" s="3">
        <v>9</v>
      </c>
      <c r="C2044" s="3">
        <v>1</v>
      </c>
      <c r="D2044" s="3">
        <v>104</v>
      </c>
      <c r="E2044" s="3">
        <v>1</v>
      </c>
      <c r="F2044" s="4" t="str">
        <f>HYPERLINK("http://141.218.60.56/~jnz1568/getInfo.php?workbook=14_09.xlsx&amp;sheet=U0&amp;row=2044&amp;col=6&amp;number=3&amp;sourceID=14","3")</f>
        <v>3</v>
      </c>
      <c r="G2044" s="4" t="str">
        <f>HYPERLINK("http://141.218.60.56/~jnz1568/getInfo.php?workbook=14_09.xlsx&amp;sheet=U0&amp;row=2044&amp;col=7&amp;number=0.00744&amp;sourceID=14","0.00744")</f>
        <v>0.00744</v>
      </c>
    </row>
    <row r="2045" spans="1:7">
      <c r="A2045" s="3"/>
      <c r="B2045" s="3"/>
      <c r="C2045" s="3"/>
      <c r="D2045" s="3"/>
      <c r="E2045" s="3">
        <v>2</v>
      </c>
      <c r="F2045" s="4" t="str">
        <f>HYPERLINK("http://141.218.60.56/~jnz1568/getInfo.php?workbook=14_09.xlsx&amp;sheet=U0&amp;row=2045&amp;col=6&amp;number=3.1&amp;sourceID=14","3.1")</f>
        <v>3.1</v>
      </c>
      <c r="G2045" s="4" t="str">
        <f>HYPERLINK("http://141.218.60.56/~jnz1568/getInfo.php?workbook=14_09.xlsx&amp;sheet=U0&amp;row=2045&amp;col=7&amp;number=0.00743&amp;sourceID=14","0.00743")</f>
        <v>0.00743</v>
      </c>
    </row>
    <row r="2046" spans="1:7">
      <c r="A2046" s="3"/>
      <c r="B2046" s="3"/>
      <c r="C2046" s="3"/>
      <c r="D2046" s="3"/>
      <c r="E2046" s="3">
        <v>3</v>
      </c>
      <c r="F2046" s="4" t="str">
        <f>HYPERLINK("http://141.218.60.56/~jnz1568/getInfo.php?workbook=14_09.xlsx&amp;sheet=U0&amp;row=2046&amp;col=6&amp;number=3.2&amp;sourceID=14","3.2")</f>
        <v>3.2</v>
      </c>
      <c r="G2046" s="4" t="str">
        <f>HYPERLINK("http://141.218.60.56/~jnz1568/getInfo.php?workbook=14_09.xlsx&amp;sheet=U0&amp;row=2046&amp;col=7&amp;number=0.00743&amp;sourceID=14","0.00743")</f>
        <v>0.00743</v>
      </c>
    </row>
    <row r="2047" spans="1:7">
      <c r="A2047" s="3"/>
      <c r="B2047" s="3"/>
      <c r="C2047" s="3"/>
      <c r="D2047" s="3"/>
      <c r="E2047" s="3">
        <v>4</v>
      </c>
      <c r="F2047" s="4" t="str">
        <f>HYPERLINK("http://141.218.60.56/~jnz1568/getInfo.php?workbook=14_09.xlsx&amp;sheet=U0&amp;row=2047&amp;col=6&amp;number=3.3&amp;sourceID=14","3.3")</f>
        <v>3.3</v>
      </c>
      <c r="G2047" s="4" t="str">
        <f>HYPERLINK("http://141.218.60.56/~jnz1568/getInfo.php?workbook=14_09.xlsx&amp;sheet=U0&amp;row=2047&amp;col=7&amp;number=0.00742&amp;sourceID=14","0.00742")</f>
        <v>0.00742</v>
      </c>
    </row>
    <row r="2048" spans="1:7">
      <c r="A2048" s="3"/>
      <c r="B2048" s="3"/>
      <c r="C2048" s="3"/>
      <c r="D2048" s="3"/>
      <c r="E2048" s="3">
        <v>5</v>
      </c>
      <c r="F2048" s="4" t="str">
        <f>HYPERLINK("http://141.218.60.56/~jnz1568/getInfo.php?workbook=14_09.xlsx&amp;sheet=U0&amp;row=2048&amp;col=6&amp;number=3.4&amp;sourceID=14","3.4")</f>
        <v>3.4</v>
      </c>
      <c r="G2048" s="4" t="str">
        <f>HYPERLINK("http://141.218.60.56/~jnz1568/getInfo.php?workbook=14_09.xlsx&amp;sheet=U0&amp;row=2048&amp;col=7&amp;number=0.00741&amp;sourceID=14","0.00741")</f>
        <v>0.00741</v>
      </c>
    </row>
    <row r="2049" spans="1:7">
      <c r="A2049" s="3"/>
      <c r="B2049" s="3"/>
      <c r="C2049" s="3"/>
      <c r="D2049" s="3"/>
      <c r="E2049" s="3">
        <v>6</v>
      </c>
      <c r="F2049" s="4" t="str">
        <f>HYPERLINK("http://141.218.60.56/~jnz1568/getInfo.php?workbook=14_09.xlsx&amp;sheet=U0&amp;row=2049&amp;col=6&amp;number=3.5&amp;sourceID=14","3.5")</f>
        <v>3.5</v>
      </c>
      <c r="G2049" s="4" t="str">
        <f>HYPERLINK("http://141.218.60.56/~jnz1568/getInfo.php?workbook=14_09.xlsx&amp;sheet=U0&amp;row=2049&amp;col=7&amp;number=0.0074&amp;sourceID=14","0.0074")</f>
        <v>0.0074</v>
      </c>
    </row>
    <row r="2050" spans="1:7">
      <c r="A2050" s="3"/>
      <c r="B2050" s="3"/>
      <c r="C2050" s="3"/>
      <c r="D2050" s="3"/>
      <c r="E2050" s="3">
        <v>7</v>
      </c>
      <c r="F2050" s="4" t="str">
        <f>HYPERLINK("http://141.218.60.56/~jnz1568/getInfo.php?workbook=14_09.xlsx&amp;sheet=U0&amp;row=2050&amp;col=6&amp;number=3.6&amp;sourceID=14","3.6")</f>
        <v>3.6</v>
      </c>
      <c r="G2050" s="4" t="str">
        <f>HYPERLINK("http://141.218.60.56/~jnz1568/getInfo.php?workbook=14_09.xlsx&amp;sheet=U0&amp;row=2050&amp;col=7&amp;number=0.00739&amp;sourceID=14","0.00739")</f>
        <v>0.00739</v>
      </c>
    </row>
    <row r="2051" spans="1:7">
      <c r="A2051" s="3"/>
      <c r="B2051" s="3"/>
      <c r="C2051" s="3"/>
      <c r="D2051" s="3"/>
      <c r="E2051" s="3">
        <v>8</v>
      </c>
      <c r="F2051" s="4" t="str">
        <f>HYPERLINK("http://141.218.60.56/~jnz1568/getInfo.php?workbook=14_09.xlsx&amp;sheet=U0&amp;row=2051&amp;col=6&amp;number=3.7&amp;sourceID=14","3.7")</f>
        <v>3.7</v>
      </c>
      <c r="G2051" s="4" t="str">
        <f>HYPERLINK("http://141.218.60.56/~jnz1568/getInfo.php?workbook=14_09.xlsx&amp;sheet=U0&amp;row=2051&amp;col=7&amp;number=0.00737&amp;sourceID=14","0.00737")</f>
        <v>0.00737</v>
      </c>
    </row>
    <row r="2052" spans="1:7">
      <c r="A2052" s="3"/>
      <c r="B2052" s="3"/>
      <c r="C2052" s="3"/>
      <c r="D2052" s="3"/>
      <c r="E2052" s="3">
        <v>9</v>
      </c>
      <c r="F2052" s="4" t="str">
        <f>HYPERLINK("http://141.218.60.56/~jnz1568/getInfo.php?workbook=14_09.xlsx&amp;sheet=U0&amp;row=2052&amp;col=6&amp;number=3.8&amp;sourceID=14","3.8")</f>
        <v>3.8</v>
      </c>
      <c r="G2052" s="4" t="str">
        <f>HYPERLINK("http://141.218.60.56/~jnz1568/getInfo.php?workbook=14_09.xlsx&amp;sheet=U0&amp;row=2052&amp;col=7&amp;number=0.00735&amp;sourceID=14","0.00735")</f>
        <v>0.00735</v>
      </c>
    </row>
    <row r="2053" spans="1:7">
      <c r="A2053" s="3"/>
      <c r="B2053" s="3"/>
      <c r="C2053" s="3"/>
      <c r="D2053" s="3"/>
      <c r="E2053" s="3">
        <v>10</v>
      </c>
      <c r="F2053" s="4" t="str">
        <f>HYPERLINK("http://141.218.60.56/~jnz1568/getInfo.php?workbook=14_09.xlsx&amp;sheet=U0&amp;row=2053&amp;col=6&amp;number=3.9&amp;sourceID=14","3.9")</f>
        <v>3.9</v>
      </c>
      <c r="G2053" s="4" t="str">
        <f>HYPERLINK("http://141.218.60.56/~jnz1568/getInfo.php?workbook=14_09.xlsx&amp;sheet=U0&amp;row=2053&amp;col=7&amp;number=0.00732&amp;sourceID=14","0.00732")</f>
        <v>0.00732</v>
      </c>
    </row>
    <row r="2054" spans="1:7">
      <c r="A2054" s="3"/>
      <c r="B2054" s="3"/>
      <c r="C2054" s="3"/>
      <c r="D2054" s="3"/>
      <c r="E2054" s="3">
        <v>11</v>
      </c>
      <c r="F2054" s="4" t="str">
        <f>HYPERLINK("http://141.218.60.56/~jnz1568/getInfo.php?workbook=14_09.xlsx&amp;sheet=U0&amp;row=2054&amp;col=6&amp;number=4&amp;sourceID=14","4")</f>
        <v>4</v>
      </c>
      <c r="G2054" s="4" t="str">
        <f>HYPERLINK("http://141.218.60.56/~jnz1568/getInfo.php?workbook=14_09.xlsx&amp;sheet=U0&amp;row=2054&amp;col=7&amp;number=0.00729&amp;sourceID=14","0.00729")</f>
        <v>0.00729</v>
      </c>
    </row>
    <row r="2055" spans="1:7">
      <c r="A2055" s="3"/>
      <c r="B2055" s="3"/>
      <c r="C2055" s="3"/>
      <c r="D2055" s="3"/>
      <c r="E2055" s="3">
        <v>12</v>
      </c>
      <c r="F2055" s="4" t="str">
        <f>HYPERLINK("http://141.218.60.56/~jnz1568/getInfo.php?workbook=14_09.xlsx&amp;sheet=U0&amp;row=2055&amp;col=6&amp;number=4.1&amp;sourceID=14","4.1")</f>
        <v>4.1</v>
      </c>
      <c r="G2055" s="4" t="str">
        <f>HYPERLINK("http://141.218.60.56/~jnz1568/getInfo.php?workbook=14_09.xlsx&amp;sheet=U0&amp;row=2055&amp;col=7&amp;number=0.00724&amp;sourceID=14","0.00724")</f>
        <v>0.00724</v>
      </c>
    </row>
    <row r="2056" spans="1:7">
      <c r="A2056" s="3"/>
      <c r="B2056" s="3"/>
      <c r="C2056" s="3"/>
      <c r="D2056" s="3"/>
      <c r="E2056" s="3">
        <v>13</v>
      </c>
      <c r="F2056" s="4" t="str">
        <f>HYPERLINK("http://141.218.60.56/~jnz1568/getInfo.php?workbook=14_09.xlsx&amp;sheet=U0&amp;row=2056&amp;col=6&amp;number=4.2&amp;sourceID=14","4.2")</f>
        <v>4.2</v>
      </c>
      <c r="G2056" s="4" t="str">
        <f>HYPERLINK("http://141.218.60.56/~jnz1568/getInfo.php?workbook=14_09.xlsx&amp;sheet=U0&amp;row=2056&amp;col=7&amp;number=0.00719&amp;sourceID=14","0.00719")</f>
        <v>0.00719</v>
      </c>
    </row>
    <row r="2057" spans="1:7">
      <c r="A2057" s="3"/>
      <c r="B2057" s="3"/>
      <c r="C2057" s="3"/>
      <c r="D2057" s="3"/>
      <c r="E2057" s="3">
        <v>14</v>
      </c>
      <c r="F2057" s="4" t="str">
        <f>HYPERLINK("http://141.218.60.56/~jnz1568/getInfo.php?workbook=14_09.xlsx&amp;sheet=U0&amp;row=2057&amp;col=6&amp;number=4.3&amp;sourceID=14","4.3")</f>
        <v>4.3</v>
      </c>
      <c r="G2057" s="4" t="str">
        <f>HYPERLINK("http://141.218.60.56/~jnz1568/getInfo.php?workbook=14_09.xlsx&amp;sheet=U0&amp;row=2057&amp;col=7&amp;number=0.00713&amp;sourceID=14","0.00713")</f>
        <v>0.00713</v>
      </c>
    </row>
    <row r="2058" spans="1:7">
      <c r="A2058" s="3"/>
      <c r="B2058" s="3"/>
      <c r="C2058" s="3"/>
      <c r="D2058" s="3"/>
      <c r="E2058" s="3">
        <v>15</v>
      </c>
      <c r="F2058" s="4" t="str">
        <f>HYPERLINK("http://141.218.60.56/~jnz1568/getInfo.php?workbook=14_09.xlsx&amp;sheet=U0&amp;row=2058&amp;col=6&amp;number=4.4&amp;sourceID=14","4.4")</f>
        <v>4.4</v>
      </c>
      <c r="G2058" s="4" t="str">
        <f>HYPERLINK("http://141.218.60.56/~jnz1568/getInfo.php?workbook=14_09.xlsx&amp;sheet=U0&amp;row=2058&amp;col=7&amp;number=0.00704&amp;sourceID=14","0.00704")</f>
        <v>0.00704</v>
      </c>
    </row>
    <row r="2059" spans="1:7">
      <c r="A2059" s="3"/>
      <c r="B2059" s="3"/>
      <c r="C2059" s="3"/>
      <c r="D2059" s="3"/>
      <c r="E2059" s="3">
        <v>16</v>
      </c>
      <c r="F2059" s="4" t="str">
        <f>HYPERLINK("http://141.218.60.56/~jnz1568/getInfo.php?workbook=14_09.xlsx&amp;sheet=U0&amp;row=2059&amp;col=6&amp;number=4.5&amp;sourceID=14","4.5")</f>
        <v>4.5</v>
      </c>
      <c r="G2059" s="4" t="str">
        <f>HYPERLINK("http://141.218.60.56/~jnz1568/getInfo.php?workbook=14_09.xlsx&amp;sheet=U0&amp;row=2059&amp;col=7&amp;number=0.00694&amp;sourceID=14","0.00694")</f>
        <v>0.00694</v>
      </c>
    </row>
    <row r="2060" spans="1:7">
      <c r="A2060" s="3"/>
      <c r="B2060" s="3"/>
      <c r="C2060" s="3"/>
      <c r="D2060" s="3"/>
      <c r="E2060" s="3">
        <v>17</v>
      </c>
      <c r="F2060" s="4" t="str">
        <f>HYPERLINK("http://141.218.60.56/~jnz1568/getInfo.php?workbook=14_09.xlsx&amp;sheet=U0&amp;row=2060&amp;col=6&amp;number=4.6&amp;sourceID=14","4.6")</f>
        <v>4.6</v>
      </c>
      <c r="G2060" s="4" t="str">
        <f>HYPERLINK("http://141.218.60.56/~jnz1568/getInfo.php?workbook=14_09.xlsx&amp;sheet=U0&amp;row=2060&amp;col=7&amp;number=0.00682&amp;sourceID=14","0.00682")</f>
        <v>0.00682</v>
      </c>
    </row>
    <row r="2061" spans="1:7">
      <c r="A2061" s="3"/>
      <c r="B2061" s="3"/>
      <c r="C2061" s="3"/>
      <c r="D2061" s="3"/>
      <c r="E2061" s="3">
        <v>18</v>
      </c>
      <c r="F2061" s="4" t="str">
        <f>HYPERLINK("http://141.218.60.56/~jnz1568/getInfo.php?workbook=14_09.xlsx&amp;sheet=U0&amp;row=2061&amp;col=6&amp;number=4.7&amp;sourceID=14","4.7")</f>
        <v>4.7</v>
      </c>
      <c r="G2061" s="4" t="str">
        <f>HYPERLINK("http://141.218.60.56/~jnz1568/getInfo.php?workbook=14_09.xlsx&amp;sheet=U0&amp;row=2061&amp;col=7&amp;number=0.00667&amp;sourceID=14","0.00667")</f>
        <v>0.00667</v>
      </c>
    </row>
    <row r="2062" spans="1:7">
      <c r="A2062" s="3"/>
      <c r="B2062" s="3"/>
      <c r="C2062" s="3"/>
      <c r="D2062" s="3"/>
      <c r="E2062" s="3">
        <v>19</v>
      </c>
      <c r="F2062" s="4" t="str">
        <f>HYPERLINK("http://141.218.60.56/~jnz1568/getInfo.php?workbook=14_09.xlsx&amp;sheet=U0&amp;row=2062&amp;col=6&amp;number=4.8&amp;sourceID=14","4.8")</f>
        <v>4.8</v>
      </c>
      <c r="G2062" s="4" t="str">
        <f>HYPERLINK("http://141.218.60.56/~jnz1568/getInfo.php?workbook=14_09.xlsx&amp;sheet=U0&amp;row=2062&amp;col=7&amp;number=0.00649&amp;sourceID=14","0.00649")</f>
        <v>0.00649</v>
      </c>
    </row>
    <row r="2063" spans="1:7">
      <c r="A2063" s="3"/>
      <c r="B2063" s="3"/>
      <c r="C2063" s="3"/>
      <c r="D2063" s="3"/>
      <c r="E2063" s="3">
        <v>20</v>
      </c>
      <c r="F2063" s="4" t="str">
        <f>HYPERLINK("http://141.218.60.56/~jnz1568/getInfo.php?workbook=14_09.xlsx&amp;sheet=U0&amp;row=2063&amp;col=6&amp;number=4.9&amp;sourceID=14","4.9")</f>
        <v>4.9</v>
      </c>
      <c r="G2063" s="4" t="str">
        <f>HYPERLINK("http://141.218.60.56/~jnz1568/getInfo.php?workbook=14_09.xlsx&amp;sheet=U0&amp;row=2063&amp;col=7&amp;number=0.00627&amp;sourceID=14","0.00627")</f>
        <v>0.00627</v>
      </c>
    </row>
    <row r="2064" spans="1:7">
      <c r="A2064" s="3">
        <v>14</v>
      </c>
      <c r="B2064" s="3">
        <v>9</v>
      </c>
      <c r="C2064" s="3">
        <v>1</v>
      </c>
      <c r="D2064" s="3">
        <v>105</v>
      </c>
      <c r="E2064" s="3">
        <v>1</v>
      </c>
      <c r="F2064" s="4" t="str">
        <f>HYPERLINK("http://141.218.60.56/~jnz1568/getInfo.php?workbook=14_09.xlsx&amp;sheet=U0&amp;row=2064&amp;col=6&amp;number=3&amp;sourceID=14","3")</f>
        <v>3</v>
      </c>
      <c r="G2064" s="4" t="str">
        <f>HYPERLINK("http://141.218.60.56/~jnz1568/getInfo.php?workbook=14_09.xlsx&amp;sheet=U0&amp;row=2064&amp;col=7&amp;number=0.00608&amp;sourceID=14","0.00608")</f>
        <v>0.00608</v>
      </c>
    </row>
    <row r="2065" spans="1:7">
      <c r="A2065" s="3"/>
      <c r="B2065" s="3"/>
      <c r="C2065" s="3"/>
      <c r="D2065" s="3"/>
      <c r="E2065" s="3">
        <v>2</v>
      </c>
      <c r="F2065" s="4" t="str">
        <f>HYPERLINK("http://141.218.60.56/~jnz1568/getInfo.php?workbook=14_09.xlsx&amp;sheet=U0&amp;row=2065&amp;col=6&amp;number=3.1&amp;sourceID=14","3.1")</f>
        <v>3.1</v>
      </c>
      <c r="G2065" s="4" t="str">
        <f>HYPERLINK("http://141.218.60.56/~jnz1568/getInfo.php?workbook=14_09.xlsx&amp;sheet=U0&amp;row=2065&amp;col=7&amp;number=0.00607&amp;sourceID=14","0.00607")</f>
        <v>0.00607</v>
      </c>
    </row>
    <row r="2066" spans="1:7">
      <c r="A2066" s="3"/>
      <c r="B2066" s="3"/>
      <c r="C2066" s="3"/>
      <c r="D2066" s="3"/>
      <c r="E2066" s="3">
        <v>3</v>
      </c>
      <c r="F2066" s="4" t="str">
        <f>HYPERLINK("http://141.218.60.56/~jnz1568/getInfo.php?workbook=14_09.xlsx&amp;sheet=U0&amp;row=2066&amp;col=6&amp;number=3.2&amp;sourceID=14","3.2")</f>
        <v>3.2</v>
      </c>
      <c r="G2066" s="4" t="str">
        <f>HYPERLINK("http://141.218.60.56/~jnz1568/getInfo.php?workbook=14_09.xlsx&amp;sheet=U0&amp;row=2066&amp;col=7&amp;number=0.00606&amp;sourceID=14","0.00606")</f>
        <v>0.00606</v>
      </c>
    </row>
    <row r="2067" spans="1:7">
      <c r="A2067" s="3"/>
      <c r="B2067" s="3"/>
      <c r="C2067" s="3"/>
      <c r="D2067" s="3"/>
      <c r="E2067" s="3">
        <v>4</v>
      </c>
      <c r="F2067" s="4" t="str">
        <f>HYPERLINK("http://141.218.60.56/~jnz1568/getInfo.php?workbook=14_09.xlsx&amp;sheet=U0&amp;row=2067&amp;col=6&amp;number=3.3&amp;sourceID=14","3.3")</f>
        <v>3.3</v>
      </c>
      <c r="G2067" s="4" t="str">
        <f>HYPERLINK("http://141.218.60.56/~jnz1568/getInfo.php?workbook=14_09.xlsx&amp;sheet=U0&amp;row=2067&amp;col=7&amp;number=0.00606&amp;sourceID=14","0.00606")</f>
        <v>0.00606</v>
      </c>
    </row>
    <row r="2068" spans="1:7">
      <c r="A2068" s="3"/>
      <c r="B2068" s="3"/>
      <c r="C2068" s="3"/>
      <c r="D2068" s="3"/>
      <c r="E2068" s="3">
        <v>5</v>
      </c>
      <c r="F2068" s="4" t="str">
        <f>HYPERLINK("http://141.218.60.56/~jnz1568/getInfo.php?workbook=14_09.xlsx&amp;sheet=U0&amp;row=2068&amp;col=6&amp;number=3.4&amp;sourceID=14","3.4")</f>
        <v>3.4</v>
      </c>
      <c r="G2068" s="4" t="str">
        <f>HYPERLINK("http://141.218.60.56/~jnz1568/getInfo.php?workbook=14_09.xlsx&amp;sheet=U0&amp;row=2068&amp;col=7&amp;number=0.00605&amp;sourceID=14","0.00605")</f>
        <v>0.00605</v>
      </c>
    </row>
    <row r="2069" spans="1:7">
      <c r="A2069" s="3"/>
      <c r="B2069" s="3"/>
      <c r="C2069" s="3"/>
      <c r="D2069" s="3"/>
      <c r="E2069" s="3">
        <v>6</v>
      </c>
      <c r="F2069" s="4" t="str">
        <f>HYPERLINK("http://141.218.60.56/~jnz1568/getInfo.php?workbook=14_09.xlsx&amp;sheet=U0&amp;row=2069&amp;col=6&amp;number=3.5&amp;sourceID=14","3.5")</f>
        <v>3.5</v>
      </c>
      <c r="G2069" s="4" t="str">
        <f>HYPERLINK("http://141.218.60.56/~jnz1568/getInfo.php?workbook=14_09.xlsx&amp;sheet=U0&amp;row=2069&amp;col=7&amp;number=0.00603&amp;sourceID=14","0.00603")</f>
        <v>0.00603</v>
      </c>
    </row>
    <row r="2070" spans="1:7">
      <c r="A2070" s="3"/>
      <c r="B2070" s="3"/>
      <c r="C2070" s="3"/>
      <c r="D2070" s="3"/>
      <c r="E2070" s="3">
        <v>7</v>
      </c>
      <c r="F2070" s="4" t="str">
        <f>HYPERLINK("http://141.218.60.56/~jnz1568/getInfo.php?workbook=14_09.xlsx&amp;sheet=U0&amp;row=2070&amp;col=6&amp;number=3.6&amp;sourceID=14","3.6")</f>
        <v>3.6</v>
      </c>
      <c r="G2070" s="4" t="str">
        <f>HYPERLINK("http://141.218.60.56/~jnz1568/getInfo.php?workbook=14_09.xlsx&amp;sheet=U0&amp;row=2070&amp;col=7&amp;number=0.00602&amp;sourceID=14","0.00602")</f>
        <v>0.00602</v>
      </c>
    </row>
    <row r="2071" spans="1:7">
      <c r="A2071" s="3"/>
      <c r="B2071" s="3"/>
      <c r="C2071" s="3"/>
      <c r="D2071" s="3"/>
      <c r="E2071" s="3">
        <v>8</v>
      </c>
      <c r="F2071" s="4" t="str">
        <f>HYPERLINK("http://141.218.60.56/~jnz1568/getInfo.php?workbook=14_09.xlsx&amp;sheet=U0&amp;row=2071&amp;col=6&amp;number=3.7&amp;sourceID=14","3.7")</f>
        <v>3.7</v>
      </c>
      <c r="G2071" s="4" t="str">
        <f>HYPERLINK("http://141.218.60.56/~jnz1568/getInfo.php?workbook=14_09.xlsx&amp;sheet=U0&amp;row=2071&amp;col=7&amp;number=0.00599&amp;sourceID=14","0.00599")</f>
        <v>0.00599</v>
      </c>
    </row>
    <row r="2072" spans="1:7">
      <c r="A2072" s="3"/>
      <c r="B2072" s="3"/>
      <c r="C2072" s="3"/>
      <c r="D2072" s="3"/>
      <c r="E2072" s="3">
        <v>9</v>
      </c>
      <c r="F2072" s="4" t="str">
        <f>HYPERLINK("http://141.218.60.56/~jnz1568/getInfo.php?workbook=14_09.xlsx&amp;sheet=U0&amp;row=2072&amp;col=6&amp;number=3.8&amp;sourceID=14","3.8")</f>
        <v>3.8</v>
      </c>
      <c r="G2072" s="4" t="str">
        <f>HYPERLINK("http://141.218.60.56/~jnz1568/getInfo.php?workbook=14_09.xlsx&amp;sheet=U0&amp;row=2072&amp;col=7&amp;number=0.00597&amp;sourceID=14","0.00597")</f>
        <v>0.00597</v>
      </c>
    </row>
    <row r="2073" spans="1:7">
      <c r="A2073" s="3"/>
      <c r="B2073" s="3"/>
      <c r="C2073" s="3"/>
      <c r="D2073" s="3"/>
      <c r="E2073" s="3">
        <v>10</v>
      </c>
      <c r="F2073" s="4" t="str">
        <f>HYPERLINK("http://141.218.60.56/~jnz1568/getInfo.php?workbook=14_09.xlsx&amp;sheet=U0&amp;row=2073&amp;col=6&amp;number=3.9&amp;sourceID=14","3.9")</f>
        <v>3.9</v>
      </c>
      <c r="G2073" s="4" t="str">
        <f>HYPERLINK("http://141.218.60.56/~jnz1568/getInfo.php?workbook=14_09.xlsx&amp;sheet=U0&amp;row=2073&amp;col=7&amp;number=0.00593&amp;sourceID=14","0.00593")</f>
        <v>0.00593</v>
      </c>
    </row>
    <row r="2074" spans="1:7">
      <c r="A2074" s="3"/>
      <c r="B2074" s="3"/>
      <c r="C2074" s="3"/>
      <c r="D2074" s="3"/>
      <c r="E2074" s="3">
        <v>11</v>
      </c>
      <c r="F2074" s="4" t="str">
        <f>HYPERLINK("http://141.218.60.56/~jnz1568/getInfo.php?workbook=14_09.xlsx&amp;sheet=U0&amp;row=2074&amp;col=6&amp;number=4&amp;sourceID=14","4")</f>
        <v>4</v>
      </c>
      <c r="G2074" s="4" t="str">
        <f>HYPERLINK("http://141.218.60.56/~jnz1568/getInfo.php?workbook=14_09.xlsx&amp;sheet=U0&amp;row=2074&amp;col=7&amp;number=0.00589&amp;sourceID=14","0.00589")</f>
        <v>0.00589</v>
      </c>
    </row>
    <row r="2075" spans="1:7">
      <c r="A2075" s="3"/>
      <c r="B2075" s="3"/>
      <c r="C2075" s="3"/>
      <c r="D2075" s="3"/>
      <c r="E2075" s="3">
        <v>12</v>
      </c>
      <c r="F2075" s="4" t="str">
        <f>HYPERLINK("http://141.218.60.56/~jnz1568/getInfo.php?workbook=14_09.xlsx&amp;sheet=U0&amp;row=2075&amp;col=6&amp;number=4.1&amp;sourceID=14","4.1")</f>
        <v>4.1</v>
      </c>
      <c r="G2075" s="4" t="str">
        <f>HYPERLINK("http://141.218.60.56/~jnz1568/getInfo.php?workbook=14_09.xlsx&amp;sheet=U0&amp;row=2075&amp;col=7&amp;number=0.00584&amp;sourceID=14","0.00584")</f>
        <v>0.00584</v>
      </c>
    </row>
    <row r="2076" spans="1:7">
      <c r="A2076" s="3"/>
      <c r="B2076" s="3"/>
      <c r="C2076" s="3"/>
      <c r="D2076" s="3"/>
      <c r="E2076" s="3">
        <v>13</v>
      </c>
      <c r="F2076" s="4" t="str">
        <f>HYPERLINK("http://141.218.60.56/~jnz1568/getInfo.php?workbook=14_09.xlsx&amp;sheet=U0&amp;row=2076&amp;col=6&amp;number=4.2&amp;sourceID=14","4.2")</f>
        <v>4.2</v>
      </c>
      <c r="G2076" s="4" t="str">
        <f>HYPERLINK("http://141.218.60.56/~jnz1568/getInfo.php?workbook=14_09.xlsx&amp;sheet=U0&amp;row=2076&amp;col=7&amp;number=0.00578&amp;sourceID=14","0.00578")</f>
        <v>0.00578</v>
      </c>
    </row>
    <row r="2077" spans="1:7">
      <c r="A2077" s="3"/>
      <c r="B2077" s="3"/>
      <c r="C2077" s="3"/>
      <c r="D2077" s="3"/>
      <c r="E2077" s="3">
        <v>14</v>
      </c>
      <c r="F2077" s="4" t="str">
        <f>HYPERLINK("http://141.218.60.56/~jnz1568/getInfo.php?workbook=14_09.xlsx&amp;sheet=U0&amp;row=2077&amp;col=6&amp;number=4.3&amp;sourceID=14","4.3")</f>
        <v>4.3</v>
      </c>
      <c r="G2077" s="4" t="str">
        <f>HYPERLINK("http://141.218.60.56/~jnz1568/getInfo.php?workbook=14_09.xlsx&amp;sheet=U0&amp;row=2077&amp;col=7&amp;number=0.0057&amp;sourceID=14","0.0057")</f>
        <v>0.0057</v>
      </c>
    </row>
    <row r="2078" spans="1:7">
      <c r="A2078" s="3"/>
      <c r="B2078" s="3"/>
      <c r="C2078" s="3"/>
      <c r="D2078" s="3"/>
      <c r="E2078" s="3">
        <v>15</v>
      </c>
      <c r="F2078" s="4" t="str">
        <f>HYPERLINK("http://141.218.60.56/~jnz1568/getInfo.php?workbook=14_09.xlsx&amp;sheet=U0&amp;row=2078&amp;col=6&amp;number=4.4&amp;sourceID=14","4.4")</f>
        <v>4.4</v>
      </c>
      <c r="G2078" s="4" t="str">
        <f>HYPERLINK("http://141.218.60.56/~jnz1568/getInfo.php?workbook=14_09.xlsx&amp;sheet=U0&amp;row=2078&amp;col=7&amp;number=0.0056&amp;sourceID=14","0.0056")</f>
        <v>0.0056</v>
      </c>
    </row>
    <row r="2079" spans="1:7">
      <c r="A2079" s="3"/>
      <c r="B2079" s="3"/>
      <c r="C2079" s="3"/>
      <c r="D2079" s="3"/>
      <c r="E2079" s="3">
        <v>16</v>
      </c>
      <c r="F2079" s="4" t="str">
        <f>HYPERLINK("http://141.218.60.56/~jnz1568/getInfo.php?workbook=14_09.xlsx&amp;sheet=U0&amp;row=2079&amp;col=6&amp;number=4.5&amp;sourceID=14","4.5")</f>
        <v>4.5</v>
      </c>
      <c r="G2079" s="4" t="str">
        <f>HYPERLINK("http://141.218.60.56/~jnz1568/getInfo.php?workbook=14_09.xlsx&amp;sheet=U0&amp;row=2079&amp;col=7&amp;number=0.00549&amp;sourceID=14","0.00549")</f>
        <v>0.00549</v>
      </c>
    </row>
    <row r="2080" spans="1:7">
      <c r="A2080" s="3"/>
      <c r="B2080" s="3"/>
      <c r="C2080" s="3"/>
      <c r="D2080" s="3"/>
      <c r="E2080" s="3">
        <v>17</v>
      </c>
      <c r="F2080" s="4" t="str">
        <f>HYPERLINK("http://141.218.60.56/~jnz1568/getInfo.php?workbook=14_09.xlsx&amp;sheet=U0&amp;row=2080&amp;col=6&amp;number=4.6&amp;sourceID=14","4.6")</f>
        <v>4.6</v>
      </c>
      <c r="G2080" s="4" t="str">
        <f>HYPERLINK("http://141.218.60.56/~jnz1568/getInfo.php?workbook=14_09.xlsx&amp;sheet=U0&amp;row=2080&amp;col=7&amp;number=0.00535&amp;sourceID=14","0.00535")</f>
        <v>0.00535</v>
      </c>
    </row>
    <row r="2081" spans="1:7">
      <c r="A2081" s="3"/>
      <c r="B2081" s="3"/>
      <c r="C2081" s="3"/>
      <c r="D2081" s="3"/>
      <c r="E2081" s="3">
        <v>18</v>
      </c>
      <c r="F2081" s="4" t="str">
        <f>HYPERLINK("http://141.218.60.56/~jnz1568/getInfo.php?workbook=14_09.xlsx&amp;sheet=U0&amp;row=2081&amp;col=6&amp;number=4.7&amp;sourceID=14","4.7")</f>
        <v>4.7</v>
      </c>
      <c r="G2081" s="4" t="str">
        <f>HYPERLINK("http://141.218.60.56/~jnz1568/getInfo.php?workbook=14_09.xlsx&amp;sheet=U0&amp;row=2081&amp;col=7&amp;number=0.00519&amp;sourceID=14","0.00519")</f>
        <v>0.00519</v>
      </c>
    </row>
    <row r="2082" spans="1:7">
      <c r="A2082" s="3"/>
      <c r="B2082" s="3"/>
      <c r="C2082" s="3"/>
      <c r="D2082" s="3"/>
      <c r="E2082" s="3">
        <v>19</v>
      </c>
      <c r="F2082" s="4" t="str">
        <f>HYPERLINK("http://141.218.60.56/~jnz1568/getInfo.php?workbook=14_09.xlsx&amp;sheet=U0&amp;row=2082&amp;col=6&amp;number=4.8&amp;sourceID=14","4.8")</f>
        <v>4.8</v>
      </c>
      <c r="G2082" s="4" t="str">
        <f>HYPERLINK("http://141.218.60.56/~jnz1568/getInfo.php?workbook=14_09.xlsx&amp;sheet=U0&amp;row=2082&amp;col=7&amp;number=0.00501&amp;sourceID=14","0.00501")</f>
        <v>0.00501</v>
      </c>
    </row>
    <row r="2083" spans="1:7">
      <c r="A2083" s="3"/>
      <c r="B2083" s="3"/>
      <c r="C2083" s="3"/>
      <c r="D2083" s="3"/>
      <c r="E2083" s="3">
        <v>20</v>
      </c>
      <c r="F2083" s="4" t="str">
        <f>HYPERLINK("http://141.218.60.56/~jnz1568/getInfo.php?workbook=14_09.xlsx&amp;sheet=U0&amp;row=2083&amp;col=6&amp;number=4.9&amp;sourceID=14","4.9")</f>
        <v>4.9</v>
      </c>
      <c r="G2083" s="4" t="str">
        <f>HYPERLINK("http://141.218.60.56/~jnz1568/getInfo.php?workbook=14_09.xlsx&amp;sheet=U0&amp;row=2083&amp;col=7&amp;number=0.00482&amp;sourceID=14","0.00482")</f>
        <v>0.00482</v>
      </c>
    </row>
    <row r="2084" spans="1:7">
      <c r="A2084" s="3">
        <v>14</v>
      </c>
      <c r="B2084" s="3">
        <v>9</v>
      </c>
      <c r="C2084" s="3">
        <v>1</v>
      </c>
      <c r="D2084" s="3">
        <v>106</v>
      </c>
      <c r="E2084" s="3">
        <v>1</v>
      </c>
      <c r="F2084" s="4" t="str">
        <f>HYPERLINK("http://141.218.60.56/~jnz1568/getInfo.php?workbook=14_09.xlsx&amp;sheet=U0&amp;row=2084&amp;col=6&amp;number=3&amp;sourceID=14","3")</f>
        <v>3</v>
      </c>
      <c r="G2084" s="4" t="str">
        <f>HYPERLINK("http://141.218.60.56/~jnz1568/getInfo.php?workbook=14_09.xlsx&amp;sheet=U0&amp;row=2084&amp;col=7&amp;number=0.00539&amp;sourceID=14","0.00539")</f>
        <v>0.00539</v>
      </c>
    </row>
    <row r="2085" spans="1:7">
      <c r="A2085" s="3"/>
      <c r="B2085" s="3"/>
      <c r="C2085" s="3"/>
      <c r="D2085" s="3"/>
      <c r="E2085" s="3">
        <v>2</v>
      </c>
      <c r="F2085" s="4" t="str">
        <f>HYPERLINK("http://141.218.60.56/~jnz1568/getInfo.php?workbook=14_09.xlsx&amp;sheet=U0&amp;row=2085&amp;col=6&amp;number=3.1&amp;sourceID=14","3.1")</f>
        <v>3.1</v>
      </c>
      <c r="G2085" s="4" t="str">
        <f>HYPERLINK("http://141.218.60.56/~jnz1568/getInfo.php?workbook=14_09.xlsx&amp;sheet=U0&amp;row=2085&amp;col=7&amp;number=0.00539&amp;sourceID=14","0.00539")</f>
        <v>0.00539</v>
      </c>
    </row>
    <row r="2086" spans="1:7">
      <c r="A2086" s="3"/>
      <c r="B2086" s="3"/>
      <c r="C2086" s="3"/>
      <c r="D2086" s="3"/>
      <c r="E2086" s="3">
        <v>3</v>
      </c>
      <c r="F2086" s="4" t="str">
        <f>HYPERLINK("http://141.218.60.56/~jnz1568/getInfo.php?workbook=14_09.xlsx&amp;sheet=U0&amp;row=2086&amp;col=6&amp;number=3.2&amp;sourceID=14","3.2")</f>
        <v>3.2</v>
      </c>
      <c r="G2086" s="4" t="str">
        <f>HYPERLINK("http://141.218.60.56/~jnz1568/getInfo.php?workbook=14_09.xlsx&amp;sheet=U0&amp;row=2086&amp;col=7&amp;number=0.00538&amp;sourceID=14","0.00538")</f>
        <v>0.00538</v>
      </c>
    </row>
    <row r="2087" spans="1:7">
      <c r="A2087" s="3"/>
      <c r="B2087" s="3"/>
      <c r="C2087" s="3"/>
      <c r="D2087" s="3"/>
      <c r="E2087" s="3">
        <v>4</v>
      </c>
      <c r="F2087" s="4" t="str">
        <f>HYPERLINK("http://141.218.60.56/~jnz1568/getInfo.php?workbook=14_09.xlsx&amp;sheet=U0&amp;row=2087&amp;col=6&amp;number=3.3&amp;sourceID=14","3.3")</f>
        <v>3.3</v>
      </c>
      <c r="G2087" s="4" t="str">
        <f>HYPERLINK("http://141.218.60.56/~jnz1568/getInfo.php?workbook=14_09.xlsx&amp;sheet=U0&amp;row=2087&amp;col=7&amp;number=0.00537&amp;sourceID=14","0.00537")</f>
        <v>0.00537</v>
      </c>
    </row>
    <row r="2088" spans="1:7">
      <c r="A2088" s="3"/>
      <c r="B2088" s="3"/>
      <c r="C2088" s="3"/>
      <c r="D2088" s="3"/>
      <c r="E2088" s="3">
        <v>5</v>
      </c>
      <c r="F2088" s="4" t="str">
        <f>HYPERLINK("http://141.218.60.56/~jnz1568/getInfo.php?workbook=14_09.xlsx&amp;sheet=U0&amp;row=2088&amp;col=6&amp;number=3.4&amp;sourceID=14","3.4")</f>
        <v>3.4</v>
      </c>
      <c r="G2088" s="4" t="str">
        <f>HYPERLINK("http://141.218.60.56/~jnz1568/getInfo.php?workbook=14_09.xlsx&amp;sheet=U0&amp;row=2088&amp;col=7&amp;number=0.00536&amp;sourceID=14","0.00536")</f>
        <v>0.00536</v>
      </c>
    </row>
    <row r="2089" spans="1:7">
      <c r="A2089" s="3"/>
      <c r="B2089" s="3"/>
      <c r="C2089" s="3"/>
      <c r="D2089" s="3"/>
      <c r="E2089" s="3">
        <v>6</v>
      </c>
      <c r="F2089" s="4" t="str">
        <f>HYPERLINK("http://141.218.60.56/~jnz1568/getInfo.php?workbook=14_09.xlsx&amp;sheet=U0&amp;row=2089&amp;col=6&amp;number=3.5&amp;sourceID=14","3.5")</f>
        <v>3.5</v>
      </c>
      <c r="G2089" s="4" t="str">
        <f>HYPERLINK("http://141.218.60.56/~jnz1568/getInfo.php?workbook=14_09.xlsx&amp;sheet=U0&amp;row=2089&amp;col=7&amp;number=0.00535&amp;sourceID=14","0.00535")</f>
        <v>0.00535</v>
      </c>
    </row>
    <row r="2090" spans="1:7">
      <c r="A2090" s="3"/>
      <c r="B2090" s="3"/>
      <c r="C2090" s="3"/>
      <c r="D2090" s="3"/>
      <c r="E2090" s="3">
        <v>7</v>
      </c>
      <c r="F2090" s="4" t="str">
        <f>HYPERLINK("http://141.218.60.56/~jnz1568/getInfo.php?workbook=14_09.xlsx&amp;sheet=U0&amp;row=2090&amp;col=6&amp;number=3.6&amp;sourceID=14","3.6")</f>
        <v>3.6</v>
      </c>
      <c r="G2090" s="4" t="str">
        <f>HYPERLINK("http://141.218.60.56/~jnz1568/getInfo.php?workbook=14_09.xlsx&amp;sheet=U0&amp;row=2090&amp;col=7&amp;number=0.00533&amp;sourceID=14","0.00533")</f>
        <v>0.00533</v>
      </c>
    </row>
    <row r="2091" spans="1:7">
      <c r="A2091" s="3"/>
      <c r="B2091" s="3"/>
      <c r="C2091" s="3"/>
      <c r="D2091" s="3"/>
      <c r="E2091" s="3">
        <v>8</v>
      </c>
      <c r="F2091" s="4" t="str">
        <f>HYPERLINK("http://141.218.60.56/~jnz1568/getInfo.php?workbook=14_09.xlsx&amp;sheet=U0&amp;row=2091&amp;col=6&amp;number=3.7&amp;sourceID=14","3.7")</f>
        <v>3.7</v>
      </c>
      <c r="G2091" s="4" t="str">
        <f>HYPERLINK("http://141.218.60.56/~jnz1568/getInfo.php?workbook=14_09.xlsx&amp;sheet=U0&amp;row=2091&amp;col=7&amp;number=0.00531&amp;sourceID=14","0.00531")</f>
        <v>0.00531</v>
      </c>
    </row>
    <row r="2092" spans="1:7">
      <c r="A2092" s="3"/>
      <c r="B2092" s="3"/>
      <c r="C2092" s="3"/>
      <c r="D2092" s="3"/>
      <c r="E2092" s="3">
        <v>9</v>
      </c>
      <c r="F2092" s="4" t="str">
        <f>HYPERLINK("http://141.218.60.56/~jnz1568/getInfo.php?workbook=14_09.xlsx&amp;sheet=U0&amp;row=2092&amp;col=6&amp;number=3.8&amp;sourceID=14","3.8")</f>
        <v>3.8</v>
      </c>
      <c r="G2092" s="4" t="str">
        <f>HYPERLINK("http://141.218.60.56/~jnz1568/getInfo.php?workbook=14_09.xlsx&amp;sheet=U0&amp;row=2092&amp;col=7&amp;number=0.00529&amp;sourceID=14","0.00529")</f>
        <v>0.00529</v>
      </c>
    </row>
    <row r="2093" spans="1:7">
      <c r="A2093" s="3"/>
      <c r="B2093" s="3"/>
      <c r="C2093" s="3"/>
      <c r="D2093" s="3"/>
      <c r="E2093" s="3">
        <v>10</v>
      </c>
      <c r="F2093" s="4" t="str">
        <f>HYPERLINK("http://141.218.60.56/~jnz1568/getInfo.php?workbook=14_09.xlsx&amp;sheet=U0&amp;row=2093&amp;col=6&amp;number=3.9&amp;sourceID=14","3.9")</f>
        <v>3.9</v>
      </c>
      <c r="G2093" s="4" t="str">
        <f>HYPERLINK("http://141.218.60.56/~jnz1568/getInfo.php?workbook=14_09.xlsx&amp;sheet=U0&amp;row=2093&amp;col=7&amp;number=0.00526&amp;sourceID=14","0.00526")</f>
        <v>0.00526</v>
      </c>
    </row>
    <row r="2094" spans="1:7">
      <c r="A2094" s="3"/>
      <c r="B2094" s="3"/>
      <c r="C2094" s="3"/>
      <c r="D2094" s="3"/>
      <c r="E2094" s="3">
        <v>11</v>
      </c>
      <c r="F2094" s="4" t="str">
        <f>HYPERLINK("http://141.218.60.56/~jnz1568/getInfo.php?workbook=14_09.xlsx&amp;sheet=U0&amp;row=2094&amp;col=6&amp;number=4&amp;sourceID=14","4")</f>
        <v>4</v>
      </c>
      <c r="G2094" s="4" t="str">
        <f>HYPERLINK("http://141.218.60.56/~jnz1568/getInfo.php?workbook=14_09.xlsx&amp;sheet=U0&amp;row=2094&amp;col=7&amp;number=0.00522&amp;sourceID=14","0.00522")</f>
        <v>0.00522</v>
      </c>
    </row>
    <row r="2095" spans="1:7">
      <c r="A2095" s="3"/>
      <c r="B2095" s="3"/>
      <c r="C2095" s="3"/>
      <c r="D2095" s="3"/>
      <c r="E2095" s="3">
        <v>12</v>
      </c>
      <c r="F2095" s="4" t="str">
        <f>HYPERLINK("http://141.218.60.56/~jnz1568/getInfo.php?workbook=14_09.xlsx&amp;sheet=U0&amp;row=2095&amp;col=6&amp;number=4.1&amp;sourceID=14","4.1")</f>
        <v>4.1</v>
      </c>
      <c r="G2095" s="4" t="str">
        <f>HYPERLINK("http://141.218.60.56/~jnz1568/getInfo.php?workbook=14_09.xlsx&amp;sheet=U0&amp;row=2095&amp;col=7&amp;number=0.00518&amp;sourceID=14","0.00518")</f>
        <v>0.00518</v>
      </c>
    </row>
    <row r="2096" spans="1:7">
      <c r="A2096" s="3"/>
      <c r="B2096" s="3"/>
      <c r="C2096" s="3"/>
      <c r="D2096" s="3"/>
      <c r="E2096" s="3">
        <v>13</v>
      </c>
      <c r="F2096" s="4" t="str">
        <f>HYPERLINK("http://141.218.60.56/~jnz1568/getInfo.php?workbook=14_09.xlsx&amp;sheet=U0&amp;row=2096&amp;col=6&amp;number=4.2&amp;sourceID=14","4.2")</f>
        <v>4.2</v>
      </c>
      <c r="G2096" s="4" t="str">
        <f>HYPERLINK("http://141.218.60.56/~jnz1568/getInfo.php?workbook=14_09.xlsx&amp;sheet=U0&amp;row=2096&amp;col=7&amp;number=0.00512&amp;sourceID=14","0.00512")</f>
        <v>0.00512</v>
      </c>
    </row>
    <row r="2097" spans="1:7">
      <c r="A2097" s="3"/>
      <c r="B2097" s="3"/>
      <c r="C2097" s="3"/>
      <c r="D2097" s="3"/>
      <c r="E2097" s="3">
        <v>14</v>
      </c>
      <c r="F2097" s="4" t="str">
        <f>HYPERLINK("http://141.218.60.56/~jnz1568/getInfo.php?workbook=14_09.xlsx&amp;sheet=U0&amp;row=2097&amp;col=6&amp;number=4.3&amp;sourceID=14","4.3")</f>
        <v>4.3</v>
      </c>
      <c r="G2097" s="4" t="str">
        <f>HYPERLINK("http://141.218.60.56/~jnz1568/getInfo.php?workbook=14_09.xlsx&amp;sheet=U0&amp;row=2097&amp;col=7&amp;number=0.00505&amp;sourceID=14","0.00505")</f>
        <v>0.00505</v>
      </c>
    </row>
    <row r="2098" spans="1:7">
      <c r="A2098" s="3"/>
      <c r="B2098" s="3"/>
      <c r="C2098" s="3"/>
      <c r="D2098" s="3"/>
      <c r="E2098" s="3">
        <v>15</v>
      </c>
      <c r="F2098" s="4" t="str">
        <f>HYPERLINK("http://141.218.60.56/~jnz1568/getInfo.php?workbook=14_09.xlsx&amp;sheet=U0&amp;row=2098&amp;col=6&amp;number=4.4&amp;sourceID=14","4.4")</f>
        <v>4.4</v>
      </c>
      <c r="G2098" s="4" t="str">
        <f>HYPERLINK("http://141.218.60.56/~jnz1568/getInfo.php?workbook=14_09.xlsx&amp;sheet=U0&amp;row=2098&amp;col=7&amp;number=0.00497&amp;sourceID=14","0.00497")</f>
        <v>0.00497</v>
      </c>
    </row>
    <row r="2099" spans="1:7">
      <c r="A2099" s="3"/>
      <c r="B2099" s="3"/>
      <c r="C2099" s="3"/>
      <c r="D2099" s="3"/>
      <c r="E2099" s="3">
        <v>16</v>
      </c>
      <c r="F2099" s="4" t="str">
        <f>HYPERLINK("http://141.218.60.56/~jnz1568/getInfo.php?workbook=14_09.xlsx&amp;sheet=U0&amp;row=2099&amp;col=6&amp;number=4.5&amp;sourceID=14","4.5")</f>
        <v>4.5</v>
      </c>
      <c r="G2099" s="4" t="str">
        <f>HYPERLINK("http://141.218.60.56/~jnz1568/getInfo.php?workbook=14_09.xlsx&amp;sheet=U0&amp;row=2099&amp;col=7&amp;number=0.00487&amp;sourceID=14","0.00487")</f>
        <v>0.00487</v>
      </c>
    </row>
    <row r="2100" spans="1:7">
      <c r="A2100" s="3"/>
      <c r="B2100" s="3"/>
      <c r="C2100" s="3"/>
      <c r="D2100" s="3"/>
      <c r="E2100" s="3">
        <v>17</v>
      </c>
      <c r="F2100" s="4" t="str">
        <f>HYPERLINK("http://141.218.60.56/~jnz1568/getInfo.php?workbook=14_09.xlsx&amp;sheet=U0&amp;row=2100&amp;col=6&amp;number=4.6&amp;sourceID=14","4.6")</f>
        <v>4.6</v>
      </c>
      <c r="G2100" s="4" t="str">
        <f>HYPERLINK("http://141.218.60.56/~jnz1568/getInfo.php?workbook=14_09.xlsx&amp;sheet=U0&amp;row=2100&amp;col=7&amp;number=0.00475&amp;sourceID=14","0.00475")</f>
        <v>0.00475</v>
      </c>
    </row>
    <row r="2101" spans="1:7">
      <c r="A2101" s="3"/>
      <c r="B2101" s="3"/>
      <c r="C2101" s="3"/>
      <c r="D2101" s="3"/>
      <c r="E2101" s="3">
        <v>18</v>
      </c>
      <c r="F2101" s="4" t="str">
        <f>HYPERLINK("http://141.218.60.56/~jnz1568/getInfo.php?workbook=14_09.xlsx&amp;sheet=U0&amp;row=2101&amp;col=6&amp;number=4.7&amp;sourceID=14","4.7")</f>
        <v>4.7</v>
      </c>
      <c r="G2101" s="4" t="str">
        <f>HYPERLINK("http://141.218.60.56/~jnz1568/getInfo.php?workbook=14_09.xlsx&amp;sheet=U0&amp;row=2101&amp;col=7&amp;number=0.00462&amp;sourceID=14","0.00462")</f>
        <v>0.00462</v>
      </c>
    </row>
    <row r="2102" spans="1:7">
      <c r="A2102" s="3"/>
      <c r="B2102" s="3"/>
      <c r="C2102" s="3"/>
      <c r="D2102" s="3"/>
      <c r="E2102" s="3">
        <v>19</v>
      </c>
      <c r="F2102" s="4" t="str">
        <f>HYPERLINK("http://141.218.60.56/~jnz1568/getInfo.php?workbook=14_09.xlsx&amp;sheet=U0&amp;row=2102&amp;col=6&amp;number=4.8&amp;sourceID=14","4.8")</f>
        <v>4.8</v>
      </c>
      <c r="G2102" s="4" t="str">
        <f>HYPERLINK("http://141.218.60.56/~jnz1568/getInfo.php?workbook=14_09.xlsx&amp;sheet=U0&amp;row=2102&amp;col=7&amp;number=0.00448&amp;sourceID=14","0.00448")</f>
        <v>0.00448</v>
      </c>
    </row>
    <row r="2103" spans="1:7">
      <c r="A2103" s="3"/>
      <c r="B2103" s="3"/>
      <c r="C2103" s="3"/>
      <c r="D2103" s="3"/>
      <c r="E2103" s="3">
        <v>20</v>
      </c>
      <c r="F2103" s="4" t="str">
        <f>HYPERLINK("http://141.218.60.56/~jnz1568/getInfo.php?workbook=14_09.xlsx&amp;sheet=U0&amp;row=2103&amp;col=6&amp;number=4.9&amp;sourceID=14","4.9")</f>
        <v>4.9</v>
      </c>
      <c r="G2103" s="4" t="str">
        <f>HYPERLINK("http://141.218.60.56/~jnz1568/getInfo.php?workbook=14_09.xlsx&amp;sheet=U0&amp;row=2103&amp;col=7&amp;number=0.00434&amp;sourceID=14","0.00434")</f>
        <v>0.00434</v>
      </c>
    </row>
    <row r="2104" spans="1:7">
      <c r="A2104" s="3">
        <v>14</v>
      </c>
      <c r="B2104" s="3">
        <v>9</v>
      </c>
      <c r="C2104" s="3">
        <v>1</v>
      </c>
      <c r="D2104" s="3">
        <v>107</v>
      </c>
      <c r="E2104" s="3">
        <v>1</v>
      </c>
      <c r="F2104" s="4" t="str">
        <f>HYPERLINK("http://141.218.60.56/~jnz1568/getInfo.php?workbook=14_09.xlsx&amp;sheet=U0&amp;row=2104&amp;col=6&amp;number=3&amp;sourceID=14","3")</f>
        <v>3</v>
      </c>
      <c r="G2104" s="4" t="str">
        <f>HYPERLINK("http://141.218.60.56/~jnz1568/getInfo.php?workbook=14_09.xlsx&amp;sheet=U0&amp;row=2104&amp;col=7&amp;number=0.0174&amp;sourceID=14","0.0174")</f>
        <v>0.0174</v>
      </c>
    </row>
    <row r="2105" spans="1:7">
      <c r="A2105" s="3"/>
      <c r="B2105" s="3"/>
      <c r="C2105" s="3"/>
      <c r="D2105" s="3"/>
      <c r="E2105" s="3">
        <v>2</v>
      </c>
      <c r="F2105" s="4" t="str">
        <f>HYPERLINK("http://141.218.60.56/~jnz1568/getInfo.php?workbook=14_09.xlsx&amp;sheet=U0&amp;row=2105&amp;col=6&amp;number=3.1&amp;sourceID=14","3.1")</f>
        <v>3.1</v>
      </c>
      <c r="G2105" s="4" t="str">
        <f>HYPERLINK("http://141.218.60.56/~jnz1568/getInfo.php?workbook=14_09.xlsx&amp;sheet=U0&amp;row=2105&amp;col=7&amp;number=0.0174&amp;sourceID=14","0.0174")</f>
        <v>0.0174</v>
      </c>
    </row>
    <row r="2106" spans="1:7">
      <c r="A2106" s="3"/>
      <c r="B2106" s="3"/>
      <c r="C2106" s="3"/>
      <c r="D2106" s="3"/>
      <c r="E2106" s="3">
        <v>3</v>
      </c>
      <c r="F2106" s="4" t="str">
        <f>HYPERLINK("http://141.218.60.56/~jnz1568/getInfo.php?workbook=14_09.xlsx&amp;sheet=U0&amp;row=2106&amp;col=6&amp;number=3.2&amp;sourceID=14","3.2")</f>
        <v>3.2</v>
      </c>
      <c r="G2106" s="4" t="str">
        <f>HYPERLINK("http://141.218.60.56/~jnz1568/getInfo.php?workbook=14_09.xlsx&amp;sheet=U0&amp;row=2106&amp;col=7&amp;number=0.0174&amp;sourceID=14","0.0174")</f>
        <v>0.0174</v>
      </c>
    </row>
    <row r="2107" spans="1:7">
      <c r="A2107" s="3"/>
      <c r="B2107" s="3"/>
      <c r="C2107" s="3"/>
      <c r="D2107" s="3"/>
      <c r="E2107" s="3">
        <v>4</v>
      </c>
      <c r="F2107" s="4" t="str">
        <f>HYPERLINK("http://141.218.60.56/~jnz1568/getInfo.php?workbook=14_09.xlsx&amp;sheet=U0&amp;row=2107&amp;col=6&amp;number=3.3&amp;sourceID=14","3.3")</f>
        <v>3.3</v>
      </c>
      <c r="G2107" s="4" t="str">
        <f>HYPERLINK("http://141.218.60.56/~jnz1568/getInfo.php?workbook=14_09.xlsx&amp;sheet=U0&amp;row=2107&amp;col=7&amp;number=0.0174&amp;sourceID=14","0.0174")</f>
        <v>0.0174</v>
      </c>
    </row>
    <row r="2108" spans="1:7">
      <c r="A2108" s="3"/>
      <c r="B2108" s="3"/>
      <c r="C2108" s="3"/>
      <c r="D2108" s="3"/>
      <c r="E2108" s="3">
        <v>5</v>
      </c>
      <c r="F2108" s="4" t="str">
        <f>HYPERLINK("http://141.218.60.56/~jnz1568/getInfo.php?workbook=14_09.xlsx&amp;sheet=U0&amp;row=2108&amp;col=6&amp;number=3.4&amp;sourceID=14","3.4")</f>
        <v>3.4</v>
      </c>
      <c r="G2108" s="4" t="str">
        <f>HYPERLINK("http://141.218.60.56/~jnz1568/getInfo.php?workbook=14_09.xlsx&amp;sheet=U0&amp;row=2108&amp;col=7&amp;number=0.0173&amp;sourceID=14","0.0173")</f>
        <v>0.0173</v>
      </c>
    </row>
    <row r="2109" spans="1:7">
      <c r="A2109" s="3"/>
      <c r="B2109" s="3"/>
      <c r="C2109" s="3"/>
      <c r="D2109" s="3"/>
      <c r="E2109" s="3">
        <v>6</v>
      </c>
      <c r="F2109" s="4" t="str">
        <f>HYPERLINK("http://141.218.60.56/~jnz1568/getInfo.php?workbook=14_09.xlsx&amp;sheet=U0&amp;row=2109&amp;col=6&amp;number=3.5&amp;sourceID=14","3.5")</f>
        <v>3.5</v>
      </c>
      <c r="G2109" s="4" t="str">
        <f>HYPERLINK("http://141.218.60.56/~jnz1568/getInfo.php?workbook=14_09.xlsx&amp;sheet=U0&amp;row=2109&amp;col=7&amp;number=0.0173&amp;sourceID=14","0.0173")</f>
        <v>0.0173</v>
      </c>
    </row>
    <row r="2110" spans="1:7">
      <c r="A2110" s="3"/>
      <c r="B2110" s="3"/>
      <c r="C2110" s="3"/>
      <c r="D2110" s="3"/>
      <c r="E2110" s="3">
        <v>7</v>
      </c>
      <c r="F2110" s="4" t="str">
        <f>HYPERLINK("http://141.218.60.56/~jnz1568/getInfo.php?workbook=14_09.xlsx&amp;sheet=U0&amp;row=2110&amp;col=6&amp;number=3.6&amp;sourceID=14","3.6")</f>
        <v>3.6</v>
      </c>
      <c r="G2110" s="4" t="str">
        <f>HYPERLINK("http://141.218.60.56/~jnz1568/getInfo.php?workbook=14_09.xlsx&amp;sheet=U0&amp;row=2110&amp;col=7&amp;number=0.0173&amp;sourceID=14","0.0173")</f>
        <v>0.0173</v>
      </c>
    </row>
    <row r="2111" spans="1:7">
      <c r="A2111" s="3"/>
      <c r="B2111" s="3"/>
      <c r="C2111" s="3"/>
      <c r="D2111" s="3"/>
      <c r="E2111" s="3">
        <v>8</v>
      </c>
      <c r="F2111" s="4" t="str">
        <f>HYPERLINK("http://141.218.60.56/~jnz1568/getInfo.php?workbook=14_09.xlsx&amp;sheet=U0&amp;row=2111&amp;col=6&amp;number=3.7&amp;sourceID=14","3.7")</f>
        <v>3.7</v>
      </c>
      <c r="G2111" s="4" t="str">
        <f>HYPERLINK("http://141.218.60.56/~jnz1568/getInfo.php?workbook=14_09.xlsx&amp;sheet=U0&amp;row=2111&amp;col=7&amp;number=0.0172&amp;sourceID=14","0.0172")</f>
        <v>0.0172</v>
      </c>
    </row>
    <row r="2112" spans="1:7">
      <c r="A2112" s="3"/>
      <c r="B2112" s="3"/>
      <c r="C2112" s="3"/>
      <c r="D2112" s="3"/>
      <c r="E2112" s="3">
        <v>9</v>
      </c>
      <c r="F2112" s="4" t="str">
        <f>HYPERLINK("http://141.218.60.56/~jnz1568/getInfo.php?workbook=14_09.xlsx&amp;sheet=U0&amp;row=2112&amp;col=6&amp;number=3.8&amp;sourceID=14","3.8")</f>
        <v>3.8</v>
      </c>
      <c r="G2112" s="4" t="str">
        <f>HYPERLINK("http://141.218.60.56/~jnz1568/getInfo.php?workbook=14_09.xlsx&amp;sheet=U0&amp;row=2112&amp;col=7&amp;number=0.0172&amp;sourceID=14","0.0172")</f>
        <v>0.0172</v>
      </c>
    </row>
    <row r="2113" spans="1:7">
      <c r="A2113" s="3"/>
      <c r="B2113" s="3"/>
      <c r="C2113" s="3"/>
      <c r="D2113" s="3"/>
      <c r="E2113" s="3">
        <v>10</v>
      </c>
      <c r="F2113" s="4" t="str">
        <f>HYPERLINK("http://141.218.60.56/~jnz1568/getInfo.php?workbook=14_09.xlsx&amp;sheet=U0&amp;row=2113&amp;col=6&amp;number=3.9&amp;sourceID=14","3.9")</f>
        <v>3.9</v>
      </c>
      <c r="G2113" s="4" t="str">
        <f>HYPERLINK("http://141.218.60.56/~jnz1568/getInfo.php?workbook=14_09.xlsx&amp;sheet=U0&amp;row=2113&amp;col=7&amp;number=0.0171&amp;sourceID=14","0.0171")</f>
        <v>0.0171</v>
      </c>
    </row>
    <row r="2114" spans="1:7">
      <c r="A2114" s="3"/>
      <c r="B2114" s="3"/>
      <c r="C2114" s="3"/>
      <c r="D2114" s="3"/>
      <c r="E2114" s="3">
        <v>11</v>
      </c>
      <c r="F2114" s="4" t="str">
        <f>HYPERLINK("http://141.218.60.56/~jnz1568/getInfo.php?workbook=14_09.xlsx&amp;sheet=U0&amp;row=2114&amp;col=6&amp;number=4&amp;sourceID=14","4")</f>
        <v>4</v>
      </c>
      <c r="G2114" s="4" t="str">
        <f>HYPERLINK("http://141.218.60.56/~jnz1568/getInfo.php?workbook=14_09.xlsx&amp;sheet=U0&amp;row=2114&amp;col=7&amp;number=0.0171&amp;sourceID=14","0.0171")</f>
        <v>0.0171</v>
      </c>
    </row>
    <row r="2115" spans="1:7">
      <c r="A2115" s="3"/>
      <c r="B2115" s="3"/>
      <c r="C2115" s="3"/>
      <c r="D2115" s="3"/>
      <c r="E2115" s="3">
        <v>12</v>
      </c>
      <c r="F2115" s="4" t="str">
        <f>HYPERLINK("http://141.218.60.56/~jnz1568/getInfo.php?workbook=14_09.xlsx&amp;sheet=U0&amp;row=2115&amp;col=6&amp;number=4.1&amp;sourceID=14","4.1")</f>
        <v>4.1</v>
      </c>
      <c r="G2115" s="4" t="str">
        <f>HYPERLINK("http://141.218.60.56/~jnz1568/getInfo.php?workbook=14_09.xlsx&amp;sheet=U0&amp;row=2115&amp;col=7&amp;number=0.017&amp;sourceID=14","0.017")</f>
        <v>0.017</v>
      </c>
    </row>
    <row r="2116" spans="1:7">
      <c r="A2116" s="3"/>
      <c r="B2116" s="3"/>
      <c r="C2116" s="3"/>
      <c r="D2116" s="3"/>
      <c r="E2116" s="3">
        <v>13</v>
      </c>
      <c r="F2116" s="4" t="str">
        <f>HYPERLINK("http://141.218.60.56/~jnz1568/getInfo.php?workbook=14_09.xlsx&amp;sheet=U0&amp;row=2116&amp;col=6&amp;number=4.2&amp;sourceID=14","4.2")</f>
        <v>4.2</v>
      </c>
      <c r="G2116" s="4" t="str">
        <f>HYPERLINK("http://141.218.60.56/~jnz1568/getInfo.php?workbook=14_09.xlsx&amp;sheet=U0&amp;row=2116&amp;col=7&amp;number=0.0168&amp;sourceID=14","0.0168")</f>
        <v>0.0168</v>
      </c>
    </row>
    <row r="2117" spans="1:7">
      <c r="A2117" s="3"/>
      <c r="B2117" s="3"/>
      <c r="C2117" s="3"/>
      <c r="D2117" s="3"/>
      <c r="E2117" s="3">
        <v>14</v>
      </c>
      <c r="F2117" s="4" t="str">
        <f>HYPERLINK("http://141.218.60.56/~jnz1568/getInfo.php?workbook=14_09.xlsx&amp;sheet=U0&amp;row=2117&amp;col=6&amp;number=4.3&amp;sourceID=14","4.3")</f>
        <v>4.3</v>
      </c>
      <c r="G2117" s="4" t="str">
        <f>HYPERLINK("http://141.218.60.56/~jnz1568/getInfo.php?workbook=14_09.xlsx&amp;sheet=U0&amp;row=2117&amp;col=7&amp;number=0.0167&amp;sourceID=14","0.0167")</f>
        <v>0.0167</v>
      </c>
    </row>
    <row r="2118" spans="1:7">
      <c r="A2118" s="3"/>
      <c r="B2118" s="3"/>
      <c r="C2118" s="3"/>
      <c r="D2118" s="3"/>
      <c r="E2118" s="3">
        <v>15</v>
      </c>
      <c r="F2118" s="4" t="str">
        <f>HYPERLINK("http://141.218.60.56/~jnz1568/getInfo.php?workbook=14_09.xlsx&amp;sheet=U0&amp;row=2118&amp;col=6&amp;number=4.4&amp;sourceID=14","4.4")</f>
        <v>4.4</v>
      </c>
      <c r="G2118" s="4" t="str">
        <f>HYPERLINK("http://141.218.60.56/~jnz1568/getInfo.php?workbook=14_09.xlsx&amp;sheet=U0&amp;row=2118&amp;col=7&amp;number=0.0165&amp;sourceID=14","0.0165")</f>
        <v>0.0165</v>
      </c>
    </row>
    <row r="2119" spans="1:7">
      <c r="A2119" s="3"/>
      <c r="B2119" s="3"/>
      <c r="C2119" s="3"/>
      <c r="D2119" s="3"/>
      <c r="E2119" s="3">
        <v>16</v>
      </c>
      <c r="F2119" s="4" t="str">
        <f>HYPERLINK("http://141.218.60.56/~jnz1568/getInfo.php?workbook=14_09.xlsx&amp;sheet=U0&amp;row=2119&amp;col=6&amp;number=4.5&amp;sourceID=14","4.5")</f>
        <v>4.5</v>
      </c>
      <c r="G2119" s="4" t="str">
        <f>HYPERLINK("http://141.218.60.56/~jnz1568/getInfo.php?workbook=14_09.xlsx&amp;sheet=U0&amp;row=2119&amp;col=7&amp;number=0.0163&amp;sourceID=14","0.0163")</f>
        <v>0.0163</v>
      </c>
    </row>
    <row r="2120" spans="1:7">
      <c r="A2120" s="3"/>
      <c r="B2120" s="3"/>
      <c r="C2120" s="3"/>
      <c r="D2120" s="3"/>
      <c r="E2120" s="3">
        <v>17</v>
      </c>
      <c r="F2120" s="4" t="str">
        <f>HYPERLINK("http://141.218.60.56/~jnz1568/getInfo.php?workbook=14_09.xlsx&amp;sheet=U0&amp;row=2120&amp;col=6&amp;number=4.6&amp;sourceID=14","4.6")</f>
        <v>4.6</v>
      </c>
      <c r="G2120" s="4" t="str">
        <f>HYPERLINK("http://141.218.60.56/~jnz1568/getInfo.php?workbook=14_09.xlsx&amp;sheet=U0&amp;row=2120&amp;col=7&amp;number=0.016&amp;sourceID=14","0.016")</f>
        <v>0.016</v>
      </c>
    </row>
    <row r="2121" spans="1:7">
      <c r="A2121" s="3"/>
      <c r="B2121" s="3"/>
      <c r="C2121" s="3"/>
      <c r="D2121" s="3"/>
      <c r="E2121" s="3">
        <v>18</v>
      </c>
      <c r="F2121" s="4" t="str">
        <f>HYPERLINK("http://141.218.60.56/~jnz1568/getInfo.php?workbook=14_09.xlsx&amp;sheet=U0&amp;row=2121&amp;col=6&amp;number=4.7&amp;sourceID=14","4.7")</f>
        <v>4.7</v>
      </c>
      <c r="G2121" s="4" t="str">
        <f>HYPERLINK("http://141.218.60.56/~jnz1568/getInfo.php?workbook=14_09.xlsx&amp;sheet=U0&amp;row=2121&amp;col=7&amp;number=0.0157&amp;sourceID=14","0.0157")</f>
        <v>0.0157</v>
      </c>
    </row>
    <row r="2122" spans="1:7">
      <c r="A2122" s="3"/>
      <c r="B2122" s="3"/>
      <c r="C2122" s="3"/>
      <c r="D2122" s="3"/>
      <c r="E2122" s="3">
        <v>19</v>
      </c>
      <c r="F2122" s="4" t="str">
        <f>HYPERLINK("http://141.218.60.56/~jnz1568/getInfo.php?workbook=14_09.xlsx&amp;sheet=U0&amp;row=2122&amp;col=6&amp;number=4.8&amp;sourceID=14","4.8")</f>
        <v>4.8</v>
      </c>
      <c r="G2122" s="4" t="str">
        <f>HYPERLINK("http://141.218.60.56/~jnz1568/getInfo.php?workbook=14_09.xlsx&amp;sheet=U0&amp;row=2122&amp;col=7&amp;number=0.0153&amp;sourceID=14","0.0153")</f>
        <v>0.0153</v>
      </c>
    </row>
    <row r="2123" spans="1:7">
      <c r="A2123" s="3"/>
      <c r="B2123" s="3"/>
      <c r="C2123" s="3"/>
      <c r="D2123" s="3"/>
      <c r="E2123" s="3">
        <v>20</v>
      </c>
      <c r="F2123" s="4" t="str">
        <f>HYPERLINK("http://141.218.60.56/~jnz1568/getInfo.php?workbook=14_09.xlsx&amp;sheet=U0&amp;row=2123&amp;col=6&amp;number=4.9&amp;sourceID=14","4.9")</f>
        <v>4.9</v>
      </c>
      <c r="G2123" s="4" t="str">
        <f>HYPERLINK("http://141.218.60.56/~jnz1568/getInfo.php?workbook=14_09.xlsx&amp;sheet=U0&amp;row=2123&amp;col=7&amp;number=0.0149&amp;sourceID=14","0.0149")</f>
        <v>0.0149</v>
      </c>
    </row>
    <row r="2124" spans="1:7">
      <c r="A2124" s="3">
        <v>14</v>
      </c>
      <c r="B2124" s="3">
        <v>9</v>
      </c>
      <c r="C2124" s="3">
        <v>1</v>
      </c>
      <c r="D2124" s="3">
        <v>108</v>
      </c>
      <c r="E2124" s="3">
        <v>1</v>
      </c>
      <c r="F2124" s="4" t="str">
        <f>HYPERLINK("http://141.218.60.56/~jnz1568/getInfo.php?workbook=14_09.xlsx&amp;sheet=U0&amp;row=2124&amp;col=6&amp;number=3&amp;sourceID=14","3")</f>
        <v>3</v>
      </c>
      <c r="G2124" s="4" t="str">
        <f>HYPERLINK("http://141.218.60.56/~jnz1568/getInfo.php?workbook=14_09.xlsx&amp;sheet=U0&amp;row=2124&amp;col=7&amp;number=0.00285&amp;sourceID=14","0.00285")</f>
        <v>0.00285</v>
      </c>
    </row>
    <row r="2125" spans="1:7">
      <c r="A2125" s="3"/>
      <c r="B2125" s="3"/>
      <c r="C2125" s="3"/>
      <c r="D2125" s="3"/>
      <c r="E2125" s="3">
        <v>2</v>
      </c>
      <c r="F2125" s="4" t="str">
        <f>HYPERLINK("http://141.218.60.56/~jnz1568/getInfo.php?workbook=14_09.xlsx&amp;sheet=U0&amp;row=2125&amp;col=6&amp;number=3.1&amp;sourceID=14","3.1")</f>
        <v>3.1</v>
      </c>
      <c r="G2125" s="4" t="str">
        <f>HYPERLINK("http://141.218.60.56/~jnz1568/getInfo.php?workbook=14_09.xlsx&amp;sheet=U0&amp;row=2125&amp;col=7&amp;number=0.00285&amp;sourceID=14","0.00285")</f>
        <v>0.00285</v>
      </c>
    </row>
    <row r="2126" spans="1:7">
      <c r="A2126" s="3"/>
      <c r="B2126" s="3"/>
      <c r="C2126" s="3"/>
      <c r="D2126" s="3"/>
      <c r="E2126" s="3">
        <v>3</v>
      </c>
      <c r="F2126" s="4" t="str">
        <f>HYPERLINK("http://141.218.60.56/~jnz1568/getInfo.php?workbook=14_09.xlsx&amp;sheet=U0&amp;row=2126&amp;col=6&amp;number=3.2&amp;sourceID=14","3.2")</f>
        <v>3.2</v>
      </c>
      <c r="G2126" s="4" t="str">
        <f>HYPERLINK("http://141.218.60.56/~jnz1568/getInfo.php?workbook=14_09.xlsx&amp;sheet=U0&amp;row=2126&amp;col=7&amp;number=0.00284&amp;sourceID=14","0.00284")</f>
        <v>0.00284</v>
      </c>
    </row>
    <row r="2127" spans="1:7">
      <c r="A2127" s="3"/>
      <c r="B2127" s="3"/>
      <c r="C2127" s="3"/>
      <c r="D2127" s="3"/>
      <c r="E2127" s="3">
        <v>4</v>
      </c>
      <c r="F2127" s="4" t="str">
        <f>HYPERLINK("http://141.218.60.56/~jnz1568/getInfo.php?workbook=14_09.xlsx&amp;sheet=U0&amp;row=2127&amp;col=6&amp;number=3.3&amp;sourceID=14","3.3")</f>
        <v>3.3</v>
      </c>
      <c r="G2127" s="4" t="str">
        <f>HYPERLINK("http://141.218.60.56/~jnz1568/getInfo.php?workbook=14_09.xlsx&amp;sheet=U0&amp;row=2127&amp;col=7&amp;number=0.00284&amp;sourceID=14","0.00284")</f>
        <v>0.00284</v>
      </c>
    </row>
    <row r="2128" spans="1:7">
      <c r="A2128" s="3"/>
      <c r="B2128" s="3"/>
      <c r="C2128" s="3"/>
      <c r="D2128" s="3"/>
      <c r="E2128" s="3">
        <v>5</v>
      </c>
      <c r="F2128" s="4" t="str">
        <f>HYPERLINK("http://141.218.60.56/~jnz1568/getInfo.php?workbook=14_09.xlsx&amp;sheet=U0&amp;row=2128&amp;col=6&amp;number=3.4&amp;sourceID=14","3.4")</f>
        <v>3.4</v>
      </c>
      <c r="G2128" s="4" t="str">
        <f>HYPERLINK("http://141.218.60.56/~jnz1568/getInfo.php?workbook=14_09.xlsx&amp;sheet=U0&amp;row=2128&amp;col=7&amp;number=0.00283&amp;sourceID=14","0.00283")</f>
        <v>0.00283</v>
      </c>
    </row>
    <row r="2129" spans="1:7">
      <c r="A2129" s="3"/>
      <c r="B2129" s="3"/>
      <c r="C2129" s="3"/>
      <c r="D2129" s="3"/>
      <c r="E2129" s="3">
        <v>6</v>
      </c>
      <c r="F2129" s="4" t="str">
        <f>HYPERLINK("http://141.218.60.56/~jnz1568/getInfo.php?workbook=14_09.xlsx&amp;sheet=U0&amp;row=2129&amp;col=6&amp;number=3.5&amp;sourceID=14","3.5")</f>
        <v>3.5</v>
      </c>
      <c r="G2129" s="4" t="str">
        <f>HYPERLINK("http://141.218.60.56/~jnz1568/getInfo.php?workbook=14_09.xlsx&amp;sheet=U0&amp;row=2129&amp;col=7&amp;number=0.00282&amp;sourceID=14","0.00282")</f>
        <v>0.00282</v>
      </c>
    </row>
    <row r="2130" spans="1:7">
      <c r="A2130" s="3"/>
      <c r="B2130" s="3"/>
      <c r="C2130" s="3"/>
      <c r="D2130" s="3"/>
      <c r="E2130" s="3">
        <v>7</v>
      </c>
      <c r="F2130" s="4" t="str">
        <f>HYPERLINK("http://141.218.60.56/~jnz1568/getInfo.php?workbook=14_09.xlsx&amp;sheet=U0&amp;row=2130&amp;col=6&amp;number=3.6&amp;sourceID=14","3.6")</f>
        <v>3.6</v>
      </c>
      <c r="G2130" s="4" t="str">
        <f>HYPERLINK("http://141.218.60.56/~jnz1568/getInfo.php?workbook=14_09.xlsx&amp;sheet=U0&amp;row=2130&amp;col=7&amp;number=0.00281&amp;sourceID=14","0.00281")</f>
        <v>0.00281</v>
      </c>
    </row>
    <row r="2131" spans="1:7">
      <c r="A2131" s="3"/>
      <c r="B2131" s="3"/>
      <c r="C2131" s="3"/>
      <c r="D2131" s="3"/>
      <c r="E2131" s="3">
        <v>8</v>
      </c>
      <c r="F2131" s="4" t="str">
        <f>HYPERLINK("http://141.218.60.56/~jnz1568/getInfo.php?workbook=14_09.xlsx&amp;sheet=U0&amp;row=2131&amp;col=6&amp;number=3.7&amp;sourceID=14","3.7")</f>
        <v>3.7</v>
      </c>
      <c r="G2131" s="4" t="str">
        <f>HYPERLINK("http://141.218.60.56/~jnz1568/getInfo.php?workbook=14_09.xlsx&amp;sheet=U0&amp;row=2131&amp;col=7&amp;number=0.00279&amp;sourceID=14","0.00279")</f>
        <v>0.00279</v>
      </c>
    </row>
    <row r="2132" spans="1:7">
      <c r="A2132" s="3"/>
      <c r="B2132" s="3"/>
      <c r="C2132" s="3"/>
      <c r="D2132" s="3"/>
      <c r="E2132" s="3">
        <v>9</v>
      </c>
      <c r="F2132" s="4" t="str">
        <f>HYPERLINK("http://141.218.60.56/~jnz1568/getInfo.php?workbook=14_09.xlsx&amp;sheet=U0&amp;row=2132&amp;col=6&amp;number=3.8&amp;sourceID=14","3.8")</f>
        <v>3.8</v>
      </c>
      <c r="G2132" s="4" t="str">
        <f>HYPERLINK("http://141.218.60.56/~jnz1568/getInfo.php?workbook=14_09.xlsx&amp;sheet=U0&amp;row=2132&amp;col=7&amp;number=0.00278&amp;sourceID=14","0.00278")</f>
        <v>0.00278</v>
      </c>
    </row>
    <row r="2133" spans="1:7">
      <c r="A2133" s="3"/>
      <c r="B2133" s="3"/>
      <c r="C2133" s="3"/>
      <c r="D2133" s="3"/>
      <c r="E2133" s="3">
        <v>10</v>
      </c>
      <c r="F2133" s="4" t="str">
        <f>HYPERLINK("http://141.218.60.56/~jnz1568/getInfo.php?workbook=14_09.xlsx&amp;sheet=U0&amp;row=2133&amp;col=6&amp;number=3.9&amp;sourceID=14","3.9")</f>
        <v>3.9</v>
      </c>
      <c r="G2133" s="4" t="str">
        <f>HYPERLINK("http://141.218.60.56/~jnz1568/getInfo.php?workbook=14_09.xlsx&amp;sheet=U0&amp;row=2133&amp;col=7&amp;number=0.00275&amp;sourceID=14","0.00275")</f>
        <v>0.00275</v>
      </c>
    </row>
    <row r="2134" spans="1:7">
      <c r="A2134" s="3"/>
      <c r="B2134" s="3"/>
      <c r="C2134" s="3"/>
      <c r="D2134" s="3"/>
      <c r="E2134" s="3">
        <v>11</v>
      </c>
      <c r="F2134" s="4" t="str">
        <f>HYPERLINK("http://141.218.60.56/~jnz1568/getInfo.php?workbook=14_09.xlsx&amp;sheet=U0&amp;row=2134&amp;col=6&amp;number=4&amp;sourceID=14","4")</f>
        <v>4</v>
      </c>
      <c r="G2134" s="4" t="str">
        <f>HYPERLINK("http://141.218.60.56/~jnz1568/getInfo.php?workbook=14_09.xlsx&amp;sheet=U0&amp;row=2134&amp;col=7&amp;number=0.00273&amp;sourceID=14","0.00273")</f>
        <v>0.00273</v>
      </c>
    </row>
    <row r="2135" spans="1:7">
      <c r="A2135" s="3"/>
      <c r="B2135" s="3"/>
      <c r="C2135" s="3"/>
      <c r="D2135" s="3"/>
      <c r="E2135" s="3">
        <v>12</v>
      </c>
      <c r="F2135" s="4" t="str">
        <f>HYPERLINK("http://141.218.60.56/~jnz1568/getInfo.php?workbook=14_09.xlsx&amp;sheet=U0&amp;row=2135&amp;col=6&amp;number=4.1&amp;sourceID=14","4.1")</f>
        <v>4.1</v>
      </c>
      <c r="G2135" s="4" t="str">
        <f>HYPERLINK("http://141.218.60.56/~jnz1568/getInfo.php?workbook=14_09.xlsx&amp;sheet=U0&amp;row=2135&amp;col=7&amp;number=0.00269&amp;sourceID=14","0.00269")</f>
        <v>0.00269</v>
      </c>
    </row>
    <row r="2136" spans="1:7">
      <c r="A2136" s="3"/>
      <c r="B2136" s="3"/>
      <c r="C2136" s="3"/>
      <c r="D2136" s="3"/>
      <c r="E2136" s="3">
        <v>13</v>
      </c>
      <c r="F2136" s="4" t="str">
        <f>HYPERLINK("http://141.218.60.56/~jnz1568/getInfo.php?workbook=14_09.xlsx&amp;sheet=U0&amp;row=2136&amp;col=6&amp;number=4.2&amp;sourceID=14","4.2")</f>
        <v>4.2</v>
      </c>
      <c r="G2136" s="4" t="str">
        <f>HYPERLINK("http://141.218.60.56/~jnz1568/getInfo.php?workbook=14_09.xlsx&amp;sheet=U0&amp;row=2136&amp;col=7&amp;number=0.00265&amp;sourceID=14","0.00265")</f>
        <v>0.00265</v>
      </c>
    </row>
    <row r="2137" spans="1:7">
      <c r="A2137" s="3"/>
      <c r="B2137" s="3"/>
      <c r="C2137" s="3"/>
      <c r="D2137" s="3"/>
      <c r="E2137" s="3">
        <v>14</v>
      </c>
      <c r="F2137" s="4" t="str">
        <f>HYPERLINK("http://141.218.60.56/~jnz1568/getInfo.php?workbook=14_09.xlsx&amp;sheet=U0&amp;row=2137&amp;col=6&amp;number=4.3&amp;sourceID=14","4.3")</f>
        <v>4.3</v>
      </c>
      <c r="G2137" s="4" t="str">
        <f>HYPERLINK("http://141.218.60.56/~jnz1568/getInfo.php?workbook=14_09.xlsx&amp;sheet=U0&amp;row=2137&amp;col=7&amp;number=0.00261&amp;sourceID=14","0.00261")</f>
        <v>0.00261</v>
      </c>
    </row>
    <row r="2138" spans="1:7">
      <c r="A2138" s="3"/>
      <c r="B2138" s="3"/>
      <c r="C2138" s="3"/>
      <c r="D2138" s="3"/>
      <c r="E2138" s="3">
        <v>15</v>
      </c>
      <c r="F2138" s="4" t="str">
        <f>HYPERLINK("http://141.218.60.56/~jnz1568/getInfo.php?workbook=14_09.xlsx&amp;sheet=U0&amp;row=2138&amp;col=6&amp;number=4.4&amp;sourceID=14","4.4")</f>
        <v>4.4</v>
      </c>
      <c r="G2138" s="4" t="str">
        <f>HYPERLINK("http://141.218.60.56/~jnz1568/getInfo.php?workbook=14_09.xlsx&amp;sheet=U0&amp;row=2138&amp;col=7&amp;number=0.00256&amp;sourceID=14","0.00256")</f>
        <v>0.00256</v>
      </c>
    </row>
    <row r="2139" spans="1:7">
      <c r="A2139" s="3"/>
      <c r="B2139" s="3"/>
      <c r="C2139" s="3"/>
      <c r="D2139" s="3"/>
      <c r="E2139" s="3">
        <v>16</v>
      </c>
      <c r="F2139" s="4" t="str">
        <f>HYPERLINK("http://141.218.60.56/~jnz1568/getInfo.php?workbook=14_09.xlsx&amp;sheet=U0&amp;row=2139&amp;col=6&amp;number=4.5&amp;sourceID=14","4.5")</f>
        <v>4.5</v>
      </c>
      <c r="G2139" s="4" t="str">
        <f>HYPERLINK("http://141.218.60.56/~jnz1568/getInfo.php?workbook=14_09.xlsx&amp;sheet=U0&amp;row=2139&amp;col=7&amp;number=0.0025&amp;sourceID=14","0.0025")</f>
        <v>0.0025</v>
      </c>
    </row>
    <row r="2140" spans="1:7">
      <c r="A2140" s="3"/>
      <c r="B2140" s="3"/>
      <c r="C2140" s="3"/>
      <c r="D2140" s="3"/>
      <c r="E2140" s="3">
        <v>17</v>
      </c>
      <c r="F2140" s="4" t="str">
        <f>HYPERLINK("http://141.218.60.56/~jnz1568/getInfo.php?workbook=14_09.xlsx&amp;sheet=U0&amp;row=2140&amp;col=6&amp;number=4.6&amp;sourceID=14","4.6")</f>
        <v>4.6</v>
      </c>
      <c r="G2140" s="4" t="str">
        <f>HYPERLINK("http://141.218.60.56/~jnz1568/getInfo.php?workbook=14_09.xlsx&amp;sheet=U0&amp;row=2140&amp;col=7&amp;number=0.00245&amp;sourceID=14","0.00245")</f>
        <v>0.00245</v>
      </c>
    </row>
    <row r="2141" spans="1:7">
      <c r="A2141" s="3"/>
      <c r="B2141" s="3"/>
      <c r="C2141" s="3"/>
      <c r="D2141" s="3"/>
      <c r="E2141" s="3">
        <v>18</v>
      </c>
      <c r="F2141" s="4" t="str">
        <f>HYPERLINK("http://141.218.60.56/~jnz1568/getInfo.php?workbook=14_09.xlsx&amp;sheet=U0&amp;row=2141&amp;col=6&amp;number=4.7&amp;sourceID=14","4.7")</f>
        <v>4.7</v>
      </c>
      <c r="G2141" s="4" t="str">
        <f>HYPERLINK("http://141.218.60.56/~jnz1568/getInfo.php?workbook=14_09.xlsx&amp;sheet=U0&amp;row=2141&amp;col=7&amp;number=0.00239&amp;sourceID=14","0.00239")</f>
        <v>0.00239</v>
      </c>
    </row>
    <row r="2142" spans="1:7">
      <c r="A2142" s="3"/>
      <c r="B2142" s="3"/>
      <c r="C2142" s="3"/>
      <c r="D2142" s="3"/>
      <c r="E2142" s="3">
        <v>19</v>
      </c>
      <c r="F2142" s="4" t="str">
        <f>HYPERLINK("http://141.218.60.56/~jnz1568/getInfo.php?workbook=14_09.xlsx&amp;sheet=U0&amp;row=2142&amp;col=6&amp;number=4.8&amp;sourceID=14","4.8")</f>
        <v>4.8</v>
      </c>
      <c r="G2142" s="4" t="str">
        <f>HYPERLINK("http://141.218.60.56/~jnz1568/getInfo.php?workbook=14_09.xlsx&amp;sheet=U0&amp;row=2142&amp;col=7&amp;number=0.00233&amp;sourceID=14","0.00233")</f>
        <v>0.00233</v>
      </c>
    </row>
    <row r="2143" spans="1:7">
      <c r="A2143" s="3"/>
      <c r="B2143" s="3"/>
      <c r="C2143" s="3"/>
      <c r="D2143" s="3"/>
      <c r="E2143" s="3">
        <v>20</v>
      </c>
      <c r="F2143" s="4" t="str">
        <f>HYPERLINK("http://141.218.60.56/~jnz1568/getInfo.php?workbook=14_09.xlsx&amp;sheet=U0&amp;row=2143&amp;col=6&amp;number=4.9&amp;sourceID=14","4.9")</f>
        <v>4.9</v>
      </c>
      <c r="G2143" s="4" t="str">
        <f>HYPERLINK("http://141.218.60.56/~jnz1568/getInfo.php?workbook=14_09.xlsx&amp;sheet=U0&amp;row=2143&amp;col=7&amp;number=0.00225&amp;sourceID=14","0.00225")</f>
        <v>0.00225</v>
      </c>
    </row>
    <row r="2144" spans="1:7">
      <c r="A2144" s="3">
        <v>14</v>
      </c>
      <c r="B2144" s="3">
        <v>9</v>
      </c>
      <c r="C2144" s="3">
        <v>1</v>
      </c>
      <c r="D2144" s="3">
        <v>109</v>
      </c>
      <c r="E2144" s="3">
        <v>1</v>
      </c>
      <c r="F2144" s="4" t="str">
        <f>HYPERLINK("http://141.218.60.56/~jnz1568/getInfo.php?workbook=14_09.xlsx&amp;sheet=U0&amp;row=2144&amp;col=6&amp;number=3&amp;sourceID=14","3")</f>
        <v>3</v>
      </c>
      <c r="G2144" s="4" t="str">
        <f>HYPERLINK("http://141.218.60.56/~jnz1568/getInfo.php?workbook=14_09.xlsx&amp;sheet=U0&amp;row=2144&amp;col=7&amp;number=0.00859&amp;sourceID=14","0.00859")</f>
        <v>0.00859</v>
      </c>
    </row>
    <row r="2145" spans="1:7">
      <c r="A2145" s="3"/>
      <c r="B2145" s="3"/>
      <c r="C2145" s="3"/>
      <c r="D2145" s="3"/>
      <c r="E2145" s="3">
        <v>2</v>
      </c>
      <c r="F2145" s="4" t="str">
        <f>HYPERLINK("http://141.218.60.56/~jnz1568/getInfo.php?workbook=14_09.xlsx&amp;sheet=U0&amp;row=2145&amp;col=6&amp;number=3.1&amp;sourceID=14","3.1")</f>
        <v>3.1</v>
      </c>
      <c r="G2145" s="4" t="str">
        <f>HYPERLINK("http://141.218.60.56/~jnz1568/getInfo.php?workbook=14_09.xlsx&amp;sheet=U0&amp;row=2145&amp;col=7&amp;number=0.00859&amp;sourceID=14","0.00859")</f>
        <v>0.00859</v>
      </c>
    </row>
    <row r="2146" spans="1:7">
      <c r="A2146" s="3"/>
      <c r="B2146" s="3"/>
      <c r="C2146" s="3"/>
      <c r="D2146" s="3"/>
      <c r="E2146" s="3">
        <v>3</v>
      </c>
      <c r="F2146" s="4" t="str">
        <f>HYPERLINK("http://141.218.60.56/~jnz1568/getInfo.php?workbook=14_09.xlsx&amp;sheet=U0&amp;row=2146&amp;col=6&amp;number=3.2&amp;sourceID=14","3.2")</f>
        <v>3.2</v>
      </c>
      <c r="G2146" s="4" t="str">
        <f>HYPERLINK("http://141.218.60.56/~jnz1568/getInfo.php?workbook=14_09.xlsx&amp;sheet=U0&amp;row=2146&amp;col=7&amp;number=0.00858&amp;sourceID=14","0.00858")</f>
        <v>0.00858</v>
      </c>
    </row>
    <row r="2147" spans="1:7">
      <c r="A2147" s="3"/>
      <c r="B2147" s="3"/>
      <c r="C2147" s="3"/>
      <c r="D2147" s="3"/>
      <c r="E2147" s="3">
        <v>4</v>
      </c>
      <c r="F2147" s="4" t="str">
        <f>HYPERLINK("http://141.218.60.56/~jnz1568/getInfo.php?workbook=14_09.xlsx&amp;sheet=U0&amp;row=2147&amp;col=6&amp;number=3.3&amp;sourceID=14","3.3")</f>
        <v>3.3</v>
      </c>
      <c r="G2147" s="4" t="str">
        <f>HYPERLINK("http://141.218.60.56/~jnz1568/getInfo.php?workbook=14_09.xlsx&amp;sheet=U0&amp;row=2147&amp;col=7&amp;number=0.00857&amp;sourceID=14","0.00857")</f>
        <v>0.00857</v>
      </c>
    </row>
    <row r="2148" spans="1:7">
      <c r="A2148" s="3"/>
      <c r="B2148" s="3"/>
      <c r="C2148" s="3"/>
      <c r="D2148" s="3"/>
      <c r="E2148" s="3">
        <v>5</v>
      </c>
      <c r="F2148" s="4" t="str">
        <f>HYPERLINK("http://141.218.60.56/~jnz1568/getInfo.php?workbook=14_09.xlsx&amp;sheet=U0&amp;row=2148&amp;col=6&amp;number=3.4&amp;sourceID=14","3.4")</f>
        <v>3.4</v>
      </c>
      <c r="G2148" s="4" t="str">
        <f>HYPERLINK("http://141.218.60.56/~jnz1568/getInfo.php?workbook=14_09.xlsx&amp;sheet=U0&amp;row=2148&amp;col=7&amp;number=0.00856&amp;sourceID=14","0.00856")</f>
        <v>0.00856</v>
      </c>
    </row>
    <row r="2149" spans="1:7">
      <c r="A2149" s="3"/>
      <c r="B2149" s="3"/>
      <c r="C2149" s="3"/>
      <c r="D2149" s="3"/>
      <c r="E2149" s="3">
        <v>6</v>
      </c>
      <c r="F2149" s="4" t="str">
        <f>HYPERLINK("http://141.218.60.56/~jnz1568/getInfo.php?workbook=14_09.xlsx&amp;sheet=U0&amp;row=2149&amp;col=6&amp;number=3.5&amp;sourceID=14","3.5")</f>
        <v>3.5</v>
      </c>
      <c r="G2149" s="4" t="str">
        <f>HYPERLINK("http://141.218.60.56/~jnz1568/getInfo.php?workbook=14_09.xlsx&amp;sheet=U0&amp;row=2149&amp;col=7&amp;number=0.00855&amp;sourceID=14","0.00855")</f>
        <v>0.00855</v>
      </c>
    </row>
    <row r="2150" spans="1:7">
      <c r="A2150" s="3"/>
      <c r="B2150" s="3"/>
      <c r="C2150" s="3"/>
      <c r="D2150" s="3"/>
      <c r="E2150" s="3">
        <v>7</v>
      </c>
      <c r="F2150" s="4" t="str">
        <f>HYPERLINK("http://141.218.60.56/~jnz1568/getInfo.php?workbook=14_09.xlsx&amp;sheet=U0&amp;row=2150&amp;col=6&amp;number=3.6&amp;sourceID=14","3.6")</f>
        <v>3.6</v>
      </c>
      <c r="G2150" s="4" t="str">
        <f>HYPERLINK("http://141.218.60.56/~jnz1568/getInfo.php?workbook=14_09.xlsx&amp;sheet=U0&amp;row=2150&amp;col=7&amp;number=0.00853&amp;sourceID=14","0.00853")</f>
        <v>0.00853</v>
      </c>
    </row>
    <row r="2151" spans="1:7">
      <c r="A2151" s="3"/>
      <c r="B2151" s="3"/>
      <c r="C2151" s="3"/>
      <c r="D2151" s="3"/>
      <c r="E2151" s="3">
        <v>8</v>
      </c>
      <c r="F2151" s="4" t="str">
        <f>HYPERLINK("http://141.218.60.56/~jnz1568/getInfo.php?workbook=14_09.xlsx&amp;sheet=U0&amp;row=2151&amp;col=6&amp;number=3.7&amp;sourceID=14","3.7")</f>
        <v>3.7</v>
      </c>
      <c r="G2151" s="4" t="str">
        <f>HYPERLINK("http://141.218.60.56/~jnz1568/getInfo.php?workbook=14_09.xlsx&amp;sheet=U0&amp;row=2151&amp;col=7&amp;number=0.00851&amp;sourceID=14","0.00851")</f>
        <v>0.00851</v>
      </c>
    </row>
    <row r="2152" spans="1:7">
      <c r="A2152" s="3"/>
      <c r="B2152" s="3"/>
      <c r="C2152" s="3"/>
      <c r="D2152" s="3"/>
      <c r="E2152" s="3">
        <v>9</v>
      </c>
      <c r="F2152" s="4" t="str">
        <f>HYPERLINK("http://141.218.60.56/~jnz1568/getInfo.php?workbook=14_09.xlsx&amp;sheet=U0&amp;row=2152&amp;col=6&amp;number=3.8&amp;sourceID=14","3.8")</f>
        <v>3.8</v>
      </c>
      <c r="G2152" s="4" t="str">
        <f>HYPERLINK("http://141.218.60.56/~jnz1568/getInfo.php?workbook=14_09.xlsx&amp;sheet=U0&amp;row=2152&amp;col=7&amp;number=0.00848&amp;sourceID=14","0.00848")</f>
        <v>0.00848</v>
      </c>
    </row>
    <row r="2153" spans="1:7">
      <c r="A2153" s="3"/>
      <c r="B2153" s="3"/>
      <c r="C2153" s="3"/>
      <c r="D2153" s="3"/>
      <c r="E2153" s="3">
        <v>10</v>
      </c>
      <c r="F2153" s="4" t="str">
        <f>HYPERLINK("http://141.218.60.56/~jnz1568/getInfo.php?workbook=14_09.xlsx&amp;sheet=U0&amp;row=2153&amp;col=6&amp;number=3.9&amp;sourceID=14","3.9")</f>
        <v>3.9</v>
      </c>
      <c r="G2153" s="4" t="str">
        <f>HYPERLINK("http://141.218.60.56/~jnz1568/getInfo.php?workbook=14_09.xlsx&amp;sheet=U0&amp;row=2153&amp;col=7&amp;number=0.00845&amp;sourceID=14","0.00845")</f>
        <v>0.00845</v>
      </c>
    </row>
    <row r="2154" spans="1:7">
      <c r="A2154" s="3"/>
      <c r="B2154" s="3"/>
      <c r="C2154" s="3"/>
      <c r="D2154" s="3"/>
      <c r="E2154" s="3">
        <v>11</v>
      </c>
      <c r="F2154" s="4" t="str">
        <f>HYPERLINK("http://141.218.60.56/~jnz1568/getInfo.php?workbook=14_09.xlsx&amp;sheet=U0&amp;row=2154&amp;col=6&amp;number=4&amp;sourceID=14","4")</f>
        <v>4</v>
      </c>
      <c r="G2154" s="4" t="str">
        <f>HYPERLINK("http://141.218.60.56/~jnz1568/getInfo.php?workbook=14_09.xlsx&amp;sheet=U0&amp;row=2154&amp;col=7&amp;number=0.00841&amp;sourceID=14","0.00841")</f>
        <v>0.00841</v>
      </c>
    </row>
    <row r="2155" spans="1:7">
      <c r="A2155" s="3"/>
      <c r="B2155" s="3"/>
      <c r="C2155" s="3"/>
      <c r="D2155" s="3"/>
      <c r="E2155" s="3">
        <v>12</v>
      </c>
      <c r="F2155" s="4" t="str">
        <f>HYPERLINK("http://141.218.60.56/~jnz1568/getInfo.php?workbook=14_09.xlsx&amp;sheet=U0&amp;row=2155&amp;col=6&amp;number=4.1&amp;sourceID=14","4.1")</f>
        <v>4.1</v>
      </c>
      <c r="G2155" s="4" t="str">
        <f>HYPERLINK("http://141.218.60.56/~jnz1568/getInfo.php?workbook=14_09.xlsx&amp;sheet=U0&amp;row=2155&amp;col=7&amp;number=0.00835&amp;sourceID=14","0.00835")</f>
        <v>0.00835</v>
      </c>
    </row>
    <row r="2156" spans="1:7">
      <c r="A2156" s="3"/>
      <c r="B2156" s="3"/>
      <c r="C2156" s="3"/>
      <c r="D2156" s="3"/>
      <c r="E2156" s="3">
        <v>13</v>
      </c>
      <c r="F2156" s="4" t="str">
        <f>HYPERLINK("http://141.218.60.56/~jnz1568/getInfo.php?workbook=14_09.xlsx&amp;sheet=U0&amp;row=2156&amp;col=6&amp;number=4.2&amp;sourceID=14","4.2")</f>
        <v>4.2</v>
      </c>
      <c r="G2156" s="4" t="str">
        <f>HYPERLINK("http://141.218.60.56/~jnz1568/getInfo.php?workbook=14_09.xlsx&amp;sheet=U0&amp;row=2156&amp;col=7&amp;number=0.00829&amp;sourceID=14","0.00829")</f>
        <v>0.00829</v>
      </c>
    </row>
    <row r="2157" spans="1:7">
      <c r="A2157" s="3"/>
      <c r="B2157" s="3"/>
      <c r="C2157" s="3"/>
      <c r="D2157" s="3"/>
      <c r="E2157" s="3">
        <v>14</v>
      </c>
      <c r="F2157" s="4" t="str">
        <f>HYPERLINK("http://141.218.60.56/~jnz1568/getInfo.php?workbook=14_09.xlsx&amp;sheet=U0&amp;row=2157&amp;col=6&amp;number=4.3&amp;sourceID=14","4.3")</f>
        <v>4.3</v>
      </c>
      <c r="G2157" s="4" t="str">
        <f>HYPERLINK("http://141.218.60.56/~jnz1568/getInfo.php?workbook=14_09.xlsx&amp;sheet=U0&amp;row=2157&amp;col=7&amp;number=0.0082&amp;sourceID=14","0.0082")</f>
        <v>0.0082</v>
      </c>
    </row>
    <row r="2158" spans="1:7">
      <c r="A2158" s="3"/>
      <c r="B2158" s="3"/>
      <c r="C2158" s="3"/>
      <c r="D2158" s="3"/>
      <c r="E2158" s="3">
        <v>15</v>
      </c>
      <c r="F2158" s="4" t="str">
        <f>HYPERLINK("http://141.218.60.56/~jnz1568/getInfo.php?workbook=14_09.xlsx&amp;sheet=U0&amp;row=2158&amp;col=6&amp;number=4.4&amp;sourceID=14","4.4")</f>
        <v>4.4</v>
      </c>
      <c r="G2158" s="4" t="str">
        <f>HYPERLINK("http://141.218.60.56/~jnz1568/getInfo.php?workbook=14_09.xlsx&amp;sheet=U0&amp;row=2158&amp;col=7&amp;number=0.0081&amp;sourceID=14","0.0081")</f>
        <v>0.0081</v>
      </c>
    </row>
    <row r="2159" spans="1:7">
      <c r="A2159" s="3"/>
      <c r="B2159" s="3"/>
      <c r="C2159" s="3"/>
      <c r="D2159" s="3"/>
      <c r="E2159" s="3">
        <v>16</v>
      </c>
      <c r="F2159" s="4" t="str">
        <f>HYPERLINK("http://141.218.60.56/~jnz1568/getInfo.php?workbook=14_09.xlsx&amp;sheet=U0&amp;row=2159&amp;col=6&amp;number=4.5&amp;sourceID=14","4.5")</f>
        <v>4.5</v>
      </c>
      <c r="G2159" s="4" t="str">
        <f>HYPERLINK("http://141.218.60.56/~jnz1568/getInfo.php?workbook=14_09.xlsx&amp;sheet=U0&amp;row=2159&amp;col=7&amp;number=0.00798&amp;sourceID=14","0.00798")</f>
        <v>0.00798</v>
      </c>
    </row>
    <row r="2160" spans="1:7">
      <c r="A2160" s="3"/>
      <c r="B2160" s="3"/>
      <c r="C2160" s="3"/>
      <c r="D2160" s="3"/>
      <c r="E2160" s="3">
        <v>17</v>
      </c>
      <c r="F2160" s="4" t="str">
        <f>HYPERLINK("http://141.218.60.56/~jnz1568/getInfo.php?workbook=14_09.xlsx&amp;sheet=U0&amp;row=2160&amp;col=6&amp;number=4.6&amp;sourceID=14","4.6")</f>
        <v>4.6</v>
      </c>
      <c r="G2160" s="4" t="str">
        <f>HYPERLINK("http://141.218.60.56/~jnz1568/getInfo.php?workbook=14_09.xlsx&amp;sheet=U0&amp;row=2160&amp;col=7&amp;number=0.00783&amp;sourceID=14","0.00783")</f>
        <v>0.00783</v>
      </c>
    </row>
    <row r="2161" spans="1:7">
      <c r="A2161" s="3"/>
      <c r="B2161" s="3"/>
      <c r="C2161" s="3"/>
      <c r="D2161" s="3"/>
      <c r="E2161" s="3">
        <v>18</v>
      </c>
      <c r="F2161" s="4" t="str">
        <f>HYPERLINK("http://141.218.60.56/~jnz1568/getInfo.php?workbook=14_09.xlsx&amp;sheet=U0&amp;row=2161&amp;col=6&amp;number=4.7&amp;sourceID=14","4.7")</f>
        <v>4.7</v>
      </c>
      <c r="G2161" s="4" t="str">
        <f>HYPERLINK("http://141.218.60.56/~jnz1568/getInfo.php?workbook=14_09.xlsx&amp;sheet=U0&amp;row=2161&amp;col=7&amp;number=0.00765&amp;sourceID=14","0.00765")</f>
        <v>0.00765</v>
      </c>
    </row>
    <row r="2162" spans="1:7">
      <c r="A2162" s="3"/>
      <c r="B2162" s="3"/>
      <c r="C2162" s="3"/>
      <c r="D2162" s="3"/>
      <c r="E2162" s="3">
        <v>19</v>
      </c>
      <c r="F2162" s="4" t="str">
        <f>HYPERLINK("http://141.218.60.56/~jnz1568/getInfo.php?workbook=14_09.xlsx&amp;sheet=U0&amp;row=2162&amp;col=6&amp;number=4.8&amp;sourceID=14","4.8")</f>
        <v>4.8</v>
      </c>
      <c r="G2162" s="4" t="str">
        <f>HYPERLINK("http://141.218.60.56/~jnz1568/getInfo.php?workbook=14_09.xlsx&amp;sheet=U0&amp;row=2162&amp;col=7&amp;number=0.00744&amp;sourceID=14","0.00744")</f>
        <v>0.00744</v>
      </c>
    </row>
    <row r="2163" spans="1:7">
      <c r="A2163" s="3"/>
      <c r="B2163" s="3"/>
      <c r="C2163" s="3"/>
      <c r="D2163" s="3"/>
      <c r="E2163" s="3">
        <v>20</v>
      </c>
      <c r="F2163" s="4" t="str">
        <f>HYPERLINK("http://141.218.60.56/~jnz1568/getInfo.php?workbook=14_09.xlsx&amp;sheet=U0&amp;row=2163&amp;col=6&amp;number=4.9&amp;sourceID=14","4.9")</f>
        <v>4.9</v>
      </c>
      <c r="G2163" s="4" t="str">
        <f>HYPERLINK("http://141.218.60.56/~jnz1568/getInfo.php?workbook=14_09.xlsx&amp;sheet=U0&amp;row=2163&amp;col=7&amp;number=0.0072&amp;sourceID=14","0.0072")</f>
        <v>0.0072</v>
      </c>
    </row>
    <row r="2164" spans="1:7">
      <c r="A2164" s="3">
        <v>14</v>
      </c>
      <c r="B2164" s="3">
        <v>9</v>
      </c>
      <c r="C2164" s="3">
        <v>1</v>
      </c>
      <c r="D2164" s="3">
        <v>110</v>
      </c>
      <c r="E2164" s="3">
        <v>1</v>
      </c>
      <c r="F2164" s="4" t="str">
        <f>HYPERLINK("http://141.218.60.56/~jnz1568/getInfo.php?workbook=14_09.xlsx&amp;sheet=U0&amp;row=2164&amp;col=6&amp;number=3&amp;sourceID=14","3")</f>
        <v>3</v>
      </c>
      <c r="G2164" s="4" t="str">
        <f>HYPERLINK("http://141.218.60.56/~jnz1568/getInfo.php?workbook=14_09.xlsx&amp;sheet=U0&amp;row=2164&amp;col=7&amp;number=0.0106&amp;sourceID=14","0.0106")</f>
        <v>0.0106</v>
      </c>
    </row>
    <row r="2165" spans="1:7">
      <c r="A2165" s="3"/>
      <c r="B2165" s="3"/>
      <c r="C2165" s="3"/>
      <c r="D2165" s="3"/>
      <c r="E2165" s="3">
        <v>2</v>
      </c>
      <c r="F2165" s="4" t="str">
        <f>HYPERLINK("http://141.218.60.56/~jnz1568/getInfo.php?workbook=14_09.xlsx&amp;sheet=U0&amp;row=2165&amp;col=6&amp;number=3.1&amp;sourceID=14","3.1")</f>
        <v>3.1</v>
      </c>
      <c r="G2165" s="4" t="str">
        <f>HYPERLINK("http://141.218.60.56/~jnz1568/getInfo.php?workbook=14_09.xlsx&amp;sheet=U0&amp;row=2165&amp;col=7&amp;number=0.0106&amp;sourceID=14","0.0106")</f>
        <v>0.0106</v>
      </c>
    </row>
    <row r="2166" spans="1:7">
      <c r="A2166" s="3"/>
      <c r="B2166" s="3"/>
      <c r="C2166" s="3"/>
      <c r="D2166" s="3"/>
      <c r="E2166" s="3">
        <v>3</v>
      </c>
      <c r="F2166" s="4" t="str">
        <f>HYPERLINK("http://141.218.60.56/~jnz1568/getInfo.php?workbook=14_09.xlsx&amp;sheet=U0&amp;row=2166&amp;col=6&amp;number=3.2&amp;sourceID=14","3.2")</f>
        <v>3.2</v>
      </c>
      <c r="G2166" s="4" t="str">
        <f>HYPERLINK("http://141.218.60.56/~jnz1568/getInfo.php?workbook=14_09.xlsx&amp;sheet=U0&amp;row=2166&amp;col=7&amp;number=0.0106&amp;sourceID=14","0.0106")</f>
        <v>0.0106</v>
      </c>
    </row>
    <row r="2167" spans="1:7">
      <c r="A2167" s="3"/>
      <c r="B2167" s="3"/>
      <c r="C2167" s="3"/>
      <c r="D2167" s="3"/>
      <c r="E2167" s="3">
        <v>4</v>
      </c>
      <c r="F2167" s="4" t="str">
        <f>HYPERLINK("http://141.218.60.56/~jnz1568/getInfo.php?workbook=14_09.xlsx&amp;sheet=U0&amp;row=2167&amp;col=6&amp;number=3.3&amp;sourceID=14","3.3")</f>
        <v>3.3</v>
      </c>
      <c r="G2167" s="4" t="str">
        <f>HYPERLINK("http://141.218.60.56/~jnz1568/getInfo.php?workbook=14_09.xlsx&amp;sheet=U0&amp;row=2167&amp;col=7&amp;number=0.0106&amp;sourceID=14","0.0106")</f>
        <v>0.0106</v>
      </c>
    </row>
    <row r="2168" spans="1:7">
      <c r="A2168" s="3"/>
      <c r="B2168" s="3"/>
      <c r="C2168" s="3"/>
      <c r="D2168" s="3"/>
      <c r="E2168" s="3">
        <v>5</v>
      </c>
      <c r="F2168" s="4" t="str">
        <f>HYPERLINK("http://141.218.60.56/~jnz1568/getInfo.php?workbook=14_09.xlsx&amp;sheet=U0&amp;row=2168&amp;col=6&amp;number=3.4&amp;sourceID=14","3.4")</f>
        <v>3.4</v>
      </c>
      <c r="G2168" s="4" t="str">
        <f>HYPERLINK("http://141.218.60.56/~jnz1568/getInfo.php?workbook=14_09.xlsx&amp;sheet=U0&amp;row=2168&amp;col=7&amp;number=0.0105&amp;sourceID=14","0.0105")</f>
        <v>0.0105</v>
      </c>
    </row>
    <row r="2169" spans="1:7">
      <c r="A2169" s="3"/>
      <c r="B2169" s="3"/>
      <c r="C2169" s="3"/>
      <c r="D2169" s="3"/>
      <c r="E2169" s="3">
        <v>6</v>
      </c>
      <c r="F2169" s="4" t="str">
        <f>HYPERLINK("http://141.218.60.56/~jnz1568/getInfo.php?workbook=14_09.xlsx&amp;sheet=U0&amp;row=2169&amp;col=6&amp;number=3.5&amp;sourceID=14","3.5")</f>
        <v>3.5</v>
      </c>
      <c r="G2169" s="4" t="str">
        <f>HYPERLINK("http://141.218.60.56/~jnz1568/getInfo.php?workbook=14_09.xlsx&amp;sheet=U0&amp;row=2169&amp;col=7&amp;number=0.0105&amp;sourceID=14","0.0105")</f>
        <v>0.0105</v>
      </c>
    </row>
    <row r="2170" spans="1:7">
      <c r="A2170" s="3"/>
      <c r="B2170" s="3"/>
      <c r="C2170" s="3"/>
      <c r="D2170" s="3"/>
      <c r="E2170" s="3">
        <v>7</v>
      </c>
      <c r="F2170" s="4" t="str">
        <f>HYPERLINK("http://141.218.60.56/~jnz1568/getInfo.php?workbook=14_09.xlsx&amp;sheet=U0&amp;row=2170&amp;col=6&amp;number=3.6&amp;sourceID=14","3.6")</f>
        <v>3.6</v>
      </c>
      <c r="G2170" s="4" t="str">
        <f>HYPERLINK("http://141.218.60.56/~jnz1568/getInfo.php?workbook=14_09.xlsx&amp;sheet=U0&amp;row=2170&amp;col=7&amp;number=0.0105&amp;sourceID=14","0.0105")</f>
        <v>0.0105</v>
      </c>
    </row>
    <row r="2171" spans="1:7">
      <c r="A2171" s="3"/>
      <c r="B2171" s="3"/>
      <c r="C2171" s="3"/>
      <c r="D2171" s="3"/>
      <c r="E2171" s="3">
        <v>8</v>
      </c>
      <c r="F2171" s="4" t="str">
        <f>HYPERLINK("http://141.218.60.56/~jnz1568/getInfo.php?workbook=14_09.xlsx&amp;sheet=U0&amp;row=2171&amp;col=6&amp;number=3.7&amp;sourceID=14","3.7")</f>
        <v>3.7</v>
      </c>
      <c r="G2171" s="4" t="str">
        <f>HYPERLINK("http://141.218.60.56/~jnz1568/getInfo.php?workbook=14_09.xlsx&amp;sheet=U0&amp;row=2171&amp;col=7&amp;number=0.0105&amp;sourceID=14","0.0105")</f>
        <v>0.0105</v>
      </c>
    </row>
    <row r="2172" spans="1:7">
      <c r="A2172" s="3"/>
      <c r="B2172" s="3"/>
      <c r="C2172" s="3"/>
      <c r="D2172" s="3"/>
      <c r="E2172" s="3">
        <v>9</v>
      </c>
      <c r="F2172" s="4" t="str">
        <f>HYPERLINK("http://141.218.60.56/~jnz1568/getInfo.php?workbook=14_09.xlsx&amp;sheet=U0&amp;row=2172&amp;col=6&amp;number=3.8&amp;sourceID=14","3.8")</f>
        <v>3.8</v>
      </c>
      <c r="G2172" s="4" t="str">
        <f>HYPERLINK("http://141.218.60.56/~jnz1568/getInfo.php?workbook=14_09.xlsx&amp;sheet=U0&amp;row=2172&amp;col=7&amp;number=0.0104&amp;sourceID=14","0.0104")</f>
        <v>0.0104</v>
      </c>
    </row>
    <row r="2173" spans="1:7">
      <c r="A2173" s="3"/>
      <c r="B2173" s="3"/>
      <c r="C2173" s="3"/>
      <c r="D2173" s="3"/>
      <c r="E2173" s="3">
        <v>10</v>
      </c>
      <c r="F2173" s="4" t="str">
        <f>HYPERLINK("http://141.218.60.56/~jnz1568/getInfo.php?workbook=14_09.xlsx&amp;sheet=U0&amp;row=2173&amp;col=6&amp;number=3.9&amp;sourceID=14","3.9")</f>
        <v>3.9</v>
      </c>
      <c r="G2173" s="4" t="str">
        <f>HYPERLINK("http://141.218.60.56/~jnz1568/getInfo.php?workbook=14_09.xlsx&amp;sheet=U0&amp;row=2173&amp;col=7&amp;number=0.0104&amp;sourceID=14","0.0104")</f>
        <v>0.0104</v>
      </c>
    </row>
    <row r="2174" spans="1:7">
      <c r="A2174" s="3"/>
      <c r="B2174" s="3"/>
      <c r="C2174" s="3"/>
      <c r="D2174" s="3"/>
      <c r="E2174" s="3">
        <v>11</v>
      </c>
      <c r="F2174" s="4" t="str">
        <f>HYPERLINK("http://141.218.60.56/~jnz1568/getInfo.php?workbook=14_09.xlsx&amp;sheet=U0&amp;row=2174&amp;col=6&amp;number=4&amp;sourceID=14","4")</f>
        <v>4</v>
      </c>
      <c r="G2174" s="4" t="str">
        <f>HYPERLINK("http://141.218.60.56/~jnz1568/getInfo.php?workbook=14_09.xlsx&amp;sheet=U0&amp;row=2174&amp;col=7&amp;number=0.0104&amp;sourceID=14","0.0104")</f>
        <v>0.0104</v>
      </c>
    </row>
    <row r="2175" spans="1:7">
      <c r="A2175" s="3"/>
      <c r="B2175" s="3"/>
      <c r="C2175" s="3"/>
      <c r="D2175" s="3"/>
      <c r="E2175" s="3">
        <v>12</v>
      </c>
      <c r="F2175" s="4" t="str">
        <f>HYPERLINK("http://141.218.60.56/~jnz1568/getInfo.php?workbook=14_09.xlsx&amp;sheet=U0&amp;row=2175&amp;col=6&amp;number=4.1&amp;sourceID=14","4.1")</f>
        <v>4.1</v>
      </c>
      <c r="G2175" s="4" t="str">
        <f>HYPERLINK("http://141.218.60.56/~jnz1568/getInfo.php?workbook=14_09.xlsx&amp;sheet=U0&amp;row=2175&amp;col=7&amp;number=0.0103&amp;sourceID=14","0.0103")</f>
        <v>0.0103</v>
      </c>
    </row>
    <row r="2176" spans="1:7">
      <c r="A2176" s="3"/>
      <c r="B2176" s="3"/>
      <c r="C2176" s="3"/>
      <c r="D2176" s="3"/>
      <c r="E2176" s="3">
        <v>13</v>
      </c>
      <c r="F2176" s="4" t="str">
        <f>HYPERLINK("http://141.218.60.56/~jnz1568/getInfo.php?workbook=14_09.xlsx&amp;sheet=U0&amp;row=2176&amp;col=6&amp;number=4.2&amp;sourceID=14","4.2")</f>
        <v>4.2</v>
      </c>
      <c r="G2176" s="4" t="str">
        <f>HYPERLINK("http://141.218.60.56/~jnz1568/getInfo.php?workbook=14_09.xlsx&amp;sheet=U0&amp;row=2176&amp;col=7&amp;number=0.0102&amp;sourceID=14","0.0102")</f>
        <v>0.0102</v>
      </c>
    </row>
    <row r="2177" spans="1:7">
      <c r="A2177" s="3"/>
      <c r="B2177" s="3"/>
      <c r="C2177" s="3"/>
      <c r="D2177" s="3"/>
      <c r="E2177" s="3">
        <v>14</v>
      </c>
      <c r="F2177" s="4" t="str">
        <f>HYPERLINK("http://141.218.60.56/~jnz1568/getInfo.php?workbook=14_09.xlsx&amp;sheet=U0&amp;row=2177&amp;col=6&amp;number=4.3&amp;sourceID=14","4.3")</f>
        <v>4.3</v>
      </c>
      <c r="G2177" s="4" t="str">
        <f>HYPERLINK("http://141.218.60.56/~jnz1568/getInfo.php?workbook=14_09.xlsx&amp;sheet=U0&amp;row=2177&amp;col=7&amp;number=0.0101&amp;sourceID=14","0.0101")</f>
        <v>0.0101</v>
      </c>
    </row>
    <row r="2178" spans="1:7">
      <c r="A2178" s="3"/>
      <c r="B2178" s="3"/>
      <c r="C2178" s="3"/>
      <c r="D2178" s="3"/>
      <c r="E2178" s="3">
        <v>15</v>
      </c>
      <c r="F2178" s="4" t="str">
        <f>HYPERLINK("http://141.218.60.56/~jnz1568/getInfo.php?workbook=14_09.xlsx&amp;sheet=U0&amp;row=2178&amp;col=6&amp;number=4.4&amp;sourceID=14","4.4")</f>
        <v>4.4</v>
      </c>
      <c r="G2178" s="4" t="str">
        <f>HYPERLINK("http://141.218.60.56/~jnz1568/getInfo.php?workbook=14_09.xlsx&amp;sheet=U0&amp;row=2178&amp;col=7&amp;number=0.00998&amp;sourceID=14","0.00998")</f>
        <v>0.00998</v>
      </c>
    </row>
    <row r="2179" spans="1:7">
      <c r="A2179" s="3"/>
      <c r="B2179" s="3"/>
      <c r="C2179" s="3"/>
      <c r="D2179" s="3"/>
      <c r="E2179" s="3">
        <v>16</v>
      </c>
      <c r="F2179" s="4" t="str">
        <f>HYPERLINK("http://141.218.60.56/~jnz1568/getInfo.php?workbook=14_09.xlsx&amp;sheet=U0&amp;row=2179&amp;col=6&amp;number=4.5&amp;sourceID=14","4.5")</f>
        <v>4.5</v>
      </c>
      <c r="G2179" s="4" t="str">
        <f>HYPERLINK("http://141.218.60.56/~jnz1568/getInfo.php?workbook=14_09.xlsx&amp;sheet=U0&amp;row=2179&amp;col=7&amp;number=0.00983&amp;sourceID=14","0.00983")</f>
        <v>0.00983</v>
      </c>
    </row>
    <row r="2180" spans="1:7">
      <c r="A2180" s="3"/>
      <c r="B2180" s="3"/>
      <c r="C2180" s="3"/>
      <c r="D2180" s="3"/>
      <c r="E2180" s="3">
        <v>17</v>
      </c>
      <c r="F2180" s="4" t="str">
        <f>HYPERLINK("http://141.218.60.56/~jnz1568/getInfo.php?workbook=14_09.xlsx&amp;sheet=U0&amp;row=2180&amp;col=6&amp;number=4.6&amp;sourceID=14","4.6")</f>
        <v>4.6</v>
      </c>
      <c r="G2180" s="4" t="str">
        <f>HYPERLINK("http://141.218.60.56/~jnz1568/getInfo.php?workbook=14_09.xlsx&amp;sheet=U0&amp;row=2180&amp;col=7&amp;number=0.00965&amp;sourceID=14","0.00965")</f>
        <v>0.00965</v>
      </c>
    </row>
    <row r="2181" spans="1:7">
      <c r="A2181" s="3"/>
      <c r="B2181" s="3"/>
      <c r="C2181" s="3"/>
      <c r="D2181" s="3"/>
      <c r="E2181" s="3">
        <v>18</v>
      </c>
      <c r="F2181" s="4" t="str">
        <f>HYPERLINK("http://141.218.60.56/~jnz1568/getInfo.php?workbook=14_09.xlsx&amp;sheet=U0&amp;row=2181&amp;col=6&amp;number=4.7&amp;sourceID=14","4.7")</f>
        <v>4.7</v>
      </c>
      <c r="G2181" s="4" t="str">
        <f>HYPERLINK("http://141.218.60.56/~jnz1568/getInfo.php?workbook=14_09.xlsx&amp;sheet=U0&amp;row=2181&amp;col=7&amp;number=0.00944&amp;sourceID=14","0.00944")</f>
        <v>0.00944</v>
      </c>
    </row>
    <row r="2182" spans="1:7">
      <c r="A2182" s="3"/>
      <c r="B2182" s="3"/>
      <c r="C2182" s="3"/>
      <c r="D2182" s="3"/>
      <c r="E2182" s="3">
        <v>19</v>
      </c>
      <c r="F2182" s="4" t="str">
        <f>HYPERLINK("http://141.218.60.56/~jnz1568/getInfo.php?workbook=14_09.xlsx&amp;sheet=U0&amp;row=2182&amp;col=6&amp;number=4.8&amp;sourceID=14","4.8")</f>
        <v>4.8</v>
      </c>
      <c r="G2182" s="4" t="str">
        <f>HYPERLINK("http://141.218.60.56/~jnz1568/getInfo.php?workbook=14_09.xlsx&amp;sheet=U0&amp;row=2182&amp;col=7&amp;number=0.0092&amp;sourceID=14","0.0092")</f>
        <v>0.0092</v>
      </c>
    </row>
    <row r="2183" spans="1:7">
      <c r="A2183" s="3"/>
      <c r="B2183" s="3"/>
      <c r="C2183" s="3"/>
      <c r="D2183" s="3"/>
      <c r="E2183" s="3">
        <v>20</v>
      </c>
      <c r="F2183" s="4" t="str">
        <f>HYPERLINK("http://141.218.60.56/~jnz1568/getInfo.php?workbook=14_09.xlsx&amp;sheet=U0&amp;row=2183&amp;col=6&amp;number=4.9&amp;sourceID=14","4.9")</f>
        <v>4.9</v>
      </c>
      <c r="G2183" s="4" t="str">
        <f>HYPERLINK("http://141.218.60.56/~jnz1568/getInfo.php?workbook=14_09.xlsx&amp;sheet=U0&amp;row=2183&amp;col=7&amp;number=0.00895&amp;sourceID=14","0.00895")</f>
        <v>0.00895</v>
      </c>
    </row>
    <row r="2184" spans="1:7">
      <c r="A2184" s="3">
        <v>14</v>
      </c>
      <c r="B2184" s="3">
        <v>9</v>
      </c>
      <c r="C2184" s="3">
        <v>1</v>
      </c>
      <c r="D2184" s="3">
        <v>111</v>
      </c>
      <c r="E2184" s="3">
        <v>1</v>
      </c>
      <c r="F2184" s="4" t="str">
        <f>HYPERLINK("http://141.218.60.56/~jnz1568/getInfo.php?workbook=14_09.xlsx&amp;sheet=U0&amp;row=2184&amp;col=6&amp;number=3&amp;sourceID=14","3")</f>
        <v>3</v>
      </c>
      <c r="G2184" s="4" t="str">
        <f>HYPERLINK("http://141.218.60.56/~jnz1568/getInfo.php?workbook=14_09.xlsx&amp;sheet=U0&amp;row=2184&amp;col=7&amp;number=0.00565&amp;sourceID=14","0.00565")</f>
        <v>0.00565</v>
      </c>
    </row>
    <row r="2185" spans="1:7">
      <c r="A2185" s="3"/>
      <c r="B2185" s="3"/>
      <c r="C2185" s="3"/>
      <c r="D2185" s="3"/>
      <c r="E2185" s="3">
        <v>2</v>
      </c>
      <c r="F2185" s="4" t="str">
        <f>HYPERLINK("http://141.218.60.56/~jnz1568/getInfo.php?workbook=14_09.xlsx&amp;sheet=U0&amp;row=2185&amp;col=6&amp;number=3.1&amp;sourceID=14","3.1")</f>
        <v>3.1</v>
      </c>
      <c r="G2185" s="4" t="str">
        <f>HYPERLINK("http://141.218.60.56/~jnz1568/getInfo.php?workbook=14_09.xlsx&amp;sheet=U0&amp;row=2185&amp;col=7&amp;number=0.00564&amp;sourceID=14","0.00564")</f>
        <v>0.00564</v>
      </c>
    </row>
    <row r="2186" spans="1:7">
      <c r="A2186" s="3"/>
      <c r="B2186" s="3"/>
      <c r="C2186" s="3"/>
      <c r="D2186" s="3"/>
      <c r="E2186" s="3">
        <v>3</v>
      </c>
      <c r="F2186" s="4" t="str">
        <f>HYPERLINK("http://141.218.60.56/~jnz1568/getInfo.php?workbook=14_09.xlsx&amp;sheet=U0&amp;row=2186&amp;col=6&amp;number=3.2&amp;sourceID=14","3.2")</f>
        <v>3.2</v>
      </c>
      <c r="G2186" s="4" t="str">
        <f>HYPERLINK("http://141.218.60.56/~jnz1568/getInfo.php?workbook=14_09.xlsx&amp;sheet=U0&amp;row=2186&amp;col=7&amp;number=0.00563&amp;sourceID=14","0.00563")</f>
        <v>0.00563</v>
      </c>
    </row>
    <row r="2187" spans="1:7">
      <c r="A2187" s="3"/>
      <c r="B2187" s="3"/>
      <c r="C2187" s="3"/>
      <c r="D2187" s="3"/>
      <c r="E2187" s="3">
        <v>4</v>
      </c>
      <c r="F2187" s="4" t="str">
        <f>HYPERLINK("http://141.218.60.56/~jnz1568/getInfo.php?workbook=14_09.xlsx&amp;sheet=U0&amp;row=2187&amp;col=6&amp;number=3.3&amp;sourceID=14","3.3")</f>
        <v>3.3</v>
      </c>
      <c r="G2187" s="4" t="str">
        <f>HYPERLINK("http://141.218.60.56/~jnz1568/getInfo.php?workbook=14_09.xlsx&amp;sheet=U0&amp;row=2187&amp;col=7&amp;number=0.00561&amp;sourceID=14","0.00561")</f>
        <v>0.00561</v>
      </c>
    </row>
    <row r="2188" spans="1:7">
      <c r="A2188" s="3"/>
      <c r="B2188" s="3"/>
      <c r="C2188" s="3"/>
      <c r="D2188" s="3"/>
      <c r="E2188" s="3">
        <v>5</v>
      </c>
      <c r="F2188" s="4" t="str">
        <f>HYPERLINK("http://141.218.60.56/~jnz1568/getInfo.php?workbook=14_09.xlsx&amp;sheet=U0&amp;row=2188&amp;col=6&amp;number=3.4&amp;sourceID=14","3.4")</f>
        <v>3.4</v>
      </c>
      <c r="G2188" s="4" t="str">
        <f>HYPERLINK("http://141.218.60.56/~jnz1568/getInfo.php?workbook=14_09.xlsx&amp;sheet=U0&amp;row=2188&amp;col=7&amp;number=0.00559&amp;sourceID=14","0.00559")</f>
        <v>0.00559</v>
      </c>
    </row>
    <row r="2189" spans="1:7">
      <c r="A2189" s="3"/>
      <c r="B2189" s="3"/>
      <c r="C2189" s="3"/>
      <c r="D2189" s="3"/>
      <c r="E2189" s="3">
        <v>6</v>
      </c>
      <c r="F2189" s="4" t="str">
        <f>HYPERLINK("http://141.218.60.56/~jnz1568/getInfo.php?workbook=14_09.xlsx&amp;sheet=U0&amp;row=2189&amp;col=6&amp;number=3.5&amp;sourceID=14","3.5")</f>
        <v>3.5</v>
      </c>
      <c r="G2189" s="4" t="str">
        <f>HYPERLINK("http://141.218.60.56/~jnz1568/getInfo.php?workbook=14_09.xlsx&amp;sheet=U0&amp;row=2189&amp;col=7&amp;number=0.00557&amp;sourceID=14","0.00557")</f>
        <v>0.00557</v>
      </c>
    </row>
    <row r="2190" spans="1:7">
      <c r="A2190" s="3"/>
      <c r="B2190" s="3"/>
      <c r="C2190" s="3"/>
      <c r="D2190" s="3"/>
      <c r="E2190" s="3">
        <v>7</v>
      </c>
      <c r="F2190" s="4" t="str">
        <f>HYPERLINK("http://141.218.60.56/~jnz1568/getInfo.php?workbook=14_09.xlsx&amp;sheet=U0&amp;row=2190&amp;col=6&amp;number=3.6&amp;sourceID=14","3.6")</f>
        <v>3.6</v>
      </c>
      <c r="G2190" s="4" t="str">
        <f>HYPERLINK("http://141.218.60.56/~jnz1568/getInfo.php?workbook=14_09.xlsx&amp;sheet=U0&amp;row=2190&amp;col=7&amp;number=0.00554&amp;sourceID=14","0.00554")</f>
        <v>0.00554</v>
      </c>
    </row>
    <row r="2191" spans="1:7">
      <c r="A2191" s="3"/>
      <c r="B2191" s="3"/>
      <c r="C2191" s="3"/>
      <c r="D2191" s="3"/>
      <c r="E2191" s="3">
        <v>8</v>
      </c>
      <c r="F2191" s="4" t="str">
        <f>HYPERLINK("http://141.218.60.56/~jnz1568/getInfo.php?workbook=14_09.xlsx&amp;sheet=U0&amp;row=2191&amp;col=6&amp;number=3.7&amp;sourceID=14","3.7")</f>
        <v>3.7</v>
      </c>
      <c r="G2191" s="4" t="str">
        <f>HYPERLINK("http://141.218.60.56/~jnz1568/getInfo.php?workbook=14_09.xlsx&amp;sheet=U0&amp;row=2191&amp;col=7&amp;number=0.0055&amp;sourceID=14","0.0055")</f>
        <v>0.0055</v>
      </c>
    </row>
    <row r="2192" spans="1:7">
      <c r="A2192" s="3"/>
      <c r="B2192" s="3"/>
      <c r="C2192" s="3"/>
      <c r="D2192" s="3"/>
      <c r="E2192" s="3">
        <v>9</v>
      </c>
      <c r="F2192" s="4" t="str">
        <f>HYPERLINK("http://141.218.60.56/~jnz1568/getInfo.php?workbook=14_09.xlsx&amp;sheet=U0&amp;row=2192&amp;col=6&amp;number=3.8&amp;sourceID=14","3.8")</f>
        <v>3.8</v>
      </c>
      <c r="G2192" s="4" t="str">
        <f>HYPERLINK("http://141.218.60.56/~jnz1568/getInfo.php?workbook=14_09.xlsx&amp;sheet=U0&amp;row=2192&amp;col=7&amp;number=0.00545&amp;sourceID=14","0.00545")</f>
        <v>0.00545</v>
      </c>
    </row>
    <row r="2193" spans="1:7">
      <c r="A2193" s="3"/>
      <c r="B2193" s="3"/>
      <c r="C2193" s="3"/>
      <c r="D2193" s="3"/>
      <c r="E2193" s="3">
        <v>10</v>
      </c>
      <c r="F2193" s="4" t="str">
        <f>HYPERLINK("http://141.218.60.56/~jnz1568/getInfo.php?workbook=14_09.xlsx&amp;sheet=U0&amp;row=2193&amp;col=6&amp;number=3.9&amp;sourceID=14","3.9")</f>
        <v>3.9</v>
      </c>
      <c r="G2193" s="4" t="str">
        <f>HYPERLINK("http://141.218.60.56/~jnz1568/getInfo.php?workbook=14_09.xlsx&amp;sheet=U0&amp;row=2193&amp;col=7&amp;number=0.00539&amp;sourceID=14","0.00539")</f>
        <v>0.00539</v>
      </c>
    </row>
    <row r="2194" spans="1:7">
      <c r="A2194" s="3"/>
      <c r="B2194" s="3"/>
      <c r="C2194" s="3"/>
      <c r="D2194" s="3"/>
      <c r="E2194" s="3">
        <v>11</v>
      </c>
      <c r="F2194" s="4" t="str">
        <f>HYPERLINK("http://141.218.60.56/~jnz1568/getInfo.php?workbook=14_09.xlsx&amp;sheet=U0&amp;row=2194&amp;col=6&amp;number=4&amp;sourceID=14","4")</f>
        <v>4</v>
      </c>
      <c r="G2194" s="4" t="str">
        <f>HYPERLINK("http://141.218.60.56/~jnz1568/getInfo.php?workbook=14_09.xlsx&amp;sheet=U0&amp;row=2194&amp;col=7&amp;number=0.00532&amp;sourceID=14","0.00532")</f>
        <v>0.00532</v>
      </c>
    </row>
    <row r="2195" spans="1:7">
      <c r="A2195" s="3"/>
      <c r="B2195" s="3"/>
      <c r="C2195" s="3"/>
      <c r="D2195" s="3"/>
      <c r="E2195" s="3">
        <v>12</v>
      </c>
      <c r="F2195" s="4" t="str">
        <f>HYPERLINK("http://141.218.60.56/~jnz1568/getInfo.php?workbook=14_09.xlsx&amp;sheet=U0&amp;row=2195&amp;col=6&amp;number=4.1&amp;sourceID=14","4.1")</f>
        <v>4.1</v>
      </c>
      <c r="G2195" s="4" t="str">
        <f>HYPERLINK("http://141.218.60.56/~jnz1568/getInfo.php?workbook=14_09.xlsx&amp;sheet=U0&amp;row=2195&amp;col=7&amp;number=0.00522&amp;sourceID=14","0.00522")</f>
        <v>0.00522</v>
      </c>
    </row>
    <row r="2196" spans="1:7">
      <c r="A2196" s="3"/>
      <c r="B2196" s="3"/>
      <c r="C2196" s="3"/>
      <c r="D2196" s="3"/>
      <c r="E2196" s="3">
        <v>13</v>
      </c>
      <c r="F2196" s="4" t="str">
        <f>HYPERLINK("http://141.218.60.56/~jnz1568/getInfo.php?workbook=14_09.xlsx&amp;sheet=U0&amp;row=2196&amp;col=6&amp;number=4.2&amp;sourceID=14","4.2")</f>
        <v>4.2</v>
      </c>
      <c r="G2196" s="4" t="str">
        <f>HYPERLINK("http://141.218.60.56/~jnz1568/getInfo.php?workbook=14_09.xlsx&amp;sheet=U0&amp;row=2196&amp;col=7&amp;number=0.00511&amp;sourceID=14","0.00511")</f>
        <v>0.00511</v>
      </c>
    </row>
    <row r="2197" spans="1:7">
      <c r="A2197" s="3"/>
      <c r="B2197" s="3"/>
      <c r="C2197" s="3"/>
      <c r="D2197" s="3"/>
      <c r="E2197" s="3">
        <v>14</v>
      </c>
      <c r="F2197" s="4" t="str">
        <f>HYPERLINK("http://141.218.60.56/~jnz1568/getInfo.php?workbook=14_09.xlsx&amp;sheet=U0&amp;row=2197&amp;col=6&amp;number=4.3&amp;sourceID=14","4.3")</f>
        <v>4.3</v>
      </c>
      <c r="G2197" s="4" t="str">
        <f>HYPERLINK("http://141.218.60.56/~jnz1568/getInfo.php?workbook=14_09.xlsx&amp;sheet=U0&amp;row=2197&amp;col=7&amp;number=0.00497&amp;sourceID=14","0.00497")</f>
        <v>0.00497</v>
      </c>
    </row>
    <row r="2198" spans="1:7">
      <c r="A2198" s="3"/>
      <c r="B2198" s="3"/>
      <c r="C2198" s="3"/>
      <c r="D2198" s="3"/>
      <c r="E2198" s="3">
        <v>15</v>
      </c>
      <c r="F2198" s="4" t="str">
        <f>HYPERLINK("http://141.218.60.56/~jnz1568/getInfo.php?workbook=14_09.xlsx&amp;sheet=U0&amp;row=2198&amp;col=6&amp;number=4.4&amp;sourceID=14","4.4")</f>
        <v>4.4</v>
      </c>
      <c r="G2198" s="4" t="str">
        <f>HYPERLINK("http://141.218.60.56/~jnz1568/getInfo.php?workbook=14_09.xlsx&amp;sheet=U0&amp;row=2198&amp;col=7&amp;number=0.00481&amp;sourceID=14","0.00481")</f>
        <v>0.00481</v>
      </c>
    </row>
    <row r="2199" spans="1:7">
      <c r="A2199" s="3"/>
      <c r="B2199" s="3"/>
      <c r="C2199" s="3"/>
      <c r="D2199" s="3"/>
      <c r="E2199" s="3">
        <v>16</v>
      </c>
      <c r="F2199" s="4" t="str">
        <f>HYPERLINK("http://141.218.60.56/~jnz1568/getInfo.php?workbook=14_09.xlsx&amp;sheet=U0&amp;row=2199&amp;col=6&amp;number=4.5&amp;sourceID=14","4.5")</f>
        <v>4.5</v>
      </c>
      <c r="G2199" s="4" t="str">
        <f>HYPERLINK("http://141.218.60.56/~jnz1568/getInfo.php?workbook=14_09.xlsx&amp;sheet=U0&amp;row=2199&amp;col=7&amp;number=0.00461&amp;sourceID=14","0.00461")</f>
        <v>0.00461</v>
      </c>
    </row>
    <row r="2200" spans="1:7">
      <c r="A2200" s="3"/>
      <c r="B2200" s="3"/>
      <c r="C2200" s="3"/>
      <c r="D2200" s="3"/>
      <c r="E2200" s="3">
        <v>17</v>
      </c>
      <c r="F2200" s="4" t="str">
        <f>HYPERLINK("http://141.218.60.56/~jnz1568/getInfo.php?workbook=14_09.xlsx&amp;sheet=U0&amp;row=2200&amp;col=6&amp;number=4.6&amp;sourceID=14","4.6")</f>
        <v>4.6</v>
      </c>
      <c r="G2200" s="4" t="str">
        <f>HYPERLINK("http://141.218.60.56/~jnz1568/getInfo.php?workbook=14_09.xlsx&amp;sheet=U0&amp;row=2200&amp;col=7&amp;number=0.00439&amp;sourceID=14","0.00439")</f>
        <v>0.00439</v>
      </c>
    </row>
    <row r="2201" spans="1:7">
      <c r="A2201" s="3"/>
      <c r="B2201" s="3"/>
      <c r="C2201" s="3"/>
      <c r="D2201" s="3"/>
      <c r="E2201" s="3">
        <v>18</v>
      </c>
      <c r="F2201" s="4" t="str">
        <f>HYPERLINK("http://141.218.60.56/~jnz1568/getInfo.php?workbook=14_09.xlsx&amp;sheet=U0&amp;row=2201&amp;col=6&amp;number=4.7&amp;sourceID=14","4.7")</f>
        <v>4.7</v>
      </c>
      <c r="G2201" s="4" t="str">
        <f>HYPERLINK("http://141.218.60.56/~jnz1568/getInfo.php?workbook=14_09.xlsx&amp;sheet=U0&amp;row=2201&amp;col=7&amp;number=0.00415&amp;sourceID=14","0.00415")</f>
        <v>0.00415</v>
      </c>
    </row>
    <row r="2202" spans="1:7">
      <c r="A2202" s="3"/>
      <c r="B2202" s="3"/>
      <c r="C2202" s="3"/>
      <c r="D2202" s="3"/>
      <c r="E2202" s="3">
        <v>19</v>
      </c>
      <c r="F2202" s="4" t="str">
        <f>HYPERLINK("http://141.218.60.56/~jnz1568/getInfo.php?workbook=14_09.xlsx&amp;sheet=U0&amp;row=2202&amp;col=6&amp;number=4.8&amp;sourceID=14","4.8")</f>
        <v>4.8</v>
      </c>
      <c r="G2202" s="4" t="str">
        <f>HYPERLINK("http://141.218.60.56/~jnz1568/getInfo.php?workbook=14_09.xlsx&amp;sheet=U0&amp;row=2202&amp;col=7&amp;number=0.00392&amp;sourceID=14","0.00392")</f>
        <v>0.00392</v>
      </c>
    </row>
    <row r="2203" spans="1:7">
      <c r="A2203" s="3"/>
      <c r="B2203" s="3"/>
      <c r="C2203" s="3"/>
      <c r="D2203" s="3"/>
      <c r="E2203" s="3">
        <v>20</v>
      </c>
      <c r="F2203" s="4" t="str">
        <f>HYPERLINK("http://141.218.60.56/~jnz1568/getInfo.php?workbook=14_09.xlsx&amp;sheet=U0&amp;row=2203&amp;col=6&amp;number=4.9&amp;sourceID=14","4.9")</f>
        <v>4.9</v>
      </c>
      <c r="G2203" s="4" t="str">
        <f>HYPERLINK("http://141.218.60.56/~jnz1568/getInfo.php?workbook=14_09.xlsx&amp;sheet=U0&amp;row=2203&amp;col=7&amp;number=0.00371&amp;sourceID=14","0.00371")</f>
        <v>0.00371</v>
      </c>
    </row>
    <row r="2204" spans="1:7">
      <c r="A2204" s="3">
        <v>14</v>
      </c>
      <c r="B2204" s="3">
        <v>9</v>
      </c>
      <c r="C2204" s="3">
        <v>1</v>
      </c>
      <c r="D2204" s="3">
        <v>112</v>
      </c>
      <c r="E2204" s="3">
        <v>1</v>
      </c>
      <c r="F2204" s="4" t="str">
        <f>HYPERLINK("http://141.218.60.56/~jnz1568/getInfo.php?workbook=14_09.xlsx&amp;sheet=U0&amp;row=2204&amp;col=6&amp;number=3&amp;sourceID=14","3")</f>
        <v>3</v>
      </c>
      <c r="G2204" s="4" t="str">
        <f>HYPERLINK("http://141.218.60.56/~jnz1568/getInfo.php?workbook=14_09.xlsx&amp;sheet=U0&amp;row=2204&amp;col=7&amp;number=0.00106&amp;sourceID=14","0.00106")</f>
        <v>0.00106</v>
      </c>
    </row>
    <row r="2205" spans="1:7">
      <c r="A2205" s="3"/>
      <c r="B2205" s="3"/>
      <c r="C2205" s="3"/>
      <c r="D2205" s="3"/>
      <c r="E2205" s="3">
        <v>2</v>
      </c>
      <c r="F2205" s="4" t="str">
        <f>HYPERLINK("http://141.218.60.56/~jnz1568/getInfo.php?workbook=14_09.xlsx&amp;sheet=U0&amp;row=2205&amp;col=6&amp;number=3.1&amp;sourceID=14","3.1")</f>
        <v>3.1</v>
      </c>
      <c r="G2205" s="4" t="str">
        <f>HYPERLINK("http://141.218.60.56/~jnz1568/getInfo.php?workbook=14_09.xlsx&amp;sheet=U0&amp;row=2205&amp;col=7&amp;number=0.00106&amp;sourceID=14","0.00106")</f>
        <v>0.00106</v>
      </c>
    </row>
    <row r="2206" spans="1:7">
      <c r="A2206" s="3"/>
      <c r="B2206" s="3"/>
      <c r="C2206" s="3"/>
      <c r="D2206" s="3"/>
      <c r="E2206" s="3">
        <v>3</v>
      </c>
      <c r="F2206" s="4" t="str">
        <f>HYPERLINK("http://141.218.60.56/~jnz1568/getInfo.php?workbook=14_09.xlsx&amp;sheet=U0&amp;row=2206&amp;col=6&amp;number=3.2&amp;sourceID=14","3.2")</f>
        <v>3.2</v>
      </c>
      <c r="G2206" s="4" t="str">
        <f>HYPERLINK("http://141.218.60.56/~jnz1568/getInfo.php?workbook=14_09.xlsx&amp;sheet=U0&amp;row=2206&amp;col=7&amp;number=0.00106&amp;sourceID=14","0.00106")</f>
        <v>0.00106</v>
      </c>
    </row>
    <row r="2207" spans="1:7">
      <c r="A2207" s="3"/>
      <c r="B2207" s="3"/>
      <c r="C2207" s="3"/>
      <c r="D2207" s="3"/>
      <c r="E2207" s="3">
        <v>4</v>
      </c>
      <c r="F2207" s="4" t="str">
        <f>HYPERLINK("http://141.218.60.56/~jnz1568/getInfo.php?workbook=14_09.xlsx&amp;sheet=U0&amp;row=2207&amp;col=6&amp;number=3.3&amp;sourceID=14","3.3")</f>
        <v>3.3</v>
      </c>
      <c r="G2207" s="4" t="str">
        <f>HYPERLINK("http://141.218.60.56/~jnz1568/getInfo.php?workbook=14_09.xlsx&amp;sheet=U0&amp;row=2207&amp;col=7&amp;number=0.00105&amp;sourceID=14","0.00105")</f>
        <v>0.00105</v>
      </c>
    </row>
    <row r="2208" spans="1:7">
      <c r="A2208" s="3"/>
      <c r="B2208" s="3"/>
      <c r="C2208" s="3"/>
      <c r="D2208" s="3"/>
      <c r="E2208" s="3">
        <v>5</v>
      </c>
      <c r="F2208" s="4" t="str">
        <f>HYPERLINK("http://141.218.60.56/~jnz1568/getInfo.php?workbook=14_09.xlsx&amp;sheet=U0&amp;row=2208&amp;col=6&amp;number=3.4&amp;sourceID=14","3.4")</f>
        <v>3.4</v>
      </c>
      <c r="G2208" s="4" t="str">
        <f>HYPERLINK("http://141.218.60.56/~jnz1568/getInfo.php?workbook=14_09.xlsx&amp;sheet=U0&amp;row=2208&amp;col=7&amp;number=0.00105&amp;sourceID=14","0.00105")</f>
        <v>0.00105</v>
      </c>
    </row>
    <row r="2209" spans="1:7">
      <c r="A2209" s="3"/>
      <c r="B2209" s="3"/>
      <c r="C2209" s="3"/>
      <c r="D2209" s="3"/>
      <c r="E2209" s="3">
        <v>6</v>
      </c>
      <c r="F2209" s="4" t="str">
        <f>HYPERLINK("http://141.218.60.56/~jnz1568/getInfo.php?workbook=14_09.xlsx&amp;sheet=U0&amp;row=2209&amp;col=6&amp;number=3.5&amp;sourceID=14","3.5")</f>
        <v>3.5</v>
      </c>
      <c r="G2209" s="4" t="str">
        <f>HYPERLINK("http://141.218.60.56/~jnz1568/getInfo.php?workbook=14_09.xlsx&amp;sheet=U0&amp;row=2209&amp;col=7&amp;number=0.00104&amp;sourceID=14","0.00104")</f>
        <v>0.00104</v>
      </c>
    </row>
    <row r="2210" spans="1:7">
      <c r="A2210" s="3"/>
      <c r="B2210" s="3"/>
      <c r="C2210" s="3"/>
      <c r="D2210" s="3"/>
      <c r="E2210" s="3">
        <v>7</v>
      </c>
      <c r="F2210" s="4" t="str">
        <f>HYPERLINK("http://141.218.60.56/~jnz1568/getInfo.php?workbook=14_09.xlsx&amp;sheet=U0&amp;row=2210&amp;col=6&amp;number=3.6&amp;sourceID=14","3.6")</f>
        <v>3.6</v>
      </c>
      <c r="G2210" s="4" t="str">
        <f>HYPERLINK("http://141.218.60.56/~jnz1568/getInfo.php?workbook=14_09.xlsx&amp;sheet=U0&amp;row=2210&amp;col=7&amp;number=0.00103&amp;sourceID=14","0.00103")</f>
        <v>0.00103</v>
      </c>
    </row>
    <row r="2211" spans="1:7">
      <c r="A2211" s="3"/>
      <c r="B2211" s="3"/>
      <c r="C2211" s="3"/>
      <c r="D2211" s="3"/>
      <c r="E2211" s="3">
        <v>8</v>
      </c>
      <c r="F2211" s="4" t="str">
        <f>HYPERLINK("http://141.218.60.56/~jnz1568/getInfo.php?workbook=14_09.xlsx&amp;sheet=U0&amp;row=2211&amp;col=6&amp;number=3.7&amp;sourceID=14","3.7")</f>
        <v>3.7</v>
      </c>
      <c r="G2211" s="4" t="str">
        <f>HYPERLINK("http://141.218.60.56/~jnz1568/getInfo.php?workbook=14_09.xlsx&amp;sheet=U0&amp;row=2211&amp;col=7&amp;number=0.00102&amp;sourceID=14","0.00102")</f>
        <v>0.00102</v>
      </c>
    </row>
    <row r="2212" spans="1:7">
      <c r="A2212" s="3"/>
      <c r="B2212" s="3"/>
      <c r="C2212" s="3"/>
      <c r="D2212" s="3"/>
      <c r="E2212" s="3">
        <v>9</v>
      </c>
      <c r="F2212" s="4" t="str">
        <f>HYPERLINK("http://141.218.60.56/~jnz1568/getInfo.php?workbook=14_09.xlsx&amp;sheet=U0&amp;row=2212&amp;col=6&amp;number=3.8&amp;sourceID=14","3.8")</f>
        <v>3.8</v>
      </c>
      <c r="G2212" s="4" t="str">
        <f>HYPERLINK("http://141.218.60.56/~jnz1568/getInfo.php?workbook=14_09.xlsx&amp;sheet=U0&amp;row=2212&amp;col=7&amp;number=0.00101&amp;sourceID=14","0.00101")</f>
        <v>0.00101</v>
      </c>
    </row>
    <row r="2213" spans="1:7">
      <c r="A2213" s="3"/>
      <c r="B2213" s="3"/>
      <c r="C2213" s="3"/>
      <c r="D2213" s="3"/>
      <c r="E2213" s="3">
        <v>10</v>
      </c>
      <c r="F2213" s="4" t="str">
        <f>HYPERLINK("http://141.218.60.56/~jnz1568/getInfo.php?workbook=14_09.xlsx&amp;sheet=U0&amp;row=2213&amp;col=6&amp;number=3.9&amp;sourceID=14","3.9")</f>
        <v>3.9</v>
      </c>
      <c r="G2213" s="4" t="str">
        <f>HYPERLINK("http://141.218.60.56/~jnz1568/getInfo.php?workbook=14_09.xlsx&amp;sheet=U0&amp;row=2213&amp;col=7&amp;number=0.000997&amp;sourceID=14","0.000997")</f>
        <v>0.000997</v>
      </c>
    </row>
    <row r="2214" spans="1:7">
      <c r="A2214" s="3"/>
      <c r="B2214" s="3"/>
      <c r="C2214" s="3"/>
      <c r="D2214" s="3"/>
      <c r="E2214" s="3">
        <v>11</v>
      </c>
      <c r="F2214" s="4" t="str">
        <f>HYPERLINK("http://141.218.60.56/~jnz1568/getInfo.php?workbook=14_09.xlsx&amp;sheet=U0&amp;row=2214&amp;col=6&amp;number=4&amp;sourceID=14","4")</f>
        <v>4</v>
      </c>
      <c r="G2214" s="4" t="str">
        <f>HYPERLINK("http://141.218.60.56/~jnz1568/getInfo.php?workbook=14_09.xlsx&amp;sheet=U0&amp;row=2214&amp;col=7&amp;number=0.000979&amp;sourceID=14","0.000979")</f>
        <v>0.000979</v>
      </c>
    </row>
    <row r="2215" spans="1:7">
      <c r="A2215" s="3"/>
      <c r="B2215" s="3"/>
      <c r="C2215" s="3"/>
      <c r="D2215" s="3"/>
      <c r="E2215" s="3">
        <v>12</v>
      </c>
      <c r="F2215" s="4" t="str">
        <f>HYPERLINK("http://141.218.60.56/~jnz1568/getInfo.php?workbook=14_09.xlsx&amp;sheet=U0&amp;row=2215&amp;col=6&amp;number=4.1&amp;sourceID=14","4.1")</f>
        <v>4.1</v>
      </c>
      <c r="G2215" s="4" t="str">
        <f>HYPERLINK("http://141.218.60.56/~jnz1568/getInfo.php?workbook=14_09.xlsx&amp;sheet=U0&amp;row=2215&amp;col=7&amp;number=0.000958&amp;sourceID=14","0.000958")</f>
        <v>0.000958</v>
      </c>
    </row>
    <row r="2216" spans="1:7">
      <c r="A2216" s="3"/>
      <c r="B2216" s="3"/>
      <c r="C2216" s="3"/>
      <c r="D2216" s="3"/>
      <c r="E2216" s="3">
        <v>13</v>
      </c>
      <c r="F2216" s="4" t="str">
        <f>HYPERLINK("http://141.218.60.56/~jnz1568/getInfo.php?workbook=14_09.xlsx&amp;sheet=U0&amp;row=2216&amp;col=6&amp;number=4.2&amp;sourceID=14","4.2")</f>
        <v>4.2</v>
      </c>
      <c r="G2216" s="4" t="str">
        <f>HYPERLINK("http://141.218.60.56/~jnz1568/getInfo.php?workbook=14_09.xlsx&amp;sheet=U0&amp;row=2216&amp;col=7&amp;number=0.000933&amp;sourceID=14","0.000933")</f>
        <v>0.000933</v>
      </c>
    </row>
    <row r="2217" spans="1:7">
      <c r="A2217" s="3"/>
      <c r="B2217" s="3"/>
      <c r="C2217" s="3"/>
      <c r="D2217" s="3"/>
      <c r="E2217" s="3">
        <v>14</v>
      </c>
      <c r="F2217" s="4" t="str">
        <f>HYPERLINK("http://141.218.60.56/~jnz1568/getInfo.php?workbook=14_09.xlsx&amp;sheet=U0&amp;row=2217&amp;col=6&amp;number=4.3&amp;sourceID=14","4.3")</f>
        <v>4.3</v>
      </c>
      <c r="G2217" s="4" t="str">
        <f>HYPERLINK("http://141.218.60.56/~jnz1568/getInfo.php?workbook=14_09.xlsx&amp;sheet=U0&amp;row=2217&amp;col=7&amp;number=0.000905&amp;sourceID=14","0.000905")</f>
        <v>0.000905</v>
      </c>
    </row>
    <row r="2218" spans="1:7">
      <c r="A2218" s="3"/>
      <c r="B2218" s="3"/>
      <c r="C2218" s="3"/>
      <c r="D2218" s="3"/>
      <c r="E2218" s="3">
        <v>15</v>
      </c>
      <c r="F2218" s="4" t="str">
        <f>HYPERLINK("http://141.218.60.56/~jnz1568/getInfo.php?workbook=14_09.xlsx&amp;sheet=U0&amp;row=2218&amp;col=6&amp;number=4.4&amp;sourceID=14","4.4")</f>
        <v>4.4</v>
      </c>
      <c r="G2218" s="4" t="str">
        <f>HYPERLINK("http://141.218.60.56/~jnz1568/getInfo.php?workbook=14_09.xlsx&amp;sheet=U0&amp;row=2218&amp;col=7&amp;number=0.000874&amp;sourceID=14","0.000874")</f>
        <v>0.000874</v>
      </c>
    </row>
    <row r="2219" spans="1:7">
      <c r="A2219" s="3"/>
      <c r="B2219" s="3"/>
      <c r="C2219" s="3"/>
      <c r="D2219" s="3"/>
      <c r="E2219" s="3">
        <v>16</v>
      </c>
      <c r="F2219" s="4" t="str">
        <f>HYPERLINK("http://141.218.60.56/~jnz1568/getInfo.php?workbook=14_09.xlsx&amp;sheet=U0&amp;row=2219&amp;col=6&amp;number=4.5&amp;sourceID=14","4.5")</f>
        <v>4.5</v>
      </c>
      <c r="G2219" s="4" t="str">
        <f>HYPERLINK("http://141.218.60.56/~jnz1568/getInfo.php?workbook=14_09.xlsx&amp;sheet=U0&amp;row=2219&amp;col=7&amp;number=0.000845&amp;sourceID=14","0.000845")</f>
        <v>0.000845</v>
      </c>
    </row>
    <row r="2220" spans="1:7">
      <c r="A2220" s="3"/>
      <c r="B2220" s="3"/>
      <c r="C2220" s="3"/>
      <c r="D2220" s="3"/>
      <c r="E2220" s="3">
        <v>17</v>
      </c>
      <c r="F2220" s="4" t="str">
        <f>HYPERLINK("http://141.218.60.56/~jnz1568/getInfo.php?workbook=14_09.xlsx&amp;sheet=U0&amp;row=2220&amp;col=6&amp;number=4.6&amp;sourceID=14","4.6")</f>
        <v>4.6</v>
      </c>
      <c r="G2220" s="4" t="str">
        <f>HYPERLINK("http://141.218.60.56/~jnz1568/getInfo.php?workbook=14_09.xlsx&amp;sheet=U0&amp;row=2220&amp;col=7&amp;number=0.000819&amp;sourceID=14","0.000819")</f>
        <v>0.000819</v>
      </c>
    </row>
    <row r="2221" spans="1:7">
      <c r="A2221" s="3"/>
      <c r="B2221" s="3"/>
      <c r="C2221" s="3"/>
      <c r="D2221" s="3"/>
      <c r="E2221" s="3">
        <v>18</v>
      </c>
      <c r="F2221" s="4" t="str">
        <f>HYPERLINK("http://141.218.60.56/~jnz1568/getInfo.php?workbook=14_09.xlsx&amp;sheet=U0&amp;row=2221&amp;col=6&amp;number=4.7&amp;sourceID=14","4.7")</f>
        <v>4.7</v>
      </c>
      <c r="G2221" s="4" t="str">
        <f>HYPERLINK("http://141.218.60.56/~jnz1568/getInfo.php?workbook=14_09.xlsx&amp;sheet=U0&amp;row=2221&amp;col=7&amp;number=0.000797&amp;sourceID=14","0.000797")</f>
        <v>0.000797</v>
      </c>
    </row>
    <row r="2222" spans="1:7">
      <c r="A2222" s="3"/>
      <c r="B2222" s="3"/>
      <c r="C2222" s="3"/>
      <c r="D2222" s="3"/>
      <c r="E2222" s="3">
        <v>19</v>
      </c>
      <c r="F2222" s="4" t="str">
        <f>HYPERLINK("http://141.218.60.56/~jnz1568/getInfo.php?workbook=14_09.xlsx&amp;sheet=U0&amp;row=2222&amp;col=6&amp;number=4.8&amp;sourceID=14","4.8")</f>
        <v>4.8</v>
      </c>
      <c r="G2222" s="4" t="str">
        <f>HYPERLINK("http://141.218.60.56/~jnz1568/getInfo.php?workbook=14_09.xlsx&amp;sheet=U0&amp;row=2222&amp;col=7&amp;number=0.000775&amp;sourceID=14","0.000775")</f>
        <v>0.000775</v>
      </c>
    </row>
    <row r="2223" spans="1:7">
      <c r="A2223" s="3"/>
      <c r="B2223" s="3"/>
      <c r="C2223" s="3"/>
      <c r="D2223" s="3"/>
      <c r="E2223" s="3">
        <v>20</v>
      </c>
      <c r="F2223" s="4" t="str">
        <f>HYPERLINK("http://141.218.60.56/~jnz1568/getInfo.php?workbook=14_09.xlsx&amp;sheet=U0&amp;row=2223&amp;col=6&amp;number=4.9&amp;sourceID=14","4.9")</f>
        <v>4.9</v>
      </c>
      <c r="G2223" s="4" t="str">
        <f>HYPERLINK("http://141.218.60.56/~jnz1568/getInfo.php?workbook=14_09.xlsx&amp;sheet=U0&amp;row=2223&amp;col=7&amp;number=0.000747&amp;sourceID=14","0.000747")</f>
        <v>0.000747</v>
      </c>
    </row>
    <row r="2224" spans="1:7">
      <c r="A2224" s="3">
        <v>14</v>
      </c>
      <c r="B2224" s="3">
        <v>9</v>
      </c>
      <c r="C2224" s="3">
        <v>1</v>
      </c>
      <c r="D2224" s="3">
        <v>113</v>
      </c>
      <c r="E2224" s="3">
        <v>1</v>
      </c>
      <c r="F2224" s="4" t="str">
        <f>HYPERLINK("http://141.218.60.56/~jnz1568/getInfo.php?workbook=14_09.xlsx&amp;sheet=U0&amp;row=2224&amp;col=6&amp;number=3&amp;sourceID=14","3")</f>
        <v>3</v>
      </c>
      <c r="G2224" s="4" t="str">
        <f>HYPERLINK("http://141.218.60.56/~jnz1568/getInfo.php?workbook=14_09.xlsx&amp;sheet=U0&amp;row=2224&amp;col=7&amp;number=0.022&amp;sourceID=14","0.022")</f>
        <v>0.022</v>
      </c>
    </row>
    <row r="2225" spans="1:7">
      <c r="A2225" s="3"/>
      <c r="B2225" s="3"/>
      <c r="C2225" s="3"/>
      <c r="D2225" s="3"/>
      <c r="E2225" s="3">
        <v>2</v>
      </c>
      <c r="F2225" s="4" t="str">
        <f>HYPERLINK("http://141.218.60.56/~jnz1568/getInfo.php?workbook=14_09.xlsx&amp;sheet=U0&amp;row=2225&amp;col=6&amp;number=3.1&amp;sourceID=14","3.1")</f>
        <v>3.1</v>
      </c>
      <c r="G2225" s="4" t="str">
        <f>HYPERLINK("http://141.218.60.56/~jnz1568/getInfo.php?workbook=14_09.xlsx&amp;sheet=U0&amp;row=2225&amp;col=7&amp;number=0.0219&amp;sourceID=14","0.0219")</f>
        <v>0.0219</v>
      </c>
    </row>
    <row r="2226" spans="1:7">
      <c r="A2226" s="3"/>
      <c r="B2226" s="3"/>
      <c r="C2226" s="3"/>
      <c r="D2226" s="3"/>
      <c r="E2226" s="3">
        <v>3</v>
      </c>
      <c r="F2226" s="4" t="str">
        <f>HYPERLINK("http://141.218.60.56/~jnz1568/getInfo.php?workbook=14_09.xlsx&amp;sheet=U0&amp;row=2226&amp;col=6&amp;number=3.2&amp;sourceID=14","3.2")</f>
        <v>3.2</v>
      </c>
      <c r="G2226" s="4" t="str">
        <f>HYPERLINK("http://141.218.60.56/~jnz1568/getInfo.php?workbook=14_09.xlsx&amp;sheet=U0&amp;row=2226&amp;col=7&amp;number=0.0219&amp;sourceID=14","0.0219")</f>
        <v>0.0219</v>
      </c>
    </row>
    <row r="2227" spans="1:7">
      <c r="A2227" s="3"/>
      <c r="B2227" s="3"/>
      <c r="C2227" s="3"/>
      <c r="D2227" s="3"/>
      <c r="E2227" s="3">
        <v>4</v>
      </c>
      <c r="F2227" s="4" t="str">
        <f>HYPERLINK("http://141.218.60.56/~jnz1568/getInfo.php?workbook=14_09.xlsx&amp;sheet=U0&amp;row=2227&amp;col=6&amp;number=3.3&amp;sourceID=14","3.3")</f>
        <v>3.3</v>
      </c>
      <c r="G2227" s="4" t="str">
        <f>HYPERLINK("http://141.218.60.56/~jnz1568/getInfo.php?workbook=14_09.xlsx&amp;sheet=U0&amp;row=2227&amp;col=7&amp;number=0.0218&amp;sourceID=14","0.0218")</f>
        <v>0.0218</v>
      </c>
    </row>
    <row r="2228" spans="1:7">
      <c r="A2228" s="3"/>
      <c r="B2228" s="3"/>
      <c r="C2228" s="3"/>
      <c r="D2228" s="3"/>
      <c r="E2228" s="3">
        <v>5</v>
      </c>
      <c r="F2228" s="4" t="str">
        <f>HYPERLINK("http://141.218.60.56/~jnz1568/getInfo.php?workbook=14_09.xlsx&amp;sheet=U0&amp;row=2228&amp;col=6&amp;number=3.4&amp;sourceID=14","3.4")</f>
        <v>3.4</v>
      </c>
      <c r="G2228" s="4" t="str">
        <f>HYPERLINK("http://141.218.60.56/~jnz1568/getInfo.php?workbook=14_09.xlsx&amp;sheet=U0&amp;row=2228&amp;col=7&amp;number=0.0217&amp;sourceID=14","0.0217")</f>
        <v>0.0217</v>
      </c>
    </row>
    <row r="2229" spans="1:7">
      <c r="A2229" s="3"/>
      <c r="B2229" s="3"/>
      <c r="C2229" s="3"/>
      <c r="D2229" s="3"/>
      <c r="E2229" s="3">
        <v>6</v>
      </c>
      <c r="F2229" s="4" t="str">
        <f>HYPERLINK("http://141.218.60.56/~jnz1568/getInfo.php?workbook=14_09.xlsx&amp;sheet=U0&amp;row=2229&amp;col=6&amp;number=3.5&amp;sourceID=14","3.5")</f>
        <v>3.5</v>
      </c>
      <c r="G2229" s="4" t="str">
        <f>HYPERLINK("http://141.218.60.56/~jnz1568/getInfo.php?workbook=14_09.xlsx&amp;sheet=U0&amp;row=2229&amp;col=7&amp;number=0.0216&amp;sourceID=14","0.0216")</f>
        <v>0.0216</v>
      </c>
    </row>
    <row r="2230" spans="1:7">
      <c r="A2230" s="3"/>
      <c r="B2230" s="3"/>
      <c r="C2230" s="3"/>
      <c r="D2230" s="3"/>
      <c r="E2230" s="3">
        <v>7</v>
      </c>
      <c r="F2230" s="4" t="str">
        <f>HYPERLINK("http://141.218.60.56/~jnz1568/getInfo.php?workbook=14_09.xlsx&amp;sheet=U0&amp;row=2230&amp;col=6&amp;number=3.6&amp;sourceID=14","3.6")</f>
        <v>3.6</v>
      </c>
      <c r="G2230" s="4" t="str">
        <f>HYPERLINK("http://141.218.60.56/~jnz1568/getInfo.php?workbook=14_09.xlsx&amp;sheet=U0&amp;row=2230&amp;col=7&amp;number=0.0214&amp;sourceID=14","0.0214")</f>
        <v>0.0214</v>
      </c>
    </row>
    <row r="2231" spans="1:7">
      <c r="A2231" s="3"/>
      <c r="B2231" s="3"/>
      <c r="C2231" s="3"/>
      <c r="D2231" s="3"/>
      <c r="E2231" s="3">
        <v>8</v>
      </c>
      <c r="F2231" s="4" t="str">
        <f>HYPERLINK("http://141.218.60.56/~jnz1568/getInfo.php?workbook=14_09.xlsx&amp;sheet=U0&amp;row=2231&amp;col=6&amp;number=3.7&amp;sourceID=14","3.7")</f>
        <v>3.7</v>
      </c>
      <c r="G2231" s="4" t="str">
        <f>HYPERLINK("http://141.218.60.56/~jnz1568/getInfo.php?workbook=14_09.xlsx&amp;sheet=U0&amp;row=2231&amp;col=7&amp;number=0.0212&amp;sourceID=14","0.0212")</f>
        <v>0.0212</v>
      </c>
    </row>
    <row r="2232" spans="1:7">
      <c r="A2232" s="3"/>
      <c r="B2232" s="3"/>
      <c r="C2232" s="3"/>
      <c r="D2232" s="3"/>
      <c r="E2232" s="3">
        <v>9</v>
      </c>
      <c r="F2232" s="4" t="str">
        <f>HYPERLINK("http://141.218.60.56/~jnz1568/getInfo.php?workbook=14_09.xlsx&amp;sheet=U0&amp;row=2232&amp;col=6&amp;number=3.8&amp;sourceID=14","3.8")</f>
        <v>3.8</v>
      </c>
      <c r="G2232" s="4" t="str">
        <f>HYPERLINK("http://141.218.60.56/~jnz1568/getInfo.php?workbook=14_09.xlsx&amp;sheet=U0&amp;row=2232&amp;col=7&amp;number=0.0209&amp;sourceID=14","0.0209")</f>
        <v>0.0209</v>
      </c>
    </row>
    <row r="2233" spans="1:7">
      <c r="A2233" s="3"/>
      <c r="B2233" s="3"/>
      <c r="C2233" s="3"/>
      <c r="D2233" s="3"/>
      <c r="E2233" s="3">
        <v>10</v>
      </c>
      <c r="F2233" s="4" t="str">
        <f>HYPERLINK("http://141.218.60.56/~jnz1568/getInfo.php?workbook=14_09.xlsx&amp;sheet=U0&amp;row=2233&amp;col=6&amp;number=3.9&amp;sourceID=14","3.9")</f>
        <v>3.9</v>
      </c>
      <c r="G2233" s="4" t="str">
        <f>HYPERLINK("http://141.218.60.56/~jnz1568/getInfo.php?workbook=14_09.xlsx&amp;sheet=U0&amp;row=2233&amp;col=7&amp;number=0.0206&amp;sourceID=14","0.0206")</f>
        <v>0.0206</v>
      </c>
    </row>
    <row r="2234" spans="1:7">
      <c r="A2234" s="3"/>
      <c r="B2234" s="3"/>
      <c r="C2234" s="3"/>
      <c r="D2234" s="3"/>
      <c r="E2234" s="3">
        <v>11</v>
      </c>
      <c r="F2234" s="4" t="str">
        <f>HYPERLINK("http://141.218.60.56/~jnz1568/getInfo.php?workbook=14_09.xlsx&amp;sheet=U0&amp;row=2234&amp;col=6&amp;number=4&amp;sourceID=14","4")</f>
        <v>4</v>
      </c>
      <c r="G2234" s="4" t="str">
        <f>HYPERLINK("http://141.218.60.56/~jnz1568/getInfo.php?workbook=14_09.xlsx&amp;sheet=U0&amp;row=2234&amp;col=7&amp;number=0.0202&amp;sourceID=14","0.0202")</f>
        <v>0.0202</v>
      </c>
    </row>
    <row r="2235" spans="1:7">
      <c r="A2235" s="3"/>
      <c r="B2235" s="3"/>
      <c r="C2235" s="3"/>
      <c r="D2235" s="3"/>
      <c r="E2235" s="3">
        <v>12</v>
      </c>
      <c r="F2235" s="4" t="str">
        <f>HYPERLINK("http://141.218.60.56/~jnz1568/getInfo.php?workbook=14_09.xlsx&amp;sheet=U0&amp;row=2235&amp;col=6&amp;number=4.1&amp;sourceID=14","4.1")</f>
        <v>4.1</v>
      </c>
      <c r="G2235" s="4" t="str">
        <f>HYPERLINK("http://141.218.60.56/~jnz1568/getInfo.php?workbook=14_09.xlsx&amp;sheet=U0&amp;row=2235&amp;col=7&amp;number=0.0197&amp;sourceID=14","0.0197")</f>
        <v>0.0197</v>
      </c>
    </row>
    <row r="2236" spans="1:7">
      <c r="A2236" s="3"/>
      <c r="B2236" s="3"/>
      <c r="C2236" s="3"/>
      <c r="D2236" s="3"/>
      <c r="E2236" s="3">
        <v>13</v>
      </c>
      <c r="F2236" s="4" t="str">
        <f>HYPERLINK("http://141.218.60.56/~jnz1568/getInfo.php?workbook=14_09.xlsx&amp;sheet=U0&amp;row=2236&amp;col=6&amp;number=4.2&amp;sourceID=14","4.2")</f>
        <v>4.2</v>
      </c>
      <c r="G2236" s="4" t="str">
        <f>HYPERLINK("http://141.218.60.56/~jnz1568/getInfo.php?workbook=14_09.xlsx&amp;sheet=U0&amp;row=2236&amp;col=7&amp;number=0.0191&amp;sourceID=14","0.0191")</f>
        <v>0.0191</v>
      </c>
    </row>
    <row r="2237" spans="1:7">
      <c r="A2237" s="3"/>
      <c r="B2237" s="3"/>
      <c r="C2237" s="3"/>
      <c r="D2237" s="3"/>
      <c r="E2237" s="3">
        <v>14</v>
      </c>
      <c r="F2237" s="4" t="str">
        <f>HYPERLINK("http://141.218.60.56/~jnz1568/getInfo.php?workbook=14_09.xlsx&amp;sheet=U0&amp;row=2237&amp;col=6&amp;number=4.3&amp;sourceID=14","4.3")</f>
        <v>4.3</v>
      </c>
      <c r="G2237" s="4" t="str">
        <f>HYPERLINK("http://141.218.60.56/~jnz1568/getInfo.php?workbook=14_09.xlsx&amp;sheet=U0&amp;row=2237&amp;col=7&amp;number=0.0183&amp;sourceID=14","0.0183")</f>
        <v>0.0183</v>
      </c>
    </row>
    <row r="2238" spans="1:7">
      <c r="A2238" s="3"/>
      <c r="B2238" s="3"/>
      <c r="C2238" s="3"/>
      <c r="D2238" s="3"/>
      <c r="E2238" s="3">
        <v>15</v>
      </c>
      <c r="F2238" s="4" t="str">
        <f>HYPERLINK("http://141.218.60.56/~jnz1568/getInfo.php?workbook=14_09.xlsx&amp;sheet=U0&amp;row=2238&amp;col=6&amp;number=4.4&amp;sourceID=14","4.4")</f>
        <v>4.4</v>
      </c>
      <c r="G2238" s="4" t="str">
        <f>HYPERLINK("http://141.218.60.56/~jnz1568/getInfo.php?workbook=14_09.xlsx&amp;sheet=U0&amp;row=2238&amp;col=7&amp;number=0.0174&amp;sourceID=14","0.0174")</f>
        <v>0.0174</v>
      </c>
    </row>
    <row r="2239" spans="1:7">
      <c r="A2239" s="3"/>
      <c r="B2239" s="3"/>
      <c r="C2239" s="3"/>
      <c r="D2239" s="3"/>
      <c r="E2239" s="3">
        <v>16</v>
      </c>
      <c r="F2239" s="4" t="str">
        <f>HYPERLINK("http://141.218.60.56/~jnz1568/getInfo.php?workbook=14_09.xlsx&amp;sheet=U0&amp;row=2239&amp;col=6&amp;number=4.5&amp;sourceID=14","4.5")</f>
        <v>4.5</v>
      </c>
      <c r="G2239" s="4" t="str">
        <f>HYPERLINK("http://141.218.60.56/~jnz1568/getInfo.php?workbook=14_09.xlsx&amp;sheet=U0&amp;row=2239&amp;col=7&amp;number=0.0164&amp;sourceID=14","0.0164")</f>
        <v>0.0164</v>
      </c>
    </row>
    <row r="2240" spans="1:7">
      <c r="A2240" s="3"/>
      <c r="B2240" s="3"/>
      <c r="C2240" s="3"/>
      <c r="D2240" s="3"/>
      <c r="E2240" s="3">
        <v>17</v>
      </c>
      <c r="F2240" s="4" t="str">
        <f>HYPERLINK("http://141.218.60.56/~jnz1568/getInfo.php?workbook=14_09.xlsx&amp;sheet=U0&amp;row=2240&amp;col=6&amp;number=4.6&amp;sourceID=14","4.6")</f>
        <v>4.6</v>
      </c>
      <c r="G2240" s="4" t="str">
        <f>HYPERLINK("http://141.218.60.56/~jnz1568/getInfo.php?workbook=14_09.xlsx&amp;sheet=U0&amp;row=2240&amp;col=7&amp;number=0.0152&amp;sourceID=14","0.0152")</f>
        <v>0.0152</v>
      </c>
    </row>
    <row r="2241" spans="1:7">
      <c r="A2241" s="3"/>
      <c r="B2241" s="3"/>
      <c r="C2241" s="3"/>
      <c r="D2241" s="3"/>
      <c r="E2241" s="3">
        <v>18</v>
      </c>
      <c r="F2241" s="4" t="str">
        <f>HYPERLINK("http://141.218.60.56/~jnz1568/getInfo.php?workbook=14_09.xlsx&amp;sheet=U0&amp;row=2241&amp;col=6&amp;number=4.7&amp;sourceID=14","4.7")</f>
        <v>4.7</v>
      </c>
      <c r="G2241" s="4" t="str">
        <f>HYPERLINK("http://141.218.60.56/~jnz1568/getInfo.php?workbook=14_09.xlsx&amp;sheet=U0&amp;row=2241&amp;col=7&amp;number=0.0139&amp;sourceID=14","0.0139")</f>
        <v>0.0139</v>
      </c>
    </row>
    <row r="2242" spans="1:7">
      <c r="A2242" s="3"/>
      <c r="B2242" s="3"/>
      <c r="C2242" s="3"/>
      <c r="D2242" s="3"/>
      <c r="E2242" s="3">
        <v>19</v>
      </c>
      <c r="F2242" s="4" t="str">
        <f>HYPERLINK("http://141.218.60.56/~jnz1568/getInfo.php?workbook=14_09.xlsx&amp;sheet=U0&amp;row=2242&amp;col=6&amp;number=4.8&amp;sourceID=14","4.8")</f>
        <v>4.8</v>
      </c>
      <c r="G2242" s="4" t="str">
        <f>HYPERLINK("http://141.218.60.56/~jnz1568/getInfo.php?workbook=14_09.xlsx&amp;sheet=U0&amp;row=2242&amp;col=7&amp;number=0.0127&amp;sourceID=14","0.0127")</f>
        <v>0.0127</v>
      </c>
    </row>
    <row r="2243" spans="1:7">
      <c r="A2243" s="3"/>
      <c r="B2243" s="3"/>
      <c r="C2243" s="3"/>
      <c r="D2243" s="3"/>
      <c r="E2243" s="3">
        <v>20</v>
      </c>
      <c r="F2243" s="4" t="str">
        <f>HYPERLINK("http://141.218.60.56/~jnz1568/getInfo.php?workbook=14_09.xlsx&amp;sheet=U0&amp;row=2243&amp;col=6&amp;number=4.9&amp;sourceID=14","4.9")</f>
        <v>4.9</v>
      </c>
      <c r="G2243" s="4" t="str">
        <f>HYPERLINK("http://141.218.60.56/~jnz1568/getInfo.php?workbook=14_09.xlsx&amp;sheet=U0&amp;row=2243&amp;col=7&amp;number=0.0116&amp;sourceID=14","0.0116")</f>
        <v>0.0116</v>
      </c>
    </row>
    <row r="2244" spans="1:7">
      <c r="A2244" s="3">
        <v>14</v>
      </c>
      <c r="B2244" s="3">
        <v>9</v>
      </c>
      <c r="C2244" s="3">
        <v>1</v>
      </c>
      <c r="D2244" s="3">
        <v>114</v>
      </c>
      <c r="E2244" s="3">
        <v>1</v>
      </c>
      <c r="F2244" s="4" t="str">
        <f>HYPERLINK("http://141.218.60.56/~jnz1568/getInfo.php?workbook=14_09.xlsx&amp;sheet=U0&amp;row=2244&amp;col=6&amp;number=3&amp;sourceID=14","3")</f>
        <v>3</v>
      </c>
      <c r="G2244" s="4" t="str">
        <f>HYPERLINK("http://141.218.60.56/~jnz1568/getInfo.php?workbook=14_09.xlsx&amp;sheet=U0&amp;row=2244&amp;col=7&amp;number=0.00504&amp;sourceID=14","0.00504")</f>
        <v>0.00504</v>
      </c>
    </row>
    <row r="2245" spans="1:7">
      <c r="A2245" s="3"/>
      <c r="B2245" s="3"/>
      <c r="C2245" s="3"/>
      <c r="D2245" s="3"/>
      <c r="E2245" s="3">
        <v>2</v>
      </c>
      <c r="F2245" s="4" t="str">
        <f>HYPERLINK("http://141.218.60.56/~jnz1568/getInfo.php?workbook=14_09.xlsx&amp;sheet=U0&amp;row=2245&amp;col=6&amp;number=3.1&amp;sourceID=14","3.1")</f>
        <v>3.1</v>
      </c>
      <c r="G2245" s="4" t="str">
        <f>HYPERLINK("http://141.218.60.56/~jnz1568/getInfo.php?workbook=14_09.xlsx&amp;sheet=U0&amp;row=2245&amp;col=7&amp;number=0.00503&amp;sourceID=14","0.00503")</f>
        <v>0.00503</v>
      </c>
    </row>
    <row r="2246" spans="1:7">
      <c r="A2246" s="3"/>
      <c r="B2246" s="3"/>
      <c r="C2246" s="3"/>
      <c r="D2246" s="3"/>
      <c r="E2246" s="3">
        <v>3</v>
      </c>
      <c r="F2246" s="4" t="str">
        <f>HYPERLINK("http://141.218.60.56/~jnz1568/getInfo.php?workbook=14_09.xlsx&amp;sheet=U0&amp;row=2246&amp;col=6&amp;number=3.2&amp;sourceID=14","3.2")</f>
        <v>3.2</v>
      </c>
      <c r="G2246" s="4" t="str">
        <f>HYPERLINK("http://141.218.60.56/~jnz1568/getInfo.php?workbook=14_09.xlsx&amp;sheet=U0&amp;row=2246&amp;col=7&amp;number=0.00502&amp;sourceID=14","0.00502")</f>
        <v>0.00502</v>
      </c>
    </row>
    <row r="2247" spans="1:7">
      <c r="A2247" s="3"/>
      <c r="B2247" s="3"/>
      <c r="C2247" s="3"/>
      <c r="D2247" s="3"/>
      <c r="E2247" s="3">
        <v>4</v>
      </c>
      <c r="F2247" s="4" t="str">
        <f>HYPERLINK("http://141.218.60.56/~jnz1568/getInfo.php?workbook=14_09.xlsx&amp;sheet=U0&amp;row=2247&amp;col=6&amp;number=3.3&amp;sourceID=14","3.3")</f>
        <v>3.3</v>
      </c>
      <c r="G2247" s="4" t="str">
        <f>HYPERLINK("http://141.218.60.56/~jnz1568/getInfo.php?workbook=14_09.xlsx&amp;sheet=U0&amp;row=2247&amp;col=7&amp;number=0.005&amp;sourceID=14","0.005")</f>
        <v>0.005</v>
      </c>
    </row>
    <row r="2248" spans="1:7">
      <c r="A2248" s="3"/>
      <c r="B2248" s="3"/>
      <c r="C2248" s="3"/>
      <c r="D2248" s="3"/>
      <c r="E2248" s="3">
        <v>5</v>
      </c>
      <c r="F2248" s="4" t="str">
        <f>HYPERLINK("http://141.218.60.56/~jnz1568/getInfo.php?workbook=14_09.xlsx&amp;sheet=U0&amp;row=2248&amp;col=6&amp;number=3.4&amp;sourceID=14","3.4")</f>
        <v>3.4</v>
      </c>
      <c r="G2248" s="4" t="str">
        <f>HYPERLINK("http://141.218.60.56/~jnz1568/getInfo.php?workbook=14_09.xlsx&amp;sheet=U0&amp;row=2248&amp;col=7&amp;number=0.00499&amp;sourceID=14","0.00499")</f>
        <v>0.00499</v>
      </c>
    </row>
    <row r="2249" spans="1:7">
      <c r="A2249" s="3"/>
      <c r="B2249" s="3"/>
      <c r="C2249" s="3"/>
      <c r="D2249" s="3"/>
      <c r="E2249" s="3">
        <v>6</v>
      </c>
      <c r="F2249" s="4" t="str">
        <f>HYPERLINK("http://141.218.60.56/~jnz1568/getInfo.php?workbook=14_09.xlsx&amp;sheet=U0&amp;row=2249&amp;col=6&amp;number=3.5&amp;sourceID=14","3.5")</f>
        <v>3.5</v>
      </c>
      <c r="G2249" s="4" t="str">
        <f>HYPERLINK("http://141.218.60.56/~jnz1568/getInfo.php?workbook=14_09.xlsx&amp;sheet=U0&amp;row=2249&amp;col=7&amp;number=0.00497&amp;sourceID=14","0.00497")</f>
        <v>0.00497</v>
      </c>
    </row>
    <row r="2250" spans="1:7">
      <c r="A2250" s="3"/>
      <c r="B2250" s="3"/>
      <c r="C2250" s="3"/>
      <c r="D2250" s="3"/>
      <c r="E2250" s="3">
        <v>7</v>
      </c>
      <c r="F2250" s="4" t="str">
        <f>HYPERLINK("http://141.218.60.56/~jnz1568/getInfo.php?workbook=14_09.xlsx&amp;sheet=U0&amp;row=2250&amp;col=6&amp;number=3.6&amp;sourceID=14","3.6")</f>
        <v>3.6</v>
      </c>
      <c r="G2250" s="4" t="str">
        <f>HYPERLINK("http://141.218.60.56/~jnz1568/getInfo.php?workbook=14_09.xlsx&amp;sheet=U0&amp;row=2250&amp;col=7&amp;number=0.00494&amp;sourceID=14","0.00494")</f>
        <v>0.00494</v>
      </c>
    </row>
    <row r="2251" spans="1:7">
      <c r="A2251" s="3"/>
      <c r="B2251" s="3"/>
      <c r="C2251" s="3"/>
      <c r="D2251" s="3"/>
      <c r="E2251" s="3">
        <v>8</v>
      </c>
      <c r="F2251" s="4" t="str">
        <f>HYPERLINK("http://141.218.60.56/~jnz1568/getInfo.php?workbook=14_09.xlsx&amp;sheet=U0&amp;row=2251&amp;col=6&amp;number=3.7&amp;sourceID=14","3.7")</f>
        <v>3.7</v>
      </c>
      <c r="G2251" s="4" t="str">
        <f>HYPERLINK("http://141.218.60.56/~jnz1568/getInfo.php?workbook=14_09.xlsx&amp;sheet=U0&amp;row=2251&amp;col=7&amp;number=0.00491&amp;sourceID=14","0.00491")</f>
        <v>0.00491</v>
      </c>
    </row>
    <row r="2252" spans="1:7">
      <c r="A2252" s="3"/>
      <c r="B2252" s="3"/>
      <c r="C2252" s="3"/>
      <c r="D2252" s="3"/>
      <c r="E2252" s="3">
        <v>9</v>
      </c>
      <c r="F2252" s="4" t="str">
        <f>HYPERLINK("http://141.218.60.56/~jnz1568/getInfo.php?workbook=14_09.xlsx&amp;sheet=U0&amp;row=2252&amp;col=6&amp;number=3.8&amp;sourceID=14","3.8")</f>
        <v>3.8</v>
      </c>
      <c r="G2252" s="4" t="str">
        <f>HYPERLINK("http://141.218.60.56/~jnz1568/getInfo.php?workbook=14_09.xlsx&amp;sheet=U0&amp;row=2252&amp;col=7&amp;number=0.00487&amp;sourceID=14","0.00487")</f>
        <v>0.00487</v>
      </c>
    </row>
    <row r="2253" spans="1:7">
      <c r="A2253" s="3"/>
      <c r="B2253" s="3"/>
      <c r="C2253" s="3"/>
      <c r="D2253" s="3"/>
      <c r="E2253" s="3">
        <v>10</v>
      </c>
      <c r="F2253" s="4" t="str">
        <f>HYPERLINK("http://141.218.60.56/~jnz1568/getInfo.php?workbook=14_09.xlsx&amp;sheet=U0&amp;row=2253&amp;col=6&amp;number=3.9&amp;sourceID=14","3.9")</f>
        <v>3.9</v>
      </c>
      <c r="G2253" s="4" t="str">
        <f>HYPERLINK("http://141.218.60.56/~jnz1568/getInfo.php?workbook=14_09.xlsx&amp;sheet=U0&amp;row=2253&amp;col=7&amp;number=0.00482&amp;sourceID=14","0.00482")</f>
        <v>0.00482</v>
      </c>
    </row>
    <row r="2254" spans="1:7">
      <c r="A2254" s="3"/>
      <c r="B2254" s="3"/>
      <c r="C2254" s="3"/>
      <c r="D2254" s="3"/>
      <c r="E2254" s="3">
        <v>11</v>
      </c>
      <c r="F2254" s="4" t="str">
        <f>HYPERLINK("http://141.218.60.56/~jnz1568/getInfo.php?workbook=14_09.xlsx&amp;sheet=U0&amp;row=2254&amp;col=6&amp;number=4&amp;sourceID=14","4")</f>
        <v>4</v>
      </c>
      <c r="G2254" s="4" t="str">
        <f>HYPERLINK("http://141.218.60.56/~jnz1568/getInfo.php?workbook=14_09.xlsx&amp;sheet=U0&amp;row=2254&amp;col=7&amp;number=0.00476&amp;sourceID=14","0.00476")</f>
        <v>0.00476</v>
      </c>
    </row>
    <row r="2255" spans="1:7">
      <c r="A2255" s="3"/>
      <c r="B2255" s="3"/>
      <c r="C2255" s="3"/>
      <c r="D2255" s="3"/>
      <c r="E2255" s="3">
        <v>12</v>
      </c>
      <c r="F2255" s="4" t="str">
        <f>HYPERLINK("http://141.218.60.56/~jnz1568/getInfo.php?workbook=14_09.xlsx&amp;sheet=U0&amp;row=2255&amp;col=6&amp;number=4.1&amp;sourceID=14","4.1")</f>
        <v>4.1</v>
      </c>
      <c r="G2255" s="4" t="str">
        <f>HYPERLINK("http://141.218.60.56/~jnz1568/getInfo.php?workbook=14_09.xlsx&amp;sheet=U0&amp;row=2255&amp;col=7&amp;number=0.00468&amp;sourceID=14","0.00468")</f>
        <v>0.00468</v>
      </c>
    </row>
    <row r="2256" spans="1:7">
      <c r="A2256" s="3"/>
      <c r="B2256" s="3"/>
      <c r="C2256" s="3"/>
      <c r="D2256" s="3"/>
      <c r="E2256" s="3">
        <v>13</v>
      </c>
      <c r="F2256" s="4" t="str">
        <f>HYPERLINK("http://141.218.60.56/~jnz1568/getInfo.php?workbook=14_09.xlsx&amp;sheet=U0&amp;row=2256&amp;col=6&amp;number=4.2&amp;sourceID=14","4.2")</f>
        <v>4.2</v>
      </c>
      <c r="G2256" s="4" t="str">
        <f>HYPERLINK("http://141.218.60.56/~jnz1568/getInfo.php?workbook=14_09.xlsx&amp;sheet=U0&amp;row=2256&amp;col=7&amp;number=0.00459&amp;sourceID=14","0.00459")</f>
        <v>0.00459</v>
      </c>
    </row>
    <row r="2257" spans="1:7">
      <c r="A2257" s="3"/>
      <c r="B2257" s="3"/>
      <c r="C2257" s="3"/>
      <c r="D2257" s="3"/>
      <c r="E2257" s="3">
        <v>14</v>
      </c>
      <c r="F2257" s="4" t="str">
        <f>HYPERLINK("http://141.218.60.56/~jnz1568/getInfo.php?workbook=14_09.xlsx&amp;sheet=U0&amp;row=2257&amp;col=6&amp;number=4.3&amp;sourceID=14","4.3")</f>
        <v>4.3</v>
      </c>
      <c r="G2257" s="4" t="str">
        <f>HYPERLINK("http://141.218.60.56/~jnz1568/getInfo.php?workbook=14_09.xlsx&amp;sheet=U0&amp;row=2257&amp;col=7&amp;number=0.00447&amp;sourceID=14","0.00447")</f>
        <v>0.00447</v>
      </c>
    </row>
    <row r="2258" spans="1:7">
      <c r="A2258" s="3"/>
      <c r="B2258" s="3"/>
      <c r="C2258" s="3"/>
      <c r="D2258" s="3"/>
      <c r="E2258" s="3">
        <v>15</v>
      </c>
      <c r="F2258" s="4" t="str">
        <f>HYPERLINK("http://141.218.60.56/~jnz1568/getInfo.php?workbook=14_09.xlsx&amp;sheet=U0&amp;row=2258&amp;col=6&amp;number=4.4&amp;sourceID=14","4.4")</f>
        <v>4.4</v>
      </c>
      <c r="G2258" s="4" t="str">
        <f>HYPERLINK("http://141.218.60.56/~jnz1568/getInfo.php?workbook=14_09.xlsx&amp;sheet=U0&amp;row=2258&amp;col=7&amp;number=0.00433&amp;sourceID=14","0.00433")</f>
        <v>0.00433</v>
      </c>
    </row>
    <row r="2259" spans="1:7">
      <c r="A2259" s="3"/>
      <c r="B2259" s="3"/>
      <c r="C2259" s="3"/>
      <c r="D2259" s="3"/>
      <c r="E2259" s="3">
        <v>16</v>
      </c>
      <c r="F2259" s="4" t="str">
        <f>HYPERLINK("http://141.218.60.56/~jnz1568/getInfo.php?workbook=14_09.xlsx&amp;sheet=U0&amp;row=2259&amp;col=6&amp;number=4.5&amp;sourceID=14","4.5")</f>
        <v>4.5</v>
      </c>
      <c r="G2259" s="4" t="str">
        <f>HYPERLINK("http://141.218.60.56/~jnz1568/getInfo.php?workbook=14_09.xlsx&amp;sheet=U0&amp;row=2259&amp;col=7&amp;number=0.00417&amp;sourceID=14","0.00417")</f>
        <v>0.00417</v>
      </c>
    </row>
    <row r="2260" spans="1:7">
      <c r="A2260" s="3"/>
      <c r="B2260" s="3"/>
      <c r="C2260" s="3"/>
      <c r="D2260" s="3"/>
      <c r="E2260" s="3">
        <v>17</v>
      </c>
      <c r="F2260" s="4" t="str">
        <f>HYPERLINK("http://141.218.60.56/~jnz1568/getInfo.php?workbook=14_09.xlsx&amp;sheet=U0&amp;row=2260&amp;col=6&amp;number=4.6&amp;sourceID=14","4.6")</f>
        <v>4.6</v>
      </c>
      <c r="G2260" s="4" t="str">
        <f>HYPERLINK("http://141.218.60.56/~jnz1568/getInfo.php?workbook=14_09.xlsx&amp;sheet=U0&amp;row=2260&amp;col=7&amp;number=0.00398&amp;sourceID=14","0.00398")</f>
        <v>0.00398</v>
      </c>
    </row>
    <row r="2261" spans="1:7">
      <c r="A2261" s="3"/>
      <c r="B2261" s="3"/>
      <c r="C2261" s="3"/>
      <c r="D2261" s="3"/>
      <c r="E2261" s="3">
        <v>18</v>
      </c>
      <c r="F2261" s="4" t="str">
        <f>HYPERLINK("http://141.218.60.56/~jnz1568/getInfo.php?workbook=14_09.xlsx&amp;sheet=U0&amp;row=2261&amp;col=6&amp;number=4.7&amp;sourceID=14","4.7")</f>
        <v>4.7</v>
      </c>
      <c r="G2261" s="4" t="str">
        <f>HYPERLINK("http://141.218.60.56/~jnz1568/getInfo.php?workbook=14_09.xlsx&amp;sheet=U0&amp;row=2261&amp;col=7&amp;number=0.00378&amp;sourceID=14","0.00378")</f>
        <v>0.00378</v>
      </c>
    </row>
    <row r="2262" spans="1:7">
      <c r="A2262" s="3"/>
      <c r="B2262" s="3"/>
      <c r="C2262" s="3"/>
      <c r="D2262" s="3"/>
      <c r="E2262" s="3">
        <v>19</v>
      </c>
      <c r="F2262" s="4" t="str">
        <f>HYPERLINK("http://141.218.60.56/~jnz1568/getInfo.php?workbook=14_09.xlsx&amp;sheet=U0&amp;row=2262&amp;col=6&amp;number=4.8&amp;sourceID=14","4.8")</f>
        <v>4.8</v>
      </c>
      <c r="G2262" s="4" t="str">
        <f>HYPERLINK("http://141.218.60.56/~jnz1568/getInfo.php?workbook=14_09.xlsx&amp;sheet=U0&amp;row=2262&amp;col=7&amp;number=0.00357&amp;sourceID=14","0.00357")</f>
        <v>0.00357</v>
      </c>
    </row>
    <row r="2263" spans="1:7">
      <c r="A2263" s="3"/>
      <c r="B2263" s="3"/>
      <c r="C2263" s="3"/>
      <c r="D2263" s="3"/>
      <c r="E2263" s="3">
        <v>20</v>
      </c>
      <c r="F2263" s="4" t="str">
        <f>HYPERLINK("http://141.218.60.56/~jnz1568/getInfo.php?workbook=14_09.xlsx&amp;sheet=U0&amp;row=2263&amp;col=6&amp;number=4.9&amp;sourceID=14","4.9")</f>
        <v>4.9</v>
      </c>
      <c r="G2263" s="4" t="str">
        <f>HYPERLINK("http://141.218.60.56/~jnz1568/getInfo.php?workbook=14_09.xlsx&amp;sheet=U0&amp;row=2263&amp;col=7&amp;number=0.00337&amp;sourceID=14","0.00337")</f>
        <v>0.00337</v>
      </c>
    </row>
    <row r="2264" spans="1:7">
      <c r="A2264" s="3">
        <v>14</v>
      </c>
      <c r="B2264" s="3">
        <v>9</v>
      </c>
      <c r="C2264" s="3">
        <v>1</v>
      </c>
      <c r="D2264" s="3">
        <v>115</v>
      </c>
      <c r="E2264" s="3">
        <v>1</v>
      </c>
      <c r="F2264" s="4" t="str">
        <f>HYPERLINK("http://141.218.60.56/~jnz1568/getInfo.php?workbook=14_09.xlsx&amp;sheet=U0&amp;row=2264&amp;col=6&amp;number=3&amp;sourceID=14","3")</f>
        <v>3</v>
      </c>
      <c r="G2264" s="4" t="str">
        <f>HYPERLINK("http://141.218.60.56/~jnz1568/getInfo.php?workbook=14_09.xlsx&amp;sheet=U0&amp;row=2264&amp;col=7&amp;number=0.0407&amp;sourceID=14","0.0407")</f>
        <v>0.0407</v>
      </c>
    </row>
    <row r="2265" spans="1:7">
      <c r="A2265" s="3"/>
      <c r="B2265" s="3"/>
      <c r="C2265" s="3"/>
      <c r="D2265" s="3"/>
      <c r="E2265" s="3">
        <v>2</v>
      </c>
      <c r="F2265" s="4" t="str">
        <f>HYPERLINK("http://141.218.60.56/~jnz1568/getInfo.php?workbook=14_09.xlsx&amp;sheet=U0&amp;row=2265&amp;col=6&amp;number=3.1&amp;sourceID=14","3.1")</f>
        <v>3.1</v>
      </c>
      <c r="G2265" s="4" t="str">
        <f>HYPERLINK("http://141.218.60.56/~jnz1568/getInfo.php?workbook=14_09.xlsx&amp;sheet=U0&amp;row=2265&amp;col=7&amp;number=0.0406&amp;sourceID=14","0.0406")</f>
        <v>0.0406</v>
      </c>
    </row>
    <row r="2266" spans="1:7">
      <c r="A2266" s="3"/>
      <c r="B2266" s="3"/>
      <c r="C2266" s="3"/>
      <c r="D2266" s="3"/>
      <c r="E2266" s="3">
        <v>3</v>
      </c>
      <c r="F2266" s="4" t="str">
        <f>HYPERLINK("http://141.218.60.56/~jnz1568/getInfo.php?workbook=14_09.xlsx&amp;sheet=U0&amp;row=2266&amp;col=6&amp;number=3.2&amp;sourceID=14","3.2")</f>
        <v>3.2</v>
      </c>
      <c r="G2266" s="4" t="str">
        <f>HYPERLINK("http://141.218.60.56/~jnz1568/getInfo.php?workbook=14_09.xlsx&amp;sheet=U0&amp;row=2266&amp;col=7&amp;number=0.0405&amp;sourceID=14","0.0405")</f>
        <v>0.0405</v>
      </c>
    </row>
    <row r="2267" spans="1:7">
      <c r="A2267" s="3"/>
      <c r="B2267" s="3"/>
      <c r="C2267" s="3"/>
      <c r="D2267" s="3"/>
      <c r="E2267" s="3">
        <v>4</v>
      </c>
      <c r="F2267" s="4" t="str">
        <f>HYPERLINK("http://141.218.60.56/~jnz1568/getInfo.php?workbook=14_09.xlsx&amp;sheet=U0&amp;row=2267&amp;col=6&amp;number=3.3&amp;sourceID=14","3.3")</f>
        <v>3.3</v>
      </c>
      <c r="G2267" s="4" t="str">
        <f>HYPERLINK("http://141.218.60.56/~jnz1568/getInfo.php?workbook=14_09.xlsx&amp;sheet=U0&amp;row=2267&amp;col=7&amp;number=0.0404&amp;sourceID=14","0.0404")</f>
        <v>0.0404</v>
      </c>
    </row>
    <row r="2268" spans="1:7">
      <c r="A2268" s="3"/>
      <c r="B2268" s="3"/>
      <c r="C2268" s="3"/>
      <c r="D2268" s="3"/>
      <c r="E2268" s="3">
        <v>5</v>
      </c>
      <c r="F2268" s="4" t="str">
        <f>HYPERLINK("http://141.218.60.56/~jnz1568/getInfo.php?workbook=14_09.xlsx&amp;sheet=U0&amp;row=2268&amp;col=6&amp;number=3.4&amp;sourceID=14","3.4")</f>
        <v>3.4</v>
      </c>
      <c r="G2268" s="4" t="str">
        <f>HYPERLINK("http://141.218.60.56/~jnz1568/getInfo.php?workbook=14_09.xlsx&amp;sheet=U0&amp;row=2268&amp;col=7&amp;number=0.0402&amp;sourceID=14","0.0402")</f>
        <v>0.0402</v>
      </c>
    </row>
    <row r="2269" spans="1:7">
      <c r="A2269" s="3"/>
      <c r="B2269" s="3"/>
      <c r="C2269" s="3"/>
      <c r="D2269" s="3"/>
      <c r="E2269" s="3">
        <v>6</v>
      </c>
      <c r="F2269" s="4" t="str">
        <f>HYPERLINK("http://141.218.60.56/~jnz1568/getInfo.php?workbook=14_09.xlsx&amp;sheet=U0&amp;row=2269&amp;col=6&amp;number=3.5&amp;sourceID=14","3.5")</f>
        <v>3.5</v>
      </c>
      <c r="G2269" s="4" t="str">
        <f>HYPERLINK("http://141.218.60.56/~jnz1568/getInfo.php?workbook=14_09.xlsx&amp;sheet=U0&amp;row=2269&amp;col=7&amp;number=0.04&amp;sourceID=14","0.04")</f>
        <v>0.04</v>
      </c>
    </row>
    <row r="2270" spans="1:7">
      <c r="A2270" s="3"/>
      <c r="B2270" s="3"/>
      <c r="C2270" s="3"/>
      <c r="D2270" s="3"/>
      <c r="E2270" s="3">
        <v>7</v>
      </c>
      <c r="F2270" s="4" t="str">
        <f>HYPERLINK("http://141.218.60.56/~jnz1568/getInfo.php?workbook=14_09.xlsx&amp;sheet=U0&amp;row=2270&amp;col=6&amp;number=3.6&amp;sourceID=14","3.6")</f>
        <v>3.6</v>
      </c>
      <c r="G2270" s="4" t="str">
        <f>HYPERLINK("http://141.218.60.56/~jnz1568/getInfo.php?workbook=14_09.xlsx&amp;sheet=U0&amp;row=2270&amp;col=7&amp;number=0.0397&amp;sourceID=14","0.0397")</f>
        <v>0.0397</v>
      </c>
    </row>
    <row r="2271" spans="1:7">
      <c r="A2271" s="3"/>
      <c r="B2271" s="3"/>
      <c r="C2271" s="3"/>
      <c r="D2271" s="3"/>
      <c r="E2271" s="3">
        <v>8</v>
      </c>
      <c r="F2271" s="4" t="str">
        <f>HYPERLINK("http://141.218.60.56/~jnz1568/getInfo.php?workbook=14_09.xlsx&amp;sheet=U0&amp;row=2271&amp;col=6&amp;number=3.7&amp;sourceID=14","3.7")</f>
        <v>3.7</v>
      </c>
      <c r="G2271" s="4" t="str">
        <f>HYPERLINK("http://141.218.60.56/~jnz1568/getInfo.php?workbook=14_09.xlsx&amp;sheet=U0&amp;row=2271&amp;col=7&amp;number=0.0393&amp;sourceID=14","0.0393")</f>
        <v>0.0393</v>
      </c>
    </row>
    <row r="2272" spans="1:7">
      <c r="A2272" s="3"/>
      <c r="B2272" s="3"/>
      <c r="C2272" s="3"/>
      <c r="D2272" s="3"/>
      <c r="E2272" s="3">
        <v>9</v>
      </c>
      <c r="F2272" s="4" t="str">
        <f>HYPERLINK("http://141.218.60.56/~jnz1568/getInfo.php?workbook=14_09.xlsx&amp;sheet=U0&amp;row=2272&amp;col=6&amp;number=3.8&amp;sourceID=14","3.8")</f>
        <v>3.8</v>
      </c>
      <c r="G2272" s="4" t="str">
        <f>HYPERLINK("http://141.218.60.56/~jnz1568/getInfo.php?workbook=14_09.xlsx&amp;sheet=U0&amp;row=2272&amp;col=7&amp;number=0.0388&amp;sourceID=14","0.0388")</f>
        <v>0.0388</v>
      </c>
    </row>
    <row r="2273" spans="1:7">
      <c r="A2273" s="3"/>
      <c r="B2273" s="3"/>
      <c r="C2273" s="3"/>
      <c r="D2273" s="3"/>
      <c r="E2273" s="3">
        <v>10</v>
      </c>
      <c r="F2273" s="4" t="str">
        <f>HYPERLINK("http://141.218.60.56/~jnz1568/getInfo.php?workbook=14_09.xlsx&amp;sheet=U0&amp;row=2273&amp;col=6&amp;number=3.9&amp;sourceID=14","3.9")</f>
        <v>3.9</v>
      </c>
      <c r="G2273" s="4" t="str">
        <f>HYPERLINK("http://141.218.60.56/~jnz1568/getInfo.php?workbook=14_09.xlsx&amp;sheet=U0&amp;row=2273&amp;col=7&amp;number=0.0383&amp;sourceID=14","0.0383")</f>
        <v>0.0383</v>
      </c>
    </row>
    <row r="2274" spans="1:7">
      <c r="A2274" s="3"/>
      <c r="B2274" s="3"/>
      <c r="C2274" s="3"/>
      <c r="D2274" s="3"/>
      <c r="E2274" s="3">
        <v>11</v>
      </c>
      <c r="F2274" s="4" t="str">
        <f>HYPERLINK("http://141.218.60.56/~jnz1568/getInfo.php?workbook=14_09.xlsx&amp;sheet=U0&amp;row=2274&amp;col=6&amp;number=4&amp;sourceID=14","4")</f>
        <v>4</v>
      </c>
      <c r="G2274" s="4" t="str">
        <f>HYPERLINK("http://141.218.60.56/~jnz1568/getInfo.php?workbook=14_09.xlsx&amp;sheet=U0&amp;row=2274&amp;col=7&amp;number=0.0375&amp;sourceID=14","0.0375")</f>
        <v>0.0375</v>
      </c>
    </row>
    <row r="2275" spans="1:7">
      <c r="A2275" s="3"/>
      <c r="B2275" s="3"/>
      <c r="C2275" s="3"/>
      <c r="D2275" s="3"/>
      <c r="E2275" s="3">
        <v>12</v>
      </c>
      <c r="F2275" s="4" t="str">
        <f>HYPERLINK("http://141.218.60.56/~jnz1568/getInfo.php?workbook=14_09.xlsx&amp;sheet=U0&amp;row=2275&amp;col=6&amp;number=4.1&amp;sourceID=14","4.1")</f>
        <v>4.1</v>
      </c>
      <c r="G2275" s="4" t="str">
        <f>HYPERLINK("http://141.218.60.56/~jnz1568/getInfo.php?workbook=14_09.xlsx&amp;sheet=U0&amp;row=2275&amp;col=7&amp;number=0.0366&amp;sourceID=14","0.0366")</f>
        <v>0.0366</v>
      </c>
    </row>
    <row r="2276" spans="1:7">
      <c r="A2276" s="3"/>
      <c r="B2276" s="3"/>
      <c r="C2276" s="3"/>
      <c r="D2276" s="3"/>
      <c r="E2276" s="3">
        <v>13</v>
      </c>
      <c r="F2276" s="4" t="str">
        <f>HYPERLINK("http://141.218.60.56/~jnz1568/getInfo.php?workbook=14_09.xlsx&amp;sheet=U0&amp;row=2276&amp;col=6&amp;number=4.2&amp;sourceID=14","4.2")</f>
        <v>4.2</v>
      </c>
      <c r="G2276" s="4" t="str">
        <f>HYPERLINK("http://141.218.60.56/~jnz1568/getInfo.php?workbook=14_09.xlsx&amp;sheet=U0&amp;row=2276&amp;col=7&amp;number=0.0356&amp;sourceID=14","0.0356")</f>
        <v>0.0356</v>
      </c>
    </row>
    <row r="2277" spans="1:7">
      <c r="A2277" s="3"/>
      <c r="B2277" s="3"/>
      <c r="C2277" s="3"/>
      <c r="D2277" s="3"/>
      <c r="E2277" s="3">
        <v>14</v>
      </c>
      <c r="F2277" s="4" t="str">
        <f>HYPERLINK("http://141.218.60.56/~jnz1568/getInfo.php?workbook=14_09.xlsx&amp;sheet=U0&amp;row=2277&amp;col=6&amp;number=4.3&amp;sourceID=14","4.3")</f>
        <v>4.3</v>
      </c>
      <c r="G2277" s="4" t="str">
        <f>HYPERLINK("http://141.218.60.56/~jnz1568/getInfo.php?workbook=14_09.xlsx&amp;sheet=U0&amp;row=2277&amp;col=7&amp;number=0.0342&amp;sourceID=14","0.0342")</f>
        <v>0.0342</v>
      </c>
    </row>
    <row r="2278" spans="1:7">
      <c r="A2278" s="3"/>
      <c r="B2278" s="3"/>
      <c r="C2278" s="3"/>
      <c r="D2278" s="3"/>
      <c r="E2278" s="3">
        <v>15</v>
      </c>
      <c r="F2278" s="4" t="str">
        <f>HYPERLINK("http://141.218.60.56/~jnz1568/getInfo.php?workbook=14_09.xlsx&amp;sheet=U0&amp;row=2278&amp;col=6&amp;number=4.4&amp;sourceID=14","4.4")</f>
        <v>4.4</v>
      </c>
      <c r="G2278" s="4" t="str">
        <f>HYPERLINK("http://141.218.60.56/~jnz1568/getInfo.php?workbook=14_09.xlsx&amp;sheet=U0&amp;row=2278&amp;col=7&amp;number=0.0327&amp;sourceID=14","0.0327")</f>
        <v>0.0327</v>
      </c>
    </row>
    <row r="2279" spans="1:7">
      <c r="A2279" s="3"/>
      <c r="B2279" s="3"/>
      <c r="C2279" s="3"/>
      <c r="D2279" s="3"/>
      <c r="E2279" s="3">
        <v>16</v>
      </c>
      <c r="F2279" s="4" t="str">
        <f>HYPERLINK("http://141.218.60.56/~jnz1568/getInfo.php?workbook=14_09.xlsx&amp;sheet=U0&amp;row=2279&amp;col=6&amp;number=4.5&amp;sourceID=14","4.5")</f>
        <v>4.5</v>
      </c>
      <c r="G2279" s="4" t="str">
        <f>HYPERLINK("http://141.218.60.56/~jnz1568/getInfo.php?workbook=14_09.xlsx&amp;sheet=U0&amp;row=2279&amp;col=7&amp;number=0.0308&amp;sourceID=14","0.0308")</f>
        <v>0.0308</v>
      </c>
    </row>
    <row r="2280" spans="1:7">
      <c r="A2280" s="3"/>
      <c r="B2280" s="3"/>
      <c r="C2280" s="3"/>
      <c r="D2280" s="3"/>
      <c r="E2280" s="3">
        <v>17</v>
      </c>
      <c r="F2280" s="4" t="str">
        <f>HYPERLINK("http://141.218.60.56/~jnz1568/getInfo.php?workbook=14_09.xlsx&amp;sheet=U0&amp;row=2280&amp;col=6&amp;number=4.6&amp;sourceID=14","4.6")</f>
        <v>4.6</v>
      </c>
      <c r="G2280" s="4" t="str">
        <f>HYPERLINK("http://141.218.60.56/~jnz1568/getInfo.php?workbook=14_09.xlsx&amp;sheet=U0&amp;row=2280&amp;col=7&amp;number=0.0287&amp;sourceID=14","0.0287")</f>
        <v>0.0287</v>
      </c>
    </row>
    <row r="2281" spans="1:7">
      <c r="A2281" s="3"/>
      <c r="B2281" s="3"/>
      <c r="C2281" s="3"/>
      <c r="D2281" s="3"/>
      <c r="E2281" s="3">
        <v>18</v>
      </c>
      <c r="F2281" s="4" t="str">
        <f>HYPERLINK("http://141.218.60.56/~jnz1568/getInfo.php?workbook=14_09.xlsx&amp;sheet=U0&amp;row=2281&amp;col=6&amp;number=4.7&amp;sourceID=14","4.7")</f>
        <v>4.7</v>
      </c>
      <c r="G2281" s="4" t="str">
        <f>HYPERLINK("http://141.218.60.56/~jnz1568/getInfo.php?workbook=14_09.xlsx&amp;sheet=U0&amp;row=2281&amp;col=7&amp;number=0.0264&amp;sourceID=14","0.0264")</f>
        <v>0.0264</v>
      </c>
    </row>
    <row r="2282" spans="1:7">
      <c r="A2282" s="3"/>
      <c r="B2282" s="3"/>
      <c r="C2282" s="3"/>
      <c r="D2282" s="3"/>
      <c r="E2282" s="3">
        <v>19</v>
      </c>
      <c r="F2282" s="4" t="str">
        <f>HYPERLINK("http://141.218.60.56/~jnz1568/getInfo.php?workbook=14_09.xlsx&amp;sheet=U0&amp;row=2282&amp;col=6&amp;number=4.8&amp;sourceID=14","4.8")</f>
        <v>4.8</v>
      </c>
      <c r="G2282" s="4" t="str">
        <f>HYPERLINK("http://141.218.60.56/~jnz1568/getInfo.php?workbook=14_09.xlsx&amp;sheet=U0&amp;row=2282&amp;col=7&amp;number=0.0241&amp;sourceID=14","0.0241")</f>
        <v>0.0241</v>
      </c>
    </row>
    <row r="2283" spans="1:7">
      <c r="A2283" s="3"/>
      <c r="B2283" s="3"/>
      <c r="C2283" s="3"/>
      <c r="D2283" s="3"/>
      <c r="E2283" s="3">
        <v>20</v>
      </c>
      <c r="F2283" s="4" t="str">
        <f>HYPERLINK("http://141.218.60.56/~jnz1568/getInfo.php?workbook=14_09.xlsx&amp;sheet=U0&amp;row=2283&amp;col=6&amp;number=4.9&amp;sourceID=14","4.9")</f>
        <v>4.9</v>
      </c>
      <c r="G2283" s="4" t="str">
        <f>HYPERLINK("http://141.218.60.56/~jnz1568/getInfo.php?workbook=14_09.xlsx&amp;sheet=U0&amp;row=2283&amp;col=7&amp;number=0.022&amp;sourceID=14","0.022")</f>
        <v>0.022</v>
      </c>
    </row>
    <row r="2284" spans="1:7">
      <c r="A2284" s="3">
        <v>14</v>
      </c>
      <c r="B2284" s="3">
        <v>9</v>
      </c>
      <c r="C2284" s="3">
        <v>1</v>
      </c>
      <c r="D2284" s="3">
        <v>116</v>
      </c>
      <c r="E2284" s="3">
        <v>1</v>
      </c>
      <c r="F2284" s="4" t="str">
        <f>HYPERLINK("http://141.218.60.56/~jnz1568/getInfo.php?workbook=14_09.xlsx&amp;sheet=U0&amp;row=2284&amp;col=6&amp;number=3&amp;sourceID=14","3")</f>
        <v>3</v>
      </c>
      <c r="G2284" s="4" t="str">
        <f>HYPERLINK("http://141.218.60.56/~jnz1568/getInfo.php?workbook=14_09.xlsx&amp;sheet=U0&amp;row=2284&amp;col=7&amp;number=0.00484&amp;sourceID=14","0.00484")</f>
        <v>0.00484</v>
      </c>
    </row>
    <row r="2285" spans="1:7">
      <c r="A2285" s="3"/>
      <c r="B2285" s="3"/>
      <c r="C2285" s="3"/>
      <c r="D2285" s="3"/>
      <c r="E2285" s="3">
        <v>2</v>
      </c>
      <c r="F2285" s="4" t="str">
        <f>HYPERLINK("http://141.218.60.56/~jnz1568/getInfo.php?workbook=14_09.xlsx&amp;sheet=U0&amp;row=2285&amp;col=6&amp;number=3.1&amp;sourceID=14","3.1")</f>
        <v>3.1</v>
      </c>
      <c r="G2285" s="4" t="str">
        <f>HYPERLINK("http://141.218.60.56/~jnz1568/getInfo.php?workbook=14_09.xlsx&amp;sheet=U0&amp;row=2285&amp;col=7&amp;number=0.00483&amp;sourceID=14","0.00483")</f>
        <v>0.00483</v>
      </c>
    </row>
    <row r="2286" spans="1:7">
      <c r="A2286" s="3"/>
      <c r="B2286" s="3"/>
      <c r="C2286" s="3"/>
      <c r="D2286" s="3"/>
      <c r="E2286" s="3">
        <v>3</v>
      </c>
      <c r="F2286" s="4" t="str">
        <f>HYPERLINK("http://141.218.60.56/~jnz1568/getInfo.php?workbook=14_09.xlsx&amp;sheet=U0&amp;row=2286&amp;col=6&amp;number=3.2&amp;sourceID=14","3.2")</f>
        <v>3.2</v>
      </c>
      <c r="G2286" s="4" t="str">
        <f>HYPERLINK("http://141.218.60.56/~jnz1568/getInfo.php?workbook=14_09.xlsx&amp;sheet=U0&amp;row=2286&amp;col=7&amp;number=0.00483&amp;sourceID=14","0.00483")</f>
        <v>0.00483</v>
      </c>
    </row>
    <row r="2287" spans="1:7">
      <c r="A2287" s="3"/>
      <c r="B2287" s="3"/>
      <c r="C2287" s="3"/>
      <c r="D2287" s="3"/>
      <c r="E2287" s="3">
        <v>4</v>
      </c>
      <c r="F2287" s="4" t="str">
        <f>HYPERLINK("http://141.218.60.56/~jnz1568/getInfo.php?workbook=14_09.xlsx&amp;sheet=U0&amp;row=2287&amp;col=6&amp;number=3.3&amp;sourceID=14","3.3")</f>
        <v>3.3</v>
      </c>
      <c r="G2287" s="4" t="str">
        <f>HYPERLINK("http://141.218.60.56/~jnz1568/getInfo.php?workbook=14_09.xlsx&amp;sheet=U0&amp;row=2287&amp;col=7&amp;number=0.00482&amp;sourceID=14","0.00482")</f>
        <v>0.00482</v>
      </c>
    </row>
    <row r="2288" spans="1:7">
      <c r="A2288" s="3"/>
      <c r="B2288" s="3"/>
      <c r="C2288" s="3"/>
      <c r="D2288" s="3"/>
      <c r="E2288" s="3">
        <v>5</v>
      </c>
      <c r="F2288" s="4" t="str">
        <f>HYPERLINK("http://141.218.60.56/~jnz1568/getInfo.php?workbook=14_09.xlsx&amp;sheet=U0&amp;row=2288&amp;col=6&amp;number=3.4&amp;sourceID=14","3.4")</f>
        <v>3.4</v>
      </c>
      <c r="G2288" s="4" t="str">
        <f>HYPERLINK("http://141.218.60.56/~jnz1568/getInfo.php?workbook=14_09.xlsx&amp;sheet=U0&amp;row=2288&amp;col=7&amp;number=0.00481&amp;sourceID=14","0.00481")</f>
        <v>0.00481</v>
      </c>
    </row>
    <row r="2289" spans="1:7">
      <c r="A2289" s="3"/>
      <c r="B2289" s="3"/>
      <c r="C2289" s="3"/>
      <c r="D2289" s="3"/>
      <c r="E2289" s="3">
        <v>6</v>
      </c>
      <c r="F2289" s="4" t="str">
        <f>HYPERLINK("http://141.218.60.56/~jnz1568/getInfo.php?workbook=14_09.xlsx&amp;sheet=U0&amp;row=2289&amp;col=6&amp;number=3.5&amp;sourceID=14","3.5")</f>
        <v>3.5</v>
      </c>
      <c r="G2289" s="4" t="str">
        <f>HYPERLINK("http://141.218.60.56/~jnz1568/getInfo.php?workbook=14_09.xlsx&amp;sheet=U0&amp;row=2289&amp;col=7&amp;number=0.00479&amp;sourceID=14","0.00479")</f>
        <v>0.00479</v>
      </c>
    </row>
    <row r="2290" spans="1:7">
      <c r="A2290" s="3"/>
      <c r="B2290" s="3"/>
      <c r="C2290" s="3"/>
      <c r="D2290" s="3"/>
      <c r="E2290" s="3">
        <v>7</v>
      </c>
      <c r="F2290" s="4" t="str">
        <f>HYPERLINK("http://141.218.60.56/~jnz1568/getInfo.php?workbook=14_09.xlsx&amp;sheet=U0&amp;row=2290&amp;col=6&amp;number=3.6&amp;sourceID=14","3.6")</f>
        <v>3.6</v>
      </c>
      <c r="G2290" s="4" t="str">
        <f>HYPERLINK("http://141.218.60.56/~jnz1568/getInfo.php?workbook=14_09.xlsx&amp;sheet=U0&amp;row=2290&amp;col=7&amp;number=0.00477&amp;sourceID=14","0.00477")</f>
        <v>0.00477</v>
      </c>
    </row>
    <row r="2291" spans="1:7">
      <c r="A2291" s="3"/>
      <c r="B2291" s="3"/>
      <c r="C2291" s="3"/>
      <c r="D2291" s="3"/>
      <c r="E2291" s="3">
        <v>8</v>
      </c>
      <c r="F2291" s="4" t="str">
        <f>HYPERLINK("http://141.218.60.56/~jnz1568/getInfo.php?workbook=14_09.xlsx&amp;sheet=U0&amp;row=2291&amp;col=6&amp;number=3.7&amp;sourceID=14","3.7")</f>
        <v>3.7</v>
      </c>
      <c r="G2291" s="4" t="str">
        <f>HYPERLINK("http://141.218.60.56/~jnz1568/getInfo.php?workbook=14_09.xlsx&amp;sheet=U0&amp;row=2291&amp;col=7&amp;number=0.00475&amp;sourceID=14","0.00475")</f>
        <v>0.00475</v>
      </c>
    </row>
    <row r="2292" spans="1:7">
      <c r="A2292" s="3"/>
      <c r="B2292" s="3"/>
      <c r="C2292" s="3"/>
      <c r="D2292" s="3"/>
      <c r="E2292" s="3">
        <v>9</v>
      </c>
      <c r="F2292" s="4" t="str">
        <f>HYPERLINK("http://141.218.60.56/~jnz1568/getInfo.php?workbook=14_09.xlsx&amp;sheet=U0&amp;row=2292&amp;col=6&amp;number=3.8&amp;sourceID=14","3.8")</f>
        <v>3.8</v>
      </c>
      <c r="G2292" s="4" t="str">
        <f>HYPERLINK("http://141.218.60.56/~jnz1568/getInfo.php?workbook=14_09.xlsx&amp;sheet=U0&amp;row=2292&amp;col=7&amp;number=0.00472&amp;sourceID=14","0.00472")</f>
        <v>0.00472</v>
      </c>
    </row>
    <row r="2293" spans="1:7">
      <c r="A2293" s="3"/>
      <c r="B2293" s="3"/>
      <c r="C2293" s="3"/>
      <c r="D2293" s="3"/>
      <c r="E2293" s="3">
        <v>10</v>
      </c>
      <c r="F2293" s="4" t="str">
        <f>HYPERLINK("http://141.218.60.56/~jnz1568/getInfo.php?workbook=14_09.xlsx&amp;sheet=U0&amp;row=2293&amp;col=6&amp;number=3.9&amp;sourceID=14","3.9")</f>
        <v>3.9</v>
      </c>
      <c r="G2293" s="4" t="str">
        <f>HYPERLINK("http://141.218.60.56/~jnz1568/getInfo.php?workbook=14_09.xlsx&amp;sheet=U0&amp;row=2293&amp;col=7&amp;number=0.00469&amp;sourceID=14","0.00469")</f>
        <v>0.00469</v>
      </c>
    </row>
    <row r="2294" spans="1:7">
      <c r="A2294" s="3"/>
      <c r="B2294" s="3"/>
      <c r="C2294" s="3"/>
      <c r="D2294" s="3"/>
      <c r="E2294" s="3">
        <v>11</v>
      </c>
      <c r="F2294" s="4" t="str">
        <f>HYPERLINK("http://141.218.60.56/~jnz1568/getInfo.php?workbook=14_09.xlsx&amp;sheet=U0&amp;row=2294&amp;col=6&amp;number=4&amp;sourceID=14","4")</f>
        <v>4</v>
      </c>
      <c r="G2294" s="4" t="str">
        <f>HYPERLINK("http://141.218.60.56/~jnz1568/getInfo.php?workbook=14_09.xlsx&amp;sheet=U0&amp;row=2294&amp;col=7&amp;number=0.00464&amp;sourceID=14","0.00464")</f>
        <v>0.00464</v>
      </c>
    </row>
    <row r="2295" spans="1:7">
      <c r="A2295" s="3"/>
      <c r="B2295" s="3"/>
      <c r="C2295" s="3"/>
      <c r="D2295" s="3"/>
      <c r="E2295" s="3">
        <v>12</v>
      </c>
      <c r="F2295" s="4" t="str">
        <f>HYPERLINK("http://141.218.60.56/~jnz1568/getInfo.php?workbook=14_09.xlsx&amp;sheet=U0&amp;row=2295&amp;col=6&amp;number=4.1&amp;sourceID=14","4.1")</f>
        <v>4.1</v>
      </c>
      <c r="G2295" s="4" t="str">
        <f>HYPERLINK("http://141.218.60.56/~jnz1568/getInfo.php?workbook=14_09.xlsx&amp;sheet=U0&amp;row=2295&amp;col=7&amp;number=0.00459&amp;sourceID=14","0.00459")</f>
        <v>0.00459</v>
      </c>
    </row>
    <row r="2296" spans="1:7">
      <c r="A2296" s="3"/>
      <c r="B2296" s="3"/>
      <c r="C2296" s="3"/>
      <c r="D2296" s="3"/>
      <c r="E2296" s="3">
        <v>13</v>
      </c>
      <c r="F2296" s="4" t="str">
        <f>HYPERLINK("http://141.218.60.56/~jnz1568/getInfo.php?workbook=14_09.xlsx&amp;sheet=U0&amp;row=2296&amp;col=6&amp;number=4.2&amp;sourceID=14","4.2")</f>
        <v>4.2</v>
      </c>
      <c r="G2296" s="4" t="str">
        <f>HYPERLINK("http://141.218.60.56/~jnz1568/getInfo.php?workbook=14_09.xlsx&amp;sheet=U0&amp;row=2296&amp;col=7&amp;number=0.00452&amp;sourceID=14","0.00452")</f>
        <v>0.00452</v>
      </c>
    </row>
    <row r="2297" spans="1:7">
      <c r="A2297" s="3"/>
      <c r="B2297" s="3"/>
      <c r="C2297" s="3"/>
      <c r="D2297" s="3"/>
      <c r="E2297" s="3">
        <v>14</v>
      </c>
      <c r="F2297" s="4" t="str">
        <f>HYPERLINK("http://141.218.60.56/~jnz1568/getInfo.php?workbook=14_09.xlsx&amp;sheet=U0&amp;row=2297&amp;col=6&amp;number=4.3&amp;sourceID=14","4.3")</f>
        <v>4.3</v>
      </c>
      <c r="G2297" s="4" t="str">
        <f>HYPERLINK("http://141.218.60.56/~jnz1568/getInfo.php?workbook=14_09.xlsx&amp;sheet=U0&amp;row=2297&amp;col=7&amp;number=0.00444&amp;sourceID=14","0.00444")</f>
        <v>0.00444</v>
      </c>
    </row>
    <row r="2298" spans="1:7">
      <c r="A2298" s="3"/>
      <c r="B2298" s="3"/>
      <c r="C2298" s="3"/>
      <c r="D2298" s="3"/>
      <c r="E2298" s="3">
        <v>15</v>
      </c>
      <c r="F2298" s="4" t="str">
        <f>HYPERLINK("http://141.218.60.56/~jnz1568/getInfo.php?workbook=14_09.xlsx&amp;sheet=U0&amp;row=2298&amp;col=6&amp;number=4.4&amp;sourceID=14","4.4")</f>
        <v>4.4</v>
      </c>
      <c r="G2298" s="4" t="str">
        <f>HYPERLINK("http://141.218.60.56/~jnz1568/getInfo.php?workbook=14_09.xlsx&amp;sheet=U0&amp;row=2298&amp;col=7&amp;number=0.00434&amp;sourceID=14","0.00434")</f>
        <v>0.00434</v>
      </c>
    </row>
    <row r="2299" spans="1:7">
      <c r="A2299" s="3"/>
      <c r="B2299" s="3"/>
      <c r="C2299" s="3"/>
      <c r="D2299" s="3"/>
      <c r="E2299" s="3">
        <v>16</v>
      </c>
      <c r="F2299" s="4" t="str">
        <f>HYPERLINK("http://141.218.60.56/~jnz1568/getInfo.php?workbook=14_09.xlsx&amp;sheet=U0&amp;row=2299&amp;col=6&amp;number=4.5&amp;sourceID=14","4.5")</f>
        <v>4.5</v>
      </c>
      <c r="G2299" s="4" t="str">
        <f>HYPERLINK("http://141.218.60.56/~jnz1568/getInfo.php?workbook=14_09.xlsx&amp;sheet=U0&amp;row=2299&amp;col=7&amp;number=0.00422&amp;sourceID=14","0.00422")</f>
        <v>0.00422</v>
      </c>
    </row>
    <row r="2300" spans="1:7">
      <c r="A2300" s="3"/>
      <c r="B2300" s="3"/>
      <c r="C2300" s="3"/>
      <c r="D2300" s="3"/>
      <c r="E2300" s="3">
        <v>17</v>
      </c>
      <c r="F2300" s="4" t="str">
        <f>HYPERLINK("http://141.218.60.56/~jnz1568/getInfo.php?workbook=14_09.xlsx&amp;sheet=U0&amp;row=2300&amp;col=6&amp;number=4.6&amp;sourceID=14","4.6")</f>
        <v>4.6</v>
      </c>
      <c r="G2300" s="4" t="str">
        <f>HYPERLINK("http://141.218.60.56/~jnz1568/getInfo.php?workbook=14_09.xlsx&amp;sheet=U0&amp;row=2300&amp;col=7&amp;number=0.00407&amp;sourceID=14","0.00407")</f>
        <v>0.00407</v>
      </c>
    </row>
    <row r="2301" spans="1:7">
      <c r="A2301" s="3"/>
      <c r="B2301" s="3"/>
      <c r="C2301" s="3"/>
      <c r="D2301" s="3"/>
      <c r="E2301" s="3">
        <v>18</v>
      </c>
      <c r="F2301" s="4" t="str">
        <f>HYPERLINK("http://141.218.60.56/~jnz1568/getInfo.php?workbook=14_09.xlsx&amp;sheet=U0&amp;row=2301&amp;col=6&amp;number=4.7&amp;sourceID=14","4.7")</f>
        <v>4.7</v>
      </c>
      <c r="G2301" s="4" t="str">
        <f>HYPERLINK("http://141.218.60.56/~jnz1568/getInfo.php?workbook=14_09.xlsx&amp;sheet=U0&amp;row=2301&amp;col=7&amp;number=0.0039&amp;sourceID=14","0.0039")</f>
        <v>0.0039</v>
      </c>
    </row>
    <row r="2302" spans="1:7">
      <c r="A2302" s="3"/>
      <c r="B2302" s="3"/>
      <c r="C2302" s="3"/>
      <c r="D2302" s="3"/>
      <c r="E2302" s="3">
        <v>19</v>
      </c>
      <c r="F2302" s="4" t="str">
        <f>HYPERLINK("http://141.218.60.56/~jnz1568/getInfo.php?workbook=14_09.xlsx&amp;sheet=U0&amp;row=2302&amp;col=6&amp;number=4.8&amp;sourceID=14","4.8")</f>
        <v>4.8</v>
      </c>
      <c r="G2302" s="4" t="str">
        <f>HYPERLINK("http://141.218.60.56/~jnz1568/getInfo.php?workbook=14_09.xlsx&amp;sheet=U0&amp;row=2302&amp;col=7&amp;number=0.00371&amp;sourceID=14","0.00371")</f>
        <v>0.00371</v>
      </c>
    </row>
    <row r="2303" spans="1:7">
      <c r="A2303" s="3"/>
      <c r="B2303" s="3"/>
      <c r="C2303" s="3"/>
      <c r="D2303" s="3"/>
      <c r="E2303" s="3">
        <v>20</v>
      </c>
      <c r="F2303" s="4" t="str">
        <f>HYPERLINK("http://141.218.60.56/~jnz1568/getInfo.php?workbook=14_09.xlsx&amp;sheet=U0&amp;row=2303&amp;col=6&amp;number=4.9&amp;sourceID=14","4.9")</f>
        <v>4.9</v>
      </c>
      <c r="G2303" s="4" t="str">
        <f>HYPERLINK("http://141.218.60.56/~jnz1568/getInfo.php?workbook=14_09.xlsx&amp;sheet=U0&amp;row=2303&amp;col=7&amp;number=0.00352&amp;sourceID=14","0.00352")</f>
        <v>0.00352</v>
      </c>
    </row>
    <row r="2304" spans="1:7">
      <c r="A2304" s="3">
        <v>14</v>
      </c>
      <c r="B2304" s="3">
        <v>9</v>
      </c>
      <c r="C2304" s="3">
        <v>1</v>
      </c>
      <c r="D2304" s="3">
        <v>117</v>
      </c>
      <c r="E2304" s="3">
        <v>1</v>
      </c>
      <c r="F2304" s="4" t="str">
        <f>HYPERLINK("http://141.218.60.56/~jnz1568/getInfo.php?workbook=14_09.xlsx&amp;sheet=U0&amp;row=2304&amp;col=6&amp;number=3&amp;sourceID=14","3")</f>
        <v>3</v>
      </c>
      <c r="G2304" s="4" t="str">
        <f>HYPERLINK("http://141.218.60.56/~jnz1568/getInfo.php?workbook=14_09.xlsx&amp;sheet=U0&amp;row=2304&amp;col=7&amp;number=0.00218&amp;sourceID=14","0.00218")</f>
        <v>0.00218</v>
      </c>
    </row>
    <row r="2305" spans="1:7">
      <c r="A2305" s="3"/>
      <c r="B2305" s="3"/>
      <c r="C2305" s="3"/>
      <c r="D2305" s="3"/>
      <c r="E2305" s="3">
        <v>2</v>
      </c>
      <c r="F2305" s="4" t="str">
        <f>HYPERLINK("http://141.218.60.56/~jnz1568/getInfo.php?workbook=14_09.xlsx&amp;sheet=U0&amp;row=2305&amp;col=6&amp;number=3.1&amp;sourceID=14","3.1")</f>
        <v>3.1</v>
      </c>
      <c r="G2305" s="4" t="str">
        <f>HYPERLINK("http://141.218.60.56/~jnz1568/getInfo.php?workbook=14_09.xlsx&amp;sheet=U0&amp;row=2305&amp;col=7&amp;number=0.00218&amp;sourceID=14","0.00218")</f>
        <v>0.00218</v>
      </c>
    </row>
    <row r="2306" spans="1:7">
      <c r="A2306" s="3"/>
      <c r="B2306" s="3"/>
      <c r="C2306" s="3"/>
      <c r="D2306" s="3"/>
      <c r="E2306" s="3">
        <v>3</v>
      </c>
      <c r="F2306" s="4" t="str">
        <f>HYPERLINK("http://141.218.60.56/~jnz1568/getInfo.php?workbook=14_09.xlsx&amp;sheet=U0&amp;row=2306&amp;col=6&amp;number=3.2&amp;sourceID=14","3.2")</f>
        <v>3.2</v>
      </c>
      <c r="G2306" s="4" t="str">
        <f>HYPERLINK("http://141.218.60.56/~jnz1568/getInfo.php?workbook=14_09.xlsx&amp;sheet=U0&amp;row=2306&amp;col=7&amp;number=0.00218&amp;sourceID=14","0.00218")</f>
        <v>0.00218</v>
      </c>
    </row>
    <row r="2307" spans="1:7">
      <c r="A2307" s="3"/>
      <c r="B2307" s="3"/>
      <c r="C2307" s="3"/>
      <c r="D2307" s="3"/>
      <c r="E2307" s="3">
        <v>4</v>
      </c>
      <c r="F2307" s="4" t="str">
        <f>HYPERLINK("http://141.218.60.56/~jnz1568/getInfo.php?workbook=14_09.xlsx&amp;sheet=U0&amp;row=2307&amp;col=6&amp;number=3.3&amp;sourceID=14","3.3")</f>
        <v>3.3</v>
      </c>
      <c r="G2307" s="4" t="str">
        <f>HYPERLINK("http://141.218.60.56/~jnz1568/getInfo.php?workbook=14_09.xlsx&amp;sheet=U0&amp;row=2307&amp;col=7&amp;number=0.00218&amp;sourceID=14","0.00218")</f>
        <v>0.00218</v>
      </c>
    </row>
    <row r="2308" spans="1:7">
      <c r="A2308" s="3"/>
      <c r="B2308" s="3"/>
      <c r="C2308" s="3"/>
      <c r="D2308" s="3"/>
      <c r="E2308" s="3">
        <v>5</v>
      </c>
      <c r="F2308" s="4" t="str">
        <f>HYPERLINK("http://141.218.60.56/~jnz1568/getInfo.php?workbook=14_09.xlsx&amp;sheet=U0&amp;row=2308&amp;col=6&amp;number=3.4&amp;sourceID=14","3.4")</f>
        <v>3.4</v>
      </c>
      <c r="G2308" s="4" t="str">
        <f>HYPERLINK("http://141.218.60.56/~jnz1568/getInfo.php?workbook=14_09.xlsx&amp;sheet=U0&amp;row=2308&amp;col=7&amp;number=0.00217&amp;sourceID=14","0.00217")</f>
        <v>0.00217</v>
      </c>
    </row>
    <row r="2309" spans="1:7">
      <c r="A2309" s="3"/>
      <c r="B2309" s="3"/>
      <c r="C2309" s="3"/>
      <c r="D2309" s="3"/>
      <c r="E2309" s="3">
        <v>6</v>
      </c>
      <c r="F2309" s="4" t="str">
        <f>HYPERLINK("http://141.218.60.56/~jnz1568/getInfo.php?workbook=14_09.xlsx&amp;sheet=U0&amp;row=2309&amp;col=6&amp;number=3.5&amp;sourceID=14","3.5")</f>
        <v>3.5</v>
      </c>
      <c r="G2309" s="4" t="str">
        <f>HYPERLINK("http://141.218.60.56/~jnz1568/getInfo.php?workbook=14_09.xlsx&amp;sheet=U0&amp;row=2309&amp;col=7&amp;number=0.00217&amp;sourceID=14","0.00217")</f>
        <v>0.00217</v>
      </c>
    </row>
    <row r="2310" spans="1:7">
      <c r="A2310" s="3"/>
      <c r="B2310" s="3"/>
      <c r="C2310" s="3"/>
      <c r="D2310" s="3"/>
      <c r="E2310" s="3">
        <v>7</v>
      </c>
      <c r="F2310" s="4" t="str">
        <f>HYPERLINK("http://141.218.60.56/~jnz1568/getInfo.php?workbook=14_09.xlsx&amp;sheet=U0&amp;row=2310&amp;col=6&amp;number=3.6&amp;sourceID=14","3.6")</f>
        <v>3.6</v>
      </c>
      <c r="G2310" s="4" t="str">
        <f>HYPERLINK("http://141.218.60.56/~jnz1568/getInfo.php?workbook=14_09.xlsx&amp;sheet=U0&amp;row=2310&amp;col=7&amp;number=0.00216&amp;sourceID=14","0.00216")</f>
        <v>0.00216</v>
      </c>
    </row>
    <row r="2311" spans="1:7">
      <c r="A2311" s="3"/>
      <c r="B2311" s="3"/>
      <c r="C2311" s="3"/>
      <c r="D2311" s="3"/>
      <c r="E2311" s="3">
        <v>8</v>
      </c>
      <c r="F2311" s="4" t="str">
        <f>HYPERLINK("http://141.218.60.56/~jnz1568/getInfo.php?workbook=14_09.xlsx&amp;sheet=U0&amp;row=2311&amp;col=6&amp;number=3.7&amp;sourceID=14","3.7")</f>
        <v>3.7</v>
      </c>
      <c r="G2311" s="4" t="str">
        <f>HYPERLINK("http://141.218.60.56/~jnz1568/getInfo.php?workbook=14_09.xlsx&amp;sheet=U0&amp;row=2311&amp;col=7&amp;number=0.00216&amp;sourceID=14","0.00216")</f>
        <v>0.00216</v>
      </c>
    </row>
    <row r="2312" spans="1:7">
      <c r="A2312" s="3"/>
      <c r="B2312" s="3"/>
      <c r="C2312" s="3"/>
      <c r="D2312" s="3"/>
      <c r="E2312" s="3">
        <v>9</v>
      </c>
      <c r="F2312" s="4" t="str">
        <f>HYPERLINK("http://141.218.60.56/~jnz1568/getInfo.php?workbook=14_09.xlsx&amp;sheet=U0&amp;row=2312&amp;col=6&amp;number=3.8&amp;sourceID=14","3.8")</f>
        <v>3.8</v>
      </c>
      <c r="G2312" s="4" t="str">
        <f>HYPERLINK("http://141.218.60.56/~jnz1568/getInfo.php?workbook=14_09.xlsx&amp;sheet=U0&amp;row=2312&amp;col=7&amp;number=0.00215&amp;sourceID=14","0.00215")</f>
        <v>0.00215</v>
      </c>
    </row>
    <row r="2313" spans="1:7">
      <c r="A2313" s="3"/>
      <c r="B2313" s="3"/>
      <c r="C2313" s="3"/>
      <c r="D2313" s="3"/>
      <c r="E2313" s="3">
        <v>10</v>
      </c>
      <c r="F2313" s="4" t="str">
        <f>HYPERLINK("http://141.218.60.56/~jnz1568/getInfo.php?workbook=14_09.xlsx&amp;sheet=U0&amp;row=2313&amp;col=6&amp;number=3.9&amp;sourceID=14","3.9")</f>
        <v>3.9</v>
      </c>
      <c r="G2313" s="4" t="str">
        <f>HYPERLINK("http://141.218.60.56/~jnz1568/getInfo.php?workbook=14_09.xlsx&amp;sheet=U0&amp;row=2313&amp;col=7&amp;number=0.00214&amp;sourceID=14","0.00214")</f>
        <v>0.00214</v>
      </c>
    </row>
    <row r="2314" spans="1:7">
      <c r="A2314" s="3"/>
      <c r="B2314" s="3"/>
      <c r="C2314" s="3"/>
      <c r="D2314" s="3"/>
      <c r="E2314" s="3">
        <v>11</v>
      </c>
      <c r="F2314" s="4" t="str">
        <f>HYPERLINK("http://141.218.60.56/~jnz1568/getInfo.php?workbook=14_09.xlsx&amp;sheet=U0&amp;row=2314&amp;col=6&amp;number=4&amp;sourceID=14","4")</f>
        <v>4</v>
      </c>
      <c r="G2314" s="4" t="str">
        <f>HYPERLINK("http://141.218.60.56/~jnz1568/getInfo.php?workbook=14_09.xlsx&amp;sheet=U0&amp;row=2314&amp;col=7&amp;number=0.00212&amp;sourceID=14","0.00212")</f>
        <v>0.00212</v>
      </c>
    </row>
    <row r="2315" spans="1:7">
      <c r="A2315" s="3"/>
      <c r="B2315" s="3"/>
      <c r="C2315" s="3"/>
      <c r="D2315" s="3"/>
      <c r="E2315" s="3">
        <v>12</v>
      </c>
      <c r="F2315" s="4" t="str">
        <f>HYPERLINK("http://141.218.60.56/~jnz1568/getInfo.php?workbook=14_09.xlsx&amp;sheet=U0&amp;row=2315&amp;col=6&amp;number=4.1&amp;sourceID=14","4.1")</f>
        <v>4.1</v>
      </c>
      <c r="G2315" s="4" t="str">
        <f>HYPERLINK("http://141.218.60.56/~jnz1568/getInfo.php?workbook=14_09.xlsx&amp;sheet=U0&amp;row=2315&amp;col=7&amp;number=0.00211&amp;sourceID=14","0.00211")</f>
        <v>0.00211</v>
      </c>
    </row>
    <row r="2316" spans="1:7">
      <c r="A2316" s="3"/>
      <c r="B2316" s="3"/>
      <c r="C2316" s="3"/>
      <c r="D2316" s="3"/>
      <c r="E2316" s="3">
        <v>13</v>
      </c>
      <c r="F2316" s="4" t="str">
        <f>HYPERLINK("http://141.218.60.56/~jnz1568/getInfo.php?workbook=14_09.xlsx&amp;sheet=U0&amp;row=2316&amp;col=6&amp;number=4.2&amp;sourceID=14","4.2")</f>
        <v>4.2</v>
      </c>
      <c r="G2316" s="4" t="str">
        <f>HYPERLINK("http://141.218.60.56/~jnz1568/getInfo.php?workbook=14_09.xlsx&amp;sheet=U0&amp;row=2316&amp;col=7&amp;number=0.00209&amp;sourceID=14","0.00209")</f>
        <v>0.00209</v>
      </c>
    </row>
    <row r="2317" spans="1:7">
      <c r="A2317" s="3"/>
      <c r="B2317" s="3"/>
      <c r="C2317" s="3"/>
      <c r="D2317" s="3"/>
      <c r="E2317" s="3">
        <v>14</v>
      </c>
      <c r="F2317" s="4" t="str">
        <f>HYPERLINK("http://141.218.60.56/~jnz1568/getInfo.php?workbook=14_09.xlsx&amp;sheet=U0&amp;row=2317&amp;col=6&amp;number=4.3&amp;sourceID=14","4.3")</f>
        <v>4.3</v>
      </c>
      <c r="G2317" s="4" t="str">
        <f>HYPERLINK("http://141.218.60.56/~jnz1568/getInfo.php?workbook=14_09.xlsx&amp;sheet=U0&amp;row=2317&amp;col=7&amp;number=0.00206&amp;sourceID=14","0.00206")</f>
        <v>0.00206</v>
      </c>
    </row>
    <row r="2318" spans="1:7">
      <c r="A2318" s="3"/>
      <c r="B2318" s="3"/>
      <c r="C2318" s="3"/>
      <c r="D2318" s="3"/>
      <c r="E2318" s="3">
        <v>15</v>
      </c>
      <c r="F2318" s="4" t="str">
        <f>HYPERLINK("http://141.218.60.56/~jnz1568/getInfo.php?workbook=14_09.xlsx&amp;sheet=U0&amp;row=2318&amp;col=6&amp;number=4.4&amp;sourceID=14","4.4")</f>
        <v>4.4</v>
      </c>
      <c r="G2318" s="4" t="str">
        <f>HYPERLINK("http://141.218.60.56/~jnz1568/getInfo.php?workbook=14_09.xlsx&amp;sheet=U0&amp;row=2318&amp;col=7&amp;number=0.00203&amp;sourceID=14","0.00203")</f>
        <v>0.00203</v>
      </c>
    </row>
    <row r="2319" spans="1:7">
      <c r="A2319" s="3"/>
      <c r="B2319" s="3"/>
      <c r="C2319" s="3"/>
      <c r="D2319" s="3"/>
      <c r="E2319" s="3">
        <v>16</v>
      </c>
      <c r="F2319" s="4" t="str">
        <f>HYPERLINK("http://141.218.60.56/~jnz1568/getInfo.php?workbook=14_09.xlsx&amp;sheet=U0&amp;row=2319&amp;col=6&amp;number=4.5&amp;sourceID=14","4.5")</f>
        <v>4.5</v>
      </c>
      <c r="G2319" s="4" t="str">
        <f>HYPERLINK("http://141.218.60.56/~jnz1568/getInfo.php?workbook=14_09.xlsx&amp;sheet=U0&amp;row=2319&amp;col=7&amp;number=0.00199&amp;sourceID=14","0.00199")</f>
        <v>0.00199</v>
      </c>
    </row>
    <row r="2320" spans="1:7">
      <c r="A2320" s="3"/>
      <c r="B2320" s="3"/>
      <c r="C2320" s="3"/>
      <c r="D2320" s="3"/>
      <c r="E2320" s="3">
        <v>17</v>
      </c>
      <c r="F2320" s="4" t="str">
        <f>HYPERLINK("http://141.218.60.56/~jnz1568/getInfo.php?workbook=14_09.xlsx&amp;sheet=U0&amp;row=2320&amp;col=6&amp;number=4.6&amp;sourceID=14","4.6")</f>
        <v>4.6</v>
      </c>
      <c r="G2320" s="4" t="str">
        <f>HYPERLINK("http://141.218.60.56/~jnz1568/getInfo.php?workbook=14_09.xlsx&amp;sheet=U0&amp;row=2320&amp;col=7&amp;number=0.00194&amp;sourceID=14","0.00194")</f>
        <v>0.00194</v>
      </c>
    </row>
    <row r="2321" spans="1:7">
      <c r="A2321" s="3"/>
      <c r="B2321" s="3"/>
      <c r="C2321" s="3"/>
      <c r="D2321" s="3"/>
      <c r="E2321" s="3">
        <v>18</v>
      </c>
      <c r="F2321" s="4" t="str">
        <f>HYPERLINK("http://141.218.60.56/~jnz1568/getInfo.php?workbook=14_09.xlsx&amp;sheet=U0&amp;row=2321&amp;col=6&amp;number=4.7&amp;sourceID=14","4.7")</f>
        <v>4.7</v>
      </c>
      <c r="G2321" s="4" t="str">
        <f>HYPERLINK("http://141.218.60.56/~jnz1568/getInfo.php?workbook=14_09.xlsx&amp;sheet=U0&amp;row=2321&amp;col=7&amp;number=0.00188&amp;sourceID=14","0.00188")</f>
        <v>0.00188</v>
      </c>
    </row>
    <row r="2322" spans="1:7">
      <c r="A2322" s="3"/>
      <c r="B2322" s="3"/>
      <c r="C2322" s="3"/>
      <c r="D2322" s="3"/>
      <c r="E2322" s="3">
        <v>19</v>
      </c>
      <c r="F2322" s="4" t="str">
        <f>HYPERLINK("http://141.218.60.56/~jnz1568/getInfo.php?workbook=14_09.xlsx&amp;sheet=U0&amp;row=2322&amp;col=6&amp;number=4.8&amp;sourceID=14","4.8")</f>
        <v>4.8</v>
      </c>
      <c r="G2322" s="4" t="str">
        <f>HYPERLINK("http://141.218.60.56/~jnz1568/getInfo.php?workbook=14_09.xlsx&amp;sheet=U0&amp;row=2322&amp;col=7&amp;number=0.00181&amp;sourceID=14","0.00181")</f>
        <v>0.00181</v>
      </c>
    </row>
    <row r="2323" spans="1:7">
      <c r="A2323" s="3"/>
      <c r="B2323" s="3"/>
      <c r="C2323" s="3"/>
      <c r="D2323" s="3"/>
      <c r="E2323" s="3">
        <v>20</v>
      </c>
      <c r="F2323" s="4" t="str">
        <f>HYPERLINK("http://141.218.60.56/~jnz1568/getInfo.php?workbook=14_09.xlsx&amp;sheet=U0&amp;row=2323&amp;col=6&amp;number=4.9&amp;sourceID=14","4.9")</f>
        <v>4.9</v>
      </c>
      <c r="G2323" s="4" t="str">
        <f>HYPERLINK("http://141.218.60.56/~jnz1568/getInfo.php?workbook=14_09.xlsx&amp;sheet=U0&amp;row=2323&amp;col=7&amp;number=0.00174&amp;sourceID=14","0.00174")</f>
        <v>0.00174</v>
      </c>
    </row>
    <row r="2324" spans="1:7">
      <c r="A2324" s="3">
        <v>14</v>
      </c>
      <c r="B2324" s="3">
        <v>9</v>
      </c>
      <c r="C2324" s="3">
        <v>1</v>
      </c>
      <c r="D2324" s="3">
        <v>118</v>
      </c>
      <c r="E2324" s="3">
        <v>1</v>
      </c>
      <c r="F2324" s="4" t="str">
        <f>HYPERLINK("http://141.218.60.56/~jnz1568/getInfo.php?workbook=14_09.xlsx&amp;sheet=U0&amp;row=2324&amp;col=6&amp;number=3&amp;sourceID=14","3")</f>
        <v>3</v>
      </c>
      <c r="G2324" s="4" t="str">
        <f>HYPERLINK("http://141.218.60.56/~jnz1568/getInfo.php?workbook=14_09.xlsx&amp;sheet=U0&amp;row=2324&amp;col=7&amp;number=0.00246&amp;sourceID=14","0.00246")</f>
        <v>0.00246</v>
      </c>
    </row>
    <row r="2325" spans="1:7">
      <c r="A2325" s="3"/>
      <c r="B2325" s="3"/>
      <c r="C2325" s="3"/>
      <c r="D2325" s="3"/>
      <c r="E2325" s="3">
        <v>2</v>
      </c>
      <c r="F2325" s="4" t="str">
        <f>HYPERLINK("http://141.218.60.56/~jnz1568/getInfo.php?workbook=14_09.xlsx&amp;sheet=U0&amp;row=2325&amp;col=6&amp;number=3.1&amp;sourceID=14","3.1")</f>
        <v>3.1</v>
      </c>
      <c r="G2325" s="4" t="str">
        <f>HYPERLINK("http://141.218.60.56/~jnz1568/getInfo.php?workbook=14_09.xlsx&amp;sheet=U0&amp;row=2325&amp;col=7&amp;number=0.00246&amp;sourceID=14","0.00246")</f>
        <v>0.00246</v>
      </c>
    </row>
    <row r="2326" spans="1:7">
      <c r="A2326" s="3"/>
      <c r="B2326" s="3"/>
      <c r="C2326" s="3"/>
      <c r="D2326" s="3"/>
      <c r="E2326" s="3">
        <v>3</v>
      </c>
      <c r="F2326" s="4" t="str">
        <f>HYPERLINK("http://141.218.60.56/~jnz1568/getInfo.php?workbook=14_09.xlsx&amp;sheet=U0&amp;row=2326&amp;col=6&amp;number=3.2&amp;sourceID=14","3.2")</f>
        <v>3.2</v>
      </c>
      <c r="G2326" s="4" t="str">
        <f>HYPERLINK("http://141.218.60.56/~jnz1568/getInfo.php?workbook=14_09.xlsx&amp;sheet=U0&amp;row=2326&amp;col=7&amp;number=0.00245&amp;sourceID=14","0.00245")</f>
        <v>0.00245</v>
      </c>
    </row>
    <row r="2327" spans="1:7">
      <c r="A2327" s="3"/>
      <c r="B2327" s="3"/>
      <c r="C2327" s="3"/>
      <c r="D2327" s="3"/>
      <c r="E2327" s="3">
        <v>4</v>
      </c>
      <c r="F2327" s="4" t="str">
        <f>HYPERLINK("http://141.218.60.56/~jnz1568/getInfo.php?workbook=14_09.xlsx&amp;sheet=U0&amp;row=2327&amp;col=6&amp;number=3.3&amp;sourceID=14","3.3")</f>
        <v>3.3</v>
      </c>
      <c r="G2327" s="4" t="str">
        <f>HYPERLINK("http://141.218.60.56/~jnz1568/getInfo.php?workbook=14_09.xlsx&amp;sheet=U0&amp;row=2327&amp;col=7&amp;number=0.00244&amp;sourceID=14","0.00244")</f>
        <v>0.00244</v>
      </c>
    </row>
    <row r="2328" spans="1:7">
      <c r="A2328" s="3"/>
      <c r="B2328" s="3"/>
      <c r="C2328" s="3"/>
      <c r="D2328" s="3"/>
      <c r="E2328" s="3">
        <v>5</v>
      </c>
      <c r="F2328" s="4" t="str">
        <f>HYPERLINK("http://141.218.60.56/~jnz1568/getInfo.php?workbook=14_09.xlsx&amp;sheet=U0&amp;row=2328&amp;col=6&amp;number=3.4&amp;sourceID=14","3.4")</f>
        <v>3.4</v>
      </c>
      <c r="G2328" s="4" t="str">
        <f>HYPERLINK("http://141.218.60.56/~jnz1568/getInfo.php?workbook=14_09.xlsx&amp;sheet=U0&amp;row=2328&amp;col=7&amp;number=0.00243&amp;sourceID=14","0.00243")</f>
        <v>0.00243</v>
      </c>
    </row>
    <row r="2329" spans="1:7">
      <c r="A2329" s="3"/>
      <c r="B2329" s="3"/>
      <c r="C2329" s="3"/>
      <c r="D2329" s="3"/>
      <c r="E2329" s="3">
        <v>6</v>
      </c>
      <c r="F2329" s="4" t="str">
        <f>HYPERLINK("http://141.218.60.56/~jnz1568/getInfo.php?workbook=14_09.xlsx&amp;sheet=U0&amp;row=2329&amp;col=6&amp;number=3.5&amp;sourceID=14","3.5")</f>
        <v>3.5</v>
      </c>
      <c r="G2329" s="4" t="str">
        <f>HYPERLINK("http://141.218.60.56/~jnz1568/getInfo.php?workbook=14_09.xlsx&amp;sheet=U0&amp;row=2329&amp;col=7&amp;number=0.00242&amp;sourceID=14","0.00242")</f>
        <v>0.00242</v>
      </c>
    </row>
    <row r="2330" spans="1:7">
      <c r="A2330" s="3"/>
      <c r="B2330" s="3"/>
      <c r="C2330" s="3"/>
      <c r="D2330" s="3"/>
      <c r="E2330" s="3">
        <v>7</v>
      </c>
      <c r="F2330" s="4" t="str">
        <f>HYPERLINK("http://141.218.60.56/~jnz1568/getInfo.php?workbook=14_09.xlsx&amp;sheet=U0&amp;row=2330&amp;col=6&amp;number=3.6&amp;sourceID=14","3.6")</f>
        <v>3.6</v>
      </c>
      <c r="G2330" s="4" t="str">
        <f>HYPERLINK("http://141.218.60.56/~jnz1568/getInfo.php?workbook=14_09.xlsx&amp;sheet=U0&amp;row=2330&amp;col=7&amp;number=0.0024&amp;sourceID=14","0.0024")</f>
        <v>0.0024</v>
      </c>
    </row>
    <row r="2331" spans="1:7">
      <c r="A2331" s="3"/>
      <c r="B2331" s="3"/>
      <c r="C2331" s="3"/>
      <c r="D2331" s="3"/>
      <c r="E2331" s="3">
        <v>8</v>
      </c>
      <c r="F2331" s="4" t="str">
        <f>HYPERLINK("http://141.218.60.56/~jnz1568/getInfo.php?workbook=14_09.xlsx&amp;sheet=U0&amp;row=2331&amp;col=6&amp;number=3.7&amp;sourceID=14","3.7")</f>
        <v>3.7</v>
      </c>
      <c r="G2331" s="4" t="str">
        <f>HYPERLINK("http://141.218.60.56/~jnz1568/getInfo.php?workbook=14_09.xlsx&amp;sheet=U0&amp;row=2331&amp;col=7&amp;number=0.00238&amp;sourceID=14","0.00238")</f>
        <v>0.00238</v>
      </c>
    </row>
    <row r="2332" spans="1:7">
      <c r="A2332" s="3"/>
      <c r="B2332" s="3"/>
      <c r="C2332" s="3"/>
      <c r="D2332" s="3"/>
      <c r="E2332" s="3">
        <v>9</v>
      </c>
      <c r="F2332" s="4" t="str">
        <f>HYPERLINK("http://141.218.60.56/~jnz1568/getInfo.php?workbook=14_09.xlsx&amp;sheet=U0&amp;row=2332&amp;col=6&amp;number=3.8&amp;sourceID=14","3.8")</f>
        <v>3.8</v>
      </c>
      <c r="G2332" s="4" t="str">
        <f>HYPERLINK("http://141.218.60.56/~jnz1568/getInfo.php?workbook=14_09.xlsx&amp;sheet=U0&amp;row=2332&amp;col=7&amp;number=0.00235&amp;sourceID=14","0.00235")</f>
        <v>0.00235</v>
      </c>
    </row>
    <row r="2333" spans="1:7">
      <c r="A2333" s="3"/>
      <c r="B2333" s="3"/>
      <c r="C2333" s="3"/>
      <c r="D2333" s="3"/>
      <c r="E2333" s="3">
        <v>10</v>
      </c>
      <c r="F2333" s="4" t="str">
        <f>HYPERLINK("http://141.218.60.56/~jnz1568/getInfo.php?workbook=14_09.xlsx&amp;sheet=U0&amp;row=2333&amp;col=6&amp;number=3.9&amp;sourceID=14","3.9")</f>
        <v>3.9</v>
      </c>
      <c r="G2333" s="4" t="str">
        <f>HYPERLINK("http://141.218.60.56/~jnz1568/getInfo.php?workbook=14_09.xlsx&amp;sheet=U0&amp;row=2333&amp;col=7&amp;number=0.00232&amp;sourceID=14","0.00232")</f>
        <v>0.00232</v>
      </c>
    </row>
    <row r="2334" spans="1:7">
      <c r="A2334" s="3"/>
      <c r="B2334" s="3"/>
      <c r="C2334" s="3"/>
      <c r="D2334" s="3"/>
      <c r="E2334" s="3">
        <v>11</v>
      </c>
      <c r="F2334" s="4" t="str">
        <f>HYPERLINK("http://141.218.60.56/~jnz1568/getInfo.php?workbook=14_09.xlsx&amp;sheet=U0&amp;row=2334&amp;col=6&amp;number=4&amp;sourceID=14","4")</f>
        <v>4</v>
      </c>
      <c r="G2334" s="4" t="str">
        <f>HYPERLINK("http://141.218.60.56/~jnz1568/getInfo.php?workbook=14_09.xlsx&amp;sheet=U0&amp;row=2334&amp;col=7&amp;number=0.00228&amp;sourceID=14","0.00228")</f>
        <v>0.00228</v>
      </c>
    </row>
    <row r="2335" spans="1:7">
      <c r="A2335" s="3"/>
      <c r="B2335" s="3"/>
      <c r="C2335" s="3"/>
      <c r="D2335" s="3"/>
      <c r="E2335" s="3">
        <v>12</v>
      </c>
      <c r="F2335" s="4" t="str">
        <f>HYPERLINK("http://141.218.60.56/~jnz1568/getInfo.php?workbook=14_09.xlsx&amp;sheet=U0&amp;row=2335&amp;col=6&amp;number=4.1&amp;sourceID=14","4.1")</f>
        <v>4.1</v>
      </c>
      <c r="G2335" s="4" t="str">
        <f>HYPERLINK("http://141.218.60.56/~jnz1568/getInfo.php?workbook=14_09.xlsx&amp;sheet=U0&amp;row=2335&amp;col=7&amp;number=0.00223&amp;sourceID=14","0.00223")</f>
        <v>0.00223</v>
      </c>
    </row>
    <row r="2336" spans="1:7">
      <c r="A2336" s="3"/>
      <c r="B2336" s="3"/>
      <c r="C2336" s="3"/>
      <c r="D2336" s="3"/>
      <c r="E2336" s="3">
        <v>13</v>
      </c>
      <c r="F2336" s="4" t="str">
        <f>HYPERLINK("http://141.218.60.56/~jnz1568/getInfo.php?workbook=14_09.xlsx&amp;sheet=U0&amp;row=2336&amp;col=6&amp;number=4.2&amp;sourceID=14","4.2")</f>
        <v>4.2</v>
      </c>
      <c r="G2336" s="4" t="str">
        <f>HYPERLINK("http://141.218.60.56/~jnz1568/getInfo.php?workbook=14_09.xlsx&amp;sheet=U0&amp;row=2336&amp;col=7&amp;number=0.00217&amp;sourceID=14","0.00217")</f>
        <v>0.00217</v>
      </c>
    </row>
    <row r="2337" spans="1:7">
      <c r="A2337" s="3"/>
      <c r="B2337" s="3"/>
      <c r="C2337" s="3"/>
      <c r="D2337" s="3"/>
      <c r="E2337" s="3">
        <v>14</v>
      </c>
      <c r="F2337" s="4" t="str">
        <f>HYPERLINK("http://141.218.60.56/~jnz1568/getInfo.php?workbook=14_09.xlsx&amp;sheet=U0&amp;row=2337&amp;col=6&amp;number=4.3&amp;sourceID=14","4.3")</f>
        <v>4.3</v>
      </c>
      <c r="G2337" s="4" t="str">
        <f>HYPERLINK("http://141.218.60.56/~jnz1568/getInfo.php?workbook=14_09.xlsx&amp;sheet=U0&amp;row=2337&amp;col=7&amp;number=0.0021&amp;sourceID=14","0.0021")</f>
        <v>0.0021</v>
      </c>
    </row>
    <row r="2338" spans="1:7">
      <c r="A2338" s="3"/>
      <c r="B2338" s="3"/>
      <c r="C2338" s="3"/>
      <c r="D2338" s="3"/>
      <c r="E2338" s="3">
        <v>15</v>
      </c>
      <c r="F2338" s="4" t="str">
        <f>HYPERLINK("http://141.218.60.56/~jnz1568/getInfo.php?workbook=14_09.xlsx&amp;sheet=U0&amp;row=2338&amp;col=6&amp;number=4.4&amp;sourceID=14","4.4")</f>
        <v>4.4</v>
      </c>
      <c r="G2338" s="4" t="str">
        <f>HYPERLINK("http://141.218.60.56/~jnz1568/getInfo.php?workbook=14_09.xlsx&amp;sheet=U0&amp;row=2338&amp;col=7&amp;number=0.00203&amp;sourceID=14","0.00203")</f>
        <v>0.00203</v>
      </c>
    </row>
    <row r="2339" spans="1:7">
      <c r="A2339" s="3"/>
      <c r="B2339" s="3"/>
      <c r="C2339" s="3"/>
      <c r="D2339" s="3"/>
      <c r="E2339" s="3">
        <v>16</v>
      </c>
      <c r="F2339" s="4" t="str">
        <f>HYPERLINK("http://141.218.60.56/~jnz1568/getInfo.php?workbook=14_09.xlsx&amp;sheet=U0&amp;row=2339&amp;col=6&amp;number=4.5&amp;sourceID=14","4.5")</f>
        <v>4.5</v>
      </c>
      <c r="G2339" s="4" t="str">
        <f>HYPERLINK("http://141.218.60.56/~jnz1568/getInfo.php?workbook=14_09.xlsx&amp;sheet=U0&amp;row=2339&amp;col=7&amp;number=0.00196&amp;sourceID=14","0.00196")</f>
        <v>0.00196</v>
      </c>
    </row>
    <row r="2340" spans="1:7">
      <c r="A2340" s="3"/>
      <c r="B2340" s="3"/>
      <c r="C2340" s="3"/>
      <c r="D2340" s="3"/>
      <c r="E2340" s="3">
        <v>17</v>
      </c>
      <c r="F2340" s="4" t="str">
        <f>HYPERLINK("http://141.218.60.56/~jnz1568/getInfo.php?workbook=14_09.xlsx&amp;sheet=U0&amp;row=2340&amp;col=6&amp;number=4.6&amp;sourceID=14","4.6")</f>
        <v>4.6</v>
      </c>
      <c r="G2340" s="4" t="str">
        <f>HYPERLINK("http://141.218.60.56/~jnz1568/getInfo.php?workbook=14_09.xlsx&amp;sheet=U0&amp;row=2340&amp;col=7&amp;number=0.00189&amp;sourceID=14","0.00189")</f>
        <v>0.00189</v>
      </c>
    </row>
    <row r="2341" spans="1:7">
      <c r="A2341" s="3"/>
      <c r="B2341" s="3"/>
      <c r="C2341" s="3"/>
      <c r="D2341" s="3"/>
      <c r="E2341" s="3">
        <v>18</v>
      </c>
      <c r="F2341" s="4" t="str">
        <f>HYPERLINK("http://141.218.60.56/~jnz1568/getInfo.php?workbook=14_09.xlsx&amp;sheet=U0&amp;row=2341&amp;col=6&amp;number=4.7&amp;sourceID=14","4.7")</f>
        <v>4.7</v>
      </c>
      <c r="G2341" s="4" t="str">
        <f>HYPERLINK("http://141.218.60.56/~jnz1568/getInfo.php?workbook=14_09.xlsx&amp;sheet=U0&amp;row=2341&amp;col=7&amp;number=0.00182&amp;sourceID=14","0.00182")</f>
        <v>0.00182</v>
      </c>
    </row>
    <row r="2342" spans="1:7">
      <c r="A2342" s="3"/>
      <c r="B2342" s="3"/>
      <c r="C2342" s="3"/>
      <c r="D2342" s="3"/>
      <c r="E2342" s="3">
        <v>19</v>
      </c>
      <c r="F2342" s="4" t="str">
        <f>HYPERLINK("http://141.218.60.56/~jnz1568/getInfo.php?workbook=14_09.xlsx&amp;sheet=U0&amp;row=2342&amp;col=6&amp;number=4.8&amp;sourceID=14","4.8")</f>
        <v>4.8</v>
      </c>
      <c r="G2342" s="4" t="str">
        <f>HYPERLINK("http://141.218.60.56/~jnz1568/getInfo.php?workbook=14_09.xlsx&amp;sheet=U0&amp;row=2342&amp;col=7&amp;number=0.00175&amp;sourceID=14","0.00175")</f>
        <v>0.00175</v>
      </c>
    </row>
    <row r="2343" spans="1:7">
      <c r="A2343" s="3"/>
      <c r="B2343" s="3"/>
      <c r="C2343" s="3"/>
      <c r="D2343" s="3"/>
      <c r="E2343" s="3">
        <v>20</v>
      </c>
      <c r="F2343" s="4" t="str">
        <f>HYPERLINK("http://141.218.60.56/~jnz1568/getInfo.php?workbook=14_09.xlsx&amp;sheet=U0&amp;row=2343&amp;col=6&amp;number=4.9&amp;sourceID=14","4.9")</f>
        <v>4.9</v>
      </c>
      <c r="G2343" s="4" t="str">
        <f>HYPERLINK("http://141.218.60.56/~jnz1568/getInfo.php?workbook=14_09.xlsx&amp;sheet=U0&amp;row=2343&amp;col=7&amp;number=0.00166&amp;sourceID=14","0.00166")</f>
        <v>0.00166</v>
      </c>
    </row>
    <row r="2344" spans="1:7">
      <c r="A2344" s="3">
        <v>14</v>
      </c>
      <c r="B2344" s="3">
        <v>9</v>
      </c>
      <c r="C2344" s="3">
        <v>1</v>
      </c>
      <c r="D2344" s="3">
        <v>119</v>
      </c>
      <c r="E2344" s="3">
        <v>1</v>
      </c>
      <c r="F2344" s="4" t="str">
        <f>HYPERLINK("http://141.218.60.56/~jnz1568/getInfo.php?workbook=14_09.xlsx&amp;sheet=U0&amp;row=2344&amp;col=6&amp;number=3&amp;sourceID=14","3")</f>
        <v>3</v>
      </c>
      <c r="G2344" s="4" t="str">
        <f>HYPERLINK("http://141.218.60.56/~jnz1568/getInfo.php?workbook=14_09.xlsx&amp;sheet=U0&amp;row=2344&amp;col=7&amp;number=0.00361&amp;sourceID=14","0.00361")</f>
        <v>0.00361</v>
      </c>
    </row>
    <row r="2345" spans="1:7">
      <c r="A2345" s="3"/>
      <c r="B2345" s="3"/>
      <c r="C2345" s="3"/>
      <c r="D2345" s="3"/>
      <c r="E2345" s="3">
        <v>2</v>
      </c>
      <c r="F2345" s="4" t="str">
        <f>HYPERLINK("http://141.218.60.56/~jnz1568/getInfo.php?workbook=14_09.xlsx&amp;sheet=U0&amp;row=2345&amp;col=6&amp;number=3.1&amp;sourceID=14","3.1")</f>
        <v>3.1</v>
      </c>
      <c r="G2345" s="4" t="str">
        <f>HYPERLINK("http://141.218.60.56/~jnz1568/getInfo.php?workbook=14_09.xlsx&amp;sheet=U0&amp;row=2345&amp;col=7&amp;number=0.00361&amp;sourceID=14","0.00361")</f>
        <v>0.00361</v>
      </c>
    </row>
    <row r="2346" spans="1:7">
      <c r="A2346" s="3"/>
      <c r="B2346" s="3"/>
      <c r="C2346" s="3"/>
      <c r="D2346" s="3"/>
      <c r="E2346" s="3">
        <v>3</v>
      </c>
      <c r="F2346" s="4" t="str">
        <f>HYPERLINK("http://141.218.60.56/~jnz1568/getInfo.php?workbook=14_09.xlsx&amp;sheet=U0&amp;row=2346&amp;col=6&amp;number=3.2&amp;sourceID=14","3.2")</f>
        <v>3.2</v>
      </c>
      <c r="G2346" s="4" t="str">
        <f>HYPERLINK("http://141.218.60.56/~jnz1568/getInfo.php?workbook=14_09.xlsx&amp;sheet=U0&amp;row=2346&amp;col=7&amp;number=0.0036&amp;sourceID=14","0.0036")</f>
        <v>0.0036</v>
      </c>
    </row>
    <row r="2347" spans="1:7">
      <c r="A2347" s="3"/>
      <c r="B2347" s="3"/>
      <c r="C2347" s="3"/>
      <c r="D2347" s="3"/>
      <c r="E2347" s="3">
        <v>4</v>
      </c>
      <c r="F2347" s="4" t="str">
        <f>HYPERLINK("http://141.218.60.56/~jnz1568/getInfo.php?workbook=14_09.xlsx&amp;sheet=U0&amp;row=2347&amp;col=6&amp;number=3.3&amp;sourceID=14","3.3")</f>
        <v>3.3</v>
      </c>
      <c r="G2347" s="4" t="str">
        <f>HYPERLINK("http://141.218.60.56/~jnz1568/getInfo.php?workbook=14_09.xlsx&amp;sheet=U0&amp;row=2347&amp;col=7&amp;number=0.0036&amp;sourceID=14","0.0036")</f>
        <v>0.0036</v>
      </c>
    </row>
    <row r="2348" spans="1:7">
      <c r="A2348" s="3"/>
      <c r="B2348" s="3"/>
      <c r="C2348" s="3"/>
      <c r="D2348" s="3"/>
      <c r="E2348" s="3">
        <v>5</v>
      </c>
      <c r="F2348" s="4" t="str">
        <f>HYPERLINK("http://141.218.60.56/~jnz1568/getInfo.php?workbook=14_09.xlsx&amp;sheet=U0&amp;row=2348&amp;col=6&amp;number=3.4&amp;sourceID=14","3.4")</f>
        <v>3.4</v>
      </c>
      <c r="G2348" s="4" t="str">
        <f>HYPERLINK("http://141.218.60.56/~jnz1568/getInfo.php?workbook=14_09.xlsx&amp;sheet=U0&amp;row=2348&amp;col=7&amp;number=0.00359&amp;sourceID=14","0.00359")</f>
        <v>0.00359</v>
      </c>
    </row>
    <row r="2349" spans="1:7">
      <c r="A2349" s="3"/>
      <c r="B2349" s="3"/>
      <c r="C2349" s="3"/>
      <c r="D2349" s="3"/>
      <c r="E2349" s="3">
        <v>6</v>
      </c>
      <c r="F2349" s="4" t="str">
        <f>HYPERLINK("http://141.218.60.56/~jnz1568/getInfo.php?workbook=14_09.xlsx&amp;sheet=U0&amp;row=2349&amp;col=6&amp;number=3.5&amp;sourceID=14","3.5")</f>
        <v>3.5</v>
      </c>
      <c r="G2349" s="4" t="str">
        <f>HYPERLINK("http://141.218.60.56/~jnz1568/getInfo.php?workbook=14_09.xlsx&amp;sheet=U0&amp;row=2349&amp;col=7&amp;number=0.00358&amp;sourceID=14","0.00358")</f>
        <v>0.00358</v>
      </c>
    </row>
    <row r="2350" spans="1:7">
      <c r="A2350" s="3"/>
      <c r="B2350" s="3"/>
      <c r="C2350" s="3"/>
      <c r="D2350" s="3"/>
      <c r="E2350" s="3">
        <v>7</v>
      </c>
      <c r="F2350" s="4" t="str">
        <f>HYPERLINK("http://141.218.60.56/~jnz1568/getInfo.php?workbook=14_09.xlsx&amp;sheet=U0&amp;row=2350&amp;col=6&amp;number=3.6&amp;sourceID=14","3.6")</f>
        <v>3.6</v>
      </c>
      <c r="G2350" s="4" t="str">
        <f>HYPERLINK("http://141.218.60.56/~jnz1568/getInfo.php?workbook=14_09.xlsx&amp;sheet=U0&amp;row=2350&amp;col=7&amp;number=0.00356&amp;sourceID=14","0.00356")</f>
        <v>0.00356</v>
      </c>
    </row>
    <row r="2351" spans="1:7">
      <c r="A2351" s="3"/>
      <c r="B2351" s="3"/>
      <c r="C2351" s="3"/>
      <c r="D2351" s="3"/>
      <c r="E2351" s="3">
        <v>8</v>
      </c>
      <c r="F2351" s="4" t="str">
        <f>HYPERLINK("http://141.218.60.56/~jnz1568/getInfo.php?workbook=14_09.xlsx&amp;sheet=U0&amp;row=2351&amp;col=6&amp;number=3.7&amp;sourceID=14","3.7")</f>
        <v>3.7</v>
      </c>
      <c r="G2351" s="4" t="str">
        <f>HYPERLINK("http://141.218.60.56/~jnz1568/getInfo.php?workbook=14_09.xlsx&amp;sheet=U0&amp;row=2351&amp;col=7&amp;number=0.00355&amp;sourceID=14","0.00355")</f>
        <v>0.00355</v>
      </c>
    </row>
    <row r="2352" spans="1:7">
      <c r="A2352" s="3"/>
      <c r="B2352" s="3"/>
      <c r="C2352" s="3"/>
      <c r="D2352" s="3"/>
      <c r="E2352" s="3">
        <v>9</v>
      </c>
      <c r="F2352" s="4" t="str">
        <f>HYPERLINK("http://141.218.60.56/~jnz1568/getInfo.php?workbook=14_09.xlsx&amp;sheet=U0&amp;row=2352&amp;col=6&amp;number=3.8&amp;sourceID=14","3.8")</f>
        <v>3.8</v>
      </c>
      <c r="G2352" s="4" t="str">
        <f>HYPERLINK("http://141.218.60.56/~jnz1568/getInfo.php?workbook=14_09.xlsx&amp;sheet=U0&amp;row=2352&amp;col=7&amp;number=0.00353&amp;sourceID=14","0.00353")</f>
        <v>0.00353</v>
      </c>
    </row>
    <row r="2353" spans="1:7">
      <c r="A2353" s="3"/>
      <c r="B2353" s="3"/>
      <c r="C2353" s="3"/>
      <c r="D2353" s="3"/>
      <c r="E2353" s="3">
        <v>10</v>
      </c>
      <c r="F2353" s="4" t="str">
        <f>HYPERLINK("http://141.218.60.56/~jnz1568/getInfo.php?workbook=14_09.xlsx&amp;sheet=U0&amp;row=2353&amp;col=6&amp;number=3.9&amp;sourceID=14","3.9")</f>
        <v>3.9</v>
      </c>
      <c r="G2353" s="4" t="str">
        <f>HYPERLINK("http://141.218.60.56/~jnz1568/getInfo.php?workbook=14_09.xlsx&amp;sheet=U0&amp;row=2353&amp;col=7&amp;number=0.0035&amp;sourceID=14","0.0035")</f>
        <v>0.0035</v>
      </c>
    </row>
    <row r="2354" spans="1:7">
      <c r="A2354" s="3"/>
      <c r="B2354" s="3"/>
      <c r="C2354" s="3"/>
      <c r="D2354" s="3"/>
      <c r="E2354" s="3">
        <v>11</v>
      </c>
      <c r="F2354" s="4" t="str">
        <f>HYPERLINK("http://141.218.60.56/~jnz1568/getInfo.php?workbook=14_09.xlsx&amp;sheet=U0&amp;row=2354&amp;col=6&amp;number=4&amp;sourceID=14","4")</f>
        <v>4</v>
      </c>
      <c r="G2354" s="4" t="str">
        <f>HYPERLINK("http://141.218.60.56/~jnz1568/getInfo.php?workbook=14_09.xlsx&amp;sheet=U0&amp;row=2354&amp;col=7&amp;number=0.00347&amp;sourceID=14","0.00347")</f>
        <v>0.00347</v>
      </c>
    </row>
    <row r="2355" spans="1:7">
      <c r="A2355" s="3"/>
      <c r="B2355" s="3"/>
      <c r="C2355" s="3"/>
      <c r="D2355" s="3"/>
      <c r="E2355" s="3">
        <v>12</v>
      </c>
      <c r="F2355" s="4" t="str">
        <f>HYPERLINK("http://141.218.60.56/~jnz1568/getInfo.php?workbook=14_09.xlsx&amp;sheet=U0&amp;row=2355&amp;col=6&amp;number=4.1&amp;sourceID=14","4.1")</f>
        <v>4.1</v>
      </c>
      <c r="G2355" s="4" t="str">
        <f>HYPERLINK("http://141.218.60.56/~jnz1568/getInfo.php?workbook=14_09.xlsx&amp;sheet=U0&amp;row=2355&amp;col=7&amp;number=0.00343&amp;sourceID=14","0.00343")</f>
        <v>0.00343</v>
      </c>
    </row>
    <row r="2356" spans="1:7">
      <c r="A2356" s="3"/>
      <c r="B2356" s="3"/>
      <c r="C2356" s="3"/>
      <c r="D2356" s="3"/>
      <c r="E2356" s="3">
        <v>13</v>
      </c>
      <c r="F2356" s="4" t="str">
        <f>HYPERLINK("http://141.218.60.56/~jnz1568/getInfo.php?workbook=14_09.xlsx&amp;sheet=U0&amp;row=2356&amp;col=6&amp;number=4.2&amp;sourceID=14","4.2")</f>
        <v>4.2</v>
      </c>
      <c r="G2356" s="4" t="str">
        <f>HYPERLINK("http://141.218.60.56/~jnz1568/getInfo.php?workbook=14_09.xlsx&amp;sheet=U0&amp;row=2356&amp;col=7&amp;number=0.00339&amp;sourceID=14","0.00339")</f>
        <v>0.00339</v>
      </c>
    </row>
    <row r="2357" spans="1:7">
      <c r="A2357" s="3"/>
      <c r="B2357" s="3"/>
      <c r="C2357" s="3"/>
      <c r="D2357" s="3"/>
      <c r="E2357" s="3">
        <v>14</v>
      </c>
      <c r="F2357" s="4" t="str">
        <f>HYPERLINK("http://141.218.60.56/~jnz1568/getInfo.php?workbook=14_09.xlsx&amp;sheet=U0&amp;row=2357&amp;col=6&amp;number=4.3&amp;sourceID=14","4.3")</f>
        <v>4.3</v>
      </c>
      <c r="G2357" s="4" t="str">
        <f>HYPERLINK("http://141.218.60.56/~jnz1568/getInfo.php?workbook=14_09.xlsx&amp;sheet=U0&amp;row=2357&amp;col=7&amp;number=0.00333&amp;sourceID=14","0.00333")</f>
        <v>0.00333</v>
      </c>
    </row>
    <row r="2358" spans="1:7">
      <c r="A2358" s="3"/>
      <c r="B2358" s="3"/>
      <c r="C2358" s="3"/>
      <c r="D2358" s="3"/>
      <c r="E2358" s="3">
        <v>15</v>
      </c>
      <c r="F2358" s="4" t="str">
        <f>HYPERLINK("http://141.218.60.56/~jnz1568/getInfo.php?workbook=14_09.xlsx&amp;sheet=U0&amp;row=2358&amp;col=6&amp;number=4.4&amp;sourceID=14","4.4")</f>
        <v>4.4</v>
      </c>
      <c r="G2358" s="4" t="str">
        <f>HYPERLINK("http://141.218.60.56/~jnz1568/getInfo.php?workbook=14_09.xlsx&amp;sheet=U0&amp;row=2358&amp;col=7&amp;number=0.00326&amp;sourceID=14","0.00326")</f>
        <v>0.00326</v>
      </c>
    </row>
    <row r="2359" spans="1:7">
      <c r="A2359" s="3"/>
      <c r="B2359" s="3"/>
      <c r="C2359" s="3"/>
      <c r="D2359" s="3"/>
      <c r="E2359" s="3">
        <v>16</v>
      </c>
      <c r="F2359" s="4" t="str">
        <f>HYPERLINK("http://141.218.60.56/~jnz1568/getInfo.php?workbook=14_09.xlsx&amp;sheet=U0&amp;row=2359&amp;col=6&amp;number=4.5&amp;sourceID=14","4.5")</f>
        <v>4.5</v>
      </c>
      <c r="G2359" s="4" t="str">
        <f>HYPERLINK("http://141.218.60.56/~jnz1568/getInfo.php?workbook=14_09.xlsx&amp;sheet=U0&amp;row=2359&amp;col=7&amp;number=0.00317&amp;sourceID=14","0.00317")</f>
        <v>0.00317</v>
      </c>
    </row>
    <row r="2360" spans="1:7">
      <c r="A2360" s="3"/>
      <c r="B2360" s="3"/>
      <c r="C2360" s="3"/>
      <c r="D2360" s="3"/>
      <c r="E2360" s="3">
        <v>17</v>
      </c>
      <c r="F2360" s="4" t="str">
        <f>HYPERLINK("http://141.218.60.56/~jnz1568/getInfo.php?workbook=14_09.xlsx&amp;sheet=U0&amp;row=2360&amp;col=6&amp;number=4.6&amp;sourceID=14","4.6")</f>
        <v>4.6</v>
      </c>
      <c r="G2360" s="4" t="str">
        <f>HYPERLINK("http://141.218.60.56/~jnz1568/getInfo.php?workbook=14_09.xlsx&amp;sheet=U0&amp;row=2360&amp;col=7&amp;number=0.00307&amp;sourceID=14","0.00307")</f>
        <v>0.00307</v>
      </c>
    </row>
    <row r="2361" spans="1:7">
      <c r="A2361" s="3"/>
      <c r="B2361" s="3"/>
      <c r="C2361" s="3"/>
      <c r="D2361" s="3"/>
      <c r="E2361" s="3">
        <v>18</v>
      </c>
      <c r="F2361" s="4" t="str">
        <f>HYPERLINK("http://141.218.60.56/~jnz1568/getInfo.php?workbook=14_09.xlsx&amp;sheet=U0&amp;row=2361&amp;col=6&amp;number=4.7&amp;sourceID=14","4.7")</f>
        <v>4.7</v>
      </c>
      <c r="G2361" s="4" t="str">
        <f>HYPERLINK("http://141.218.60.56/~jnz1568/getInfo.php?workbook=14_09.xlsx&amp;sheet=U0&amp;row=2361&amp;col=7&amp;number=0.00296&amp;sourceID=14","0.00296")</f>
        <v>0.00296</v>
      </c>
    </row>
    <row r="2362" spans="1:7">
      <c r="A2362" s="3"/>
      <c r="B2362" s="3"/>
      <c r="C2362" s="3"/>
      <c r="D2362" s="3"/>
      <c r="E2362" s="3">
        <v>19</v>
      </c>
      <c r="F2362" s="4" t="str">
        <f>HYPERLINK("http://141.218.60.56/~jnz1568/getInfo.php?workbook=14_09.xlsx&amp;sheet=U0&amp;row=2362&amp;col=6&amp;number=4.8&amp;sourceID=14","4.8")</f>
        <v>4.8</v>
      </c>
      <c r="G2362" s="4" t="str">
        <f>HYPERLINK("http://141.218.60.56/~jnz1568/getInfo.php?workbook=14_09.xlsx&amp;sheet=U0&amp;row=2362&amp;col=7&amp;number=0.00284&amp;sourceID=14","0.00284")</f>
        <v>0.00284</v>
      </c>
    </row>
    <row r="2363" spans="1:7">
      <c r="A2363" s="3"/>
      <c r="B2363" s="3"/>
      <c r="C2363" s="3"/>
      <c r="D2363" s="3"/>
      <c r="E2363" s="3">
        <v>20</v>
      </c>
      <c r="F2363" s="4" t="str">
        <f>HYPERLINK("http://141.218.60.56/~jnz1568/getInfo.php?workbook=14_09.xlsx&amp;sheet=U0&amp;row=2363&amp;col=6&amp;number=4.9&amp;sourceID=14","4.9")</f>
        <v>4.9</v>
      </c>
      <c r="G2363" s="4" t="str">
        <f>HYPERLINK("http://141.218.60.56/~jnz1568/getInfo.php?workbook=14_09.xlsx&amp;sheet=U0&amp;row=2363&amp;col=7&amp;number=0.00272&amp;sourceID=14","0.00272")</f>
        <v>0.00272</v>
      </c>
    </row>
    <row r="2364" spans="1:7">
      <c r="A2364" s="3">
        <v>14</v>
      </c>
      <c r="B2364" s="3">
        <v>9</v>
      </c>
      <c r="C2364" s="3">
        <v>1</v>
      </c>
      <c r="D2364" s="3">
        <v>120</v>
      </c>
      <c r="E2364" s="3">
        <v>1</v>
      </c>
      <c r="F2364" s="4" t="str">
        <f>HYPERLINK("http://141.218.60.56/~jnz1568/getInfo.php?workbook=14_09.xlsx&amp;sheet=U0&amp;row=2364&amp;col=6&amp;number=3&amp;sourceID=14","3")</f>
        <v>3</v>
      </c>
      <c r="G2364" s="4" t="str">
        <f>HYPERLINK("http://141.218.60.56/~jnz1568/getInfo.php?workbook=14_09.xlsx&amp;sheet=U0&amp;row=2364&amp;col=7&amp;number=0.00494&amp;sourceID=14","0.00494")</f>
        <v>0.00494</v>
      </c>
    </row>
    <row r="2365" spans="1:7">
      <c r="A2365" s="3"/>
      <c r="B2365" s="3"/>
      <c r="C2365" s="3"/>
      <c r="D2365" s="3"/>
      <c r="E2365" s="3">
        <v>2</v>
      </c>
      <c r="F2365" s="4" t="str">
        <f>HYPERLINK("http://141.218.60.56/~jnz1568/getInfo.php?workbook=14_09.xlsx&amp;sheet=U0&amp;row=2365&amp;col=6&amp;number=3.1&amp;sourceID=14","3.1")</f>
        <v>3.1</v>
      </c>
      <c r="G2365" s="4" t="str">
        <f>HYPERLINK("http://141.218.60.56/~jnz1568/getInfo.php?workbook=14_09.xlsx&amp;sheet=U0&amp;row=2365&amp;col=7&amp;number=0.00493&amp;sourceID=14","0.00493")</f>
        <v>0.00493</v>
      </c>
    </row>
    <row r="2366" spans="1:7">
      <c r="A2366" s="3"/>
      <c r="B2366" s="3"/>
      <c r="C2366" s="3"/>
      <c r="D2366" s="3"/>
      <c r="E2366" s="3">
        <v>3</v>
      </c>
      <c r="F2366" s="4" t="str">
        <f>HYPERLINK("http://141.218.60.56/~jnz1568/getInfo.php?workbook=14_09.xlsx&amp;sheet=U0&amp;row=2366&amp;col=6&amp;number=3.2&amp;sourceID=14","3.2")</f>
        <v>3.2</v>
      </c>
      <c r="G2366" s="4" t="str">
        <f>HYPERLINK("http://141.218.60.56/~jnz1568/getInfo.php?workbook=14_09.xlsx&amp;sheet=U0&amp;row=2366&amp;col=7&amp;number=0.00493&amp;sourceID=14","0.00493")</f>
        <v>0.00493</v>
      </c>
    </row>
    <row r="2367" spans="1:7">
      <c r="A2367" s="3"/>
      <c r="B2367" s="3"/>
      <c r="C2367" s="3"/>
      <c r="D2367" s="3"/>
      <c r="E2367" s="3">
        <v>4</v>
      </c>
      <c r="F2367" s="4" t="str">
        <f>HYPERLINK("http://141.218.60.56/~jnz1568/getInfo.php?workbook=14_09.xlsx&amp;sheet=U0&amp;row=2367&amp;col=6&amp;number=3.3&amp;sourceID=14","3.3")</f>
        <v>3.3</v>
      </c>
      <c r="G2367" s="4" t="str">
        <f>HYPERLINK("http://141.218.60.56/~jnz1568/getInfo.php?workbook=14_09.xlsx&amp;sheet=U0&amp;row=2367&amp;col=7&amp;number=0.00493&amp;sourceID=14","0.00493")</f>
        <v>0.00493</v>
      </c>
    </row>
    <row r="2368" spans="1:7">
      <c r="A2368" s="3"/>
      <c r="B2368" s="3"/>
      <c r="C2368" s="3"/>
      <c r="D2368" s="3"/>
      <c r="E2368" s="3">
        <v>5</v>
      </c>
      <c r="F2368" s="4" t="str">
        <f>HYPERLINK("http://141.218.60.56/~jnz1568/getInfo.php?workbook=14_09.xlsx&amp;sheet=U0&amp;row=2368&amp;col=6&amp;number=3.4&amp;sourceID=14","3.4")</f>
        <v>3.4</v>
      </c>
      <c r="G2368" s="4" t="str">
        <f>HYPERLINK("http://141.218.60.56/~jnz1568/getInfo.php?workbook=14_09.xlsx&amp;sheet=U0&amp;row=2368&amp;col=7&amp;number=0.00492&amp;sourceID=14","0.00492")</f>
        <v>0.00492</v>
      </c>
    </row>
    <row r="2369" spans="1:7">
      <c r="A2369" s="3"/>
      <c r="B2369" s="3"/>
      <c r="C2369" s="3"/>
      <c r="D2369" s="3"/>
      <c r="E2369" s="3">
        <v>6</v>
      </c>
      <c r="F2369" s="4" t="str">
        <f>HYPERLINK("http://141.218.60.56/~jnz1568/getInfo.php?workbook=14_09.xlsx&amp;sheet=U0&amp;row=2369&amp;col=6&amp;number=3.5&amp;sourceID=14","3.5")</f>
        <v>3.5</v>
      </c>
      <c r="G2369" s="4" t="str">
        <f>HYPERLINK("http://141.218.60.56/~jnz1568/getInfo.php?workbook=14_09.xlsx&amp;sheet=U0&amp;row=2369&amp;col=7&amp;number=0.00491&amp;sourceID=14","0.00491")</f>
        <v>0.00491</v>
      </c>
    </row>
    <row r="2370" spans="1:7">
      <c r="A2370" s="3"/>
      <c r="B2370" s="3"/>
      <c r="C2370" s="3"/>
      <c r="D2370" s="3"/>
      <c r="E2370" s="3">
        <v>7</v>
      </c>
      <c r="F2370" s="4" t="str">
        <f>HYPERLINK("http://141.218.60.56/~jnz1568/getInfo.php?workbook=14_09.xlsx&amp;sheet=U0&amp;row=2370&amp;col=6&amp;number=3.6&amp;sourceID=14","3.6")</f>
        <v>3.6</v>
      </c>
      <c r="G2370" s="4" t="str">
        <f>HYPERLINK("http://141.218.60.56/~jnz1568/getInfo.php?workbook=14_09.xlsx&amp;sheet=U0&amp;row=2370&amp;col=7&amp;number=0.0049&amp;sourceID=14","0.0049")</f>
        <v>0.0049</v>
      </c>
    </row>
    <row r="2371" spans="1:7">
      <c r="A2371" s="3"/>
      <c r="B2371" s="3"/>
      <c r="C2371" s="3"/>
      <c r="D2371" s="3"/>
      <c r="E2371" s="3">
        <v>8</v>
      </c>
      <c r="F2371" s="4" t="str">
        <f>HYPERLINK("http://141.218.60.56/~jnz1568/getInfo.php?workbook=14_09.xlsx&amp;sheet=U0&amp;row=2371&amp;col=6&amp;number=3.7&amp;sourceID=14","3.7")</f>
        <v>3.7</v>
      </c>
      <c r="G2371" s="4" t="str">
        <f>HYPERLINK("http://141.218.60.56/~jnz1568/getInfo.php?workbook=14_09.xlsx&amp;sheet=U0&amp;row=2371&amp;col=7&amp;number=0.00489&amp;sourceID=14","0.00489")</f>
        <v>0.00489</v>
      </c>
    </row>
    <row r="2372" spans="1:7">
      <c r="A2372" s="3"/>
      <c r="B2372" s="3"/>
      <c r="C2372" s="3"/>
      <c r="D2372" s="3"/>
      <c r="E2372" s="3">
        <v>9</v>
      </c>
      <c r="F2372" s="4" t="str">
        <f>HYPERLINK("http://141.218.60.56/~jnz1568/getInfo.php?workbook=14_09.xlsx&amp;sheet=U0&amp;row=2372&amp;col=6&amp;number=3.8&amp;sourceID=14","3.8")</f>
        <v>3.8</v>
      </c>
      <c r="G2372" s="4" t="str">
        <f>HYPERLINK("http://141.218.60.56/~jnz1568/getInfo.php?workbook=14_09.xlsx&amp;sheet=U0&amp;row=2372&amp;col=7&amp;number=0.00487&amp;sourceID=14","0.00487")</f>
        <v>0.00487</v>
      </c>
    </row>
    <row r="2373" spans="1:7">
      <c r="A2373" s="3"/>
      <c r="B2373" s="3"/>
      <c r="C2373" s="3"/>
      <c r="D2373" s="3"/>
      <c r="E2373" s="3">
        <v>10</v>
      </c>
      <c r="F2373" s="4" t="str">
        <f>HYPERLINK("http://141.218.60.56/~jnz1568/getInfo.php?workbook=14_09.xlsx&amp;sheet=U0&amp;row=2373&amp;col=6&amp;number=3.9&amp;sourceID=14","3.9")</f>
        <v>3.9</v>
      </c>
      <c r="G2373" s="4" t="str">
        <f>HYPERLINK("http://141.218.60.56/~jnz1568/getInfo.php?workbook=14_09.xlsx&amp;sheet=U0&amp;row=2373&amp;col=7&amp;number=0.00485&amp;sourceID=14","0.00485")</f>
        <v>0.00485</v>
      </c>
    </row>
    <row r="2374" spans="1:7">
      <c r="A2374" s="3"/>
      <c r="B2374" s="3"/>
      <c r="C2374" s="3"/>
      <c r="D2374" s="3"/>
      <c r="E2374" s="3">
        <v>11</v>
      </c>
      <c r="F2374" s="4" t="str">
        <f>HYPERLINK("http://141.218.60.56/~jnz1568/getInfo.php?workbook=14_09.xlsx&amp;sheet=U0&amp;row=2374&amp;col=6&amp;number=4&amp;sourceID=14","4")</f>
        <v>4</v>
      </c>
      <c r="G2374" s="4" t="str">
        <f>HYPERLINK("http://141.218.60.56/~jnz1568/getInfo.php?workbook=14_09.xlsx&amp;sheet=U0&amp;row=2374&amp;col=7&amp;number=0.00483&amp;sourceID=14","0.00483")</f>
        <v>0.00483</v>
      </c>
    </row>
    <row r="2375" spans="1:7">
      <c r="A2375" s="3"/>
      <c r="B2375" s="3"/>
      <c r="C2375" s="3"/>
      <c r="D2375" s="3"/>
      <c r="E2375" s="3">
        <v>12</v>
      </c>
      <c r="F2375" s="4" t="str">
        <f>HYPERLINK("http://141.218.60.56/~jnz1568/getInfo.php?workbook=14_09.xlsx&amp;sheet=U0&amp;row=2375&amp;col=6&amp;number=4.1&amp;sourceID=14","4.1")</f>
        <v>4.1</v>
      </c>
      <c r="G2375" s="4" t="str">
        <f>HYPERLINK("http://141.218.60.56/~jnz1568/getInfo.php?workbook=14_09.xlsx&amp;sheet=U0&amp;row=2375&amp;col=7&amp;number=0.00479&amp;sourceID=14","0.00479")</f>
        <v>0.00479</v>
      </c>
    </row>
    <row r="2376" spans="1:7">
      <c r="A2376" s="3"/>
      <c r="B2376" s="3"/>
      <c r="C2376" s="3"/>
      <c r="D2376" s="3"/>
      <c r="E2376" s="3">
        <v>13</v>
      </c>
      <c r="F2376" s="4" t="str">
        <f>HYPERLINK("http://141.218.60.56/~jnz1568/getInfo.php?workbook=14_09.xlsx&amp;sheet=U0&amp;row=2376&amp;col=6&amp;number=4.2&amp;sourceID=14","4.2")</f>
        <v>4.2</v>
      </c>
      <c r="G2376" s="4" t="str">
        <f>HYPERLINK("http://141.218.60.56/~jnz1568/getInfo.php?workbook=14_09.xlsx&amp;sheet=U0&amp;row=2376&amp;col=7&amp;number=0.00476&amp;sourceID=14","0.00476")</f>
        <v>0.00476</v>
      </c>
    </row>
    <row r="2377" spans="1:7">
      <c r="A2377" s="3"/>
      <c r="B2377" s="3"/>
      <c r="C2377" s="3"/>
      <c r="D2377" s="3"/>
      <c r="E2377" s="3">
        <v>14</v>
      </c>
      <c r="F2377" s="4" t="str">
        <f>HYPERLINK("http://141.218.60.56/~jnz1568/getInfo.php?workbook=14_09.xlsx&amp;sheet=U0&amp;row=2377&amp;col=6&amp;number=4.3&amp;sourceID=14","4.3")</f>
        <v>4.3</v>
      </c>
      <c r="G2377" s="4" t="str">
        <f>HYPERLINK("http://141.218.60.56/~jnz1568/getInfo.php?workbook=14_09.xlsx&amp;sheet=U0&amp;row=2377&amp;col=7&amp;number=0.00471&amp;sourceID=14","0.00471")</f>
        <v>0.00471</v>
      </c>
    </row>
    <row r="2378" spans="1:7">
      <c r="A2378" s="3"/>
      <c r="B2378" s="3"/>
      <c r="C2378" s="3"/>
      <c r="D2378" s="3"/>
      <c r="E2378" s="3">
        <v>15</v>
      </c>
      <c r="F2378" s="4" t="str">
        <f>HYPERLINK("http://141.218.60.56/~jnz1568/getInfo.php?workbook=14_09.xlsx&amp;sheet=U0&amp;row=2378&amp;col=6&amp;number=4.4&amp;sourceID=14","4.4")</f>
        <v>4.4</v>
      </c>
      <c r="G2378" s="4" t="str">
        <f>HYPERLINK("http://141.218.60.56/~jnz1568/getInfo.php?workbook=14_09.xlsx&amp;sheet=U0&amp;row=2378&amp;col=7&amp;number=0.00465&amp;sourceID=14","0.00465")</f>
        <v>0.00465</v>
      </c>
    </row>
    <row r="2379" spans="1:7">
      <c r="A2379" s="3"/>
      <c r="B2379" s="3"/>
      <c r="C2379" s="3"/>
      <c r="D2379" s="3"/>
      <c r="E2379" s="3">
        <v>16</v>
      </c>
      <c r="F2379" s="4" t="str">
        <f>HYPERLINK("http://141.218.60.56/~jnz1568/getInfo.php?workbook=14_09.xlsx&amp;sheet=U0&amp;row=2379&amp;col=6&amp;number=4.5&amp;sourceID=14","4.5")</f>
        <v>4.5</v>
      </c>
      <c r="G2379" s="4" t="str">
        <f>HYPERLINK("http://141.218.60.56/~jnz1568/getInfo.php?workbook=14_09.xlsx&amp;sheet=U0&amp;row=2379&amp;col=7&amp;number=0.00457&amp;sourceID=14","0.00457")</f>
        <v>0.00457</v>
      </c>
    </row>
    <row r="2380" spans="1:7">
      <c r="A2380" s="3"/>
      <c r="B2380" s="3"/>
      <c r="C2380" s="3"/>
      <c r="D2380" s="3"/>
      <c r="E2380" s="3">
        <v>17</v>
      </c>
      <c r="F2380" s="4" t="str">
        <f>HYPERLINK("http://141.218.60.56/~jnz1568/getInfo.php?workbook=14_09.xlsx&amp;sheet=U0&amp;row=2380&amp;col=6&amp;number=4.6&amp;sourceID=14","4.6")</f>
        <v>4.6</v>
      </c>
      <c r="G2380" s="4" t="str">
        <f>HYPERLINK("http://141.218.60.56/~jnz1568/getInfo.php?workbook=14_09.xlsx&amp;sheet=U0&amp;row=2380&amp;col=7&amp;number=0.00448&amp;sourceID=14","0.00448")</f>
        <v>0.00448</v>
      </c>
    </row>
    <row r="2381" spans="1:7">
      <c r="A2381" s="3"/>
      <c r="B2381" s="3"/>
      <c r="C2381" s="3"/>
      <c r="D2381" s="3"/>
      <c r="E2381" s="3">
        <v>18</v>
      </c>
      <c r="F2381" s="4" t="str">
        <f>HYPERLINK("http://141.218.60.56/~jnz1568/getInfo.php?workbook=14_09.xlsx&amp;sheet=U0&amp;row=2381&amp;col=6&amp;number=4.7&amp;sourceID=14","4.7")</f>
        <v>4.7</v>
      </c>
      <c r="G2381" s="4" t="str">
        <f>HYPERLINK("http://141.218.60.56/~jnz1568/getInfo.php?workbook=14_09.xlsx&amp;sheet=U0&amp;row=2381&amp;col=7&amp;number=0.00437&amp;sourceID=14","0.00437")</f>
        <v>0.00437</v>
      </c>
    </row>
    <row r="2382" spans="1:7">
      <c r="A2382" s="3"/>
      <c r="B2382" s="3"/>
      <c r="C2382" s="3"/>
      <c r="D2382" s="3"/>
      <c r="E2382" s="3">
        <v>19</v>
      </c>
      <c r="F2382" s="4" t="str">
        <f>HYPERLINK("http://141.218.60.56/~jnz1568/getInfo.php?workbook=14_09.xlsx&amp;sheet=U0&amp;row=2382&amp;col=6&amp;number=4.8&amp;sourceID=14","4.8")</f>
        <v>4.8</v>
      </c>
      <c r="G2382" s="4" t="str">
        <f>HYPERLINK("http://141.218.60.56/~jnz1568/getInfo.php?workbook=14_09.xlsx&amp;sheet=U0&amp;row=2382&amp;col=7&amp;number=0.00425&amp;sourceID=14","0.00425")</f>
        <v>0.00425</v>
      </c>
    </row>
    <row r="2383" spans="1:7">
      <c r="A2383" s="3"/>
      <c r="B2383" s="3"/>
      <c r="C2383" s="3"/>
      <c r="D2383" s="3"/>
      <c r="E2383" s="3">
        <v>20</v>
      </c>
      <c r="F2383" s="4" t="str">
        <f>HYPERLINK("http://141.218.60.56/~jnz1568/getInfo.php?workbook=14_09.xlsx&amp;sheet=U0&amp;row=2383&amp;col=6&amp;number=4.9&amp;sourceID=14","4.9")</f>
        <v>4.9</v>
      </c>
      <c r="G2383" s="4" t="str">
        <f>HYPERLINK("http://141.218.60.56/~jnz1568/getInfo.php?workbook=14_09.xlsx&amp;sheet=U0&amp;row=2383&amp;col=7&amp;number=0.0041&amp;sourceID=14","0.0041")</f>
        <v>0.0041</v>
      </c>
    </row>
    <row r="2384" spans="1:7">
      <c r="A2384" s="3">
        <v>14</v>
      </c>
      <c r="B2384" s="3">
        <v>9</v>
      </c>
      <c r="C2384" s="3">
        <v>1</v>
      </c>
      <c r="D2384" s="3">
        <v>121</v>
      </c>
      <c r="E2384" s="3">
        <v>1</v>
      </c>
      <c r="F2384" s="4" t="str">
        <f>HYPERLINK("http://141.218.60.56/~jnz1568/getInfo.php?workbook=14_09.xlsx&amp;sheet=U0&amp;row=2384&amp;col=6&amp;number=3&amp;sourceID=14","3")</f>
        <v>3</v>
      </c>
      <c r="G2384" s="4" t="str">
        <f>HYPERLINK("http://141.218.60.56/~jnz1568/getInfo.php?workbook=14_09.xlsx&amp;sheet=U0&amp;row=2384&amp;col=7&amp;number=0.00299&amp;sourceID=14","0.00299")</f>
        <v>0.00299</v>
      </c>
    </row>
    <row r="2385" spans="1:7">
      <c r="A2385" s="3"/>
      <c r="B2385" s="3"/>
      <c r="C2385" s="3"/>
      <c r="D2385" s="3"/>
      <c r="E2385" s="3">
        <v>2</v>
      </c>
      <c r="F2385" s="4" t="str">
        <f>HYPERLINK("http://141.218.60.56/~jnz1568/getInfo.php?workbook=14_09.xlsx&amp;sheet=U0&amp;row=2385&amp;col=6&amp;number=3.1&amp;sourceID=14","3.1")</f>
        <v>3.1</v>
      </c>
      <c r="G2385" s="4" t="str">
        <f>HYPERLINK("http://141.218.60.56/~jnz1568/getInfo.php?workbook=14_09.xlsx&amp;sheet=U0&amp;row=2385&amp;col=7&amp;number=0.00299&amp;sourceID=14","0.00299")</f>
        <v>0.00299</v>
      </c>
    </row>
    <row r="2386" spans="1:7">
      <c r="A2386" s="3"/>
      <c r="B2386" s="3"/>
      <c r="C2386" s="3"/>
      <c r="D2386" s="3"/>
      <c r="E2386" s="3">
        <v>3</v>
      </c>
      <c r="F2386" s="4" t="str">
        <f>HYPERLINK("http://141.218.60.56/~jnz1568/getInfo.php?workbook=14_09.xlsx&amp;sheet=U0&amp;row=2386&amp;col=6&amp;number=3.2&amp;sourceID=14","3.2")</f>
        <v>3.2</v>
      </c>
      <c r="G2386" s="4" t="str">
        <f>HYPERLINK("http://141.218.60.56/~jnz1568/getInfo.php?workbook=14_09.xlsx&amp;sheet=U0&amp;row=2386&amp;col=7&amp;number=0.00298&amp;sourceID=14","0.00298")</f>
        <v>0.00298</v>
      </c>
    </row>
    <row r="2387" spans="1:7">
      <c r="A2387" s="3"/>
      <c r="B2387" s="3"/>
      <c r="C2387" s="3"/>
      <c r="D2387" s="3"/>
      <c r="E2387" s="3">
        <v>4</v>
      </c>
      <c r="F2387" s="4" t="str">
        <f>HYPERLINK("http://141.218.60.56/~jnz1568/getInfo.php?workbook=14_09.xlsx&amp;sheet=U0&amp;row=2387&amp;col=6&amp;number=3.3&amp;sourceID=14","3.3")</f>
        <v>3.3</v>
      </c>
      <c r="G2387" s="4" t="str">
        <f>HYPERLINK("http://141.218.60.56/~jnz1568/getInfo.php?workbook=14_09.xlsx&amp;sheet=U0&amp;row=2387&amp;col=7&amp;number=0.00298&amp;sourceID=14","0.00298")</f>
        <v>0.00298</v>
      </c>
    </row>
    <row r="2388" spans="1:7">
      <c r="A2388" s="3"/>
      <c r="B2388" s="3"/>
      <c r="C2388" s="3"/>
      <c r="D2388" s="3"/>
      <c r="E2388" s="3">
        <v>5</v>
      </c>
      <c r="F2388" s="4" t="str">
        <f>HYPERLINK("http://141.218.60.56/~jnz1568/getInfo.php?workbook=14_09.xlsx&amp;sheet=U0&amp;row=2388&amp;col=6&amp;number=3.4&amp;sourceID=14","3.4")</f>
        <v>3.4</v>
      </c>
      <c r="G2388" s="4" t="str">
        <f>HYPERLINK("http://141.218.60.56/~jnz1568/getInfo.php?workbook=14_09.xlsx&amp;sheet=U0&amp;row=2388&amp;col=7&amp;number=0.00298&amp;sourceID=14","0.00298")</f>
        <v>0.00298</v>
      </c>
    </row>
    <row r="2389" spans="1:7">
      <c r="A2389" s="3"/>
      <c r="B2389" s="3"/>
      <c r="C2389" s="3"/>
      <c r="D2389" s="3"/>
      <c r="E2389" s="3">
        <v>6</v>
      </c>
      <c r="F2389" s="4" t="str">
        <f>HYPERLINK("http://141.218.60.56/~jnz1568/getInfo.php?workbook=14_09.xlsx&amp;sheet=U0&amp;row=2389&amp;col=6&amp;number=3.5&amp;sourceID=14","3.5")</f>
        <v>3.5</v>
      </c>
      <c r="G2389" s="4" t="str">
        <f>HYPERLINK("http://141.218.60.56/~jnz1568/getInfo.php?workbook=14_09.xlsx&amp;sheet=U0&amp;row=2389&amp;col=7&amp;number=0.00298&amp;sourceID=14","0.00298")</f>
        <v>0.00298</v>
      </c>
    </row>
    <row r="2390" spans="1:7">
      <c r="A2390" s="3"/>
      <c r="B2390" s="3"/>
      <c r="C2390" s="3"/>
      <c r="D2390" s="3"/>
      <c r="E2390" s="3">
        <v>7</v>
      </c>
      <c r="F2390" s="4" t="str">
        <f>HYPERLINK("http://141.218.60.56/~jnz1568/getInfo.php?workbook=14_09.xlsx&amp;sheet=U0&amp;row=2390&amp;col=6&amp;number=3.6&amp;sourceID=14","3.6")</f>
        <v>3.6</v>
      </c>
      <c r="G2390" s="4" t="str">
        <f>HYPERLINK("http://141.218.60.56/~jnz1568/getInfo.php?workbook=14_09.xlsx&amp;sheet=U0&amp;row=2390&amp;col=7&amp;number=0.00297&amp;sourceID=14","0.00297")</f>
        <v>0.00297</v>
      </c>
    </row>
    <row r="2391" spans="1:7">
      <c r="A2391" s="3"/>
      <c r="B2391" s="3"/>
      <c r="C2391" s="3"/>
      <c r="D2391" s="3"/>
      <c r="E2391" s="3">
        <v>8</v>
      </c>
      <c r="F2391" s="4" t="str">
        <f>HYPERLINK("http://141.218.60.56/~jnz1568/getInfo.php?workbook=14_09.xlsx&amp;sheet=U0&amp;row=2391&amp;col=6&amp;number=3.7&amp;sourceID=14","3.7")</f>
        <v>3.7</v>
      </c>
      <c r="G2391" s="4" t="str">
        <f>HYPERLINK("http://141.218.60.56/~jnz1568/getInfo.php?workbook=14_09.xlsx&amp;sheet=U0&amp;row=2391&amp;col=7&amp;number=0.00296&amp;sourceID=14","0.00296")</f>
        <v>0.00296</v>
      </c>
    </row>
    <row r="2392" spans="1:7">
      <c r="A2392" s="3"/>
      <c r="B2392" s="3"/>
      <c r="C2392" s="3"/>
      <c r="D2392" s="3"/>
      <c r="E2392" s="3">
        <v>9</v>
      </c>
      <c r="F2392" s="4" t="str">
        <f>HYPERLINK("http://141.218.60.56/~jnz1568/getInfo.php?workbook=14_09.xlsx&amp;sheet=U0&amp;row=2392&amp;col=6&amp;number=3.8&amp;sourceID=14","3.8")</f>
        <v>3.8</v>
      </c>
      <c r="G2392" s="4" t="str">
        <f>HYPERLINK("http://141.218.60.56/~jnz1568/getInfo.php?workbook=14_09.xlsx&amp;sheet=U0&amp;row=2392&amp;col=7&amp;number=0.00296&amp;sourceID=14","0.00296")</f>
        <v>0.00296</v>
      </c>
    </row>
    <row r="2393" spans="1:7">
      <c r="A2393" s="3"/>
      <c r="B2393" s="3"/>
      <c r="C2393" s="3"/>
      <c r="D2393" s="3"/>
      <c r="E2393" s="3">
        <v>10</v>
      </c>
      <c r="F2393" s="4" t="str">
        <f>HYPERLINK("http://141.218.60.56/~jnz1568/getInfo.php?workbook=14_09.xlsx&amp;sheet=U0&amp;row=2393&amp;col=6&amp;number=3.9&amp;sourceID=14","3.9")</f>
        <v>3.9</v>
      </c>
      <c r="G2393" s="4" t="str">
        <f>HYPERLINK("http://141.218.60.56/~jnz1568/getInfo.php?workbook=14_09.xlsx&amp;sheet=U0&amp;row=2393&amp;col=7&amp;number=0.00295&amp;sourceID=14","0.00295")</f>
        <v>0.00295</v>
      </c>
    </row>
    <row r="2394" spans="1:7">
      <c r="A2394" s="3"/>
      <c r="B2394" s="3"/>
      <c r="C2394" s="3"/>
      <c r="D2394" s="3"/>
      <c r="E2394" s="3">
        <v>11</v>
      </c>
      <c r="F2394" s="4" t="str">
        <f>HYPERLINK("http://141.218.60.56/~jnz1568/getInfo.php?workbook=14_09.xlsx&amp;sheet=U0&amp;row=2394&amp;col=6&amp;number=4&amp;sourceID=14","4")</f>
        <v>4</v>
      </c>
      <c r="G2394" s="4" t="str">
        <f>HYPERLINK("http://141.218.60.56/~jnz1568/getInfo.php?workbook=14_09.xlsx&amp;sheet=U0&amp;row=2394&amp;col=7&amp;number=0.00294&amp;sourceID=14","0.00294")</f>
        <v>0.00294</v>
      </c>
    </row>
    <row r="2395" spans="1:7">
      <c r="A2395" s="3"/>
      <c r="B2395" s="3"/>
      <c r="C2395" s="3"/>
      <c r="D2395" s="3"/>
      <c r="E2395" s="3">
        <v>12</v>
      </c>
      <c r="F2395" s="4" t="str">
        <f>HYPERLINK("http://141.218.60.56/~jnz1568/getInfo.php?workbook=14_09.xlsx&amp;sheet=U0&amp;row=2395&amp;col=6&amp;number=4.1&amp;sourceID=14","4.1")</f>
        <v>4.1</v>
      </c>
      <c r="G2395" s="4" t="str">
        <f>HYPERLINK("http://141.218.60.56/~jnz1568/getInfo.php?workbook=14_09.xlsx&amp;sheet=U0&amp;row=2395&amp;col=7&amp;number=0.00292&amp;sourceID=14","0.00292")</f>
        <v>0.00292</v>
      </c>
    </row>
    <row r="2396" spans="1:7">
      <c r="A2396" s="3"/>
      <c r="B2396" s="3"/>
      <c r="C2396" s="3"/>
      <c r="D2396" s="3"/>
      <c r="E2396" s="3">
        <v>13</v>
      </c>
      <c r="F2396" s="4" t="str">
        <f>HYPERLINK("http://141.218.60.56/~jnz1568/getInfo.php?workbook=14_09.xlsx&amp;sheet=U0&amp;row=2396&amp;col=6&amp;number=4.2&amp;sourceID=14","4.2")</f>
        <v>4.2</v>
      </c>
      <c r="G2396" s="4" t="str">
        <f>HYPERLINK("http://141.218.60.56/~jnz1568/getInfo.php?workbook=14_09.xlsx&amp;sheet=U0&amp;row=2396&amp;col=7&amp;number=0.00291&amp;sourceID=14","0.00291")</f>
        <v>0.00291</v>
      </c>
    </row>
    <row r="2397" spans="1:7">
      <c r="A2397" s="3"/>
      <c r="B2397" s="3"/>
      <c r="C2397" s="3"/>
      <c r="D2397" s="3"/>
      <c r="E2397" s="3">
        <v>14</v>
      </c>
      <c r="F2397" s="4" t="str">
        <f>HYPERLINK("http://141.218.60.56/~jnz1568/getInfo.php?workbook=14_09.xlsx&amp;sheet=U0&amp;row=2397&amp;col=6&amp;number=4.3&amp;sourceID=14","4.3")</f>
        <v>4.3</v>
      </c>
      <c r="G2397" s="4" t="str">
        <f>HYPERLINK("http://141.218.60.56/~jnz1568/getInfo.php?workbook=14_09.xlsx&amp;sheet=U0&amp;row=2397&amp;col=7&amp;number=0.00288&amp;sourceID=14","0.00288")</f>
        <v>0.00288</v>
      </c>
    </row>
    <row r="2398" spans="1:7">
      <c r="A2398" s="3"/>
      <c r="B2398" s="3"/>
      <c r="C2398" s="3"/>
      <c r="D2398" s="3"/>
      <c r="E2398" s="3">
        <v>15</v>
      </c>
      <c r="F2398" s="4" t="str">
        <f>HYPERLINK("http://141.218.60.56/~jnz1568/getInfo.php?workbook=14_09.xlsx&amp;sheet=U0&amp;row=2398&amp;col=6&amp;number=4.4&amp;sourceID=14","4.4")</f>
        <v>4.4</v>
      </c>
      <c r="G2398" s="4" t="str">
        <f>HYPERLINK("http://141.218.60.56/~jnz1568/getInfo.php?workbook=14_09.xlsx&amp;sheet=U0&amp;row=2398&amp;col=7&amp;number=0.00286&amp;sourceID=14","0.00286")</f>
        <v>0.00286</v>
      </c>
    </row>
    <row r="2399" spans="1:7">
      <c r="A2399" s="3"/>
      <c r="B2399" s="3"/>
      <c r="C2399" s="3"/>
      <c r="D2399" s="3"/>
      <c r="E2399" s="3">
        <v>16</v>
      </c>
      <c r="F2399" s="4" t="str">
        <f>HYPERLINK("http://141.218.60.56/~jnz1568/getInfo.php?workbook=14_09.xlsx&amp;sheet=U0&amp;row=2399&amp;col=6&amp;number=4.5&amp;sourceID=14","4.5")</f>
        <v>4.5</v>
      </c>
      <c r="G2399" s="4" t="str">
        <f>HYPERLINK("http://141.218.60.56/~jnz1568/getInfo.php?workbook=14_09.xlsx&amp;sheet=U0&amp;row=2399&amp;col=7&amp;number=0.00282&amp;sourceID=14","0.00282")</f>
        <v>0.00282</v>
      </c>
    </row>
    <row r="2400" spans="1:7">
      <c r="A2400" s="3"/>
      <c r="B2400" s="3"/>
      <c r="C2400" s="3"/>
      <c r="D2400" s="3"/>
      <c r="E2400" s="3">
        <v>17</v>
      </c>
      <c r="F2400" s="4" t="str">
        <f>HYPERLINK("http://141.218.60.56/~jnz1568/getInfo.php?workbook=14_09.xlsx&amp;sheet=U0&amp;row=2400&amp;col=6&amp;number=4.6&amp;sourceID=14","4.6")</f>
        <v>4.6</v>
      </c>
      <c r="G2400" s="4" t="str">
        <f>HYPERLINK("http://141.218.60.56/~jnz1568/getInfo.php?workbook=14_09.xlsx&amp;sheet=U0&amp;row=2400&amp;col=7&amp;number=0.00278&amp;sourceID=14","0.00278")</f>
        <v>0.00278</v>
      </c>
    </row>
    <row r="2401" spans="1:7">
      <c r="A2401" s="3"/>
      <c r="B2401" s="3"/>
      <c r="C2401" s="3"/>
      <c r="D2401" s="3"/>
      <c r="E2401" s="3">
        <v>18</v>
      </c>
      <c r="F2401" s="4" t="str">
        <f>HYPERLINK("http://141.218.60.56/~jnz1568/getInfo.php?workbook=14_09.xlsx&amp;sheet=U0&amp;row=2401&amp;col=6&amp;number=4.7&amp;sourceID=14","4.7")</f>
        <v>4.7</v>
      </c>
      <c r="G2401" s="4" t="str">
        <f>HYPERLINK("http://141.218.60.56/~jnz1568/getInfo.php?workbook=14_09.xlsx&amp;sheet=U0&amp;row=2401&amp;col=7&amp;number=0.00273&amp;sourceID=14","0.00273")</f>
        <v>0.00273</v>
      </c>
    </row>
    <row r="2402" spans="1:7">
      <c r="A2402" s="3"/>
      <c r="B2402" s="3"/>
      <c r="C2402" s="3"/>
      <c r="D2402" s="3"/>
      <c r="E2402" s="3">
        <v>19</v>
      </c>
      <c r="F2402" s="4" t="str">
        <f>HYPERLINK("http://141.218.60.56/~jnz1568/getInfo.php?workbook=14_09.xlsx&amp;sheet=U0&amp;row=2402&amp;col=6&amp;number=4.8&amp;sourceID=14","4.8")</f>
        <v>4.8</v>
      </c>
      <c r="G2402" s="4" t="str">
        <f>HYPERLINK("http://141.218.60.56/~jnz1568/getInfo.php?workbook=14_09.xlsx&amp;sheet=U0&amp;row=2402&amp;col=7&amp;number=0.00266&amp;sourceID=14","0.00266")</f>
        <v>0.00266</v>
      </c>
    </row>
    <row r="2403" spans="1:7">
      <c r="A2403" s="3"/>
      <c r="B2403" s="3"/>
      <c r="C2403" s="3"/>
      <c r="D2403" s="3"/>
      <c r="E2403" s="3">
        <v>20</v>
      </c>
      <c r="F2403" s="4" t="str">
        <f>HYPERLINK("http://141.218.60.56/~jnz1568/getInfo.php?workbook=14_09.xlsx&amp;sheet=U0&amp;row=2403&amp;col=6&amp;number=4.9&amp;sourceID=14","4.9")</f>
        <v>4.9</v>
      </c>
      <c r="G2403" s="4" t="str">
        <f>HYPERLINK("http://141.218.60.56/~jnz1568/getInfo.php?workbook=14_09.xlsx&amp;sheet=U0&amp;row=2403&amp;col=7&amp;number=0.00258&amp;sourceID=14","0.00258")</f>
        <v>0.00258</v>
      </c>
    </row>
    <row r="2404" spans="1:7">
      <c r="A2404" s="3">
        <v>14</v>
      </c>
      <c r="B2404" s="3">
        <v>9</v>
      </c>
      <c r="C2404" s="3">
        <v>1</v>
      </c>
      <c r="D2404" s="3">
        <v>122</v>
      </c>
      <c r="E2404" s="3">
        <v>1</v>
      </c>
      <c r="F2404" s="4" t="str">
        <f>HYPERLINK("http://141.218.60.56/~jnz1568/getInfo.php?workbook=14_09.xlsx&amp;sheet=U0&amp;row=2404&amp;col=6&amp;number=3&amp;sourceID=14","3")</f>
        <v>3</v>
      </c>
      <c r="G2404" s="4" t="str">
        <f>HYPERLINK("http://141.218.60.56/~jnz1568/getInfo.php?workbook=14_09.xlsx&amp;sheet=U0&amp;row=2404&amp;col=7&amp;number=0.00427&amp;sourceID=14","0.00427")</f>
        <v>0.00427</v>
      </c>
    </row>
    <row r="2405" spans="1:7">
      <c r="A2405" s="3"/>
      <c r="B2405" s="3"/>
      <c r="C2405" s="3"/>
      <c r="D2405" s="3"/>
      <c r="E2405" s="3">
        <v>2</v>
      </c>
      <c r="F2405" s="4" t="str">
        <f>HYPERLINK("http://141.218.60.56/~jnz1568/getInfo.php?workbook=14_09.xlsx&amp;sheet=U0&amp;row=2405&amp;col=6&amp;number=3.1&amp;sourceID=14","3.1")</f>
        <v>3.1</v>
      </c>
      <c r="G2405" s="4" t="str">
        <f>HYPERLINK("http://141.218.60.56/~jnz1568/getInfo.php?workbook=14_09.xlsx&amp;sheet=U0&amp;row=2405&amp;col=7&amp;number=0.00426&amp;sourceID=14","0.00426")</f>
        <v>0.00426</v>
      </c>
    </row>
    <row r="2406" spans="1:7">
      <c r="A2406" s="3"/>
      <c r="B2406" s="3"/>
      <c r="C2406" s="3"/>
      <c r="D2406" s="3"/>
      <c r="E2406" s="3">
        <v>3</v>
      </c>
      <c r="F2406" s="4" t="str">
        <f>HYPERLINK("http://141.218.60.56/~jnz1568/getInfo.php?workbook=14_09.xlsx&amp;sheet=U0&amp;row=2406&amp;col=6&amp;number=3.2&amp;sourceID=14","3.2")</f>
        <v>3.2</v>
      </c>
      <c r="G2406" s="4" t="str">
        <f>HYPERLINK("http://141.218.60.56/~jnz1568/getInfo.php?workbook=14_09.xlsx&amp;sheet=U0&amp;row=2406&amp;col=7&amp;number=0.00426&amp;sourceID=14","0.00426")</f>
        <v>0.00426</v>
      </c>
    </row>
    <row r="2407" spans="1:7">
      <c r="A2407" s="3"/>
      <c r="B2407" s="3"/>
      <c r="C2407" s="3"/>
      <c r="D2407" s="3"/>
      <c r="E2407" s="3">
        <v>4</v>
      </c>
      <c r="F2407" s="4" t="str">
        <f>HYPERLINK("http://141.218.60.56/~jnz1568/getInfo.php?workbook=14_09.xlsx&amp;sheet=U0&amp;row=2407&amp;col=6&amp;number=3.3&amp;sourceID=14","3.3")</f>
        <v>3.3</v>
      </c>
      <c r="G2407" s="4" t="str">
        <f>HYPERLINK("http://141.218.60.56/~jnz1568/getInfo.php?workbook=14_09.xlsx&amp;sheet=U0&amp;row=2407&amp;col=7&amp;number=0.00426&amp;sourceID=14","0.00426")</f>
        <v>0.00426</v>
      </c>
    </row>
    <row r="2408" spans="1:7">
      <c r="A2408" s="3"/>
      <c r="B2408" s="3"/>
      <c r="C2408" s="3"/>
      <c r="D2408" s="3"/>
      <c r="E2408" s="3">
        <v>5</v>
      </c>
      <c r="F2408" s="4" t="str">
        <f>HYPERLINK("http://141.218.60.56/~jnz1568/getInfo.php?workbook=14_09.xlsx&amp;sheet=U0&amp;row=2408&amp;col=6&amp;number=3.4&amp;sourceID=14","3.4")</f>
        <v>3.4</v>
      </c>
      <c r="G2408" s="4" t="str">
        <f>HYPERLINK("http://141.218.60.56/~jnz1568/getInfo.php?workbook=14_09.xlsx&amp;sheet=U0&amp;row=2408&amp;col=7&amp;number=0.00425&amp;sourceID=14","0.00425")</f>
        <v>0.00425</v>
      </c>
    </row>
    <row r="2409" spans="1:7">
      <c r="A2409" s="3"/>
      <c r="B2409" s="3"/>
      <c r="C2409" s="3"/>
      <c r="D2409" s="3"/>
      <c r="E2409" s="3">
        <v>6</v>
      </c>
      <c r="F2409" s="4" t="str">
        <f>HYPERLINK("http://141.218.60.56/~jnz1568/getInfo.php?workbook=14_09.xlsx&amp;sheet=U0&amp;row=2409&amp;col=6&amp;number=3.5&amp;sourceID=14","3.5")</f>
        <v>3.5</v>
      </c>
      <c r="G2409" s="4" t="str">
        <f>HYPERLINK("http://141.218.60.56/~jnz1568/getInfo.php?workbook=14_09.xlsx&amp;sheet=U0&amp;row=2409&amp;col=7&amp;number=0.00424&amp;sourceID=14","0.00424")</f>
        <v>0.00424</v>
      </c>
    </row>
    <row r="2410" spans="1:7">
      <c r="A2410" s="3"/>
      <c r="B2410" s="3"/>
      <c r="C2410" s="3"/>
      <c r="D2410" s="3"/>
      <c r="E2410" s="3">
        <v>7</v>
      </c>
      <c r="F2410" s="4" t="str">
        <f>HYPERLINK("http://141.218.60.56/~jnz1568/getInfo.php?workbook=14_09.xlsx&amp;sheet=U0&amp;row=2410&amp;col=6&amp;number=3.6&amp;sourceID=14","3.6")</f>
        <v>3.6</v>
      </c>
      <c r="G2410" s="4" t="str">
        <f>HYPERLINK("http://141.218.60.56/~jnz1568/getInfo.php?workbook=14_09.xlsx&amp;sheet=U0&amp;row=2410&amp;col=7&amp;number=0.00423&amp;sourceID=14","0.00423")</f>
        <v>0.00423</v>
      </c>
    </row>
    <row r="2411" spans="1:7">
      <c r="A2411" s="3"/>
      <c r="B2411" s="3"/>
      <c r="C2411" s="3"/>
      <c r="D2411" s="3"/>
      <c r="E2411" s="3">
        <v>8</v>
      </c>
      <c r="F2411" s="4" t="str">
        <f>HYPERLINK("http://141.218.60.56/~jnz1568/getInfo.php?workbook=14_09.xlsx&amp;sheet=U0&amp;row=2411&amp;col=6&amp;number=3.7&amp;sourceID=14","3.7")</f>
        <v>3.7</v>
      </c>
      <c r="G2411" s="4" t="str">
        <f>HYPERLINK("http://141.218.60.56/~jnz1568/getInfo.php?workbook=14_09.xlsx&amp;sheet=U0&amp;row=2411&amp;col=7&amp;number=0.00422&amp;sourceID=14","0.00422")</f>
        <v>0.00422</v>
      </c>
    </row>
    <row r="2412" spans="1:7">
      <c r="A2412" s="3"/>
      <c r="B2412" s="3"/>
      <c r="C2412" s="3"/>
      <c r="D2412" s="3"/>
      <c r="E2412" s="3">
        <v>9</v>
      </c>
      <c r="F2412" s="4" t="str">
        <f>HYPERLINK("http://141.218.60.56/~jnz1568/getInfo.php?workbook=14_09.xlsx&amp;sheet=U0&amp;row=2412&amp;col=6&amp;number=3.8&amp;sourceID=14","3.8")</f>
        <v>3.8</v>
      </c>
      <c r="G2412" s="4" t="str">
        <f>HYPERLINK("http://141.218.60.56/~jnz1568/getInfo.php?workbook=14_09.xlsx&amp;sheet=U0&amp;row=2412&amp;col=7&amp;number=0.0042&amp;sourceID=14","0.0042")</f>
        <v>0.0042</v>
      </c>
    </row>
    <row r="2413" spans="1:7">
      <c r="A2413" s="3"/>
      <c r="B2413" s="3"/>
      <c r="C2413" s="3"/>
      <c r="D2413" s="3"/>
      <c r="E2413" s="3">
        <v>10</v>
      </c>
      <c r="F2413" s="4" t="str">
        <f>HYPERLINK("http://141.218.60.56/~jnz1568/getInfo.php?workbook=14_09.xlsx&amp;sheet=U0&amp;row=2413&amp;col=6&amp;number=3.9&amp;sourceID=14","3.9")</f>
        <v>3.9</v>
      </c>
      <c r="G2413" s="4" t="str">
        <f>HYPERLINK("http://141.218.60.56/~jnz1568/getInfo.php?workbook=14_09.xlsx&amp;sheet=U0&amp;row=2413&amp;col=7&amp;number=0.00418&amp;sourceID=14","0.00418")</f>
        <v>0.00418</v>
      </c>
    </row>
    <row r="2414" spans="1:7">
      <c r="A2414" s="3"/>
      <c r="B2414" s="3"/>
      <c r="C2414" s="3"/>
      <c r="D2414" s="3"/>
      <c r="E2414" s="3">
        <v>11</v>
      </c>
      <c r="F2414" s="4" t="str">
        <f>HYPERLINK("http://141.218.60.56/~jnz1568/getInfo.php?workbook=14_09.xlsx&amp;sheet=U0&amp;row=2414&amp;col=6&amp;number=4&amp;sourceID=14","4")</f>
        <v>4</v>
      </c>
      <c r="G2414" s="4" t="str">
        <f>HYPERLINK("http://141.218.60.56/~jnz1568/getInfo.php?workbook=14_09.xlsx&amp;sheet=U0&amp;row=2414&amp;col=7&amp;number=0.00415&amp;sourceID=14","0.00415")</f>
        <v>0.00415</v>
      </c>
    </row>
    <row r="2415" spans="1:7">
      <c r="A2415" s="3"/>
      <c r="B2415" s="3"/>
      <c r="C2415" s="3"/>
      <c r="D2415" s="3"/>
      <c r="E2415" s="3">
        <v>12</v>
      </c>
      <c r="F2415" s="4" t="str">
        <f>HYPERLINK("http://141.218.60.56/~jnz1568/getInfo.php?workbook=14_09.xlsx&amp;sheet=U0&amp;row=2415&amp;col=6&amp;number=4.1&amp;sourceID=14","4.1")</f>
        <v>4.1</v>
      </c>
      <c r="G2415" s="4" t="str">
        <f>HYPERLINK("http://141.218.60.56/~jnz1568/getInfo.php?workbook=14_09.xlsx&amp;sheet=U0&amp;row=2415&amp;col=7&amp;number=0.00412&amp;sourceID=14","0.00412")</f>
        <v>0.00412</v>
      </c>
    </row>
    <row r="2416" spans="1:7">
      <c r="A2416" s="3"/>
      <c r="B2416" s="3"/>
      <c r="C2416" s="3"/>
      <c r="D2416" s="3"/>
      <c r="E2416" s="3">
        <v>13</v>
      </c>
      <c r="F2416" s="4" t="str">
        <f>HYPERLINK("http://141.218.60.56/~jnz1568/getInfo.php?workbook=14_09.xlsx&amp;sheet=U0&amp;row=2416&amp;col=6&amp;number=4.2&amp;sourceID=14","4.2")</f>
        <v>4.2</v>
      </c>
      <c r="G2416" s="4" t="str">
        <f>HYPERLINK("http://141.218.60.56/~jnz1568/getInfo.php?workbook=14_09.xlsx&amp;sheet=U0&amp;row=2416&amp;col=7&amp;number=0.00408&amp;sourceID=14","0.00408")</f>
        <v>0.00408</v>
      </c>
    </row>
    <row r="2417" spans="1:7">
      <c r="A2417" s="3"/>
      <c r="B2417" s="3"/>
      <c r="C2417" s="3"/>
      <c r="D2417" s="3"/>
      <c r="E2417" s="3">
        <v>14</v>
      </c>
      <c r="F2417" s="4" t="str">
        <f>HYPERLINK("http://141.218.60.56/~jnz1568/getInfo.php?workbook=14_09.xlsx&amp;sheet=U0&amp;row=2417&amp;col=6&amp;number=4.3&amp;sourceID=14","4.3")</f>
        <v>4.3</v>
      </c>
      <c r="G2417" s="4" t="str">
        <f>HYPERLINK("http://141.218.60.56/~jnz1568/getInfo.php?workbook=14_09.xlsx&amp;sheet=U0&amp;row=2417&amp;col=7&amp;number=0.00403&amp;sourceID=14","0.00403")</f>
        <v>0.00403</v>
      </c>
    </row>
    <row r="2418" spans="1:7">
      <c r="A2418" s="3"/>
      <c r="B2418" s="3"/>
      <c r="C2418" s="3"/>
      <c r="D2418" s="3"/>
      <c r="E2418" s="3">
        <v>15</v>
      </c>
      <c r="F2418" s="4" t="str">
        <f>HYPERLINK("http://141.218.60.56/~jnz1568/getInfo.php?workbook=14_09.xlsx&amp;sheet=U0&amp;row=2418&amp;col=6&amp;number=4.4&amp;sourceID=14","4.4")</f>
        <v>4.4</v>
      </c>
      <c r="G2418" s="4" t="str">
        <f>HYPERLINK("http://141.218.60.56/~jnz1568/getInfo.php?workbook=14_09.xlsx&amp;sheet=U0&amp;row=2418&amp;col=7&amp;number=0.00397&amp;sourceID=14","0.00397")</f>
        <v>0.00397</v>
      </c>
    </row>
    <row r="2419" spans="1:7">
      <c r="A2419" s="3"/>
      <c r="B2419" s="3"/>
      <c r="C2419" s="3"/>
      <c r="D2419" s="3"/>
      <c r="E2419" s="3">
        <v>16</v>
      </c>
      <c r="F2419" s="4" t="str">
        <f>HYPERLINK("http://141.218.60.56/~jnz1568/getInfo.php?workbook=14_09.xlsx&amp;sheet=U0&amp;row=2419&amp;col=6&amp;number=4.5&amp;sourceID=14","4.5")</f>
        <v>4.5</v>
      </c>
      <c r="G2419" s="4" t="str">
        <f>HYPERLINK("http://141.218.60.56/~jnz1568/getInfo.php?workbook=14_09.xlsx&amp;sheet=U0&amp;row=2419&amp;col=7&amp;number=0.0039&amp;sourceID=14","0.0039")</f>
        <v>0.0039</v>
      </c>
    </row>
    <row r="2420" spans="1:7">
      <c r="A2420" s="3"/>
      <c r="B2420" s="3"/>
      <c r="C2420" s="3"/>
      <c r="D2420" s="3"/>
      <c r="E2420" s="3">
        <v>17</v>
      </c>
      <c r="F2420" s="4" t="str">
        <f>HYPERLINK("http://141.218.60.56/~jnz1568/getInfo.php?workbook=14_09.xlsx&amp;sheet=U0&amp;row=2420&amp;col=6&amp;number=4.6&amp;sourceID=14","4.6")</f>
        <v>4.6</v>
      </c>
      <c r="G2420" s="4" t="str">
        <f>HYPERLINK("http://141.218.60.56/~jnz1568/getInfo.php?workbook=14_09.xlsx&amp;sheet=U0&amp;row=2420&amp;col=7&amp;number=0.0038&amp;sourceID=14","0.0038")</f>
        <v>0.0038</v>
      </c>
    </row>
    <row r="2421" spans="1:7">
      <c r="A2421" s="3"/>
      <c r="B2421" s="3"/>
      <c r="C2421" s="3"/>
      <c r="D2421" s="3"/>
      <c r="E2421" s="3">
        <v>18</v>
      </c>
      <c r="F2421" s="4" t="str">
        <f>HYPERLINK("http://141.218.60.56/~jnz1568/getInfo.php?workbook=14_09.xlsx&amp;sheet=U0&amp;row=2421&amp;col=6&amp;number=4.7&amp;sourceID=14","4.7")</f>
        <v>4.7</v>
      </c>
      <c r="G2421" s="4" t="str">
        <f>HYPERLINK("http://141.218.60.56/~jnz1568/getInfo.php?workbook=14_09.xlsx&amp;sheet=U0&amp;row=2421&amp;col=7&amp;number=0.0037&amp;sourceID=14","0.0037")</f>
        <v>0.0037</v>
      </c>
    </row>
    <row r="2422" spans="1:7">
      <c r="A2422" s="3"/>
      <c r="B2422" s="3"/>
      <c r="C2422" s="3"/>
      <c r="D2422" s="3"/>
      <c r="E2422" s="3">
        <v>19</v>
      </c>
      <c r="F2422" s="4" t="str">
        <f>HYPERLINK("http://141.218.60.56/~jnz1568/getInfo.php?workbook=14_09.xlsx&amp;sheet=U0&amp;row=2422&amp;col=6&amp;number=4.8&amp;sourceID=14","4.8")</f>
        <v>4.8</v>
      </c>
      <c r="G2422" s="4" t="str">
        <f>HYPERLINK("http://141.218.60.56/~jnz1568/getInfo.php?workbook=14_09.xlsx&amp;sheet=U0&amp;row=2422&amp;col=7&amp;number=0.00357&amp;sourceID=14","0.00357")</f>
        <v>0.00357</v>
      </c>
    </row>
    <row r="2423" spans="1:7">
      <c r="A2423" s="3"/>
      <c r="B2423" s="3"/>
      <c r="C2423" s="3"/>
      <c r="D2423" s="3"/>
      <c r="E2423" s="3">
        <v>20</v>
      </c>
      <c r="F2423" s="4" t="str">
        <f>HYPERLINK("http://141.218.60.56/~jnz1568/getInfo.php?workbook=14_09.xlsx&amp;sheet=U0&amp;row=2423&amp;col=6&amp;number=4.9&amp;sourceID=14","4.9")</f>
        <v>4.9</v>
      </c>
      <c r="G2423" s="4" t="str">
        <f>HYPERLINK("http://141.218.60.56/~jnz1568/getInfo.php?workbook=14_09.xlsx&amp;sheet=U0&amp;row=2423&amp;col=7&amp;number=0.00342&amp;sourceID=14","0.00342")</f>
        <v>0.00342</v>
      </c>
    </row>
    <row r="2424" spans="1:7">
      <c r="A2424" s="3">
        <v>14</v>
      </c>
      <c r="B2424" s="3">
        <v>9</v>
      </c>
      <c r="C2424" s="3">
        <v>1</v>
      </c>
      <c r="D2424" s="3">
        <v>123</v>
      </c>
      <c r="E2424" s="3">
        <v>1</v>
      </c>
      <c r="F2424" s="4" t="str">
        <f>HYPERLINK("http://141.218.60.56/~jnz1568/getInfo.php?workbook=14_09.xlsx&amp;sheet=U0&amp;row=2424&amp;col=6&amp;number=3&amp;sourceID=14","3")</f>
        <v>3</v>
      </c>
      <c r="G2424" s="4" t="str">
        <f>HYPERLINK("http://141.218.60.56/~jnz1568/getInfo.php?workbook=14_09.xlsx&amp;sheet=U0&amp;row=2424&amp;col=7&amp;number=0.0032&amp;sourceID=14","0.0032")</f>
        <v>0.0032</v>
      </c>
    </row>
    <row r="2425" spans="1:7">
      <c r="A2425" s="3"/>
      <c r="B2425" s="3"/>
      <c r="C2425" s="3"/>
      <c r="D2425" s="3"/>
      <c r="E2425" s="3">
        <v>2</v>
      </c>
      <c r="F2425" s="4" t="str">
        <f>HYPERLINK("http://141.218.60.56/~jnz1568/getInfo.php?workbook=14_09.xlsx&amp;sheet=U0&amp;row=2425&amp;col=6&amp;number=3.1&amp;sourceID=14","3.1")</f>
        <v>3.1</v>
      </c>
      <c r="G2425" s="4" t="str">
        <f>HYPERLINK("http://141.218.60.56/~jnz1568/getInfo.php?workbook=14_09.xlsx&amp;sheet=U0&amp;row=2425&amp;col=7&amp;number=0.0032&amp;sourceID=14","0.0032")</f>
        <v>0.0032</v>
      </c>
    </row>
    <row r="2426" spans="1:7">
      <c r="A2426" s="3"/>
      <c r="B2426" s="3"/>
      <c r="C2426" s="3"/>
      <c r="D2426" s="3"/>
      <c r="E2426" s="3">
        <v>3</v>
      </c>
      <c r="F2426" s="4" t="str">
        <f>HYPERLINK("http://141.218.60.56/~jnz1568/getInfo.php?workbook=14_09.xlsx&amp;sheet=U0&amp;row=2426&amp;col=6&amp;number=3.2&amp;sourceID=14","3.2")</f>
        <v>3.2</v>
      </c>
      <c r="G2426" s="4" t="str">
        <f>HYPERLINK("http://141.218.60.56/~jnz1568/getInfo.php?workbook=14_09.xlsx&amp;sheet=U0&amp;row=2426&amp;col=7&amp;number=0.00319&amp;sourceID=14","0.00319")</f>
        <v>0.00319</v>
      </c>
    </row>
    <row r="2427" spans="1:7">
      <c r="A2427" s="3"/>
      <c r="B2427" s="3"/>
      <c r="C2427" s="3"/>
      <c r="D2427" s="3"/>
      <c r="E2427" s="3">
        <v>4</v>
      </c>
      <c r="F2427" s="4" t="str">
        <f>HYPERLINK("http://141.218.60.56/~jnz1568/getInfo.php?workbook=14_09.xlsx&amp;sheet=U0&amp;row=2427&amp;col=6&amp;number=3.3&amp;sourceID=14","3.3")</f>
        <v>3.3</v>
      </c>
      <c r="G2427" s="4" t="str">
        <f>HYPERLINK("http://141.218.60.56/~jnz1568/getInfo.php?workbook=14_09.xlsx&amp;sheet=U0&amp;row=2427&amp;col=7&amp;number=0.00319&amp;sourceID=14","0.00319")</f>
        <v>0.00319</v>
      </c>
    </row>
    <row r="2428" spans="1:7">
      <c r="A2428" s="3"/>
      <c r="B2428" s="3"/>
      <c r="C2428" s="3"/>
      <c r="D2428" s="3"/>
      <c r="E2428" s="3">
        <v>5</v>
      </c>
      <c r="F2428" s="4" t="str">
        <f>HYPERLINK("http://141.218.60.56/~jnz1568/getInfo.php?workbook=14_09.xlsx&amp;sheet=U0&amp;row=2428&amp;col=6&amp;number=3.4&amp;sourceID=14","3.4")</f>
        <v>3.4</v>
      </c>
      <c r="G2428" s="4" t="str">
        <f>HYPERLINK("http://141.218.60.56/~jnz1568/getInfo.php?workbook=14_09.xlsx&amp;sheet=U0&amp;row=2428&amp;col=7&amp;number=0.00319&amp;sourceID=14","0.00319")</f>
        <v>0.00319</v>
      </c>
    </row>
    <row r="2429" spans="1:7">
      <c r="A2429" s="3"/>
      <c r="B2429" s="3"/>
      <c r="C2429" s="3"/>
      <c r="D2429" s="3"/>
      <c r="E2429" s="3">
        <v>6</v>
      </c>
      <c r="F2429" s="4" t="str">
        <f>HYPERLINK("http://141.218.60.56/~jnz1568/getInfo.php?workbook=14_09.xlsx&amp;sheet=U0&amp;row=2429&amp;col=6&amp;number=3.5&amp;sourceID=14","3.5")</f>
        <v>3.5</v>
      </c>
      <c r="G2429" s="4" t="str">
        <f>HYPERLINK("http://141.218.60.56/~jnz1568/getInfo.php?workbook=14_09.xlsx&amp;sheet=U0&amp;row=2429&amp;col=7&amp;number=0.00318&amp;sourceID=14","0.00318")</f>
        <v>0.00318</v>
      </c>
    </row>
    <row r="2430" spans="1:7">
      <c r="A2430" s="3"/>
      <c r="B2430" s="3"/>
      <c r="C2430" s="3"/>
      <c r="D2430" s="3"/>
      <c r="E2430" s="3">
        <v>7</v>
      </c>
      <c r="F2430" s="4" t="str">
        <f>HYPERLINK("http://141.218.60.56/~jnz1568/getInfo.php?workbook=14_09.xlsx&amp;sheet=U0&amp;row=2430&amp;col=6&amp;number=3.6&amp;sourceID=14","3.6")</f>
        <v>3.6</v>
      </c>
      <c r="G2430" s="4" t="str">
        <f>HYPERLINK("http://141.218.60.56/~jnz1568/getInfo.php?workbook=14_09.xlsx&amp;sheet=U0&amp;row=2430&amp;col=7&amp;number=0.00318&amp;sourceID=14","0.00318")</f>
        <v>0.00318</v>
      </c>
    </row>
    <row r="2431" spans="1:7">
      <c r="A2431" s="3"/>
      <c r="B2431" s="3"/>
      <c r="C2431" s="3"/>
      <c r="D2431" s="3"/>
      <c r="E2431" s="3">
        <v>8</v>
      </c>
      <c r="F2431" s="4" t="str">
        <f>HYPERLINK("http://141.218.60.56/~jnz1568/getInfo.php?workbook=14_09.xlsx&amp;sheet=U0&amp;row=2431&amp;col=6&amp;number=3.7&amp;sourceID=14","3.7")</f>
        <v>3.7</v>
      </c>
      <c r="G2431" s="4" t="str">
        <f>HYPERLINK("http://141.218.60.56/~jnz1568/getInfo.php?workbook=14_09.xlsx&amp;sheet=U0&amp;row=2431&amp;col=7&amp;number=0.00317&amp;sourceID=14","0.00317")</f>
        <v>0.00317</v>
      </c>
    </row>
    <row r="2432" spans="1:7">
      <c r="A2432" s="3"/>
      <c r="B2432" s="3"/>
      <c r="C2432" s="3"/>
      <c r="D2432" s="3"/>
      <c r="E2432" s="3">
        <v>9</v>
      </c>
      <c r="F2432" s="4" t="str">
        <f>HYPERLINK("http://141.218.60.56/~jnz1568/getInfo.php?workbook=14_09.xlsx&amp;sheet=U0&amp;row=2432&amp;col=6&amp;number=3.8&amp;sourceID=14","3.8")</f>
        <v>3.8</v>
      </c>
      <c r="G2432" s="4" t="str">
        <f>HYPERLINK("http://141.218.60.56/~jnz1568/getInfo.php?workbook=14_09.xlsx&amp;sheet=U0&amp;row=2432&amp;col=7&amp;number=0.00316&amp;sourceID=14","0.00316")</f>
        <v>0.00316</v>
      </c>
    </row>
    <row r="2433" spans="1:7">
      <c r="A2433" s="3"/>
      <c r="B2433" s="3"/>
      <c r="C2433" s="3"/>
      <c r="D2433" s="3"/>
      <c r="E2433" s="3">
        <v>10</v>
      </c>
      <c r="F2433" s="4" t="str">
        <f>HYPERLINK("http://141.218.60.56/~jnz1568/getInfo.php?workbook=14_09.xlsx&amp;sheet=U0&amp;row=2433&amp;col=6&amp;number=3.9&amp;sourceID=14","3.9")</f>
        <v>3.9</v>
      </c>
      <c r="G2433" s="4" t="str">
        <f>HYPERLINK("http://141.218.60.56/~jnz1568/getInfo.php?workbook=14_09.xlsx&amp;sheet=U0&amp;row=2433&amp;col=7&amp;number=0.00315&amp;sourceID=14","0.00315")</f>
        <v>0.00315</v>
      </c>
    </row>
    <row r="2434" spans="1:7">
      <c r="A2434" s="3"/>
      <c r="B2434" s="3"/>
      <c r="C2434" s="3"/>
      <c r="D2434" s="3"/>
      <c r="E2434" s="3">
        <v>11</v>
      </c>
      <c r="F2434" s="4" t="str">
        <f>HYPERLINK("http://141.218.60.56/~jnz1568/getInfo.php?workbook=14_09.xlsx&amp;sheet=U0&amp;row=2434&amp;col=6&amp;number=4&amp;sourceID=14","4")</f>
        <v>4</v>
      </c>
      <c r="G2434" s="4" t="str">
        <f>HYPERLINK("http://141.218.60.56/~jnz1568/getInfo.php?workbook=14_09.xlsx&amp;sheet=U0&amp;row=2434&amp;col=7&amp;number=0.00313&amp;sourceID=14","0.00313")</f>
        <v>0.00313</v>
      </c>
    </row>
    <row r="2435" spans="1:7">
      <c r="A2435" s="3"/>
      <c r="B2435" s="3"/>
      <c r="C2435" s="3"/>
      <c r="D2435" s="3"/>
      <c r="E2435" s="3">
        <v>12</v>
      </c>
      <c r="F2435" s="4" t="str">
        <f>HYPERLINK("http://141.218.60.56/~jnz1568/getInfo.php?workbook=14_09.xlsx&amp;sheet=U0&amp;row=2435&amp;col=6&amp;number=4.1&amp;sourceID=14","4.1")</f>
        <v>4.1</v>
      </c>
      <c r="G2435" s="4" t="str">
        <f>HYPERLINK("http://141.218.60.56/~jnz1568/getInfo.php?workbook=14_09.xlsx&amp;sheet=U0&amp;row=2435&amp;col=7&amp;number=0.00311&amp;sourceID=14","0.00311")</f>
        <v>0.00311</v>
      </c>
    </row>
    <row r="2436" spans="1:7">
      <c r="A2436" s="3"/>
      <c r="B2436" s="3"/>
      <c r="C2436" s="3"/>
      <c r="D2436" s="3"/>
      <c r="E2436" s="3">
        <v>13</v>
      </c>
      <c r="F2436" s="4" t="str">
        <f>HYPERLINK("http://141.218.60.56/~jnz1568/getInfo.php?workbook=14_09.xlsx&amp;sheet=U0&amp;row=2436&amp;col=6&amp;number=4.2&amp;sourceID=14","4.2")</f>
        <v>4.2</v>
      </c>
      <c r="G2436" s="4" t="str">
        <f>HYPERLINK("http://141.218.60.56/~jnz1568/getInfo.php?workbook=14_09.xlsx&amp;sheet=U0&amp;row=2436&amp;col=7&amp;number=0.00309&amp;sourceID=14","0.00309")</f>
        <v>0.00309</v>
      </c>
    </row>
    <row r="2437" spans="1:7">
      <c r="A2437" s="3"/>
      <c r="B2437" s="3"/>
      <c r="C2437" s="3"/>
      <c r="D2437" s="3"/>
      <c r="E2437" s="3">
        <v>14</v>
      </c>
      <c r="F2437" s="4" t="str">
        <f>HYPERLINK("http://141.218.60.56/~jnz1568/getInfo.php?workbook=14_09.xlsx&amp;sheet=U0&amp;row=2437&amp;col=6&amp;number=4.3&amp;sourceID=14","4.3")</f>
        <v>4.3</v>
      </c>
      <c r="G2437" s="4" t="str">
        <f>HYPERLINK("http://141.218.60.56/~jnz1568/getInfo.php?workbook=14_09.xlsx&amp;sheet=U0&amp;row=2437&amp;col=7&amp;number=0.00306&amp;sourceID=14","0.00306")</f>
        <v>0.00306</v>
      </c>
    </row>
    <row r="2438" spans="1:7">
      <c r="A2438" s="3"/>
      <c r="B2438" s="3"/>
      <c r="C2438" s="3"/>
      <c r="D2438" s="3"/>
      <c r="E2438" s="3">
        <v>15</v>
      </c>
      <c r="F2438" s="4" t="str">
        <f>HYPERLINK("http://141.218.60.56/~jnz1568/getInfo.php?workbook=14_09.xlsx&amp;sheet=U0&amp;row=2438&amp;col=6&amp;number=4.4&amp;sourceID=14","4.4")</f>
        <v>4.4</v>
      </c>
      <c r="G2438" s="4" t="str">
        <f>HYPERLINK("http://141.218.60.56/~jnz1568/getInfo.php?workbook=14_09.xlsx&amp;sheet=U0&amp;row=2438&amp;col=7&amp;number=0.00302&amp;sourceID=14","0.00302")</f>
        <v>0.00302</v>
      </c>
    </row>
    <row r="2439" spans="1:7">
      <c r="A2439" s="3"/>
      <c r="B2439" s="3"/>
      <c r="C2439" s="3"/>
      <c r="D2439" s="3"/>
      <c r="E2439" s="3">
        <v>16</v>
      </c>
      <c r="F2439" s="4" t="str">
        <f>HYPERLINK("http://141.218.60.56/~jnz1568/getInfo.php?workbook=14_09.xlsx&amp;sheet=U0&amp;row=2439&amp;col=6&amp;number=4.5&amp;sourceID=14","4.5")</f>
        <v>4.5</v>
      </c>
      <c r="G2439" s="4" t="str">
        <f>HYPERLINK("http://141.218.60.56/~jnz1568/getInfo.php?workbook=14_09.xlsx&amp;sheet=U0&amp;row=2439&amp;col=7&amp;number=0.00298&amp;sourceID=14","0.00298")</f>
        <v>0.00298</v>
      </c>
    </row>
    <row r="2440" spans="1:7">
      <c r="A2440" s="3"/>
      <c r="B2440" s="3"/>
      <c r="C2440" s="3"/>
      <c r="D2440" s="3"/>
      <c r="E2440" s="3">
        <v>17</v>
      </c>
      <c r="F2440" s="4" t="str">
        <f>HYPERLINK("http://141.218.60.56/~jnz1568/getInfo.php?workbook=14_09.xlsx&amp;sheet=U0&amp;row=2440&amp;col=6&amp;number=4.6&amp;sourceID=14","4.6")</f>
        <v>4.6</v>
      </c>
      <c r="G2440" s="4" t="str">
        <f>HYPERLINK("http://141.218.60.56/~jnz1568/getInfo.php?workbook=14_09.xlsx&amp;sheet=U0&amp;row=2440&amp;col=7&amp;number=0.00292&amp;sourceID=14","0.00292")</f>
        <v>0.00292</v>
      </c>
    </row>
    <row r="2441" spans="1:7">
      <c r="A2441" s="3"/>
      <c r="B2441" s="3"/>
      <c r="C2441" s="3"/>
      <c r="D2441" s="3"/>
      <c r="E2441" s="3">
        <v>18</v>
      </c>
      <c r="F2441" s="4" t="str">
        <f>HYPERLINK("http://141.218.60.56/~jnz1568/getInfo.php?workbook=14_09.xlsx&amp;sheet=U0&amp;row=2441&amp;col=6&amp;number=4.7&amp;sourceID=14","4.7")</f>
        <v>4.7</v>
      </c>
      <c r="G2441" s="4" t="str">
        <f>HYPERLINK("http://141.218.60.56/~jnz1568/getInfo.php?workbook=14_09.xlsx&amp;sheet=U0&amp;row=2441&amp;col=7&amp;number=0.00286&amp;sourceID=14","0.00286")</f>
        <v>0.00286</v>
      </c>
    </row>
    <row r="2442" spans="1:7">
      <c r="A2442" s="3"/>
      <c r="B2442" s="3"/>
      <c r="C2442" s="3"/>
      <c r="D2442" s="3"/>
      <c r="E2442" s="3">
        <v>19</v>
      </c>
      <c r="F2442" s="4" t="str">
        <f>HYPERLINK("http://141.218.60.56/~jnz1568/getInfo.php?workbook=14_09.xlsx&amp;sheet=U0&amp;row=2442&amp;col=6&amp;number=4.8&amp;sourceID=14","4.8")</f>
        <v>4.8</v>
      </c>
      <c r="G2442" s="4" t="str">
        <f>HYPERLINK("http://141.218.60.56/~jnz1568/getInfo.php?workbook=14_09.xlsx&amp;sheet=U0&amp;row=2442&amp;col=7&amp;number=0.00278&amp;sourceID=14","0.00278")</f>
        <v>0.00278</v>
      </c>
    </row>
    <row r="2443" spans="1:7">
      <c r="A2443" s="3"/>
      <c r="B2443" s="3"/>
      <c r="C2443" s="3"/>
      <c r="D2443" s="3"/>
      <c r="E2443" s="3">
        <v>20</v>
      </c>
      <c r="F2443" s="4" t="str">
        <f>HYPERLINK("http://141.218.60.56/~jnz1568/getInfo.php?workbook=14_09.xlsx&amp;sheet=U0&amp;row=2443&amp;col=6&amp;number=4.9&amp;sourceID=14","4.9")</f>
        <v>4.9</v>
      </c>
      <c r="G2443" s="4" t="str">
        <f>HYPERLINK("http://141.218.60.56/~jnz1568/getInfo.php?workbook=14_09.xlsx&amp;sheet=U0&amp;row=2443&amp;col=7&amp;number=0.00268&amp;sourceID=14","0.00268")</f>
        <v>0.00268</v>
      </c>
    </row>
    <row r="2444" spans="1:7">
      <c r="A2444" s="3">
        <v>14</v>
      </c>
      <c r="B2444" s="3">
        <v>9</v>
      </c>
      <c r="C2444" s="3">
        <v>1</v>
      </c>
      <c r="D2444" s="3">
        <v>124</v>
      </c>
      <c r="E2444" s="3">
        <v>1</v>
      </c>
      <c r="F2444" s="4" t="str">
        <f>HYPERLINK("http://141.218.60.56/~jnz1568/getInfo.php?workbook=14_09.xlsx&amp;sheet=U0&amp;row=2444&amp;col=6&amp;number=3&amp;sourceID=14","3")</f>
        <v>3</v>
      </c>
      <c r="G2444" s="4" t="str">
        <f>HYPERLINK("http://141.218.60.56/~jnz1568/getInfo.php?workbook=14_09.xlsx&amp;sheet=U0&amp;row=2444&amp;col=7&amp;number=0.00236&amp;sourceID=14","0.00236")</f>
        <v>0.00236</v>
      </c>
    </row>
    <row r="2445" spans="1:7">
      <c r="A2445" s="3"/>
      <c r="B2445" s="3"/>
      <c r="C2445" s="3"/>
      <c r="D2445" s="3"/>
      <c r="E2445" s="3">
        <v>2</v>
      </c>
      <c r="F2445" s="4" t="str">
        <f>HYPERLINK("http://141.218.60.56/~jnz1568/getInfo.php?workbook=14_09.xlsx&amp;sheet=U0&amp;row=2445&amp;col=6&amp;number=3.1&amp;sourceID=14","3.1")</f>
        <v>3.1</v>
      </c>
      <c r="G2445" s="4" t="str">
        <f>HYPERLINK("http://141.218.60.56/~jnz1568/getInfo.php?workbook=14_09.xlsx&amp;sheet=U0&amp;row=2445&amp;col=7&amp;number=0.00236&amp;sourceID=14","0.00236")</f>
        <v>0.00236</v>
      </c>
    </row>
    <row r="2446" spans="1:7">
      <c r="A2446" s="3"/>
      <c r="B2446" s="3"/>
      <c r="C2446" s="3"/>
      <c r="D2446" s="3"/>
      <c r="E2446" s="3">
        <v>3</v>
      </c>
      <c r="F2446" s="4" t="str">
        <f>HYPERLINK("http://141.218.60.56/~jnz1568/getInfo.php?workbook=14_09.xlsx&amp;sheet=U0&amp;row=2446&amp;col=6&amp;number=3.2&amp;sourceID=14","3.2")</f>
        <v>3.2</v>
      </c>
      <c r="G2446" s="4" t="str">
        <f>HYPERLINK("http://141.218.60.56/~jnz1568/getInfo.php?workbook=14_09.xlsx&amp;sheet=U0&amp;row=2446&amp;col=7&amp;number=0.00235&amp;sourceID=14","0.00235")</f>
        <v>0.00235</v>
      </c>
    </row>
    <row r="2447" spans="1:7">
      <c r="A2447" s="3"/>
      <c r="B2447" s="3"/>
      <c r="C2447" s="3"/>
      <c r="D2447" s="3"/>
      <c r="E2447" s="3">
        <v>4</v>
      </c>
      <c r="F2447" s="4" t="str">
        <f>HYPERLINK("http://141.218.60.56/~jnz1568/getInfo.php?workbook=14_09.xlsx&amp;sheet=U0&amp;row=2447&amp;col=6&amp;number=3.3&amp;sourceID=14","3.3")</f>
        <v>3.3</v>
      </c>
      <c r="G2447" s="4" t="str">
        <f>HYPERLINK("http://141.218.60.56/~jnz1568/getInfo.php?workbook=14_09.xlsx&amp;sheet=U0&amp;row=2447&amp;col=7&amp;number=0.00235&amp;sourceID=14","0.00235")</f>
        <v>0.00235</v>
      </c>
    </row>
    <row r="2448" spans="1:7">
      <c r="A2448" s="3"/>
      <c r="B2448" s="3"/>
      <c r="C2448" s="3"/>
      <c r="D2448" s="3"/>
      <c r="E2448" s="3">
        <v>5</v>
      </c>
      <c r="F2448" s="4" t="str">
        <f>HYPERLINK("http://141.218.60.56/~jnz1568/getInfo.php?workbook=14_09.xlsx&amp;sheet=U0&amp;row=2448&amp;col=6&amp;number=3.4&amp;sourceID=14","3.4")</f>
        <v>3.4</v>
      </c>
      <c r="G2448" s="4" t="str">
        <f>HYPERLINK("http://141.218.60.56/~jnz1568/getInfo.php?workbook=14_09.xlsx&amp;sheet=U0&amp;row=2448&amp;col=7&amp;number=0.00235&amp;sourceID=14","0.00235")</f>
        <v>0.00235</v>
      </c>
    </row>
    <row r="2449" spans="1:7">
      <c r="A2449" s="3"/>
      <c r="B2449" s="3"/>
      <c r="C2449" s="3"/>
      <c r="D2449" s="3"/>
      <c r="E2449" s="3">
        <v>6</v>
      </c>
      <c r="F2449" s="4" t="str">
        <f>HYPERLINK("http://141.218.60.56/~jnz1568/getInfo.php?workbook=14_09.xlsx&amp;sheet=U0&amp;row=2449&amp;col=6&amp;number=3.5&amp;sourceID=14","3.5")</f>
        <v>3.5</v>
      </c>
      <c r="G2449" s="4" t="str">
        <f>HYPERLINK("http://141.218.60.56/~jnz1568/getInfo.php?workbook=14_09.xlsx&amp;sheet=U0&amp;row=2449&amp;col=7&amp;number=0.00234&amp;sourceID=14","0.00234")</f>
        <v>0.00234</v>
      </c>
    </row>
    <row r="2450" spans="1:7">
      <c r="A2450" s="3"/>
      <c r="B2450" s="3"/>
      <c r="C2450" s="3"/>
      <c r="D2450" s="3"/>
      <c r="E2450" s="3">
        <v>7</v>
      </c>
      <c r="F2450" s="4" t="str">
        <f>HYPERLINK("http://141.218.60.56/~jnz1568/getInfo.php?workbook=14_09.xlsx&amp;sheet=U0&amp;row=2450&amp;col=6&amp;number=3.6&amp;sourceID=14","3.6")</f>
        <v>3.6</v>
      </c>
      <c r="G2450" s="4" t="str">
        <f>HYPERLINK("http://141.218.60.56/~jnz1568/getInfo.php?workbook=14_09.xlsx&amp;sheet=U0&amp;row=2450&amp;col=7&amp;number=0.00234&amp;sourceID=14","0.00234")</f>
        <v>0.00234</v>
      </c>
    </row>
    <row r="2451" spans="1:7">
      <c r="A2451" s="3"/>
      <c r="B2451" s="3"/>
      <c r="C2451" s="3"/>
      <c r="D2451" s="3"/>
      <c r="E2451" s="3">
        <v>8</v>
      </c>
      <c r="F2451" s="4" t="str">
        <f>HYPERLINK("http://141.218.60.56/~jnz1568/getInfo.php?workbook=14_09.xlsx&amp;sheet=U0&amp;row=2451&amp;col=6&amp;number=3.7&amp;sourceID=14","3.7")</f>
        <v>3.7</v>
      </c>
      <c r="G2451" s="4" t="str">
        <f>HYPERLINK("http://141.218.60.56/~jnz1568/getInfo.php?workbook=14_09.xlsx&amp;sheet=U0&amp;row=2451&amp;col=7&amp;number=0.00233&amp;sourceID=14","0.00233")</f>
        <v>0.00233</v>
      </c>
    </row>
    <row r="2452" spans="1:7">
      <c r="A2452" s="3"/>
      <c r="B2452" s="3"/>
      <c r="C2452" s="3"/>
      <c r="D2452" s="3"/>
      <c r="E2452" s="3">
        <v>9</v>
      </c>
      <c r="F2452" s="4" t="str">
        <f>HYPERLINK("http://141.218.60.56/~jnz1568/getInfo.php?workbook=14_09.xlsx&amp;sheet=U0&amp;row=2452&amp;col=6&amp;number=3.8&amp;sourceID=14","3.8")</f>
        <v>3.8</v>
      </c>
      <c r="G2452" s="4" t="str">
        <f>HYPERLINK("http://141.218.60.56/~jnz1568/getInfo.php?workbook=14_09.xlsx&amp;sheet=U0&amp;row=2452&amp;col=7&amp;number=0.00232&amp;sourceID=14","0.00232")</f>
        <v>0.00232</v>
      </c>
    </row>
    <row r="2453" spans="1:7">
      <c r="A2453" s="3"/>
      <c r="B2453" s="3"/>
      <c r="C2453" s="3"/>
      <c r="D2453" s="3"/>
      <c r="E2453" s="3">
        <v>10</v>
      </c>
      <c r="F2453" s="4" t="str">
        <f>HYPERLINK("http://141.218.60.56/~jnz1568/getInfo.php?workbook=14_09.xlsx&amp;sheet=U0&amp;row=2453&amp;col=6&amp;number=3.9&amp;sourceID=14","3.9")</f>
        <v>3.9</v>
      </c>
      <c r="G2453" s="4" t="str">
        <f>HYPERLINK("http://141.218.60.56/~jnz1568/getInfo.php?workbook=14_09.xlsx&amp;sheet=U0&amp;row=2453&amp;col=7&amp;number=0.00231&amp;sourceID=14","0.00231")</f>
        <v>0.00231</v>
      </c>
    </row>
    <row r="2454" spans="1:7">
      <c r="A2454" s="3"/>
      <c r="B2454" s="3"/>
      <c r="C2454" s="3"/>
      <c r="D2454" s="3"/>
      <c r="E2454" s="3">
        <v>11</v>
      </c>
      <c r="F2454" s="4" t="str">
        <f>HYPERLINK("http://141.218.60.56/~jnz1568/getInfo.php?workbook=14_09.xlsx&amp;sheet=U0&amp;row=2454&amp;col=6&amp;number=4&amp;sourceID=14","4")</f>
        <v>4</v>
      </c>
      <c r="G2454" s="4" t="str">
        <f>HYPERLINK("http://141.218.60.56/~jnz1568/getInfo.php?workbook=14_09.xlsx&amp;sheet=U0&amp;row=2454&amp;col=7&amp;number=0.00229&amp;sourceID=14","0.00229")</f>
        <v>0.00229</v>
      </c>
    </row>
    <row r="2455" spans="1:7">
      <c r="A2455" s="3"/>
      <c r="B2455" s="3"/>
      <c r="C2455" s="3"/>
      <c r="D2455" s="3"/>
      <c r="E2455" s="3">
        <v>12</v>
      </c>
      <c r="F2455" s="4" t="str">
        <f>HYPERLINK("http://141.218.60.56/~jnz1568/getInfo.php?workbook=14_09.xlsx&amp;sheet=U0&amp;row=2455&amp;col=6&amp;number=4.1&amp;sourceID=14","4.1")</f>
        <v>4.1</v>
      </c>
      <c r="G2455" s="4" t="str">
        <f>HYPERLINK("http://141.218.60.56/~jnz1568/getInfo.php?workbook=14_09.xlsx&amp;sheet=U0&amp;row=2455&amp;col=7&amp;number=0.00227&amp;sourceID=14","0.00227")</f>
        <v>0.00227</v>
      </c>
    </row>
    <row r="2456" spans="1:7">
      <c r="A2456" s="3"/>
      <c r="B2456" s="3"/>
      <c r="C2456" s="3"/>
      <c r="D2456" s="3"/>
      <c r="E2456" s="3">
        <v>13</v>
      </c>
      <c r="F2456" s="4" t="str">
        <f>HYPERLINK("http://141.218.60.56/~jnz1568/getInfo.php?workbook=14_09.xlsx&amp;sheet=U0&amp;row=2456&amp;col=6&amp;number=4.2&amp;sourceID=14","4.2")</f>
        <v>4.2</v>
      </c>
      <c r="G2456" s="4" t="str">
        <f>HYPERLINK("http://141.218.60.56/~jnz1568/getInfo.php?workbook=14_09.xlsx&amp;sheet=U0&amp;row=2456&amp;col=7&amp;number=0.00225&amp;sourceID=14","0.00225")</f>
        <v>0.00225</v>
      </c>
    </row>
    <row r="2457" spans="1:7">
      <c r="A2457" s="3"/>
      <c r="B2457" s="3"/>
      <c r="C2457" s="3"/>
      <c r="D2457" s="3"/>
      <c r="E2457" s="3">
        <v>14</v>
      </c>
      <c r="F2457" s="4" t="str">
        <f>HYPERLINK("http://141.218.60.56/~jnz1568/getInfo.php?workbook=14_09.xlsx&amp;sheet=U0&amp;row=2457&amp;col=6&amp;number=4.3&amp;sourceID=14","4.3")</f>
        <v>4.3</v>
      </c>
      <c r="G2457" s="4" t="str">
        <f>HYPERLINK("http://141.218.60.56/~jnz1568/getInfo.php?workbook=14_09.xlsx&amp;sheet=U0&amp;row=2457&amp;col=7&amp;number=0.00222&amp;sourceID=14","0.00222")</f>
        <v>0.00222</v>
      </c>
    </row>
    <row r="2458" spans="1:7">
      <c r="A2458" s="3"/>
      <c r="B2458" s="3"/>
      <c r="C2458" s="3"/>
      <c r="D2458" s="3"/>
      <c r="E2458" s="3">
        <v>15</v>
      </c>
      <c r="F2458" s="4" t="str">
        <f>HYPERLINK("http://141.218.60.56/~jnz1568/getInfo.php?workbook=14_09.xlsx&amp;sheet=U0&amp;row=2458&amp;col=6&amp;number=4.4&amp;sourceID=14","4.4")</f>
        <v>4.4</v>
      </c>
      <c r="G2458" s="4" t="str">
        <f>HYPERLINK("http://141.218.60.56/~jnz1568/getInfo.php?workbook=14_09.xlsx&amp;sheet=U0&amp;row=2458&amp;col=7&amp;number=0.00218&amp;sourceID=14","0.00218")</f>
        <v>0.00218</v>
      </c>
    </row>
    <row r="2459" spans="1:7">
      <c r="A2459" s="3"/>
      <c r="B2459" s="3"/>
      <c r="C2459" s="3"/>
      <c r="D2459" s="3"/>
      <c r="E2459" s="3">
        <v>16</v>
      </c>
      <c r="F2459" s="4" t="str">
        <f>HYPERLINK("http://141.218.60.56/~jnz1568/getInfo.php?workbook=14_09.xlsx&amp;sheet=U0&amp;row=2459&amp;col=6&amp;number=4.5&amp;sourceID=14","4.5")</f>
        <v>4.5</v>
      </c>
      <c r="G2459" s="4" t="str">
        <f>HYPERLINK("http://141.218.60.56/~jnz1568/getInfo.php?workbook=14_09.xlsx&amp;sheet=U0&amp;row=2459&amp;col=7&amp;number=0.00213&amp;sourceID=14","0.00213")</f>
        <v>0.00213</v>
      </c>
    </row>
    <row r="2460" spans="1:7">
      <c r="A2460" s="3"/>
      <c r="B2460" s="3"/>
      <c r="C2460" s="3"/>
      <c r="D2460" s="3"/>
      <c r="E2460" s="3">
        <v>17</v>
      </c>
      <c r="F2460" s="4" t="str">
        <f>HYPERLINK("http://141.218.60.56/~jnz1568/getInfo.php?workbook=14_09.xlsx&amp;sheet=U0&amp;row=2460&amp;col=6&amp;number=4.6&amp;sourceID=14","4.6")</f>
        <v>4.6</v>
      </c>
      <c r="G2460" s="4" t="str">
        <f>HYPERLINK("http://141.218.60.56/~jnz1568/getInfo.php?workbook=14_09.xlsx&amp;sheet=U0&amp;row=2460&amp;col=7&amp;number=0.00208&amp;sourceID=14","0.00208")</f>
        <v>0.00208</v>
      </c>
    </row>
    <row r="2461" spans="1:7">
      <c r="A2461" s="3"/>
      <c r="B2461" s="3"/>
      <c r="C2461" s="3"/>
      <c r="D2461" s="3"/>
      <c r="E2461" s="3">
        <v>18</v>
      </c>
      <c r="F2461" s="4" t="str">
        <f>HYPERLINK("http://141.218.60.56/~jnz1568/getInfo.php?workbook=14_09.xlsx&amp;sheet=U0&amp;row=2461&amp;col=6&amp;number=4.7&amp;sourceID=14","4.7")</f>
        <v>4.7</v>
      </c>
      <c r="G2461" s="4" t="str">
        <f>HYPERLINK("http://141.218.60.56/~jnz1568/getInfo.php?workbook=14_09.xlsx&amp;sheet=U0&amp;row=2461&amp;col=7&amp;number=0.00201&amp;sourceID=14","0.00201")</f>
        <v>0.00201</v>
      </c>
    </row>
    <row r="2462" spans="1:7">
      <c r="A2462" s="3"/>
      <c r="B2462" s="3"/>
      <c r="C2462" s="3"/>
      <c r="D2462" s="3"/>
      <c r="E2462" s="3">
        <v>19</v>
      </c>
      <c r="F2462" s="4" t="str">
        <f>HYPERLINK("http://141.218.60.56/~jnz1568/getInfo.php?workbook=14_09.xlsx&amp;sheet=U0&amp;row=2462&amp;col=6&amp;number=4.8&amp;sourceID=14","4.8")</f>
        <v>4.8</v>
      </c>
      <c r="G2462" s="4" t="str">
        <f>HYPERLINK("http://141.218.60.56/~jnz1568/getInfo.php?workbook=14_09.xlsx&amp;sheet=U0&amp;row=2462&amp;col=7&amp;number=0.00193&amp;sourceID=14","0.00193")</f>
        <v>0.00193</v>
      </c>
    </row>
    <row r="2463" spans="1:7">
      <c r="A2463" s="3"/>
      <c r="B2463" s="3"/>
      <c r="C2463" s="3"/>
      <c r="D2463" s="3"/>
      <c r="E2463" s="3">
        <v>20</v>
      </c>
      <c r="F2463" s="4" t="str">
        <f>HYPERLINK("http://141.218.60.56/~jnz1568/getInfo.php?workbook=14_09.xlsx&amp;sheet=U0&amp;row=2463&amp;col=6&amp;number=4.9&amp;sourceID=14","4.9")</f>
        <v>4.9</v>
      </c>
      <c r="G2463" s="4" t="str">
        <f>HYPERLINK("http://141.218.60.56/~jnz1568/getInfo.php?workbook=14_09.xlsx&amp;sheet=U0&amp;row=2463&amp;col=7&amp;number=0.00184&amp;sourceID=14","0.00184")</f>
        <v>0.00184</v>
      </c>
    </row>
    <row r="2464" spans="1:7">
      <c r="A2464" s="3">
        <v>14</v>
      </c>
      <c r="B2464" s="3">
        <v>9</v>
      </c>
      <c r="C2464" s="3">
        <v>1</v>
      </c>
      <c r="D2464" s="3">
        <v>125</v>
      </c>
      <c r="E2464" s="3">
        <v>1</v>
      </c>
      <c r="F2464" s="4" t="str">
        <f>HYPERLINK("http://141.218.60.56/~jnz1568/getInfo.php?workbook=14_09.xlsx&amp;sheet=U0&amp;row=2464&amp;col=6&amp;number=3&amp;sourceID=14","3")</f>
        <v>3</v>
      </c>
      <c r="G2464" s="4" t="str">
        <f>HYPERLINK("http://141.218.60.56/~jnz1568/getInfo.php?workbook=14_09.xlsx&amp;sheet=U0&amp;row=2464&amp;col=7&amp;number=0.291&amp;sourceID=14","0.291")</f>
        <v>0.291</v>
      </c>
    </row>
    <row r="2465" spans="1:7">
      <c r="A2465" s="3"/>
      <c r="B2465" s="3"/>
      <c r="C2465" s="3"/>
      <c r="D2465" s="3"/>
      <c r="E2465" s="3">
        <v>2</v>
      </c>
      <c r="F2465" s="4" t="str">
        <f>HYPERLINK("http://141.218.60.56/~jnz1568/getInfo.php?workbook=14_09.xlsx&amp;sheet=U0&amp;row=2465&amp;col=6&amp;number=3.1&amp;sourceID=14","3.1")</f>
        <v>3.1</v>
      </c>
      <c r="G2465" s="4" t="str">
        <f>HYPERLINK("http://141.218.60.56/~jnz1568/getInfo.php?workbook=14_09.xlsx&amp;sheet=U0&amp;row=2465&amp;col=7&amp;number=0.291&amp;sourceID=14","0.291")</f>
        <v>0.291</v>
      </c>
    </row>
    <row r="2466" spans="1:7">
      <c r="A2466" s="3"/>
      <c r="B2466" s="3"/>
      <c r="C2466" s="3"/>
      <c r="D2466" s="3"/>
      <c r="E2466" s="3">
        <v>3</v>
      </c>
      <c r="F2466" s="4" t="str">
        <f>HYPERLINK("http://141.218.60.56/~jnz1568/getInfo.php?workbook=14_09.xlsx&amp;sheet=U0&amp;row=2466&amp;col=6&amp;number=3.2&amp;sourceID=14","3.2")</f>
        <v>3.2</v>
      </c>
      <c r="G2466" s="4" t="str">
        <f>HYPERLINK("http://141.218.60.56/~jnz1568/getInfo.php?workbook=14_09.xlsx&amp;sheet=U0&amp;row=2466&amp;col=7&amp;number=0.291&amp;sourceID=14","0.291")</f>
        <v>0.291</v>
      </c>
    </row>
    <row r="2467" spans="1:7">
      <c r="A2467" s="3"/>
      <c r="B2467" s="3"/>
      <c r="C2467" s="3"/>
      <c r="D2467" s="3"/>
      <c r="E2467" s="3">
        <v>4</v>
      </c>
      <c r="F2467" s="4" t="str">
        <f>HYPERLINK("http://141.218.60.56/~jnz1568/getInfo.php?workbook=14_09.xlsx&amp;sheet=U0&amp;row=2467&amp;col=6&amp;number=3.3&amp;sourceID=14","3.3")</f>
        <v>3.3</v>
      </c>
      <c r="G2467" s="4" t="str">
        <f>HYPERLINK("http://141.218.60.56/~jnz1568/getInfo.php?workbook=14_09.xlsx&amp;sheet=U0&amp;row=2467&amp;col=7&amp;number=0.291&amp;sourceID=14","0.291")</f>
        <v>0.291</v>
      </c>
    </row>
    <row r="2468" spans="1:7">
      <c r="A2468" s="3"/>
      <c r="B2468" s="3"/>
      <c r="C2468" s="3"/>
      <c r="D2468" s="3"/>
      <c r="E2468" s="3">
        <v>5</v>
      </c>
      <c r="F2468" s="4" t="str">
        <f>HYPERLINK("http://141.218.60.56/~jnz1568/getInfo.php?workbook=14_09.xlsx&amp;sheet=U0&amp;row=2468&amp;col=6&amp;number=3.4&amp;sourceID=14","3.4")</f>
        <v>3.4</v>
      </c>
      <c r="G2468" s="4" t="str">
        <f>HYPERLINK("http://141.218.60.56/~jnz1568/getInfo.php?workbook=14_09.xlsx&amp;sheet=U0&amp;row=2468&amp;col=7&amp;number=0.291&amp;sourceID=14","0.291")</f>
        <v>0.291</v>
      </c>
    </row>
    <row r="2469" spans="1:7">
      <c r="A2469" s="3"/>
      <c r="B2469" s="3"/>
      <c r="C2469" s="3"/>
      <c r="D2469" s="3"/>
      <c r="E2469" s="3">
        <v>6</v>
      </c>
      <c r="F2469" s="4" t="str">
        <f>HYPERLINK("http://141.218.60.56/~jnz1568/getInfo.php?workbook=14_09.xlsx&amp;sheet=U0&amp;row=2469&amp;col=6&amp;number=3.5&amp;sourceID=14","3.5")</f>
        <v>3.5</v>
      </c>
      <c r="G2469" s="4" t="str">
        <f>HYPERLINK("http://141.218.60.56/~jnz1568/getInfo.php?workbook=14_09.xlsx&amp;sheet=U0&amp;row=2469&amp;col=7&amp;number=0.291&amp;sourceID=14","0.291")</f>
        <v>0.291</v>
      </c>
    </row>
    <row r="2470" spans="1:7">
      <c r="A2470" s="3"/>
      <c r="B2470" s="3"/>
      <c r="C2470" s="3"/>
      <c r="D2470" s="3"/>
      <c r="E2470" s="3">
        <v>7</v>
      </c>
      <c r="F2470" s="4" t="str">
        <f>HYPERLINK("http://141.218.60.56/~jnz1568/getInfo.php?workbook=14_09.xlsx&amp;sheet=U0&amp;row=2470&amp;col=6&amp;number=3.6&amp;sourceID=14","3.6")</f>
        <v>3.6</v>
      </c>
      <c r="G2470" s="4" t="str">
        <f>HYPERLINK("http://141.218.60.56/~jnz1568/getInfo.php?workbook=14_09.xlsx&amp;sheet=U0&amp;row=2470&amp;col=7&amp;number=0.291&amp;sourceID=14","0.291")</f>
        <v>0.291</v>
      </c>
    </row>
    <row r="2471" spans="1:7">
      <c r="A2471" s="3"/>
      <c r="B2471" s="3"/>
      <c r="C2471" s="3"/>
      <c r="D2471" s="3"/>
      <c r="E2471" s="3">
        <v>8</v>
      </c>
      <c r="F2471" s="4" t="str">
        <f>HYPERLINK("http://141.218.60.56/~jnz1568/getInfo.php?workbook=14_09.xlsx&amp;sheet=U0&amp;row=2471&amp;col=6&amp;number=3.7&amp;sourceID=14","3.7")</f>
        <v>3.7</v>
      </c>
      <c r="G2471" s="4" t="str">
        <f>HYPERLINK("http://141.218.60.56/~jnz1568/getInfo.php?workbook=14_09.xlsx&amp;sheet=U0&amp;row=2471&amp;col=7&amp;number=0.291&amp;sourceID=14","0.291")</f>
        <v>0.291</v>
      </c>
    </row>
    <row r="2472" spans="1:7">
      <c r="A2472" s="3"/>
      <c r="B2472" s="3"/>
      <c r="C2472" s="3"/>
      <c r="D2472" s="3"/>
      <c r="E2472" s="3">
        <v>9</v>
      </c>
      <c r="F2472" s="4" t="str">
        <f>HYPERLINK("http://141.218.60.56/~jnz1568/getInfo.php?workbook=14_09.xlsx&amp;sheet=U0&amp;row=2472&amp;col=6&amp;number=3.8&amp;sourceID=14","3.8")</f>
        <v>3.8</v>
      </c>
      <c r="G2472" s="4" t="str">
        <f>HYPERLINK("http://141.218.60.56/~jnz1568/getInfo.php?workbook=14_09.xlsx&amp;sheet=U0&amp;row=2472&amp;col=7&amp;number=0.291&amp;sourceID=14","0.291")</f>
        <v>0.291</v>
      </c>
    </row>
    <row r="2473" spans="1:7">
      <c r="A2473" s="3"/>
      <c r="B2473" s="3"/>
      <c r="C2473" s="3"/>
      <c r="D2473" s="3"/>
      <c r="E2473" s="3">
        <v>10</v>
      </c>
      <c r="F2473" s="4" t="str">
        <f>HYPERLINK("http://141.218.60.56/~jnz1568/getInfo.php?workbook=14_09.xlsx&amp;sheet=U0&amp;row=2473&amp;col=6&amp;number=3.9&amp;sourceID=14","3.9")</f>
        <v>3.9</v>
      </c>
      <c r="G2473" s="4" t="str">
        <f>HYPERLINK("http://141.218.60.56/~jnz1568/getInfo.php?workbook=14_09.xlsx&amp;sheet=U0&amp;row=2473&amp;col=7&amp;number=0.291&amp;sourceID=14","0.291")</f>
        <v>0.291</v>
      </c>
    </row>
    <row r="2474" spans="1:7">
      <c r="A2474" s="3"/>
      <c r="B2474" s="3"/>
      <c r="C2474" s="3"/>
      <c r="D2474" s="3"/>
      <c r="E2474" s="3">
        <v>11</v>
      </c>
      <c r="F2474" s="4" t="str">
        <f>HYPERLINK("http://141.218.60.56/~jnz1568/getInfo.php?workbook=14_09.xlsx&amp;sheet=U0&amp;row=2474&amp;col=6&amp;number=4&amp;sourceID=14","4")</f>
        <v>4</v>
      </c>
      <c r="G2474" s="4" t="str">
        <f>HYPERLINK("http://141.218.60.56/~jnz1568/getInfo.php?workbook=14_09.xlsx&amp;sheet=U0&amp;row=2474&amp;col=7&amp;number=0.291&amp;sourceID=14","0.291")</f>
        <v>0.291</v>
      </c>
    </row>
    <row r="2475" spans="1:7">
      <c r="A2475" s="3"/>
      <c r="B2475" s="3"/>
      <c r="C2475" s="3"/>
      <c r="D2475" s="3"/>
      <c r="E2475" s="3">
        <v>12</v>
      </c>
      <c r="F2475" s="4" t="str">
        <f>HYPERLINK("http://141.218.60.56/~jnz1568/getInfo.php?workbook=14_09.xlsx&amp;sheet=U0&amp;row=2475&amp;col=6&amp;number=4.1&amp;sourceID=14","4.1")</f>
        <v>4.1</v>
      </c>
      <c r="G2475" s="4" t="str">
        <f>HYPERLINK("http://141.218.60.56/~jnz1568/getInfo.php?workbook=14_09.xlsx&amp;sheet=U0&amp;row=2475&amp;col=7&amp;number=0.291&amp;sourceID=14","0.291")</f>
        <v>0.291</v>
      </c>
    </row>
    <row r="2476" spans="1:7">
      <c r="A2476" s="3"/>
      <c r="B2476" s="3"/>
      <c r="C2476" s="3"/>
      <c r="D2476" s="3"/>
      <c r="E2476" s="3">
        <v>13</v>
      </c>
      <c r="F2476" s="4" t="str">
        <f>HYPERLINK("http://141.218.60.56/~jnz1568/getInfo.php?workbook=14_09.xlsx&amp;sheet=U0&amp;row=2476&amp;col=6&amp;number=4.2&amp;sourceID=14","4.2")</f>
        <v>4.2</v>
      </c>
      <c r="G2476" s="4" t="str">
        <f>HYPERLINK("http://141.218.60.56/~jnz1568/getInfo.php?workbook=14_09.xlsx&amp;sheet=U0&amp;row=2476&amp;col=7&amp;number=0.291&amp;sourceID=14","0.291")</f>
        <v>0.291</v>
      </c>
    </row>
    <row r="2477" spans="1:7">
      <c r="A2477" s="3"/>
      <c r="B2477" s="3"/>
      <c r="C2477" s="3"/>
      <c r="D2477" s="3"/>
      <c r="E2477" s="3">
        <v>14</v>
      </c>
      <c r="F2477" s="4" t="str">
        <f>HYPERLINK("http://141.218.60.56/~jnz1568/getInfo.php?workbook=14_09.xlsx&amp;sheet=U0&amp;row=2477&amp;col=6&amp;number=4.3&amp;sourceID=14","4.3")</f>
        <v>4.3</v>
      </c>
      <c r="G2477" s="4" t="str">
        <f>HYPERLINK("http://141.218.60.56/~jnz1568/getInfo.php?workbook=14_09.xlsx&amp;sheet=U0&amp;row=2477&amp;col=7&amp;number=0.291&amp;sourceID=14","0.291")</f>
        <v>0.291</v>
      </c>
    </row>
    <row r="2478" spans="1:7">
      <c r="A2478" s="3"/>
      <c r="B2478" s="3"/>
      <c r="C2478" s="3"/>
      <c r="D2478" s="3"/>
      <c r="E2478" s="3">
        <v>15</v>
      </c>
      <c r="F2478" s="4" t="str">
        <f>HYPERLINK("http://141.218.60.56/~jnz1568/getInfo.php?workbook=14_09.xlsx&amp;sheet=U0&amp;row=2478&amp;col=6&amp;number=4.4&amp;sourceID=14","4.4")</f>
        <v>4.4</v>
      </c>
      <c r="G2478" s="4" t="str">
        <f>HYPERLINK("http://141.218.60.56/~jnz1568/getInfo.php?workbook=14_09.xlsx&amp;sheet=U0&amp;row=2478&amp;col=7&amp;number=0.291&amp;sourceID=14","0.291")</f>
        <v>0.291</v>
      </c>
    </row>
    <row r="2479" spans="1:7">
      <c r="A2479" s="3"/>
      <c r="B2479" s="3"/>
      <c r="C2479" s="3"/>
      <c r="D2479" s="3"/>
      <c r="E2479" s="3">
        <v>16</v>
      </c>
      <c r="F2479" s="4" t="str">
        <f>HYPERLINK("http://141.218.60.56/~jnz1568/getInfo.php?workbook=14_09.xlsx&amp;sheet=U0&amp;row=2479&amp;col=6&amp;number=4.5&amp;sourceID=14","4.5")</f>
        <v>4.5</v>
      </c>
      <c r="G2479" s="4" t="str">
        <f>HYPERLINK("http://141.218.60.56/~jnz1568/getInfo.php?workbook=14_09.xlsx&amp;sheet=U0&amp;row=2479&amp;col=7&amp;number=0.291&amp;sourceID=14","0.291")</f>
        <v>0.291</v>
      </c>
    </row>
    <row r="2480" spans="1:7">
      <c r="A2480" s="3"/>
      <c r="B2480" s="3"/>
      <c r="C2480" s="3"/>
      <c r="D2480" s="3"/>
      <c r="E2480" s="3">
        <v>17</v>
      </c>
      <c r="F2480" s="4" t="str">
        <f>HYPERLINK("http://141.218.60.56/~jnz1568/getInfo.php?workbook=14_09.xlsx&amp;sheet=U0&amp;row=2480&amp;col=6&amp;number=4.6&amp;sourceID=14","4.6")</f>
        <v>4.6</v>
      </c>
      <c r="G2480" s="4" t="str">
        <f>HYPERLINK("http://141.218.60.56/~jnz1568/getInfo.php?workbook=14_09.xlsx&amp;sheet=U0&amp;row=2480&amp;col=7&amp;number=0.292&amp;sourceID=14","0.292")</f>
        <v>0.292</v>
      </c>
    </row>
    <row r="2481" spans="1:7">
      <c r="A2481" s="3"/>
      <c r="B2481" s="3"/>
      <c r="C2481" s="3"/>
      <c r="D2481" s="3"/>
      <c r="E2481" s="3">
        <v>18</v>
      </c>
      <c r="F2481" s="4" t="str">
        <f>HYPERLINK("http://141.218.60.56/~jnz1568/getInfo.php?workbook=14_09.xlsx&amp;sheet=U0&amp;row=2481&amp;col=6&amp;number=4.7&amp;sourceID=14","4.7")</f>
        <v>4.7</v>
      </c>
      <c r="G2481" s="4" t="str">
        <f>HYPERLINK("http://141.218.60.56/~jnz1568/getInfo.php?workbook=14_09.xlsx&amp;sheet=U0&amp;row=2481&amp;col=7&amp;number=0.292&amp;sourceID=14","0.292")</f>
        <v>0.292</v>
      </c>
    </row>
    <row r="2482" spans="1:7">
      <c r="A2482" s="3"/>
      <c r="B2482" s="3"/>
      <c r="C2482" s="3"/>
      <c r="D2482" s="3"/>
      <c r="E2482" s="3">
        <v>19</v>
      </c>
      <c r="F2482" s="4" t="str">
        <f>HYPERLINK("http://141.218.60.56/~jnz1568/getInfo.php?workbook=14_09.xlsx&amp;sheet=U0&amp;row=2482&amp;col=6&amp;number=4.8&amp;sourceID=14","4.8")</f>
        <v>4.8</v>
      </c>
      <c r="G2482" s="4" t="str">
        <f>HYPERLINK("http://141.218.60.56/~jnz1568/getInfo.php?workbook=14_09.xlsx&amp;sheet=U0&amp;row=2482&amp;col=7&amp;number=0.292&amp;sourceID=14","0.292")</f>
        <v>0.292</v>
      </c>
    </row>
    <row r="2483" spans="1:7">
      <c r="A2483" s="3"/>
      <c r="B2483" s="3"/>
      <c r="C2483" s="3"/>
      <c r="D2483" s="3"/>
      <c r="E2483" s="3">
        <v>20</v>
      </c>
      <c r="F2483" s="4" t="str">
        <f>HYPERLINK("http://141.218.60.56/~jnz1568/getInfo.php?workbook=14_09.xlsx&amp;sheet=U0&amp;row=2483&amp;col=6&amp;number=4.9&amp;sourceID=14","4.9")</f>
        <v>4.9</v>
      </c>
      <c r="G2483" s="4" t="str">
        <f>HYPERLINK("http://141.218.60.56/~jnz1568/getInfo.php?workbook=14_09.xlsx&amp;sheet=U0&amp;row=2483&amp;col=7&amp;number=0.292&amp;sourceID=14","0.292")</f>
        <v>0.292</v>
      </c>
    </row>
    <row r="2484" spans="1:7">
      <c r="A2484" s="3">
        <v>14</v>
      </c>
      <c r="B2484" s="3">
        <v>9</v>
      </c>
      <c r="C2484" s="3">
        <v>1</v>
      </c>
      <c r="D2484" s="3">
        <v>126</v>
      </c>
      <c r="E2484" s="3">
        <v>1</v>
      </c>
      <c r="F2484" s="4" t="str">
        <f>HYPERLINK("http://141.218.60.56/~jnz1568/getInfo.php?workbook=14_09.xlsx&amp;sheet=U0&amp;row=2484&amp;col=6&amp;number=3&amp;sourceID=14","3")</f>
        <v>3</v>
      </c>
      <c r="G2484" s="4" t="str">
        <f>HYPERLINK("http://141.218.60.56/~jnz1568/getInfo.php?workbook=14_09.xlsx&amp;sheet=U0&amp;row=2484&amp;col=7&amp;number=0.0165&amp;sourceID=14","0.0165")</f>
        <v>0.0165</v>
      </c>
    </row>
    <row r="2485" spans="1:7">
      <c r="A2485" s="3"/>
      <c r="B2485" s="3"/>
      <c r="C2485" s="3"/>
      <c r="D2485" s="3"/>
      <c r="E2485" s="3">
        <v>2</v>
      </c>
      <c r="F2485" s="4" t="str">
        <f>HYPERLINK("http://141.218.60.56/~jnz1568/getInfo.php?workbook=14_09.xlsx&amp;sheet=U0&amp;row=2485&amp;col=6&amp;number=3.1&amp;sourceID=14","3.1")</f>
        <v>3.1</v>
      </c>
      <c r="G2485" s="4" t="str">
        <f>HYPERLINK("http://141.218.60.56/~jnz1568/getInfo.php?workbook=14_09.xlsx&amp;sheet=U0&amp;row=2485&amp;col=7&amp;number=0.0165&amp;sourceID=14","0.0165")</f>
        <v>0.0165</v>
      </c>
    </row>
    <row r="2486" spans="1:7">
      <c r="A2486" s="3"/>
      <c r="B2486" s="3"/>
      <c r="C2486" s="3"/>
      <c r="D2486" s="3"/>
      <c r="E2486" s="3">
        <v>3</v>
      </c>
      <c r="F2486" s="4" t="str">
        <f>HYPERLINK("http://141.218.60.56/~jnz1568/getInfo.php?workbook=14_09.xlsx&amp;sheet=U0&amp;row=2486&amp;col=6&amp;number=3.2&amp;sourceID=14","3.2")</f>
        <v>3.2</v>
      </c>
      <c r="G2486" s="4" t="str">
        <f>HYPERLINK("http://141.218.60.56/~jnz1568/getInfo.php?workbook=14_09.xlsx&amp;sheet=U0&amp;row=2486&amp;col=7&amp;number=0.0165&amp;sourceID=14","0.0165")</f>
        <v>0.0165</v>
      </c>
    </row>
    <row r="2487" spans="1:7">
      <c r="A2487" s="3"/>
      <c r="B2487" s="3"/>
      <c r="C2487" s="3"/>
      <c r="D2487" s="3"/>
      <c r="E2487" s="3">
        <v>4</v>
      </c>
      <c r="F2487" s="4" t="str">
        <f>HYPERLINK("http://141.218.60.56/~jnz1568/getInfo.php?workbook=14_09.xlsx&amp;sheet=U0&amp;row=2487&amp;col=6&amp;number=3.3&amp;sourceID=14","3.3")</f>
        <v>3.3</v>
      </c>
      <c r="G2487" s="4" t="str">
        <f>HYPERLINK("http://141.218.60.56/~jnz1568/getInfo.php?workbook=14_09.xlsx&amp;sheet=U0&amp;row=2487&amp;col=7&amp;number=0.0164&amp;sourceID=14","0.0164")</f>
        <v>0.0164</v>
      </c>
    </row>
    <row r="2488" spans="1:7">
      <c r="A2488" s="3"/>
      <c r="B2488" s="3"/>
      <c r="C2488" s="3"/>
      <c r="D2488" s="3"/>
      <c r="E2488" s="3">
        <v>5</v>
      </c>
      <c r="F2488" s="4" t="str">
        <f>HYPERLINK("http://141.218.60.56/~jnz1568/getInfo.php?workbook=14_09.xlsx&amp;sheet=U0&amp;row=2488&amp;col=6&amp;number=3.4&amp;sourceID=14","3.4")</f>
        <v>3.4</v>
      </c>
      <c r="G2488" s="4" t="str">
        <f>HYPERLINK("http://141.218.60.56/~jnz1568/getInfo.php?workbook=14_09.xlsx&amp;sheet=U0&amp;row=2488&amp;col=7&amp;number=0.0164&amp;sourceID=14","0.0164")</f>
        <v>0.0164</v>
      </c>
    </row>
    <row r="2489" spans="1:7">
      <c r="A2489" s="3"/>
      <c r="B2489" s="3"/>
      <c r="C2489" s="3"/>
      <c r="D2489" s="3"/>
      <c r="E2489" s="3">
        <v>6</v>
      </c>
      <c r="F2489" s="4" t="str">
        <f>HYPERLINK("http://141.218.60.56/~jnz1568/getInfo.php?workbook=14_09.xlsx&amp;sheet=U0&amp;row=2489&amp;col=6&amp;number=3.5&amp;sourceID=14","3.5")</f>
        <v>3.5</v>
      </c>
      <c r="G2489" s="4" t="str">
        <f>HYPERLINK("http://141.218.60.56/~jnz1568/getInfo.php?workbook=14_09.xlsx&amp;sheet=U0&amp;row=2489&amp;col=7&amp;number=0.0163&amp;sourceID=14","0.0163")</f>
        <v>0.0163</v>
      </c>
    </row>
    <row r="2490" spans="1:7">
      <c r="A2490" s="3"/>
      <c r="B2490" s="3"/>
      <c r="C2490" s="3"/>
      <c r="D2490" s="3"/>
      <c r="E2490" s="3">
        <v>7</v>
      </c>
      <c r="F2490" s="4" t="str">
        <f>HYPERLINK("http://141.218.60.56/~jnz1568/getInfo.php?workbook=14_09.xlsx&amp;sheet=U0&amp;row=2490&amp;col=6&amp;number=3.6&amp;sourceID=14","3.6")</f>
        <v>3.6</v>
      </c>
      <c r="G2490" s="4" t="str">
        <f>HYPERLINK("http://141.218.60.56/~jnz1568/getInfo.php?workbook=14_09.xlsx&amp;sheet=U0&amp;row=2490&amp;col=7&amp;number=0.0162&amp;sourceID=14","0.0162")</f>
        <v>0.0162</v>
      </c>
    </row>
    <row r="2491" spans="1:7">
      <c r="A2491" s="3"/>
      <c r="B2491" s="3"/>
      <c r="C2491" s="3"/>
      <c r="D2491" s="3"/>
      <c r="E2491" s="3">
        <v>8</v>
      </c>
      <c r="F2491" s="4" t="str">
        <f>HYPERLINK("http://141.218.60.56/~jnz1568/getInfo.php?workbook=14_09.xlsx&amp;sheet=U0&amp;row=2491&amp;col=6&amp;number=3.7&amp;sourceID=14","3.7")</f>
        <v>3.7</v>
      </c>
      <c r="G2491" s="4" t="str">
        <f>HYPERLINK("http://141.218.60.56/~jnz1568/getInfo.php?workbook=14_09.xlsx&amp;sheet=U0&amp;row=2491&amp;col=7&amp;number=0.016&amp;sourceID=14","0.016")</f>
        <v>0.016</v>
      </c>
    </row>
    <row r="2492" spans="1:7">
      <c r="A2492" s="3"/>
      <c r="B2492" s="3"/>
      <c r="C2492" s="3"/>
      <c r="D2492" s="3"/>
      <c r="E2492" s="3">
        <v>9</v>
      </c>
      <c r="F2492" s="4" t="str">
        <f>HYPERLINK("http://141.218.60.56/~jnz1568/getInfo.php?workbook=14_09.xlsx&amp;sheet=U0&amp;row=2492&amp;col=6&amp;number=3.8&amp;sourceID=14","3.8")</f>
        <v>3.8</v>
      </c>
      <c r="G2492" s="4" t="str">
        <f>HYPERLINK("http://141.218.60.56/~jnz1568/getInfo.php?workbook=14_09.xlsx&amp;sheet=U0&amp;row=2492&amp;col=7&amp;number=0.0159&amp;sourceID=14","0.0159")</f>
        <v>0.0159</v>
      </c>
    </row>
    <row r="2493" spans="1:7">
      <c r="A2493" s="3"/>
      <c r="B2493" s="3"/>
      <c r="C2493" s="3"/>
      <c r="D2493" s="3"/>
      <c r="E2493" s="3">
        <v>10</v>
      </c>
      <c r="F2493" s="4" t="str">
        <f>HYPERLINK("http://141.218.60.56/~jnz1568/getInfo.php?workbook=14_09.xlsx&amp;sheet=U0&amp;row=2493&amp;col=6&amp;number=3.9&amp;sourceID=14","3.9")</f>
        <v>3.9</v>
      </c>
      <c r="G2493" s="4" t="str">
        <f>HYPERLINK("http://141.218.60.56/~jnz1568/getInfo.php?workbook=14_09.xlsx&amp;sheet=U0&amp;row=2493&amp;col=7&amp;number=0.0157&amp;sourceID=14","0.0157")</f>
        <v>0.0157</v>
      </c>
    </row>
    <row r="2494" spans="1:7">
      <c r="A2494" s="3"/>
      <c r="B2494" s="3"/>
      <c r="C2494" s="3"/>
      <c r="D2494" s="3"/>
      <c r="E2494" s="3">
        <v>11</v>
      </c>
      <c r="F2494" s="4" t="str">
        <f>HYPERLINK("http://141.218.60.56/~jnz1568/getInfo.php?workbook=14_09.xlsx&amp;sheet=U0&amp;row=2494&amp;col=6&amp;number=4&amp;sourceID=14","4")</f>
        <v>4</v>
      </c>
      <c r="G2494" s="4" t="str">
        <f>HYPERLINK("http://141.218.60.56/~jnz1568/getInfo.php?workbook=14_09.xlsx&amp;sheet=U0&amp;row=2494&amp;col=7&amp;number=0.0155&amp;sourceID=14","0.0155")</f>
        <v>0.0155</v>
      </c>
    </row>
    <row r="2495" spans="1:7">
      <c r="A2495" s="3"/>
      <c r="B2495" s="3"/>
      <c r="C2495" s="3"/>
      <c r="D2495" s="3"/>
      <c r="E2495" s="3">
        <v>12</v>
      </c>
      <c r="F2495" s="4" t="str">
        <f>HYPERLINK("http://141.218.60.56/~jnz1568/getInfo.php?workbook=14_09.xlsx&amp;sheet=U0&amp;row=2495&amp;col=6&amp;number=4.1&amp;sourceID=14","4.1")</f>
        <v>4.1</v>
      </c>
      <c r="G2495" s="4" t="str">
        <f>HYPERLINK("http://141.218.60.56/~jnz1568/getInfo.php?workbook=14_09.xlsx&amp;sheet=U0&amp;row=2495&amp;col=7&amp;number=0.0152&amp;sourceID=14","0.0152")</f>
        <v>0.0152</v>
      </c>
    </row>
    <row r="2496" spans="1:7">
      <c r="A2496" s="3"/>
      <c r="B2496" s="3"/>
      <c r="C2496" s="3"/>
      <c r="D2496" s="3"/>
      <c r="E2496" s="3">
        <v>13</v>
      </c>
      <c r="F2496" s="4" t="str">
        <f>HYPERLINK("http://141.218.60.56/~jnz1568/getInfo.php?workbook=14_09.xlsx&amp;sheet=U0&amp;row=2496&amp;col=6&amp;number=4.2&amp;sourceID=14","4.2")</f>
        <v>4.2</v>
      </c>
      <c r="G2496" s="4" t="str">
        <f>HYPERLINK("http://141.218.60.56/~jnz1568/getInfo.php?workbook=14_09.xlsx&amp;sheet=U0&amp;row=2496&amp;col=7&amp;number=0.0148&amp;sourceID=14","0.0148")</f>
        <v>0.0148</v>
      </c>
    </row>
    <row r="2497" spans="1:7">
      <c r="A2497" s="3"/>
      <c r="B2497" s="3"/>
      <c r="C2497" s="3"/>
      <c r="D2497" s="3"/>
      <c r="E2497" s="3">
        <v>14</v>
      </c>
      <c r="F2497" s="4" t="str">
        <f>HYPERLINK("http://141.218.60.56/~jnz1568/getInfo.php?workbook=14_09.xlsx&amp;sheet=U0&amp;row=2497&amp;col=6&amp;number=4.3&amp;sourceID=14","4.3")</f>
        <v>4.3</v>
      </c>
      <c r="G2497" s="4" t="str">
        <f>HYPERLINK("http://141.218.60.56/~jnz1568/getInfo.php?workbook=14_09.xlsx&amp;sheet=U0&amp;row=2497&amp;col=7&amp;number=0.0143&amp;sourceID=14","0.0143")</f>
        <v>0.0143</v>
      </c>
    </row>
    <row r="2498" spans="1:7">
      <c r="A2498" s="3"/>
      <c r="B2498" s="3"/>
      <c r="C2498" s="3"/>
      <c r="D2498" s="3"/>
      <c r="E2498" s="3">
        <v>15</v>
      </c>
      <c r="F2498" s="4" t="str">
        <f>HYPERLINK("http://141.218.60.56/~jnz1568/getInfo.php?workbook=14_09.xlsx&amp;sheet=U0&amp;row=2498&amp;col=6&amp;number=4.4&amp;sourceID=14","4.4")</f>
        <v>4.4</v>
      </c>
      <c r="G2498" s="4" t="str">
        <f>HYPERLINK("http://141.218.60.56/~jnz1568/getInfo.php?workbook=14_09.xlsx&amp;sheet=U0&amp;row=2498&amp;col=7&amp;number=0.0138&amp;sourceID=14","0.0138")</f>
        <v>0.0138</v>
      </c>
    </row>
    <row r="2499" spans="1:7">
      <c r="A2499" s="3"/>
      <c r="B2499" s="3"/>
      <c r="C2499" s="3"/>
      <c r="D2499" s="3"/>
      <c r="E2499" s="3">
        <v>16</v>
      </c>
      <c r="F2499" s="4" t="str">
        <f>HYPERLINK("http://141.218.60.56/~jnz1568/getInfo.php?workbook=14_09.xlsx&amp;sheet=U0&amp;row=2499&amp;col=6&amp;number=4.5&amp;sourceID=14","4.5")</f>
        <v>4.5</v>
      </c>
      <c r="G2499" s="4" t="str">
        <f>HYPERLINK("http://141.218.60.56/~jnz1568/getInfo.php?workbook=14_09.xlsx&amp;sheet=U0&amp;row=2499&amp;col=7&amp;number=0.0132&amp;sourceID=14","0.0132")</f>
        <v>0.0132</v>
      </c>
    </row>
    <row r="2500" spans="1:7">
      <c r="A2500" s="3"/>
      <c r="B2500" s="3"/>
      <c r="C2500" s="3"/>
      <c r="D2500" s="3"/>
      <c r="E2500" s="3">
        <v>17</v>
      </c>
      <c r="F2500" s="4" t="str">
        <f>HYPERLINK("http://141.218.60.56/~jnz1568/getInfo.php?workbook=14_09.xlsx&amp;sheet=U0&amp;row=2500&amp;col=6&amp;number=4.6&amp;sourceID=14","4.6")</f>
        <v>4.6</v>
      </c>
      <c r="G2500" s="4" t="str">
        <f>HYPERLINK("http://141.218.60.56/~jnz1568/getInfo.php?workbook=14_09.xlsx&amp;sheet=U0&amp;row=2500&amp;col=7&amp;number=0.0124&amp;sourceID=14","0.0124")</f>
        <v>0.0124</v>
      </c>
    </row>
    <row r="2501" spans="1:7">
      <c r="A2501" s="3"/>
      <c r="B2501" s="3"/>
      <c r="C2501" s="3"/>
      <c r="D2501" s="3"/>
      <c r="E2501" s="3">
        <v>18</v>
      </c>
      <c r="F2501" s="4" t="str">
        <f>HYPERLINK("http://141.218.60.56/~jnz1568/getInfo.php?workbook=14_09.xlsx&amp;sheet=U0&amp;row=2501&amp;col=6&amp;number=4.7&amp;sourceID=14","4.7")</f>
        <v>4.7</v>
      </c>
      <c r="G2501" s="4" t="str">
        <f>HYPERLINK("http://141.218.60.56/~jnz1568/getInfo.php?workbook=14_09.xlsx&amp;sheet=U0&amp;row=2501&amp;col=7&amp;number=0.0116&amp;sourceID=14","0.0116")</f>
        <v>0.0116</v>
      </c>
    </row>
    <row r="2502" spans="1:7">
      <c r="A2502" s="3"/>
      <c r="B2502" s="3"/>
      <c r="C2502" s="3"/>
      <c r="D2502" s="3"/>
      <c r="E2502" s="3">
        <v>19</v>
      </c>
      <c r="F2502" s="4" t="str">
        <f>HYPERLINK("http://141.218.60.56/~jnz1568/getInfo.php?workbook=14_09.xlsx&amp;sheet=U0&amp;row=2502&amp;col=6&amp;number=4.8&amp;sourceID=14","4.8")</f>
        <v>4.8</v>
      </c>
      <c r="G2502" s="4" t="str">
        <f>HYPERLINK("http://141.218.60.56/~jnz1568/getInfo.php?workbook=14_09.xlsx&amp;sheet=U0&amp;row=2502&amp;col=7&amp;number=0.0108&amp;sourceID=14","0.0108")</f>
        <v>0.0108</v>
      </c>
    </row>
    <row r="2503" spans="1:7">
      <c r="A2503" s="3"/>
      <c r="B2503" s="3"/>
      <c r="C2503" s="3"/>
      <c r="D2503" s="3"/>
      <c r="E2503" s="3">
        <v>20</v>
      </c>
      <c r="F2503" s="4" t="str">
        <f>HYPERLINK("http://141.218.60.56/~jnz1568/getInfo.php?workbook=14_09.xlsx&amp;sheet=U0&amp;row=2503&amp;col=6&amp;number=4.9&amp;sourceID=14","4.9")</f>
        <v>4.9</v>
      </c>
      <c r="G2503" s="4" t="str">
        <f>HYPERLINK("http://141.218.60.56/~jnz1568/getInfo.php?workbook=14_09.xlsx&amp;sheet=U0&amp;row=2503&amp;col=7&amp;number=0.01&amp;sourceID=14","0.01")</f>
        <v>0.01</v>
      </c>
    </row>
    <row r="2504" spans="1:7">
      <c r="A2504" s="3">
        <v>14</v>
      </c>
      <c r="B2504" s="3">
        <v>9</v>
      </c>
      <c r="C2504" s="3">
        <v>1</v>
      </c>
      <c r="D2504" s="3">
        <v>127</v>
      </c>
      <c r="E2504" s="3">
        <v>1</v>
      </c>
      <c r="F2504" s="4" t="str">
        <f>HYPERLINK("http://141.218.60.56/~jnz1568/getInfo.php?workbook=14_09.xlsx&amp;sheet=U0&amp;row=2504&amp;col=6&amp;number=3&amp;sourceID=14","3")</f>
        <v>3</v>
      </c>
      <c r="G2504" s="4" t="str">
        <f>HYPERLINK("http://141.218.60.56/~jnz1568/getInfo.php?workbook=14_09.xlsx&amp;sheet=U0&amp;row=2504&amp;col=7&amp;number=0.0279&amp;sourceID=14","0.0279")</f>
        <v>0.0279</v>
      </c>
    </row>
    <row r="2505" spans="1:7">
      <c r="A2505" s="3"/>
      <c r="B2505" s="3"/>
      <c r="C2505" s="3"/>
      <c r="D2505" s="3"/>
      <c r="E2505" s="3">
        <v>2</v>
      </c>
      <c r="F2505" s="4" t="str">
        <f>HYPERLINK("http://141.218.60.56/~jnz1568/getInfo.php?workbook=14_09.xlsx&amp;sheet=U0&amp;row=2505&amp;col=6&amp;number=3.1&amp;sourceID=14","3.1")</f>
        <v>3.1</v>
      </c>
      <c r="G2505" s="4" t="str">
        <f>HYPERLINK("http://141.218.60.56/~jnz1568/getInfo.php?workbook=14_09.xlsx&amp;sheet=U0&amp;row=2505&amp;col=7&amp;number=0.0279&amp;sourceID=14","0.0279")</f>
        <v>0.0279</v>
      </c>
    </row>
    <row r="2506" spans="1:7">
      <c r="A2506" s="3"/>
      <c r="B2506" s="3"/>
      <c r="C2506" s="3"/>
      <c r="D2506" s="3"/>
      <c r="E2506" s="3">
        <v>3</v>
      </c>
      <c r="F2506" s="4" t="str">
        <f>HYPERLINK("http://141.218.60.56/~jnz1568/getInfo.php?workbook=14_09.xlsx&amp;sheet=U0&amp;row=2506&amp;col=6&amp;number=3.2&amp;sourceID=14","3.2")</f>
        <v>3.2</v>
      </c>
      <c r="G2506" s="4" t="str">
        <f>HYPERLINK("http://141.218.60.56/~jnz1568/getInfo.php?workbook=14_09.xlsx&amp;sheet=U0&amp;row=2506&amp;col=7&amp;number=0.0278&amp;sourceID=14","0.0278")</f>
        <v>0.0278</v>
      </c>
    </row>
    <row r="2507" spans="1:7">
      <c r="A2507" s="3"/>
      <c r="B2507" s="3"/>
      <c r="C2507" s="3"/>
      <c r="D2507" s="3"/>
      <c r="E2507" s="3">
        <v>4</v>
      </c>
      <c r="F2507" s="4" t="str">
        <f>HYPERLINK("http://141.218.60.56/~jnz1568/getInfo.php?workbook=14_09.xlsx&amp;sheet=U0&amp;row=2507&amp;col=6&amp;number=3.3&amp;sourceID=14","3.3")</f>
        <v>3.3</v>
      </c>
      <c r="G2507" s="4" t="str">
        <f>HYPERLINK("http://141.218.60.56/~jnz1568/getInfo.php?workbook=14_09.xlsx&amp;sheet=U0&amp;row=2507&amp;col=7&amp;number=0.0278&amp;sourceID=14","0.0278")</f>
        <v>0.0278</v>
      </c>
    </row>
    <row r="2508" spans="1:7">
      <c r="A2508" s="3"/>
      <c r="B2508" s="3"/>
      <c r="C2508" s="3"/>
      <c r="D2508" s="3"/>
      <c r="E2508" s="3">
        <v>5</v>
      </c>
      <c r="F2508" s="4" t="str">
        <f>HYPERLINK("http://141.218.60.56/~jnz1568/getInfo.php?workbook=14_09.xlsx&amp;sheet=U0&amp;row=2508&amp;col=6&amp;number=3.4&amp;sourceID=14","3.4")</f>
        <v>3.4</v>
      </c>
      <c r="G2508" s="4" t="str">
        <f>HYPERLINK("http://141.218.60.56/~jnz1568/getInfo.php?workbook=14_09.xlsx&amp;sheet=U0&amp;row=2508&amp;col=7&amp;number=0.0277&amp;sourceID=14","0.0277")</f>
        <v>0.0277</v>
      </c>
    </row>
    <row r="2509" spans="1:7">
      <c r="A2509" s="3"/>
      <c r="B2509" s="3"/>
      <c r="C2509" s="3"/>
      <c r="D2509" s="3"/>
      <c r="E2509" s="3">
        <v>6</v>
      </c>
      <c r="F2509" s="4" t="str">
        <f>HYPERLINK("http://141.218.60.56/~jnz1568/getInfo.php?workbook=14_09.xlsx&amp;sheet=U0&amp;row=2509&amp;col=6&amp;number=3.5&amp;sourceID=14","3.5")</f>
        <v>3.5</v>
      </c>
      <c r="G2509" s="4" t="str">
        <f>HYPERLINK("http://141.218.60.56/~jnz1568/getInfo.php?workbook=14_09.xlsx&amp;sheet=U0&amp;row=2509&amp;col=7&amp;number=0.0276&amp;sourceID=14","0.0276")</f>
        <v>0.0276</v>
      </c>
    </row>
    <row r="2510" spans="1:7">
      <c r="A2510" s="3"/>
      <c r="B2510" s="3"/>
      <c r="C2510" s="3"/>
      <c r="D2510" s="3"/>
      <c r="E2510" s="3">
        <v>7</v>
      </c>
      <c r="F2510" s="4" t="str">
        <f>HYPERLINK("http://141.218.60.56/~jnz1568/getInfo.php?workbook=14_09.xlsx&amp;sheet=U0&amp;row=2510&amp;col=6&amp;number=3.6&amp;sourceID=14","3.6")</f>
        <v>3.6</v>
      </c>
      <c r="G2510" s="4" t="str">
        <f>HYPERLINK("http://141.218.60.56/~jnz1568/getInfo.php?workbook=14_09.xlsx&amp;sheet=U0&amp;row=2510&amp;col=7&amp;number=0.0275&amp;sourceID=14","0.0275")</f>
        <v>0.0275</v>
      </c>
    </row>
    <row r="2511" spans="1:7">
      <c r="A2511" s="3"/>
      <c r="B2511" s="3"/>
      <c r="C2511" s="3"/>
      <c r="D2511" s="3"/>
      <c r="E2511" s="3">
        <v>8</v>
      </c>
      <c r="F2511" s="4" t="str">
        <f>HYPERLINK("http://141.218.60.56/~jnz1568/getInfo.php?workbook=14_09.xlsx&amp;sheet=U0&amp;row=2511&amp;col=6&amp;number=3.7&amp;sourceID=14","3.7")</f>
        <v>3.7</v>
      </c>
      <c r="G2511" s="4" t="str">
        <f>HYPERLINK("http://141.218.60.56/~jnz1568/getInfo.php?workbook=14_09.xlsx&amp;sheet=U0&amp;row=2511&amp;col=7&amp;number=0.0273&amp;sourceID=14","0.0273")</f>
        <v>0.0273</v>
      </c>
    </row>
    <row r="2512" spans="1:7">
      <c r="A2512" s="3"/>
      <c r="B2512" s="3"/>
      <c r="C2512" s="3"/>
      <c r="D2512" s="3"/>
      <c r="E2512" s="3">
        <v>9</v>
      </c>
      <c r="F2512" s="4" t="str">
        <f>HYPERLINK("http://141.218.60.56/~jnz1568/getInfo.php?workbook=14_09.xlsx&amp;sheet=U0&amp;row=2512&amp;col=6&amp;number=3.8&amp;sourceID=14","3.8")</f>
        <v>3.8</v>
      </c>
      <c r="G2512" s="4" t="str">
        <f>HYPERLINK("http://141.218.60.56/~jnz1568/getInfo.php?workbook=14_09.xlsx&amp;sheet=U0&amp;row=2512&amp;col=7&amp;number=0.0272&amp;sourceID=14","0.0272")</f>
        <v>0.0272</v>
      </c>
    </row>
    <row r="2513" spans="1:7">
      <c r="A2513" s="3"/>
      <c r="B2513" s="3"/>
      <c r="C2513" s="3"/>
      <c r="D2513" s="3"/>
      <c r="E2513" s="3">
        <v>10</v>
      </c>
      <c r="F2513" s="4" t="str">
        <f>HYPERLINK("http://141.218.60.56/~jnz1568/getInfo.php?workbook=14_09.xlsx&amp;sheet=U0&amp;row=2513&amp;col=6&amp;number=3.9&amp;sourceID=14","3.9")</f>
        <v>3.9</v>
      </c>
      <c r="G2513" s="4" t="str">
        <f>HYPERLINK("http://141.218.60.56/~jnz1568/getInfo.php?workbook=14_09.xlsx&amp;sheet=U0&amp;row=2513&amp;col=7&amp;number=0.027&amp;sourceID=14","0.027")</f>
        <v>0.027</v>
      </c>
    </row>
    <row r="2514" spans="1:7">
      <c r="A2514" s="3"/>
      <c r="B2514" s="3"/>
      <c r="C2514" s="3"/>
      <c r="D2514" s="3"/>
      <c r="E2514" s="3">
        <v>11</v>
      </c>
      <c r="F2514" s="4" t="str">
        <f>HYPERLINK("http://141.218.60.56/~jnz1568/getInfo.php?workbook=14_09.xlsx&amp;sheet=U0&amp;row=2514&amp;col=6&amp;number=4&amp;sourceID=14","4")</f>
        <v>4</v>
      </c>
      <c r="G2514" s="4" t="str">
        <f>HYPERLINK("http://141.218.60.56/~jnz1568/getInfo.php?workbook=14_09.xlsx&amp;sheet=U0&amp;row=2514&amp;col=7&amp;number=0.0267&amp;sourceID=14","0.0267")</f>
        <v>0.0267</v>
      </c>
    </row>
    <row r="2515" spans="1:7">
      <c r="A2515" s="3"/>
      <c r="B2515" s="3"/>
      <c r="C2515" s="3"/>
      <c r="D2515" s="3"/>
      <c r="E2515" s="3">
        <v>12</v>
      </c>
      <c r="F2515" s="4" t="str">
        <f>HYPERLINK("http://141.218.60.56/~jnz1568/getInfo.php?workbook=14_09.xlsx&amp;sheet=U0&amp;row=2515&amp;col=6&amp;number=4.1&amp;sourceID=14","4.1")</f>
        <v>4.1</v>
      </c>
      <c r="G2515" s="4" t="str">
        <f>HYPERLINK("http://141.218.60.56/~jnz1568/getInfo.php?workbook=14_09.xlsx&amp;sheet=U0&amp;row=2515&amp;col=7&amp;number=0.0263&amp;sourceID=14","0.0263")</f>
        <v>0.0263</v>
      </c>
    </row>
    <row r="2516" spans="1:7">
      <c r="A2516" s="3"/>
      <c r="B2516" s="3"/>
      <c r="C2516" s="3"/>
      <c r="D2516" s="3"/>
      <c r="E2516" s="3">
        <v>13</v>
      </c>
      <c r="F2516" s="4" t="str">
        <f>HYPERLINK("http://141.218.60.56/~jnz1568/getInfo.php?workbook=14_09.xlsx&amp;sheet=U0&amp;row=2516&amp;col=6&amp;number=4.2&amp;sourceID=14","4.2")</f>
        <v>4.2</v>
      </c>
      <c r="G2516" s="4" t="str">
        <f>HYPERLINK("http://141.218.60.56/~jnz1568/getInfo.php?workbook=14_09.xlsx&amp;sheet=U0&amp;row=2516&amp;col=7&amp;number=0.0259&amp;sourceID=14","0.0259")</f>
        <v>0.0259</v>
      </c>
    </row>
    <row r="2517" spans="1:7">
      <c r="A2517" s="3"/>
      <c r="B2517" s="3"/>
      <c r="C2517" s="3"/>
      <c r="D2517" s="3"/>
      <c r="E2517" s="3">
        <v>14</v>
      </c>
      <c r="F2517" s="4" t="str">
        <f>HYPERLINK("http://141.218.60.56/~jnz1568/getInfo.php?workbook=14_09.xlsx&amp;sheet=U0&amp;row=2517&amp;col=6&amp;number=4.3&amp;sourceID=14","4.3")</f>
        <v>4.3</v>
      </c>
      <c r="G2517" s="4" t="str">
        <f>HYPERLINK("http://141.218.60.56/~jnz1568/getInfo.php?workbook=14_09.xlsx&amp;sheet=U0&amp;row=2517&amp;col=7&amp;number=0.0254&amp;sourceID=14","0.0254")</f>
        <v>0.0254</v>
      </c>
    </row>
    <row r="2518" spans="1:7">
      <c r="A2518" s="3"/>
      <c r="B2518" s="3"/>
      <c r="C2518" s="3"/>
      <c r="D2518" s="3"/>
      <c r="E2518" s="3">
        <v>15</v>
      </c>
      <c r="F2518" s="4" t="str">
        <f>HYPERLINK("http://141.218.60.56/~jnz1568/getInfo.php?workbook=14_09.xlsx&amp;sheet=U0&amp;row=2518&amp;col=6&amp;number=4.4&amp;sourceID=14","4.4")</f>
        <v>4.4</v>
      </c>
      <c r="G2518" s="4" t="str">
        <f>HYPERLINK("http://141.218.60.56/~jnz1568/getInfo.php?workbook=14_09.xlsx&amp;sheet=U0&amp;row=2518&amp;col=7&amp;number=0.0248&amp;sourceID=14","0.0248")</f>
        <v>0.0248</v>
      </c>
    </row>
    <row r="2519" spans="1:7">
      <c r="A2519" s="3"/>
      <c r="B2519" s="3"/>
      <c r="C2519" s="3"/>
      <c r="D2519" s="3"/>
      <c r="E2519" s="3">
        <v>16</v>
      </c>
      <c r="F2519" s="4" t="str">
        <f>HYPERLINK("http://141.218.60.56/~jnz1568/getInfo.php?workbook=14_09.xlsx&amp;sheet=U0&amp;row=2519&amp;col=6&amp;number=4.5&amp;sourceID=14","4.5")</f>
        <v>4.5</v>
      </c>
      <c r="G2519" s="4" t="str">
        <f>HYPERLINK("http://141.218.60.56/~jnz1568/getInfo.php?workbook=14_09.xlsx&amp;sheet=U0&amp;row=2519&amp;col=7&amp;number=0.024&amp;sourceID=14","0.024")</f>
        <v>0.024</v>
      </c>
    </row>
    <row r="2520" spans="1:7">
      <c r="A2520" s="3"/>
      <c r="B2520" s="3"/>
      <c r="C2520" s="3"/>
      <c r="D2520" s="3"/>
      <c r="E2520" s="3">
        <v>17</v>
      </c>
      <c r="F2520" s="4" t="str">
        <f>HYPERLINK("http://141.218.60.56/~jnz1568/getInfo.php?workbook=14_09.xlsx&amp;sheet=U0&amp;row=2520&amp;col=6&amp;number=4.6&amp;sourceID=14","4.6")</f>
        <v>4.6</v>
      </c>
      <c r="G2520" s="4" t="str">
        <f>HYPERLINK("http://141.218.60.56/~jnz1568/getInfo.php?workbook=14_09.xlsx&amp;sheet=U0&amp;row=2520&amp;col=7&amp;number=0.0231&amp;sourceID=14","0.0231")</f>
        <v>0.0231</v>
      </c>
    </row>
    <row r="2521" spans="1:7">
      <c r="A2521" s="3"/>
      <c r="B2521" s="3"/>
      <c r="C2521" s="3"/>
      <c r="D2521" s="3"/>
      <c r="E2521" s="3">
        <v>18</v>
      </c>
      <c r="F2521" s="4" t="str">
        <f>HYPERLINK("http://141.218.60.56/~jnz1568/getInfo.php?workbook=14_09.xlsx&amp;sheet=U0&amp;row=2521&amp;col=6&amp;number=4.7&amp;sourceID=14","4.7")</f>
        <v>4.7</v>
      </c>
      <c r="G2521" s="4" t="str">
        <f>HYPERLINK("http://141.218.60.56/~jnz1568/getInfo.php?workbook=14_09.xlsx&amp;sheet=U0&amp;row=2521&amp;col=7&amp;number=0.022&amp;sourceID=14","0.022")</f>
        <v>0.022</v>
      </c>
    </row>
    <row r="2522" spans="1:7">
      <c r="A2522" s="3"/>
      <c r="B2522" s="3"/>
      <c r="C2522" s="3"/>
      <c r="D2522" s="3"/>
      <c r="E2522" s="3">
        <v>19</v>
      </c>
      <c r="F2522" s="4" t="str">
        <f>HYPERLINK("http://141.218.60.56/~jnz1568/getInfo.php?workbook=14_09.xlsx&amp;sheet=U0&amp;row=2522&amp;col=6&amp;number=4.8&amp;sourceID=14","4.8")</f>
        <v>4.8</v>
      </c>
      <c r="G2522" s="4" t="str">
        <f>HYPERLINK("http://141.218.60.56/~jnz1568/getInfo.php?workbook=14_09.xlsx&amp;sheet=U0&amp;row=2522&amp;col=7&amp;number=0.0209&amp;sourceID=14","0.0209")</f>
        <v>0.0209</v>
      </c>
    </row>
    <row r="2523" spans="1:7">
      <c r="A2523" s="3"/>
      <c r="B2523" s="3"/>
      <c r="C2523" s="3"/>
      <c r="D2523" s="3"/>
      <c r="E2523" s="3">
        <v>20</v>
      </c>
      <c r="F2523" s="4" t="str">
        <f>HYPERLINK("http://141.218.60.56/~jnz1568/getInfo.php?workbook=14_09.xlsx&amp;sheet=U0&amp;row=2523&amp;col=6&amp;number=4.9&amp;sourceID=14","4.9")</f>
        <v>4.9</v>
      </c>
      <c r="G2523" s="4" t="str">
        <f>HYPERLINK("http://141.218.60.56/~jnz1568/getInfo.php?workbook=14_09.xlsx&amp;sheet=U0&amp;row=2523&amp;col=7&amp;number=0.0197&amp;sourceID=14","0.0197")</f>
        <v>0.0197</v>
      </c>
    </row>
    <row r="2524" spans="1:7">
      <c r="A2524" s="3">
        <v>14</v>
      </c>
      <c r="B2524" s="3">
        <v>9</v>
      </c>
      <c r="C2524" s="3">
        <v>1</v>
      </c>
      <c r="D2524" s="3">
        <v>128</v>
      </c>
      <c r="E2524" s="3">
        <v>1</v>
      </c>
      <c r="F2524" s="4" t="str">
        <f>HYPERLINK("http://141.218.60.56/~jnz1568/getInfo.php?workbook=14_09.xlsx&amp;sheet=U0&amp;row=2524&amp;col=6&amp;number=3&amp;sourceID=14","3")</f>
        <v>3</v>
      </c>
      <c r="G2524" s="4" t="str">
        <f>HYPERLINK("http://141.218.60.56/~jnz1568/getInfo.php?workbook=14_09.xlsx&amp;sheet=U0&amp;row=2524&amp;col=7&amp;number=0.013&amp;sourceID=14","0.013")</f>
        <v>0.013</v>
      </c>
    </row>
    <row r="2525" spans="1:7">
      <c r="A2525" s="3"/>
      <c r="B2525" s="3"/>
      <c r="C2525" s="3"/>
      <c r="D2525" s="3"/>
      <c r="E2525" s="3">
        <v>2</v>
      </c>
      <c r="F2525" s="4" t="str">
        <f>HYPERLINK("http://141.218.60.56/~jnz1568/getInfo.php?workbook=14_09.xlsx&amp;sheet=U0&amp;row=2525&amp;col=6&amp;number=3.1&amp;sourceID=14","3.1")</f>
        <v>3.1</v>
      </c>
      <c r="G2525" s="4" t="str">
        <f>HYPERLINK("http://141.218.60.56/~jnz1568/getInfo.php?workbook=14_09.xlsx&amp;sheet=U0&amp;row=2525&amp;col=7&amp;number=0.013&amp;sourceID=14","0.013")</f>
        <v>0.013</v>
      </c>
    </row>
    <row r="2526" spans="1:7">
      <c r="A2526" s="3"/>
      <c r="B2526" s="3"/>
      <c r="C2526" s="3"/>
      <c r="D2526" s="3"/>
      <c r="E2526" s="3">
        <v>3</v>
      </c>
      <c r="F2526" s="4" t="str">
        <f>HYPERLINK("http://141.218.60.56/~jnz1568/getInfo.php?workbook=14_09.xlsx&amp;sheet=U0&amp;row=2526&amp;col=6&amp;number=3.2&amp;sourceID=14","3.2")</f>
        <v>3.2</v>
      </c>
      <c r="G2526" s="4" t="str">
        <f>HYPERLINK("http://141.218.60.56/~jnz1568/getInfo.php?workbook=14_09.xlsx&amp;sheet=U0&amp;row=2526&amp;col=7&amp;number=0.013&amp;sourceID=14","0.013")</f>
        <v>0.013</v>
      </c>
    </row>
    <row r="2527" spans="1:7">
      <c r="A2527" s="3"/>
      <c r="B2527" s="3"/>
      <c r="C2527" s="3"/>
      <c r="D2527" s="3"/>
      <c r="E2527" s="3">
        <v>4</v>
      </c>
      <c r="F2527" s="4" t="str">
        <f>HYPERLINK("http://141.218.60.56/~jnz1568/getInfo.php?workbook=14_09.xlsx&amp;sheet=U0&amp;row=2527&amp;col=6&amp;number=3.3&amp;sourceID=14","3.3")</f>
        <v>3.3</v>
      </c>
      <c r="G2527" s="4" t="str">
        <f>HYPERLINK("http://141.218.60.56/~jnz1568/getInfo.php?workbook=14_09.xlsx&amp;sheet=U0&amp;row=2527&amp;col=7&amp;number=0.013&amp;sourceID=14","0.013")</f>
        <v>0.013</v>
      </c>
    </row>
    <row r="2528" spans="1:7">
      <c r="A2528" s="3"/>
      <c r="B2528" s="3"/>
      <c r="C2528" s="3"/>
      <c r="D2528" s="3"/>
      <c r="E2528" s="3">
        <v>5</v>
      </c>
      <c r="F2528" s="4" t="str">
        <f>HYPERLINK("http://141.218.60.56/~jnz1568/getInfo.php?workbook=14_09.xlsx&amp;sheet=U0&amp;row=2528&amp;col=6&amp;number=3.4&amp;sourceID=14","3.4")</f>
        <v>3.4</v>
      </c>
      <c r="G2528" s="4" t="str">
        <f>HYPERLINK("http://141.218.60.56/~jnz1568/getInfo.php?workbook=14_09.xlsx&amp;sheet=U0&amp;row=2528&amp;col=7&amp;number=0.013&amp;sourceID=14","0.013")</f>
        <v>0.013</v>
      </c>
    </row>
    <row r="2529" spans="1:7">
      <c r="A2529" s="3"/>
      <c r="B2529" s="3"/>
      <c r="C2529" s="3"/>
      <c r="D2529" s="3"/>
      <c r="E2529" s="3">
        <v>6</v>
      </c>
      <c r="F2529" s="4" t="str">
        <f>HYPERLINK("http://141.218.60.56/~jnz1568/getInfo.php?workbook=14_09.xlsx&amp;sheet=U0&amp;row=2529&amp;col=6&amp;number=3.5&amp;sourceID=14","3.5")</f>
        <v>3.5</v>
      </c>
      <c r="G2529" s="4" t="str">
        <f>HYPERLINK("http://141.218.60.56/~jnz1568/getInfo.php?workbook=14_09.xlsx&amp;sheet=U0&amp;row=2529&amp;col=7&amp;number=0.0129&amp;sourceID=14","0.0129")</f>
        <v>0.0129</v>
      </c>
    </row>
    <row r="2530" spans="1:7">
      <c r="A2530" s="3"/>
      <c r="B2530" s="3"/>
      <c r="C2530" s="3"/>
      <c r="D2530" s="3"/>
      <c r="E2530" s="3">
        <v>7</v>
      </c>
      <c r="F2530" s="4" t="str">
        <f>HYPERLINK("http://141.218.60.56/~jnz1568/getInfo.php?workbook=14_09.xlsx&amp;sheet=U0&amp;row=2530&amp;col=6&amp;number=3.6&amp;sourceID=14","3.6")</f>
        <v>3.6</v>
      </c>
      <c r="G2530" s="4" t="str">
        <f>HYPERLINK("http://141.218.60.56/~jnz1568/getInfo.php?workbook=14_09.xlsx&amp;sheet=U0&amp;row=2530&amp;col=7&amp;number=0.0129&amp;sourceID=14","0.0129")</f>
        <v>0.0129</v>
      </c>
    </row>
    <row r="2531" spans="1:7">
      <c r="A2531" s="3"/>
      <c r="B2531" s="3"/>
      <c r="C2531" s="3"/>
      <c r="D2531" s="3"/>
      <c r="E2531" s="3">
        <v>8</v>
      </c>
      <c r="F2531" s="4" t="str">
        <f>HYPERLINK("http://141.218.60.56/~jnz1568/getInfo.php?workbook=14_09.xlsx&amp;sheet=U0&amp;row=2531&amp;col=6&amp;number=3.7&amp;sourceID=14","3.7")</f>
        <v>3.7</v>
      </c>
      <c r="G2531" s="4" t="str">
        <f>HYPERLINK("http://141.218.60.56/~jnz1568/getInfo.php?workbook=14_09.xlsx&amp;sheet=U0&amp;row=2531&amp;col=7&amp;number=0.0128&amp;sourceID=14","0.0128")</f>
        <v>0.0128</v>
      </c>
    </row>
    <row r="2532" spans="1:7">
      <c r="A2532" s="3"/>
      <c r="B2532" s="3"/>
      <c r="C2532" s="3"/>
      <c r="D2532" s="3"/>
      <c r="E2532" s="3">
        <v>9</v>
      </c>
      <c r="F2532" s="4" t="str">
        <f>HYPERLINK("http://141.218.60.56/~jnz1568/getInfo.php?workbook=14_09.xlsx&amp;sheet=U0&amp;row=2532&amp;col=6&amp;number=3.8&amp;sourceID=14","3.8")</f>
        <v>3.8</v>
      </c>
      <c r="G2532" s="4" t="str">
        <f>HYPERLINK("http://141.218.60.56/~jnz1568/getInfo.php?workbook=14_09.xlsx&amp;sheet=U0&amp;row=2532&amp;col=7&amp;number=0.0127&amp;sourceID=14","0.0127")</f>
        <v>0.0127</v>
      </c>
    </row>
    <row r="2533" spans="1:7">
      <c r="A2533" s="3"/>
      <c r="B2533" s="3"/>
      <c r="C2533" s="3"/>
      <c r="D2533" s="3"/>
      <c r="E2533" s="3">
        <v>10</v>
      </c>
      <c r="F2533" s="4" t="str">
        <f>HYPERLINK("http://141.218.60.56/~jnz1568/getInfo.php?workbook=14_09.xlsx&amp;sheet=U0&amp;row=2533&amp;col=6&amp;number=3.9&amp;sourceID=14","3.9")</f>
        <v>3.9</v>
      </c>
      <c r="G2533" s="4" t="str">
        <f>HYPERLINK("http://141.218.60.56/~jnz1568/getInfo.php?workbook=14_09.xlsx&amp;sheet=U0&amp;row=2533&amp;col=7&amp;number=0.0126&amp;sourceID=14","0.0126")</f>
        <v>0.0126</v>
      </c>
    </row>
    <row r="2534" spans="1:7">
      <c r="A2534" s="3"/>
      <c r="B2534" s="3"/>
      <c r="C2534" s="3"/>
      <c r="D2534" s="3"/>
      <c r="E2534" s="3">
        <v>11</v>
      </c>
      <c r="F2534" s="4" t="str">
        <f>HYPERLINK("http://141.218.60.56/~jnz1568/getInfo.php?workbook=14_09.xlsx&amp;sheet=U0&amp;row=2534&amp;col=6&amp;number=4&amp;sourceID=14","4")</f>
        <v>4</v>
      </c>
      <c r="G2534" s="4" t="str">
        <f>HYPERLINK("http://141.218.60.56/~jnz1568/getInfo.php?workbook=14_09.xlsx&amp;sheet=U0&amp;row=2534&amp;col=7&amp;number=0.0125&amp;sourceID=14","0.0125")</f>
        <v>0.0125</v>
      </c>
    </row>
    <row r="2535" spans="1:7">
      <c r="A2535" s="3"/>
      <c r="B2535" s="3"/>
      <c r="C2535" s="3"/>
      <c r="D2535" s="3"/>
      <c r="E2535" s="3">
        <v>12</v>
      </c>
      <c r="F2535" s="4" t="str">
        <f>HYPERLINK("http://141.218.60.56/~jnz1568/getInfo.php?workbook=14_09.xlsx&amp;sheet=U0&amp;row=2535&amp;col=6&amp;number=4.1&amp;sourceID=14","4.1")</f>
        <v>4.1</v>
      </c>
      <c r="G2535" s="4" t="str">
        <f>HYPERLINK("http://141.218.60.56/~jnz1568/getInfo.php?workbook=14_09.xlsx&amp;sheet=U0&amp;row=2535&amp;col=7&amp;number=0.0124&amp;sourceID=14","0.0124")</f>
        <v>0.0124</v>
      </c>
    </row>
    <row r="2536" spans="1:7">
      <c r="A2536" s="3"/>
      <c r="B2536" s="3"/>
      <c r="C2536" s="3"/>
      <c r="D2536" s="3"/>
      <c r="E2536" s="3">
        <v>13</v>
      </c>
      <c r="F2536" s="4" t="str">
        <f>HYPERLINK("http://141.218.60.56/~jnz1568/getInfo.php?workbook=14_09.xlsx&amp;sheet=U0&amp;row=2536&amp;col=6&amp;number=4.2&amp;sourceID=14","4.2")</f>
        <v>4.2</v>
      </c>
      <c r="G2536" s="4" t="str">
        <f>HYPERLINK("http://141.218.60.56/~jnz1568/getInfo.php?workbook=14_09.xlsx&amp;sheet=U0&amp;row=2536&amp;col=7&amp;number=0.0122&amp;sourceID=14","0.0122")</f>
        <v>0.0122</v>
      </c>
    </row>
    <row r="2537" spans="1:7">
      <c r="A2537" s="3"/>
      <c r="B2537" s="3"/>
      <c r="C2537" s="3"/>
      <c r="D2537" s="3"/>
      <c r="E2537" s="3">
        <v>14</v>
      </c>
      <c r="F2537" s="4" t="str">
        <f>HYPERLINK("http://141.218.60.56/~jnz1568/getInfo.php?workbook=14_09.xlsx&amp;sheet=U0&amp;row=2537&amp;col=6&amp;number=4.3&amp;sourceID=14","4.3")</f>
        <v>4.3</v>
      </c>
      <c r="G2537" s="4" t="str">
        <f>HYPERLINK("http://141.218.60.56/~jnz1568/getInfo.php?workbook=14_09.xlsx&amp;sheet=U0&amp;row=2537&amp;col=7&amp;number=0.012&amp;sourceID=14","0.012")</f>
        <v>0.012</v>
      </c>
    </row>
    <row r="2538" spans="1:7">
      <c r="A2538" s="3"/>
      <c r="B2538" s="3"/>
      <c r="C2538" s="3"/>
      <c r="D2538" s="3"/>
      <c r="E2538" s="3">
        <v>15</v>
      </c>
      <c r="F2538" s="4" t="str">
        <f>HYPERLINK("http://141.218.60.56/~jnz1568/getInfo.php?workbook=14_09.xlsx&amp;sheet=U0&amp;row=2538&amp;col=6&amp;number=4.4&amp;sourceID=14","4.4")</f>
        <v>4.4</v>
      </c>
      <c r="G2538" s="4" t="str">
        <f>HYPERLINK("http://141.218.60.56/~jnz1568/getInfo.php?workbook=14_09.xlsx&amp;sheet=U0&amp;row=2538&amp;col=7&amp;number=0.0117&amp;sourceID=14","0.0117")</f>
        <v>0.0117</v>
      </c>
    </row>
    <row r="2539" spans="1:7">
      <c r="A2539" s="3"/>
      <c r="B2539" s="3"/>
      <c r="C2539" s="3"/>
      <c r="D2539" s="3"/>
      <c r="E2539" s="3">
        <v>16</v>
      </c>
      <c r="F2539" s="4" t="str">
        <f>HYPERLINK("http://141.218.60.56/~jnz1568/getInfo.php?workbook=14_09.xlsx&amp;sheet=U0&amp;row=2539&amp;col=6&amp;number=4.5&amp;sourceID=14","4.5")</f>
        <v>4.5</v>
      </c>
      <c r="G2539" s="4" t="str">
        <f>HYPERLINK("http://141.218.60.56/~jnz1568/getInfo.php?workbook=14_09.xlsx&amp;sheet=U0&amp;row=2539&amp;col=7&amp;number=0.0114&amp;sourceID=14","0.0114")</f>
        <v>0.0114</v>
      </c>
    </row>
    <row r="2540" spans="1:7">
      <c r="A2540" s="3"/>
      <c r="B2540" s="3"/>
      <c r="C2540" s="3"/>
      <c r="D2540" s="3"/>
      <c r="E2540" s="3">
        <v>17</v>
      </c>
      <c r="F2540" s="4" t="str">
        <f>HYPERLINK("http://141.218.60.56/~jnz1568/getInfo.php?workbook=14_09.xlsx&amp;sheet=U0&amp;row=2540&amp;col=6&amp;number=4.6&amp;sourceID=14","4.6")</f>
        <v>4.6</v>
      </c>
      <c r="G2540" s="4" t="str">
        <f>HYPERLINK("http://141.218.60.56/~jnz1568/getInfo.php?workbook=14_09.xlsx&amp;sheet=U0&amp;row=2540&amp;col=7&amp;number=0.011&amp;sourceID=14","0.011")</f>
        <v>0.011</v>
      </c>
    </row>
    <row r="2541" spans="1:7">
      <c r="A2541" s="3"/>
      <c r="B2541" s="3"/>
      <c r="C2541" s="3"/>
      <c r="D2541" s="3"/>
      <c r="E2541" s="3">
        <v>18</v>
      </c>
      <c r="F2541" s="4" t="str">
        <f>HYPERLINK("http://141.218.60.56/~jnz1568/getInfo.php?workbook=14_09.xlsx&amp;sheet=U0&amp;row=2541&amp;col=6&amp;number=4.7&amp;sourceID=14","4.7")</f>
        <v>4.7</v>
      </c>
      <c r="G2541" s="4" t="str">
        <f>HYPERLINK("http://141.218.60.56/~jnz1568/getInfo.php?workbook=14_09.xlsx&amp;sheet=U0&amp;row=2541&amp;col=7&amp;number=0.0106&amp;sourceID=14","0.0106")</f>
        <v>0.0106</v>
      </c>
    </row>
    <row r="2542" spans="1:7">
      <c r="A2542" s="3"/>
      <c r="B2542" s="3"/>
      <c r="C2542" s="3"/>
      <c r="D2542" s="3"/>
      <c r="E2542" s="3">
        <v>19</v>
      </c>
      <c r="F2542" s="4" t="str">
        <f>HYPERLINK("http://141.218.60.56/~jnz1568/getInfo.php?workbook=14_09.xlsx&amp;sheet=U0&amp;row=2542&amp;col=6&amp;number=4.8&amp;sourceID=14","4.8")</f>
        <v>4.8</v>
      </c>
      <c r="G2542" s="4" t="str">
        <f>HYPERLINK("http://141.218.60.56/~jnz1568/getInfo.php?workbook=14_09.xlsx&amp;sheet=U0&amp;row=2542&amp;col=7&amp;number=0.0101&amp;sourceID=14","0.0101")</f>
        <v>0.0101</v>
      </c>
    </row>
    <row r="2543" spans="1:7">
      <c r="A2543" s="3"/>
      <c r="B2543" s="3"/>
      <c r="C2543" s="3"/>
      <c r="D2543" s="3"/>
      <c r="E2543" s="3">
        <v>20</v>
      </c>
      <c r="F2543" s="4" t="str">
        <f>HYPERLINK("http://141.218.60.56/~jnz1568/getInfo.php?workbook=14_09.xlsx&amp;sheet=U0&amp;row=2543&amp;col=6&amp;number=4.9&amp;sourceID=14","4.9")</f>
        <v>4.9</v>
      </c>
      <c r="G2543" s="4" t="str">
        <f>HYPERLINK("http://141.218.60.56/~jnz1568/getInfo.php?workbook=14_09.xlsx&amp;sheet=U0&amp;row=2543&amp;col=7&amp;number=0.00967&amp;sourceID=14","0.00967")</f>
        <v>0.00967</v>
      </c>
    </row>
    <row r="2544" spans="1:7">
      <c r="A2544" s="3">
        <v>14</v>
      </c>
      <c r="B2544" s="3">
        <v>9</v>
      </c>
      <c r="C2544" s="3">
        <v>1</v>
      </c>
      <c r="D2544" s="3">
        <v>129</v>
      </c>
      <c r="E2544" s="3">
        <v>1</v>
      </c>
      <c r="F2544" s="4" t="str">
        <f>HYPERLINK("http://141.218.60.56/~jnz1568/getInfo.php?workbook=14_09.xlsx&amp;sheet=U0&amp;row=2544&amp;col=6&amp;number=3&amp;sourceID=14","3")</f>
        <v>3</v>
      </c>
      <c r="G2544" s="4" t="str">
        <f>HYPERLINK("http://141.218.60.56/~jnz1568/getInfo.php?workbook=14_09.xlsx&amp;sheet=U0&amp;row=2544&amp;col=7&amp;number=0.0188&amp;sourceID=14","0.0188")</f>
        <v>0.0188</v>
      </c>
    </row>
    <row r="2545" spans="1:7">
      <c r="A2545" s="3"/>
      <c r="B2545" s="3"/>
      <c r="C2545" s="3"/>
      <c r="D2545" s="3"/>
      <c r="E2545" s="3">
        <v>2</v>
      </c>
      <c r="F2545" s="4" t="str">
        <f>HYPERLINK("http://141.218.60.56/~jnz1568/getInfo.php?workbook=14_09.xlsx&amp;sheet=U0&amp;row=2545&amp;col=6&amp;number=3.1&amp;sourceID=14","3.1")</f>
        <v>3.1</v>
      </c>
      <c r="G2545" s="4" t="str">
        <f>HYPERLINK("http://141.218.60.56/~jnz1568/getInfo.php?workbook=14_09.xlsx&amp;sheet=U0&amp;row=2545&amp;col=7&amp;number=0.0188&amp;sourceID=14","0.0188")</f>
        <v>0.0188</v>
      </c>
    </row>
    <row r="2546" spans="1:7">
      <c r="A2546" s="3"/>
      <c r="B2546" s="3"/>
      <c r="C2546" s="3"/>
      <c r="D2546" s="3"/>
      <c r="E2546" s="3">
        <v>3</v>
      </c>
      <c r="F2546" s="4" t="str">
        <f>HYPERLINK("http://141.218.60.56/~jnz1568/getInfo.php?workbook=14_09.xlsx&amp;sheet=U0&amp;row=2546&amp;col=6&amp;number=3.2&amp;sourceID=14","3.2")</f>
        <v>3.2</v>
      </c>
      <c r="G2546" s="4" t="str">
        <f>HYPERLINK("http://141.218.60.56/~jnz1568/getInfo.php?workbook=14_09.xlsx&amp;sheet=U0&amp;row=2546&amp;col=7&amp;number=0.0188&amp;sourceID=14","0.0188")</f>
        <v>0.0188</v>
      </c>
    </row>
    <row r="2547" spans="1:7">
      <c r="A2547" s="3"/>
      <c r="B2547" s="3"/>
      <c r="C2547" s="3"/>
      <c r="D2547" s="3"/>
      <c r="E2547" s="3">
        <v>4</v>
      </c>
      <c r="F2547" s="4" t="str">
        <f>HYPERLINK("http://141.218.60.56/~jnz1568/getInfo.php?workbook=14_09.xlsx&amp;sheet=U0&amp;row=2547&amp;col=6&amp;number=3.3&amp;sourceID=14","3.3")</f>
        <v>3.3</v>
      </c>
      <c r="G2547" s="4" t="str">
        <f>HYPERLINK("http://141.218.60.56/~jnz1568/getInfo.php?workbook=14_09.xlsx&amp;sheet=U0&amp;row=2547&amp;col=7&amp;number=0.0188&amp;sourceID=14","0.0188")</f>
        <v>0.0188</v>
      </c>
    </row>
    <row r="2548" spans="1:7">
      <c r="A2548" s="3"/>
      <c r="B2548" s="3"/>
      <c r="C2548" s="3"/>
      <c r="D2548" s="3"/>
      <c r="E2548" s="3">
        <v>5</v>
      </c>
      <c r="F2548" s="4" t="str">
        <f>HYPERLINK("http://141.218.60.56/~jnz1568/getInfo.php?workbook=14_09.xlsx&amp;sheet=U0&amp;row=2548&amp;col=6&amp;number=3.4&amp;sourceID=14","3.4")</f>
        <v>3.4</v>
      </c>
      <c r="G2548" s="4" t="str">
        <f>HYPERLINK("http://141.218.60.56/~jnz1568/getInfo.php?workbook=14_09.xlsx&amp;sheet=U0&amp;row=2548&amp;col=7&amp;number=0.0187&amp;sourceID=14","0.0187")</f>
        <v>0.0187</v>
      </c>
    </row>
    <row r="2549" spans="1:7">
      <c r="A2549" s="3"/>
      <c r="B2549" s="3"/>
      <c r="C2549" s="3"/>
      <c r="D2549" s="3"/>
      <c r="E2549" s="3">
        <v>6</v>
      </c>
      <c r="F2549" s="4" t="str">
        <f>HYPERLINK("http://141.218.60.56/~jnz1568/getInfo.php?workbook=14_09.xlsx&amp;sheet=U0&amp;row=2549&amp;col=6&amp;number=3.5&amp;sourceID=14","3.5")</f>
        <v>3.5</v>
      </c>
      <c r="G2549" s="4" t="str">
        <f>HYPERLINK("http://141.218.60.56/~jnz1568/getInfo.php?workbook=14_09.xlsx&amp;sheet=U0&amp;row=2549&amp;col=7&amp;number=0.0187&amp;sourceID=14","0.0187")</f>
        <v>0.0187</v>
      </c>
    </row>
    <row r="2550" spans="1:7">
      <c r="A2550" s="3"/>
      <c r="B2550" s="3"/>
      <c r="C2550" s="3"/>
      <c r="D2550" s="3"/>
      <c r="E2550" s="3">
        <v>7</v>
      </c>
      <c r="F2550" s="4" t="str">
        <f>HYPERLINK("http://141.218.60.56/~jnz1568/getInfo.php?workbook=14_09.xlsx&amp;sheet=U0&amp;row=2550&amp;col=6&amp;number=3.6&amp;sourceID=14","3.6")</f>
        <v>3.6</v>
      </c>
      <c r="G2550" s="4" t="str">
        <f>HYPERLINK("http://141.218.60.56/~jnz1568/getInfo.php?workbook=14_09.xlsx&amp;sheet=U0&amp;row=2550&amp;col=7&amp;number=0.0187&amp;sourceID=14","0.0187")</f>
        <v>0.0187</v>
      </c>
    </row>
    <row r="2551" spans="1:7">
      <c r="A2551" s="3"/>
      <c r="B2551" s="3"/>
      <c r="C2551" s="3"/>
      <c r="D2551" s="3"/>
      <c r="E2551" s="3">
        <v>8</v>
      </c>
      <c r="F2551" s="4" t="str">
        <f>HYPERLINK("http://141.218.60.56/~jnz1568/getInfo.php?workbook=14_09.xlsx&amp;sheet=U0&amp;row=2551&amp;col=6&amp;number=3.7&amp;sourceID=14","3.7")</f>
        <v>3.7</v>
      </c>
      <c r="G2551" s="4" t="str">
        <f>HYPERLINK("http://141.218.60.56/~jnz1568/getInfo.php?workbook=14_09.xlsx&amp;sheet=U0&amp;row=2551&amp;col=7&amp;number=0.0186&amp;sourceID=14","0.0186")</f>
        <v>0.0186</v>
      </c>
    </row>
    <row r="2552" spans="1:7">
      <c r="A2552" s="3"/>
      <c r="B2552" s="3"/>
      <c r="C2552" s="3"/>
      <c r="D2552" s="3"/>
      <c r="E2552" s="3">
        <v>9</v>
      </c>
      <c r="F2552" s="4" t="str">
        <f>HYPERLINK("http://141.218.60.56/~jnz1568/getInfo.php?workbook=14_09.xlsx&amp;sheet=U0&amp;row=2552&amp;col=6&amp;number=3.8&amp;sourceID=14","3.8")</f>
        <v>3.8</v>
      </c>
      <c r="G2552" s="4" t="str">
        <f>HYPERLINK("http://141.218.60.56/~jnz1568/getInfo.php?workbook=14_09.xlsx&amp;sheet=U0&amp;row=2552&amp;col=7&amp;number=0.0186&amp;sourceID=14","0.0186")</f>
        <v>0.0186</v>
      </c>
    </row>
    <row r="2553" spans="1:7">
      <c r="A2553" s="3"/>
      <c r="B2553" s="3"/>
      <c r="C2553" s="3"/>
      <c r="D2553" s="3"/>
      <c r="E2553" s="3">
        <v>10</v>
      </c>
      <c r="F2553" s="4" t="str">
        <f>HYPERLINK("http://141.218.60.56/~jnz1568/getInfo.php?workbook=14_09.xlsx&amp;sheet=U0&amp;row=2553&amp;col=6&amp;number=3.9&amp;sourceID=14","3.9")</f>
        <v>3.9</v>
      </c>
      <c r="G2553" s="4" t="str">
        <f>HYPERLINK("http://141.218.60.56/~jnz1568/getInfo.php?workbook=14_09.xlsx&amp;sheet=U0&amp;row=2553&amp;col=7&amp;number=0.0185&amp;sourceID=14","0.0185")</f>
        <v>0.0185</v>
      </c>
    </row>
    <row r="2554" spans="1:7">
      <c r="A2554" s="3"/>
      <c r="B2554" s="3"/>
      <c r="C2554" s="3"/>
      <c r="D2554" s="3"/>
      <c r="E2554" s="3">
        <v>11</v>
      </c>
      <c r="F2554" s="4" t="str">
        <f>HYPERLINK("http://141.218.60.56/~jnz1568/getInfo.php?workbook=14_09.xlsx&amp;sheet=U0&amp;row=2554&amp;col=6&amp;number=4&amp;sourceID=14","4")</f>
        <v>4</v>
      </c>
      <c r="G2554" s="4" t="str">
        <f>HYPERLINK("http://141.218.60.56/~jnz1568/getInfo.php?workbook=14_09.xlsx&amp;sheet=U0&amp;row=2554&amp;col=7&amp;number=0.0184&amp;sourceID=14","0.0184")</f>
        <v>0.0184</v>
      </c>
    </row>
    <row r="2555" spans="1:7">
      <c r="A2555" s="3"/>
      <c r="B2555" s="3"/>
      <c r="C2555" s="3"/>
      <c r="D2555" s="3"/>
      <c r="E2555" s="3">
        <v>12</v>
      </c>
      <c r="F2555" s="4" t="str">
        <f>HYPERLINK("http://141.218.60.56/~jnz1568/getInfo.php?workbook=14_09.xlsx&amp;sheet=U0&amp;row=2555&amp;col=6&amp;number=4.1&amp;sourceID=14","4.1")</f>
        <v>4.1</v>
      </c>
      <c r="G2555" s="4" t="str">
        <f>HYPERLINK("http://141.218.60.56/~jnz1568/getInfo.php?workbook=14_09.xlsx&amp;sheet=U0&amp;row=2555&amp;col=7&amp;number=0.0183&amp;sourceID=14","0.0183")</f>
        <v>0.0183</v>
      </c>
    </row>
    <row r="2556" spans="1:7">
      <c r="A2556" s="3"/>
      <c r="B2556" s="3"/>
      <c r="C2556" s="3"/>
      <c r="D2556" s="3"/>
      <c r="E2556" s="3">
        <v>13</v>
      </c>
      <c r="F2556" s="4" t="str">
        <f>HYPERLINK("http://141.218.60.56/~jnz1568/getInfo.php?workbook=14_09.xlsx&amp;sheet=U0&amp;row=2556&amp;col=6&amp;number=4.2&amp;sourceID=14","4.2")</f>
        <v>4.2</v>
      </c>
      <c r="G2556" s="4" t="str">
        <f>HYPERLINK("http://141.218.60.56/~jnz1568/getInfo.php?workbook=14_09.xlsx&amp;sheet=U0&amp;row=2556&amp;col=7&amp;number=0.0181&amp;sourceID=14","0.0181")</f>
        <v>0.0181</v>
      </c>
    </row>
    <row r="2557" spans="1:7">
      <c r="A2557" s="3"/>
      <c r="B2557" s="3"/>
      <c r="C2557" s="3"/>
      <c r="D2557" s="3"/>
      <c r="E2557" s="3">
        <v>14</v>
      </c>
      <c r="F2557" s="4" t="str">
        <f>HYPERLINK("http://141.218.60.56/~jnz1568/getInfo.php?workbook=14_09.xlsx&amp;sheet=U0&amp;row=2557&amp;col=6&amp;number=4.3&amp;sourceID=14","4.3")</f>
        <v>4.3</v>
      </c>
      <c r="G2557" s="4" t="str">
        <f>HYPERLINK("http://141.218.60.56/~jnz1568/getInfo.php?workbook=14_09.xlsx&amp;sheet=U0&amp;row=2557&amp;col=7&amp;number=0.0179&amp;sourceID=14","0.0179")</f>
        <v>0.0179</v>
      </c>
    </row>
    <row r="2558" spans="1:7">
      <c r="A2558" s="3"/>
      <c r="B2558" s="3"/>
      <c r="C2558" s="3"/>
      <c r="D2558" s="3"/>
      <c r="E2558" s="3">
        <v>15</v>
      </c>
      <c r="F2558" s="4" t="str">
        <f>HYPERLINK("http://141.218.60.56/~jnz1568/getInfo.php?workbook=14_09.xlsx&amp;sheet=U0&amp;row=2558&amp;col=6&amp;number=4.4&amp;sourceID=14","4.4")</f>
        <v>4.4</v>
      </c>
      <c r="G2558" s="4" t="str">
        <f>HYPERLINK("http://141.218.60.56/~jnz1568/getInfo.php?workbook=14_09.xlsx&amp;sheet=U0&amp;row=2558&amp;col=7&amp;number=0.0177&amp;sourceID=14","0.0177")</f>
        <v>0.0177</v>
      </c>
    </row>
    <row r="2559" spans="1:7">
      <c r="A2559" s="3"/>
      <c r="B2559" s="3"/>
      <c r="C2559" s="3"/>
      <c r="D2559" s="3"/>
      <c r="E2559" s="3">
        <v>16</v>
      </c>
      <c r="F2559" s="4" t="str">
        <f>HYPERLINK("http://141.218.60.56/~jnz1568/getInfo.php?workbook=14_09.xlsx&amp;sheet=U0&amp;row=2559&amp;col=6&amp;number=4.5&amp;sourceID=14","4.5")</f>
        <v>4.5</v>
      </c>
      <c r="G2559" s="4" t="str">
        <f>HYPERLINK("http://141.218.60.56/~jnz1568/getInfo.php?workbook=14_09.xlsx&amp;sheet=U0&amp;row=2559&amp;col=7&amp;number=0.0174&amp;sourceID=14","0.0174")</f>
        <v>0.0174</v>
      </c>
    </row>
    <row r="2560" spans="1:7">
      <c r="A2560" s="3"/>
      <c r="B2560" s="3"/>
      <c r="C2560" s="3"/>
      <c r="D2560" s="3"/>
      <c r="E2560" s="3">
        <v>17</v>
      </c>
      <c r="F2560" s="4" t="str">
        <f>HYPERLINK("http://141.218.60.56/~jnz1568/getInfo.php?workbook=14_09.xlsx&amp;sheet=U0&amp;row=2560&amp;col=6&amp;number=4.6&amp;sourceID=14","4.6")</f>
        <v>4.6</v>
      </c>
      <c r="G2560" s="4" t="str">
        <f>HYPERLINK("http://141.218.60.56/~jnz1568/getInfo.php?workbook=14_09.xlsx&amp;sheet=U0&amp;row=2560&amp;col=7&amp;number=0.0171&amp;sourceID=14","0.0171")</f>
        <v>0.0171</v>
      </c>
    </row>
    <row r="2561" spans="1:7">
      <c r="A2561" s="3"/>
      <c r="B2561" s="3"/>
      <c r="C2561" s="3"/>
      <c r="D2561" s="3"/>
      <c r="E2561" s="3">
        <v>18</v>
      </c>
      <c r="F2561" s="4" t="str">
        <f>HYPERLINK("http://141.218.60.56/~jnz1568/getInfo.php?workbook=14_09.xlsx&amp;sheet=U0&amp;row=2561&amp;col=6&amp;number=4.7&amp;sourceID=14","4.7")</f>
        <v>4.7</v>
      </c>
      <c r="G2561" s="4" t="str">
        <f>HYPERLINK("http://141.218.60.56/~jnz1568/getInfo.php?workbook=14_09.xlsx&amp;sheet=U0&amp;row=2561&amp;col=7&amp;number=0.0167&amp;sourceID=14","0.0167")</f>
        <v>0.0167</v>
      </c>
    </row>
    <row r="2562" spans="1:7">
      <c r="A2562" s="3"/>
      <c r="B2562" s="3"/>
      <c r="C2562" s="3"/>
      <c r="D2562" s="3"/>
      <c r="E2562" s="3">
        <v>19</v>
      </c>
      <c r="F2562" s="4" t="str">
        <f>HYPERLINK("http://141.218.60.56/~jnz1568/getInfo.php?workbook=14_09.xlsx&amp;sheet=U0&amp;row=2562&amp;col=6&amp;number=4.8&amp;sourceID=14","4.8")</f>
        <v>4.8</v>
      </c>
      <c r="G2562" s="4" t="str">
        <f>HYPERLINK("http://141.218.60.56/~jnz1568/getInfo.php?workbook=14_09.xlsx&amp;sheet=U0&amp;row=2562&amp;col=7&amp;number=0.0162&amp;sourceID=14","0.0162")</f>
        <v>0.0162</v>
      </c>
    </row>
    <row r="2563" spans="1:7">
      <c r="A2563" s="3"/>
      <c r="B2563" s="3"/>
      <c r="C2563" s="3"/>
      <c r="D2563" s="3"/>
      <c r="E2563" s="3">
        <v>20</v>
      </c>
      <c r="F2563" s="4" t="str">
        <f>HYPERLINK("http://141.218.60.56/~jnz1568/getInfo.php?workbook=14_09.xlsx&amp;sheet=U0&amp;row=2563&amp;col=6&amp;number=4.9&amp;sourceID=14","4.9")</f>
        <v>4.9</v>
      </c>
      <c r="G2563" s="4" t="str">
        <f>HYPERLINK("http://141.218.60.56/~jnz1568/getInfo.php?workbook=14_09.xlsx&amp;sheet=U0&amp;row=2563&amp;col=7&amp;number=0.0158&amp;sourceID=14","0.0158")</f>
        <v>0.0158</v>
      </c>
    </row>
    <row r="2564" spans="1:7">
      <c r="A2564" s="3">
        <v>14</v>
      </c>
      <c r="B2564" s="3">
        <v>9</v>
      </c>
      <c r="C2564" s="3">
        <v>1</v>
      </c>
      <c r="D2564" s="3">
        <v>130</v>
      </c>
      <c r="E2564" s="3">
        <v>1</v>
      </c>
      <c r="F2564" s="4" t="str">
        <f>HYPERLINK("http://141.218.60.56/~jnz1568/getInfo.php?workbook=14_09.xlsx&amp;sheet=U0&amp;row=2564&amp;col=6&amp;number=3&amp;sourceID=14","3")</f>
        <v>3</v>
      </c>
      <c r="G2564" s="4" t="str">
        <f>HYPERLINK("http://141.218.60.56/~jnz1568/getInfo.php?workbook=14_09.xlsx&amp;sheet=U0&amp;row=2564&amp;col=7&amp;number=0.021&amp;sourceID=14","0.021")</f>
        <v>0.021</v>
      </c>
    </row>
    <row r="2565" spans="1:7">
      <c r="A2565" s="3"/>
      <c r="B2565" s="3"/>
      <c r="C2565" s="3"/>
      <c r="D2565" s="3"/>
      <c r="E2565" s="3">
        <v>2</v>
      </c>
      <c r="F2565" s="4" t="str">
        <f>HYPERLINK("http://141.218.60.56/~jnz1568/getInfo.php?workbook=14_09.xlsx&amp;sheet=U0&amp;row=2565&amp;col=6&amp;number=3.1&amp;sourceID=14","3.1")</f>
        <v>3.1</v>
      </c>
      <c r="G2565" s="4" t="str">
        <f>HYPERLINK("http://141.218.60.56/~jnz1568/getInfo.php?workbook=14_09.xlsx&amp;sheet=U0&amp;row=2565&amp;col=7&amp;number=0.021&amp;sourceID=14","0.021")</f>
        <v>0.021</v>
      </c>
    </row>
    <row r="2566" spans="1:7">
      <c r="A2566" s="3"/>
      <c r="B2566" s="3"/>
      <c r="C2566" s="3"/>
      <c r="D2566" s="3"/>
      <c r="E2566" s="3">
        <v>3</v>
      </c>
      <c r="F2566" s="4" t="str">
        <f>HYPERLINK("http://141.218.60.56/~jnz1568/getInfo.php?workbook=14_09.xlsx&amp;sheet=U0&amp;row=2566&amp;col=6&amp;number=3.2&amp;sourceID=14","3.2")</f>
        <v>3.2</v>
      </c>
      <c r="G2566" s="4" t="str">
        <f>HYPERLINK("http://141.218.60.56/~jnz1568/getInfo.php?workbook=14_09.xlsx&amp;sheet=U0&amp;row=2566&amp;col=7&amp;number=0.0209&amp;sourceID=14","0.0209")</f>
        <v>0.0209</v>
      </c>
    </row>
    <row r="2567" spans="1:7">
      <c r="A2567" s="3"/>
      <c r="B2567" s="3"/>
      <c r="C2567" s="3"/>
      <c r="D2567" s="3"/>
      <c r="E2567" s="3">
        <v>4</v>
      </c>
      <c r="F2567" s="4" t="str">
        <f>HYPERLINK("http://141.218.60.56/~jnz1568/getInfo.php?workbook=14_09.xlsx&amp;sheet=U0&amp;row=2567&amp;col=6&amp;number=3.3&amp;sourceID=14","3.3")</f>
        <v>3.3</v>
      </c>
      <c r="G2567" s="4" t="str">
        <f>HYPERLINK("http://141.218.60.56/~jnz1568/getInfo.php?workbook=14_09.xlsx&amp;sheet=U0&amp;row=2567&amp;col=7&amp;number=0.0209&amp;sourceID=14","0.0209")</f>
        <v>0.0209</v>
      </c>
    </row>
    <row r="2568" spans="1:7">
      <c r="A2568" s="3"/>
      <c r="B2568" s="3"/>
      <c r="C2568" s="3"/>
      <c r="D2568" s="3"/>
      <c r="E2568" s="3">
        <v>5</v>
      </c>
      <c r="F2568" s="4" t="str">
        <f>HYPERLINK("http://141.218.60.56/~jnz1568/getInfo.php?workbook=14_09.xlsx&amp;sheet=U0&amp;row=2568&amp;col=6&amp;number=3.4&amp;sourceID=14","3.4")</f>
        <v>3.4</v>
      </c>
      <c r="G2568" s="4" t="str">
        <f>HYPERLINK("http://141.218.60.56/~jnz1568/getInfo.php?workbook=14_09.xlsx&amp;sheet=U0&amp;row=2568&amp;col=7&amp;number=0.0208&amp;sourceID=14","0.0208")</f>
        <v>0.0208</v>
      </c>
    </row>
    <row r="2569" spans="1:7">
      <c r="A2569" s="3"/>
      <c r="B2569" s="3"/>
      <c r="C2569" s="3"/>
      <c r="D2569" s="3"/>
      <c r="E2569" s="3">
        <v>6</v>
      </c>
      <c r="F2569" s="4" t="str">
        <f>HYPERLINK("http://141.218.60.56/~jnz1568/getInfo.php?workbook=14_09.xlsx&amp;sheet=U0&amp;row=2569&amp;col=6&amp;number=3.5&amp;sourceID=14","3.5")</f>
        <v>3.5</v>
      </c>
      <c r="G2569" s="4" t="str">
        <f>HYPERLINK("http://141.218.60.56/~jnz1568/getInfo.php?workbook=14_09.xlsx&amp;sheet=U0&amp;row=2569&amp;col=7&amp;number=0.0208&amp;sourceID=14","0.0208")</f>
        <v>0.0208</v>
      </c>
    </row>
    <row r="2570" spans="1:7">
      <c r="A2570" s="3"/>
      <c r="B2570" s="3"/>
      <c r="C2570" s="3"/>
      <c r="D2570" s="3"/>
      <c r="E2570" s="3">
        <v>7</v>
      </c>
      <c r="F2570" s="4" t="str">
        <f>HYPERLINK("http://141.218.60.56/~jnz1568/getInfo.php?workbook=14_09.xlsx&amp;sheet=U0&amp;row=2570&amp;col=6&amp;number=3.6&amp;sourceID=14","3.6")</f>
        <v>3.6</v>
      </c>
      <c r="G2570" s="4" t="str">
        <f>HYPERLINK("http://141.218.60.56/~jnz1568/getInfo.php?workbook=14_09.xlsx&amp;sheet=U0&amp;row=2570&amp;col=7&amp;number=0.0207&amp;sourceID=14","0.0207")</f>
        <v>0.0207</v>
      </c>
    </row>
    <row r="2571" spans="1:7">
      <c r="A2571" s="3"/>
      <c r="B2571" s="3"/>
      <c r="C2571" s="3"/>
      <c r="D2571" s="3"/>
      <c r="E2571" s="3">
        <v>8</v>
      </c>
      <c r="F2571" s="4" t="str">
        <f>HYPERLINK("http://141.218.60.56/~jnz1568/getInfo.php?workbook=14_09.xlsx&amp;sheet=U0&amp;row=2571&amp;col=6&amp;number=3.7&amp;sourceID=14","3.7")</f>
        <v>3.7</v>
      </c>
      <c r="G2571" s="4" t="str">
        <f>HYPERLINK("http://141.218.60.56/~jnz1568/getInfo.php?workbook=14_09.xlsx&amp;sheet=U0&amp;row=2571&amp;col=7&amp;number=0.0206&amp;sourceID=14","0.0206")</f>
        <v>0.0206</v>
      </c>
    </row>
    <row r="2572" spans="1:7">
      <c r="A2572" s="3"/>
      <c r="B2572" s="3"/>
      <c r="C2572" s="3"/>
      <c r="D2572" s="3"/>
      <c r="E2572" s="3">
        <v>9</v>
      </c>
      <c r="F2572" s="4" t="str">
        <f>HYPERLINK("http://141.218.60.56/~jnz1568/getInfo.php?workbook=14_09.xlsx&amp;sheet=U0&amp;row=2572&amp;col=6&amp;number=3.8&amp;sourceID=14","3.8")</f>
        <v>3.8</v>
      </c>
      <c r="G2572" s="4" t="str">
        <f>HYPERLINK("http://141.218.60.56/~jnz1568/getInfo.php?workbook=14_09.xlsx&amp;sheet=U0&amp;row=2572&amp;col=7&amp;number=0.0205&amp;sourceID=14","0.0205")</f>
        <v>0.0205</v>
      </c>
    </row>
    <row r="2573" spans="1:7">
      <c r="A2573" s="3"/>
      <c r="B2573" s="3"/>
      <c r="C2573" s="3"/>
      <c r="D2573" s="3"/>
      <c r="E2573" s="3">
        <v>10</v>
      </c>
      <c r="F2573" s="4" t="str">
        <f>HYPERLINK("http://141.218.60.56/~jnz1568/getInfo.php?workbook=14_09.xlsx&amp;sheet=U0&amp;row=2573&amp;col=6&amp;number=3.9&amp;sourceID=14","3.9")</f>
        <v>3.9</v>
      </c>
      <c r="G2573" s="4" t="str">
        <f>HYPERLINK("http://141.218.60.56/~jnz1568/getInfo.php?workbook=14_09.xlsx&amp;sheet=U0&amp;row=2573&amp;col=7&amp;number=0.0204&amp;sourceID=14","0.0204")</f>
        <v>0.0204</v>
      </c>
    </row>
    <row r="2574" spans="1:7">
      <c r="A2574" s="3"/>
      <c r="B2574" s="3"/>
      <c r="C2574" s="3"/>
      <c r="D2574" s="3"/>
      <c r="E2574" s="3">
        <v>11</v>
      </c>
      <c r="F2574" s="4" t="str">
        <f>HYPERLINK("http://141.218.60.56/~jnz1568/getInfo.php?workbook=14_09.xlsx&amp;sheet=U0&amp;row=2574&amp;col=6&amp;number=4&amp;sourceID=14","4")</f>
        <v>4</v>
      </c>
      <c r="G2574" s="4" t="str">
        <f>HYPERLINK("http://141.218.60.56/~jnz1568/getInfo.php?workbook=14_09.xlsx&amp;sheet=U0&amp;row=2574&amp;col=7&amp;number=0.0202&amp;sourceID=14","0.0202")</f>
        <v>0.0202</v>
      </c>
    </row>
    <row r="2575" spans="1:7">
      <c r="A2575" s="3"/>
      <c r="B2575" s="3"/>
      <c r="C2575" s="3"/>
      <c r="D2575" s="3"/>
      <c r="E2575" s="3">
        <v>12</v>
      </c>
      <c r="F2575" s="4" t="str">
        <f>HYPERLINK("http://141.218.60.56/~jnz1568/getInfo.php?workbook=14_09.xlsx&amp;sheet=U0&amp;row=2575&amp;col=6&amp;number=4.1&amp;sourceID=14","4.1")</f>
        <v>4.1</v>
      </c>
      <c r="G2575" s="4" t="str">
        <f>HYPERLINK("http://141.218.60.56/~jnz1568/getInfo.php?workbook=14_09.xlsx&amp;sheet=U0&amp;row=2575&amp;col=7&amp;number=0.02&amp;sourceID=14","0.02")</f>
        <v>0.02</v>
      </c>
    </row>
    <row r="2576" spans="1:7">
      <c r="A2576" s="3"/>
      <c r="B2576" s="3"/>
      <c r="C2576" s="3"/>
      <c r="D2576" s="3"/>
      <c r="E2576" s="3">
        <v>13</v>
      </c>
      <c r="F2576" s="4" t="str">
        <f>HYPERLINK("http://141.218.60.56/~jnz1568/getInfo.php?workbook=14_09.xlsx&amp;sheet=U0&amp;row=2576&amp;col=6&amp;number=4.2&amp;sourceID=14","4.2")</f>
        <v>4.2</v>
      </c>
      <c r="G2576" s="4" t="str">
        <f>HYPERLINK("http://141.218.60.56/~jnz1568/getInfo.php?workbook=14_09.xlsx&amp;sheet=U0&amp;row=2576&amp;col=7&amp;number=0.0197&amp;sourceID=14","0.0197")</f>
        <v>0.0197</v>
      </c>
    </row>
    <row r="2577" spans="1:7">
      <c r="A2577" s="3"/>
      <c r="B2577" s="3"/>
      <c r="C2577" s="3"/>
      <c r="D2577" s="3"/>
      <c r="E2577" s="3">
        <v>14</v>
      </c>
      <c r="F2577" s="4" t="str">
        <f>HYPERLINK("http://141.218.60.56/~jnz1568/getInfo.php?workbook=14_09.xlsx&amp;sheet=U0&amp;row=2577&amp;col=6&amp;number=4.3&amp;sourceID=14","4.3")</f>
        <v>4.3</v>
      </c>
      <c r="G2577" s="4" t="str">
        <f>HYPERLINK("http://141.218.60.56/~jnz1568/getInfo.php?workbook=14_09.xlsx&amp;sheet=U0&amp;row=2577&amp;col=7&amp;number=0.0194&amp;sourceID=14","0.0194")</f>
        <v>0.0194</v>
      </c>
    </row>
    <row r="2578" spans="1:7">
      <c r="A2578" s="3"/>
      <c r="B2578" s="3"/>
      <c r="C2578" s="3"/>
      <c r="D2578" s="3"/>
      <c r="E2578" s="3">
        <v>15</v>
      </c>
      <c r="F2578" s="4" t="str">
        <f>HYPERLINK("http://141.218.60.56/~jnz1568/getInfo.php?workbook=14_09.xlsx&amp;sheet=U0&amp;row=2578&amp;col=6&amp;number=4.4&amp;sourceID=14","4.4")</f>
        <v>4.4</v>
      </c>
      <c r="G2578" s="4" t="str">
        <f>HYPERLINK("http://141.218.60.56/~jnz1568/getInfo.php?workbook=14_09.xlsx&amp;sheet=U0&amp;row=2578&amp;col=7&amp;number=0.019&amp;sourceID=14","0.019")</f>
        <v>0.019</v>
      </c>
    </row>
    <row r="2579" spans="1:7">
      <c r="A2579" s="3"/>
      <c r="B2579" s="3"/>
      <c r="C2579" s="3"/>
      <c r="D2579" s="3"/>
      <c r="E2579" s="3">
        <v>16</v>
      </c>
      <c r="F2579" s="4" t="str">
        <f>HYPERLINK("http://141.218.60.56/~jnz1568/getInfo.php?workbook=14_09.xlsx&amp;sheet=U0&amp;row=2579&amp;col=6&amp;number=4.5&amp;sourceID=14","4.5")</f>
        <v>4.5</v>
      </c>
      <c r="G2579" s="4" t="str">
        <f>HYPERLINK("http://141.218.60.56/~jnz1568/getInfo.php?workbook=14_09.xlsx&amp;sheet=U0&amp;row=2579&amp;col=7&amp;number=0.0185&amp;sourceID=14","0.0185")</f>
        <v>0.0185</v>
      </c>
    </row>
    <row r="2580" spans="1:7">
      <c r="A2580" s="3"/>
      <c r="B2580" s="3"/>
      <c r="C2580" s="3"/>
      <c r="D2580" s="3"/>
      <c r="E2580" s="3">
        <v>17</v>
      </c>
      <c r="F2580" s="4" t="str">
        <f>HYPERLINK("http://141.218.60.56/~jnz1568/getInfo.php?workbook=14_09.xlsx&amp;sheet=U0&amp;row=2580&amp;col=6&amp;number=4.6&amp;sourceID=14","4.6")</f>
        <v>4.6</v>
      </c>
      <c r="G2580" s="4" t="str">
        <f>HYPERLINK("http://141.218.60.56/~jnz1568/getInfo.php?workbook=14_09.xlsx&amp;sheet=U0&amp;row=2580&amp;col=7&amp;number=0.018&amp;sourceID=14","0.018")</f>
        <v>0.018</v>
      </c>
    </row>
    <row r="2581" spans="1:7">
      <c r="A2581" s="3"/>
      <c r="B2581" s="3"/>
      <c r="C2581" s="3"/>
      <c r="D2581" s="3"/>
      <c r="E2581" s="3">
        <v>18</v>
      </c>
      <c r="F2581" s="4" t="str">
        <f>HYPERLINK("http://141.218.60.56/~jnz1568/getInfo.php?workbook=14_09.xlsx&amp;sheet=U0&amp;row=2581&amp;col=6&amp;number=4.7&amp;sourceID=14","4.7")</f>
        <v>4.7</v>
      </c>
      <c r="G2581" s="4" t="str">
        <f>HYPERLINK("http://141.218.60.56/~jnz1568/getInfo.php?workbook=14_09.xlsx&amp;sheet=U0&amp;row=2581&amp;col=7&amp;number=0.0175&amp;sourceID=14","0.0175")</f>
        <v>0.0175</v>
      </c>
    </row>
    <row r="2582" spans="1:7">
      <c r="A2582" s="3"/>
      <c r="B2582" s="3"/>
      <c r="C2582" s="3"/>
      <c r="D2582" s="3"/>
      <c r="E2582" s="3">
        <v>19</v>
      </c>
      <c r="F2582" s="4" t="str">
        <f>HYPERLINK("http://141.218.60.56/~jnz1568/getInfo.php?workbook=14_09.xlsx&amp;sheet=U0&amp;row=2582&amp;col=6&amp;number=4.8&amp;sourceID=14","4.8")</f>
        <v>4.8</v>
      </c>
      <c r="G2582" s="4" t="str">
        <f>HYPERLINK("http://141.218.60.56/~jnz1568/getInfo.php?workbook=14_09.xlsx&amp;sheet=U0&amp;row=2582&amp;col=7&amp;number=0.017&amp;sourceID=14","0.017")</f>
        <v>0.017</v>
      </c>
    </row>
    <row r="2583" spans="1:7">
      <c r="A2583" s="3"/>
      <c r="B2583" s="3"/>
      <c r="C2583" s="3"/>
      <c r="D2583" s="3"/>
      <c r="E2583" s="3">
        <v>20</v>
      </c>
      <c r="F2583" s="4" t="str">
        <f>HYPERLINK("http://141.218.60.56/~jnz1568/getInfo.php?workbook=14_09.xlsx&amp;sheet=U0&amp;row=2583&amp;col=6&amp;number=4.9&amp;sourceID=14","4.9")</f>
        <v>4.9</v>
      </c>
      <c r="G2583" s="4" t="str">
        <f>HYPERLINK("http://141.218.60.56/~jnz1568/getInfo.php?workbook=14_09.xlsx&amp;sheet=U0&amp;row=2583&amp;col=7&amp;number=0.0166&amp;sourceID=14","0.0166")</f>
        <v>0.0166</v>
      </c>
    </row>
    <row r="2584" spans="1:7">
      <c r="A2584" s="3">
        <v>14</v>
      </c>
      <c r="B2584" s="3">
        <v>9</v>
      </c>
      <c r="C2584" s="3">
        <v>1</v>
      </c>
      <c r="D2584" s="3">
        <v>131</v>
      </c>
      <c r="E2584" s="3">
        <v>1</v>
      </c>
      <c r="F2584" s="4" t="str">
        <f>HYPERLINK("http://141.218.60.56/~jnz1568/getInfo.php?workbook=14_09.xlsx&amp;sheet=U0&amp;row=2584&amp;col=6&amp;number=3&amp;sourceID=14","3")</f>
        <v>3</v>
      </c>
      <c r="G2584" s="4" t="str">
        <f>HYPERLINK("http://141.218.60.56/~jnz1568/getInfo.php?workbook=14_09.xlsx&amp;sheet=U0&amp;row=2584&amp;col=7&amp;number=0.0111&amp;sourceID=14","0.0111")</f>
        <v>0.0111</v>
      </c>
    </row>
    <row r="2585" spans="1:7">
      <c r="A2585" s="3"/>
      <c r="B2585" s="3"/>
      <c r="C2585" s="3"/>
      <c r="D2585" s="3"/>
      <c r="E2585" s="3">
        <v>2</v>
      </c>
      <c r="F2585" s="4" t="str">
        <f>HYPERLINK("http://141.218.60.56/~jnz1568/getInfo.php?workbook=14_09.xlsx&amp;sheet=U0&amp;row=2585&amp;col=6&amp;number=3.1&amp;sourceID=14","3.1")</f>
        <v>3.1</v>
      </c>
      <c r="G2585" s="4" t="str">
        <f>HYPERLINK("http://141.218.60.56/~jnz1568/getInfo.php?workbook=14_09.xlsx&amp;sheet=U0&amp;row=2585&amp;col=7&amp;number=0.0111&amp;sourceID=14","0.0111")</f>
        <v>0.0111</v>
      </c>
    </row>
    <row r="2586" spans="1:7">
      <c r="A2586" s="3"/>
      <c r="B2586" s="3"/>
      <c r="C2586" s="3"/>
      <c r="D2586" s="3"/>
      <c r="E2586" s="3">
        <v>3</v>
      </c>
      <c r="F2586" s="4" t="str">
        <f>HYPERLINK("http://141.218.60.56/~jnz1568/getInfo.php?workbook=14_09.xlsx&amp;sheet=U0&amp;row=2586&amp;col=6&amp;number=3.2&amp;sourceID=14","3.2")</f>
        <v>3.2</v>
      </c>
      <c r="G2586" s="4" t="str">
        <f>HYPERLINK("http://141.218.60.56/~jnz1568/getInfo.php?workbook=14_09.xlsx&amp;sheet=U0&amp;row=2586&amp;col=7&amp;number=0.0111&amp;sourceID=14","0.0111")</f>
        <v>0.0111</v>
      </c>
    </row>
    <row r="2587" spans="1:7">
      <c r="A2587" s="3"/>
      <c r="B2587" s="3"/>
      <c r="C2587" s="3"/>
      <c r="D2587" s="3"/>
      <c r="E2587" s="3">
        <v>4</v>
      </c>
      <c r="F2587" s="4" t="str">
        <f>HYPERLINK("http://141.218.60.56/~jnz1568/getInfo.php?workbook=14_09.xlsx&amp;sheet=U0&amp;row=2587&amp;col=6&amp;number=3.3&amp;sourceID=14","3.3")</f>
        <v>3.3</v>
      </c>
      <c r="G2587" s="4" t="str">
        <f>HYPERLINK("http://141.218.60.56/~jnz1568/getInfo.php?workbook=14_09.xlsx&amp;sheet=U0&amp;row=2587&amp;col=7&amp;number=0.0111&amp;sourceID=14","0.0111")</f>
        <v>0.0111</v>
      </c>
    </row>
    <row r="2588" spans="1:7">
      <c r="A2588" s="3"/>
      <c r="B2588" s="3"/>
      <c r="C2588" s="3"/>
      <c r="D2588" s="3"/>
      <c r="E2588" s="3">
        <v>5</v>
      </c>
      <c r="F2588" s="4" t="str">
        <f>HYPERLINK("http://141.218.60.56/~jnz1568/getInfo.php?workbook=14_09.xlsx&amp;sheet=U0&amp;row=2588&amp;col=6&amp;number=3.4&amp;sourceID=14","3.4")</f>
        <v>3.4</v>
      </c>
      <c r="G2588" s="4" t="str">
        <f>HYPERLINK("http://141.218.60.56/~jnz1568/getInfo.php?workbook=14_09.xlsx&amp;sheet=U0&amp;row=2588&amp;col=7&amp;number=0.0111&amp;sourceID=14","0.0111")</f>
        <v>0.0111</v>
      </c>
    </row>
    <row r="2589" spans="1:7">
      <c r="A2589" s="3"/>
      <c r="B2589" s="3"/>
      <c r="C2589" s="3"/>
      <c r="D2589" s="3"/>
      <c r="E2589" s="3">
        <v>6</v>
      </c>
      <c r="F2589" s="4" t="str">
        <f>HYPERLINK("http://141.218.60.56/~jnz1568/getInfo.php?workbook=14_09.xlsx&amp;sheet=U0&amp;row=2589&amp;col=6&amp;number=3.5&amp;sourceID=14","3.5")</f>
        <v>3.5</v>
      </c>
      <c r="G2589" s="4" t="str">
        <f>HYPERLINK("http://141.218.60.56/~jnz1568/getInfo.php?workbook=14_09.xlsx&amp;sheet=U0&amp;row=2589&amp;col=7&amp;number=0.0111&amp;sourceID=14","0.0111")</f>
        <v>0.0111</v>
      </c>
    </row>
    <row r="2590" spans="1:7">
      <c r="A2590" s="3"/>
      <c r="B2590" s="3"/>
      <c r="C2590" s="3"/>
      <c r="D2590" s="3"/>
      <c r="E2590" s="3">
        <v>7</v>
      </c>
      <c r="F2590" s="4" t="str">
        <f>HYPERLINK("http://141.218.60.56/~jnz1568/getInfo.php?workbook=14_09.xlsx&amp;sheet=U0&amp;row=2590&amp;col=6&amp;number=3.6&amp;sourceID=14","3.6")</f>
        <v>3.6</v>
      </c>
      <c r="G2590" s="4" t="str">
        <f>HYPERLINK("http://141.218.60.56/~jnz1568/getInfo.php?workbook=14_09.xlsx&amp;sheet=U0&amp;row=2590&amp;col=7&amp;number=0.0111&amp;sourceID=14","0.0111")</f>
        <v>0.0111</v>
      </c>
    </row>
    <row r="2591" spans="1:7">
      <c r="A2591" s="3"/>
      <c r="B2591" s="3"/>
      <c r="C2591" s="3"/>
      <c r="D2591" s="3"/>
      <c r="E2591" s="3">
        <v>8</v>
      </c>
      <c r="F2591" s="4" t="str">
        <f>HYPERLINK("http://141.218.60.56/~jnz1568/getInfo.php?workbook=14_09.xlsx&amp;sheet=U0&amp;row=2591&amp;col=6&amp;number=3.7&amp;sourceID=14","3.7")</f>
        <v>3.7</v>
      </c>
      <c r="G2591" s="4" t="str">
        <f>HYPERLINK("http://141.218.60.56/~jnz1568/getInfo.php?workbook=14_09.xlsx&amp;sheet=U0&amp;row=2591&amp;col=7&amp;number=0.0111&amp;sourceID=14","0.0111")</f>
        <v>0.0111</v>
      </c>
    </row>
    <row r="2592" spans="1:7">
      <c r="A2592" s="3"/>
      <c r="B2592" s="3"/>
      <c r="C2592" s="3"/>
      <c r="D2592" s="3"/>
      <c r="E2592" s="3">
        <v>9</v>
      </c>
      <c r="F2592" s="4" t="str">
        <f>HYPERLINK("http://141.218.60.56/~jnz1568/getInfo.php?workbook=14_09.xlsx&amp;sheet=U0&amp;row=2592&amp;col=6&amp;number=3.8&amp;sourceID=14","3.8")</f>
        <v>3.8</v>
      </c>
      <c r="G2592" s="4" t="str">
        <f>HYPERLINK("http://141.218.60.56/~jnz1568/getInfo.php?workbook=14_09.xlsx&amp;sheet=U0&amp;row=2592&amp;col=7&amp;number=0.0111&amp;sourceID=14","0.0111")</f>
        <v>0.0111</v>
      </c>
    </row>
    <row r="2593" spans="1:7">
      <c r="A2593" s="3"/>
      <c r="B2593" s="3"/>
      <c r="C2593" s="3"/>
      <c r="D2593" s="3"/>
      <c r="E2593" s="3">
        <v>10</v>
      </c>
      <c r="F2593" s="4" t="str">
        <f>HYPERLINK("http://141.218.60.56/~jnz1568/getInfo.php?workbook=14_09.xlsx&amp;sheet=U0&amp;row=2593&amp;col=6&amp;number=3.9&amp;sourceID=14","3.9")</f>
        <v>3.9</v>
      </c>
      <c r="G2593" s="4" t="str">
        <f>HYPERLINK("http://141.218.60.56/~jnz1568/getInfo.php?workbook=14_09.xlsx&amp;sheet=U0&amp;row=2593&amp;col=7&amp;number=0.0111&amp;sourceID=14","0.0111")</f>
        <v>0.0111</v>
      </c>
    </row>
    <row r="2594" spans="1:7">
      <c r="A2594" s="3"/>
      <c r="B2594" s="3"/>
      <c r="C2594" s="3"/>
      <c r="D2594" s="3"/>
      <c r="E2594" s="3">
        <v>11</v>
      </c>
      <c r="F2594" s="4" t="str">
        <f>HYPERLINK("http://141.218.60.56/~jnz1568/getInfo.php?workbook=14_09.xlsx&amp;sheet=U0&amp;row=2594&amp;col=6&amp;number=4&amp;sourceID=14","4")</f>
        <v>4</v>
      </c>
      <c r="G2594" s="4" t="str">
        <f>HYPERLINK("http://141.218.60.56/~jnz1568/getInfo.php?workbook=14_09.xlsx&amp;sheet=U0&amp;row=2594&amp;col=7&amp;number=0.0111&amp;sourceID=14","0.0111")</f>
        <v>0.0111</v>
      </c>
    </row>
    <row r="2595" spans="1:7">
      <c r="A2595" s="3"/>
      <c r="B2595" s="3"/>
      <c r="C2595" s="3"/>
      <c r="D2595" s="3"/>
      <c r="E2595" s="3">
        <v>12</v>
      </c>
      <c r="F2595" s="4" t="str">
        <f>HYPERLINK("http://141.218.60.56/~jnz1568/getInfo.php?workbook=14_09.xlsx&amp;sheet=U0&amp;row=2595&amp;col=6&amp;number=4.1&amp;sourceID=14","4.1")</f>
        <v>4.1</v>
      </c>
      <c r="G2595" s="4" t="str">
        <f>HYPERLINK("http://141.218.60.56/~jnz1568/getInfo.php?workbook=14_09.xlsx&amp;sheet=U0&amp;row=2595&amp;col=7&amp;number=0.0111&amp;sourceID=14","0.0111")</f>
        <v>0.0111</v>
      </c>
    </row>
    <row r="2596" spans="1:7">
      <c r="A2596" s="3"/>
      <c r="B2596" s="3"/>
      <c r="C2596" s="3"/>
      <c r="D2596" s="3"/>
      <c r="E2596" s="3">
        <v>13</v>
      </c>
      <c r="F2596" s="4" t="str">
        <f>HYPERLINK("http://141.218.60.56/~jnz1568/getInfo.php?workbook=14_09.xlsx&amp;sheet=U0&amp;row=2596&amp;col=6&amp;number=4.2&amp;sourceID=14","4.2")</f>
        <v>4.2</v>
      </c>
      <c r="G2596" s="4" t="str">
        <f>HYPERLINK("http://141.218.60.56/~jnz1568/getInfo.php?workbook=14_09.xlsx&amp;sheet=U0&amp;row=2596&amp;col=7&amp;number=0.011&amp;sourceID=14","0.011")</f>
        <v>0.011</v>
      </c>
    </row>
    <row r="2597" spans="1:7">
      <c r="A2597" s="3"/>
      <c r="B2597" s="3"/>
      <c r="C2597" s="3"/>
      <c r="D2597" s="3"/>
      <c r="E2597" s="3">
        <v>14</v>
      </c>
      <c r="F2597" s="4" t="str">
        <f>HYPERLINK("http://141.218.60.56/~jnz1568/getInfo.php?workbook=14_09.xlsx&amp;sheet=U0&amp;row=2597&amp;col=6&amp;number=4.3&amp;sourceID=14","4.3")</f>
        <v>4.3</v>
      </c>
      <c r="G2597" s="4" t="str">
        <f>HYPERLINK("http://141.218.60.56/~jnz1568/getInfo.php?workbook=14_09.xlsx&amp;sheet=U0&amp;row=2597&amp;col=7&amp;number=0.011&amp;sourceID=14","0.011")</f>
        <v>0.011</v>
      </c>
    </row>
    <row r="2598" spans="1:7">
      <c r="A2598" s="3"/>
      <c r="B2598" s="3"/>
      <c r="C2598" s="3"/>
      <c r="D2598" s="3"/>
      <c r="E2598" s="3">
        <v>15</v>
      </c>
      <c r="F2598" s="4" t="str">
        <f>HYPERLINK("http://141.218.60.56/~jnz1568/getInfo.php?workbook=14_09.xlsx&amp;sheet=U0&amp;row=2598&amp;col=6&amp;number=4.4&amp;sourceID=14","4.4")</f>
        <v>4.4</v>
      </c>
      <c r="G2598" s="4" t="str">
        <f>HYPERLINK("http://141.218.60.56/~jnz1568/getInfo.php?workbook=14_09.xlsx&amp;sheet=U0&amp;row=2598&amp;col=7&amp;number=0.011&amp;sourceID=14","0.011")</f>
        <v>0.011</v>
      </c>
    </row>
    <row r="2599" spans="1:7">
      <c r="A2599" s="3"/>
      <c r="B2599" s="3"/>
      <c r="C2599" s="3"/>
      <c r="D2599" s="3"/>
      <c r="E2599" s="3">
        <v>16</v>
      </c>
      <c r="F2599" s="4" t="str">
        <f>HYPERLINK("http://141.218.60.56/~jnz1568/getInfo.php?workbook=14_09.xlsx&amp;sheet=U0&amp;row=2599&amp;col=6&amp;number=4.5&amp;sourceID=14","4.5")</f>
        <v>4.5</v>
      </c>
      <c r="G2599" s="4" t="str">
        <f>HYPERLINK("http://141.218.60.56/~jnz1568/getInfo.php?workbook=14_09.xlsx&amp;sheet=U0&amp;row=2599&amp;col=7&amp;number=0.0109&amp;sourceID=14","0.0109")</f>
        <v>0.0109</v>
      </c>
    </row>
    <row r="2600" spans="1:7">
      <c r="A2600" s="3"/>
      <c r="B2600" s="3"/>
      <c r="C2600" s="3"/>
      <c r="D2600" s="3"/>
      <c r="E2600" s="3">
        <v>17</v>
      </c>
      <c r="F2600" s="4" t="str">
        <f>HYPERLINK("http://141.218.60.56/~jnz1568/getInfo.php?workbook=14_09.xlsx&amp;sheet=U0&amp;row=2600&amp;col=6&amp;number=4.6&amp;sourceID=14","4.6")</f>
        <v>4.6</v>
      </c>
      <c r="G2600" s="4" t="str">
        <f>HYPERLINK("http://141.218.60.56/~jnz1568/getInfo.php?workbook=14_09.xlsx&amp;sheet=U0&amp;row=2600&amp;col=7&amp;number=0.0109&amp;sourceID=14","0.0109")</f>
        <v>0.0109</v>
      </c>
    </row>
    <row r="2601" spans="1:7">
      <c r="A2601" s="3"/>
      <c r="B2601" s="3"/>
      <c r="C2601" s="3"/>
      <c r="D2601" s="3"/>
      <c r="E2601" s="3">
        <v>18</v>
      </c>
      <c r="F2601" s="4" t="str">
        <f>HYPERLINK("http://141.218.60.56/~jnz1568/getInfo.php?workbook=14_09.xlsx&amp;sheet=U0&amp;row=2601&amp;col=6&amp;number=4.7&amp;sourceID=14","4.7")</f>
        <v>4.7</v>
      </c>
      <c r="G2601" s="4" t="str">
        <f>HYPERLINK("http://141.218.60.56/~jnz1568/getInfo.php?workbook=14_09.xlsx&amp;sheet=U0&amp;row=2601&amp;col=7&amp;number=0.0108&amp;sourceID=14","0.0108")</f>
        <v>0.0108</v>
      </c>
    </row>
    <row r="2602" spans="1:7">
      <c r="A2602" s="3"/>
      <c r="B2602" s="3"/>
      <c r="C2602" s="3"/>
      <c r="D2602" s="3"/>
      <c r="E2602" s="3">
        <v>19</v>
      </c>
      <c r="F2602" s="4" t="str">
        <f>HYPERLINK("http://141.218.60.56/~jnz1568/getInfo.php?workbook=14_09.xlsx&amp;sheet=U0&amp;row=2602&amp;col=6&amp;number=4.8&amp;sourceID=14","4.8")</f>
        <v>4.8</v>
      </c>
      <c r="G2602" s="4" t="str">
        <f>HYPERLINK("http://141.218.60.56/~jnz1568/getInfo.php?workbook=14_09.xlsx&amp;sheet=U0&amp;row=2602&amp;col=7&amp;number=0.0107&amp;sourceID=14","0.0107")</f>
        <v>0.0107</v>
      </c>
    </row>
    <row r="2603" spans="1:7">
      <c r="A2603" s="3"/>
      <c r="B2603" s="3"/>
      <c r="C2603" s="3"/>
      <c r="D2603" s="3"/>
      <c r="E2603" s="3">
        <v>20</v>
      </c>
      <c r="F2603" s="4" t="str">
        <f>HYPERLINK("http://141.218.60.56/~jnz1568/getInfo.php?workbook=14_09.xlsx&amp;sheet=U0&amp;row=2603&amp;col=6&amp;number=4.9&amp;sourceID=14","4.9")</f>
        <v>4.9</v>
      </c>
      <c r="G2603" s="4" t="str">
        <f>HYPERLINK("http://141.218.60.56/~jnz1568/getInfo.php?workbook=14_09.xlsx&amp;sheet=U0&amp;row=2603&amp;col=7&amp;number=0.0106&amp;sourceID=14","0.0106")</f>
        <v>0.0106</v>
      </c>
    </row>
    <row r="2604" spans="1:7">
      <c r="A2604" s="3">
        <v>14</v>
      </c>
      <c r="B2604" s="3">
        <v>9</v>
      </c>
      <c r="C2604" s="3">
        <v>1</v>
      </c>
      <c r="D2604" s="3">
        <v>132</v>
      </c>
      <c r="E2604" s="3">
        <v>1</v>
      </c>
      <c r="F2604" s="4" t="str">
        <f>HYPERLINK("http://141.218.60.56/~jnz1568/getInfo.php?workbook=14_09.xlsx&amp;sheet=U0&amp;row=2604&amp;col=6&amp;number=3&amp;sourceID=14","3")</f>
        <v>3</v>
      </c>
      <c r="G2604" s="4" t="str">
        <f>HYPERLINK("http://141.218.60.56/~jnz1568/getInfo.php?workbook=14_09.xlsx&amp;sheet=U0&amp;row=2604&amp;col=7&amp;number=0.0487&amp;sourceID=14","0.0487")</f>
        <v>0.0487</v>
      </c>
    </row>
    <row r="2605" spans="1:7">
      <c r="A2605" s="3"/>
      <c r="B2605" s="3"/>
      <c r="C2605" s="3"/>
      <c r="D2605" s="3"/>
      <c r="E2605" s="3">
        <v>2</v>
      </c>
      <c r="F2605" s="4" t="str">
        <f>HYPERLINK("http://141.218.60.56/~jnz1568/getInfo.php?workbook=14_09.xlsx&amp;sheet=U0&amp;row=2605&amp;col=6&amp;number=3.1&amp;sourceID=14","3.1")</f>
        <v>3.1</v>
      </c>
      <c r="G2605" s="4" t="str">
        <f>HYPERLINK("http://141.218.60.56/~jnz1568/getInfo.php?workbook=14_09.xlsx&amp;sheet=U0&amp;row=2605&amp;col=7&amp;number=0.0487&amp;sourceID=14","0.0487")</f>
        <v>0.0487</v>
      </c>
    </row>
    <row r="2606" spans="1:7">
      <c r="A2606" s="3"/>
      <c r="B2606" s="3"/>
      <c r="C2606" s="3"/>
      <c r="D2606" s="3"/>
      <c r="E2606" s="3">
        <v>3</v>
      </c>
      <c r="F2606" s="4" t="str">
        <f>HYPERLINK("http://141.218.60.56/~jnz1568/getInfo.php?workbook=14_09.xlsx&amp;sheet=U0&amp;row=2606&amp;col=6&amp;number=3.2&amp;sourceID=14","3.2")</f>
        <v>3.2</v>
      </c>
      <c r="G2606" s="4" t="str">
        <f>HYPERLINK("http://141.218.60.56/~jnz1568/getInfo.php?workbook=14_09.xlsx&amp;sheet=U0&amp;row=2606&amp;col=7&amp;number=0.0487&amp;sourceID=14","0.0487")</f>
        <v>0.0487</v>
      </c>
    </row>
    <row r="2607" spans="1:7">
      <c r="A2607" s="3"/>
      <c r="B2607" s="3"/>
      <c r="C2607" s="3"/>
      <c r="D2607" s="3"/>
      <c r="E2607" s="3">
        <v>4</v>
      </c>
      <c r="F2607" s="4" t="str">
        <f>HYPERLINK("http://141.218.60.56/~jnz1568/getInfo.php?workbook=14_09.xlsx&amp;sheet=U0&amp;row=2607&amp;col=6&amp;number=3.3&amp;sourceID=14","3.3")</f>
        <v>3.3</v>
      </c>
      <c r="G2607" s="4" t="str">
        <f>HYPERLINK("http://141.218.60.56/~jnz1568/getInfo.php?workbook=14_09.xlsx&amp;sheet=U0&amp;row=2607&amp;col=7&amp;number=0.0487&amp;sourceID=14","0.0487")</f>
        <v>0.0487</v>
      </c>
    </row>
    <row r="2608" spans="1:7">
      <c r="A2608" s="3"/>
      <c r="B2608" s="3"/>
      <c r="C2608" s="3"/>
      <c r="D2608" s="3"/>
      <c r="E2608" s="3">
        <v>5</v>
      </c>
      <c r="F2608" s="4" t="str">
        <f>HYPERLINK("http://141.218.60.56/~jnz1568/getInfo.php?workbook=14_09.xlsx&amp;sheet=U0&amp;row=2608&amp;col=6&amp;number=3.4&amp;sourceID=14","3.4")</f>
        <v>3.4</v>
      </c>
      <c r="G2608" s="4" t="str">
        <f>HYPERLINK("http://141.218.60.56/~jnz1568/getInfo.php?workbook=14_09.xlsx&amp;sheet=U0&amp;row=2608&amp;col=7&amp;number=0.0487&amp;sourceID=14","0.0487")</f>
        <v>0.0487</v>
      </c>
    </row>
    <row r="2609" spans="1:7">
      <c r="A2609" s="3"/>
      <c r="B2609" s="3"/>
      <c r="C2609" s="3"/>
      <c r="D2609" s="3"/>
      <c r="E2609" s="3">
        <v>6</v>
      </c>
      <c r="F2609" s="4" t="str">
        <f>HYPERLINK("http://141.218.60.56/~jnz1568/getInfo.php?workbook=14_09.xlsx&amp;sheet=U0&amp;row=2609&amp;col=6&amp;number=3.5&amp;sourceID=14","3.5")</f>
        <v>3.5</v>
      </c>
      <c r="G2609" s="4" t="str">
        <f>HYPERLINK("http://141.218.60.56/~jnz1568/getInfo.php?workbook=14_09.xlsx&amp;sheet=U0&amp;row=2609&amp;col=7&amp;number=0.0487&amp;sourceID=14","0.0487")</f>
        <v>0.0487</v>
      </c>
    </row>
    <row r="2610" spans="1:7">
      <c r="A2610" s="3"/>
      <c r="B2610" s="3"/>
      <c r="C2610" s="3"/>
      <c r="D2610" s="3"/>
      <c r="E2610" s="3">
        <v>7</v>
      </c>
      <c r="F2610" s="4" t="str">
        <f>HYPERLINK("http://141.218.60.56/~jnz1568/getInfo.php?workbook=14_09.xlsx&amp;sheet=U0&amp;row=2610&amp;col=6&amp;number=3.6&amp;sourceID=14","3.6")</f>
        <v>3.6</v>
      </c>
      <c r="G2610" s="4" t="str">
        <f>HYPERLINK("http://141.218.60.56/~jnz1568/getInfo.php?workbook=14_09.xlsx&amp;sheet=U0&amp;row=2610&amp;col=7&amp;number=0.0487&amp;sourceID=14","0.0487")</f>
        <v>0.0487</v>
      </c>
    </row>
    <row r="2611" spans="1:7">
      <c r="A2611" s="3"/>
      <c r="B2611" s="3"/>
      <c r="C2611" s="3"/>
      <c r="D2611" s="3"/>
      <c r="E2611" s="3">
        <v>8</v>
      </c>
      <c r="F2611" s="4" t="str">
        <f>HYPERLINK("http://141.218.60.56/~jnz1568/getInfo.php?workbook=14_09.xlsx&amp;sheet=U0&amp;row=2611&amp;col=6&amp;number=3.7&amp;sourceID=14","3.7")</f>
        <v>3.7</v>
      </c>
      <c r="G2611" s="4" t="str">
        <f>HYPERLINK("http://141.218.60.56/~jnz1568/getInfo.php?workbook=14_09.xlsx&amp;sheet=U0&amp;row=2611&amp;col=7&amp;number=0.0488&amp;sourceID=14","0.0488")</f>
        <v>0.0488</v>
      </c>
    </row>
    <row r="2612" spans="1:7">
      <c r="A2612" s="3"/>
      <c r="B2612" s="3"/>
      <c r="C2612" s="3"/>
      <c r="D2612" s="3"/>
      <c r="E2612" s="3">
        <v>9</v>
      </c>
      <c r="F2612" s="4" t="str">
        <f>HYPERLINK("http://141.218.60.56/~jnz1568/getInfo.php?workbook=14_09.xlsx&amp;sheet=U0&amp;row=2612&amp;col=6&amp;number=3.8&amp;sourceID=14","3.8")</f>
        <v>3.8</v>
      </c>
      <c r="G2612" s="4" t="str">
        <f>HYPERLINK("http://141.218.60.56/~jnz1568/getInfo.php?workbook=14_09.xlsx&amp;sheet=U0&amp;row=2612&amp;col=7&amp;number=0.0488&amp;sourceID=14","0.0488")</f>
        <v>0.0488</v>
      </c>
    </row>
    <row r="2613" spans="1:7">
      <c r="A2613" s="3"/>
      <c r="B2613" s="3"/>
      <c r="C2613" s="3"/>
      <c r="D2613" s="3"/>
      <c r="E2613" s="3">
        <v>10</v>
      </c>
      <c r="F2613" s="4" t="str">
        <f>HYPERLINK("http://141.218.60.56/~jnz1568/getInfo.php?workbook=14_09.xlsx&amp;sheet=U0&amp;row=2613&amp;col=6&amp;number=3.9&amp;sourceID=14","3.9")</f>
        <v>3.9</v>
      </c>
      <c r="G2613" s="4" t="str">
        <f>HYPERLINK("http://141.218.60.56/~jnz1568/getInfo.php?workbook=14_09.xlsx&amp;sheet=U0&amp;row=2613&amp;col=7&amp;number=0.0489&amp;sourceID=14","0.0489")</f>
        <v>0.0489</v>
      </c>
    </row>
    <row r="2614" spans="1:7">
      <c r="A2614" s="3"/>
      <c r="B2614" s="3"/>
      <c r="C2614" s="3"/>
      <c r="D2614" s="3"/>
      <c r="E2614" s="3">
        <v>11</v>
      </c>
      <c r="F2614" s="4" t="str">
        <f>HYPERLINK("http://141.218.60.56/~jnz1568/getInfo.php?workbook=14_09.xlsx&amp;sheet=U0&amp;row=2614&amp;col=6&amp;number=4&amp;sourceID=14","4")</f>
        <v>4</v>
      </c>
      <c r="G2614" s="4" t="str">
        <f>HYPERLINK("http://141.218.60.56/~jnz1568/getInfo.php?workbook=14_09.xlsx&amp;sheet=U0&amp;row=2614&amp;col=7&amp;number=0.0489&amp;sourceID=14","0.0489")</f>
        <v>0.0489</v>
      </c>
    </row>
    <row r="2615" spans="1:7">
      <c r="A2615" s="3"/>
      <c r="B2615" s="3"/>
      <c r="C2615" s="3"/>
      <c r="D2615" s="3"/>
      <c r="E2615" s="3">
        <v>12</v>
      </c>
      <c r="F2615" s="4" t="str">
        <f>HYPERLINK("http://141.218.60.56/~jnz1568/getInfo.php?workbook=14_09.xlsx&amp;sheet=U0&amp;row=2615&amp;col=6&amp;number=4.1&amp;sourceID=14","4.1")</f>
        <v>4.1</v>
      </c>
      <c r="G2615" s="4" t="str">
        <f>HYPERLINK("http://141.218.60.56/~jnz1568/getInfo.php?workbook=14_09.xlsx&amp;sheet=U0&amp;row=2615&amp;col=7&amp;number=0.049&amp;sourceID=14","0.049")</f>
        <v>0.049</v>
      </c>
    </row>
    <row r="2616" spans="1:7">
      <c r="A2616" s="3"/>
      <c r="B2616" s="3"/>
      <c r="C2616" s="3"/>
      <c r="D2616" s="3"/>
      <c r="E2616" s="3">
        <v>13</v>
      </c>
      <c r="F2616" s="4" t="str">
        <f>HYPERLINK("http://141.218.60.56/~jnz1568/getInfo.php?workbook=14_09.xlsx&amp;sheet=U0&amp;row=2616&amp;col=6&amp;number=4.2&amp;sourceID=14","4.2")</f>
        <v>4.2</v>
      </c>
      <c r="G2616" s="4" t="str">
        <f>HYPERLINK("http://141.218.60.56/~jnz1568/getInfo.php?workbook=14_09.xlsx&amp;sheet=U0&amp;row=2616&amp;col=7&amp;number=0.0491&amp;sourceID=14","0.0491")</f>
        <v>0.0491</v>
      </c>
    </row>
    <row r="2617" spans="1:7">
      <c r="A2617" s="3"/>
      <c r="B2617" s="3"/>
      <c r="C2617" s="3"/>
      <c r="D2617" s="3"/>
      <c r="E2617" s="3">
        <v>14</v>
      </c>
      <c r="F2617" s="4" t="str">
        <f>HYPERLINK("http://141.218.60.56/~jnz1568/getInfo.php?workbook=14_09.xlsx&amp;sheet=U0&amp;row=2617&amp;col=6&amp;number=4.3&amp;sourceID=14","4.3")</f>
        <v>4.3</v>
      </c>
      <c r="G2617" s="4" t="str">
        <f>HYPERLINK("http://141.218.60.56/~jnz1568/getInfo.php?workbook=14_09.xlsx&amp;sheet=U0&amp;row=2617&amp;col=7&amp;number=0.0493&amp;sourceID=14","0.0493")</f>
        <v>0.0493</v>
      </c>
    </row>
    <row r="2618" spans="1:7">
      <c r="A2618" s="3"/>
      <c r="B2618" s="3"/>
      <c r="C2618" s="3"/>
      <c r="D2618" s="3"/>
      <c r="E2618" s="3">
        <v>15</v>
      </c>
      <c r="F2618" s="4" t="str">
        <f>HYPERLINK("http://141.218.60.56/~jnz1568/getInfo.php?workbook=14_09.xlsx&amp;sheet=U0&amp;row=2618&amp;col=6&amp;number=4.4&amp;sourceID=14","4.4")</f>
        <v>4.4</v>
      </c>
      <c r="G2618" s="4" t="str">
        <f>HYPERLINK("http://141.218.60.56/~jnz1568/getInfo.php?workbook=14_09.xlsx&amp;sheet=U0&amp;row=2618&amp;col=7&amp;number=0.0494&amp;sourceID=14","0.0494")</f>
        <v>0.0494</v>
      </c>
    </row>
    <row r="2619" spans="1:7">
      <c r="A2619" s="3"/>
      <c r="B2619" s="3"/>
      <c r="C2619" s="3"/>
      <c r="D2619" s="3"/>
      <c r="E2619" s="3">
        <v>16</v>
      </c>
      <c r="F2619" s="4" t="str">
        <f>HYPERLINK("http://141.218.60.56/~jnz1568/getInfo.php?workbook=14_09.xlsx&amp;sheet=U0&amp;row=2619&amp;col=6&amp;number=4.5&amp;sourceID=14","4.5")</f>
        <v>4.5</v>
      </c>
      <c r="G2619" s="4" t="str">
        <f>HYPERLINK("http://141.218.60.56/~jnz1568/getInfo.php?workbook=14_09.xlsx&amp;sheet=U0&amp;row=2619&amp;col=7&amp;number=0.0496&amp;sourceID=14","0.0496")</f>
        <v>0.0496</v>
      </c>
    </row>
    <row r="2620" spans="1:7">
      <c r="A2620" s="3"/>
      <c r="B2620" s="3"/>
      <c r="C2620" s="3"/>
      <c r="D2620" s="3"/>
      <c r="E2620" s="3">
        <v>17</v>
      </c>
      <c r="F2620" s="4" t="str">
        <f>HYPERLINK("http://141.218.60.56/~jnz1568/getInfo.php?workbook=14_09.xlsx&amp;sheet=U0&amp;row=2620&amp;col=6&amp;number=4.6&amp;sourceID=14","4.6")</f>
        <v>4.6</v>
      </c>
      <c r="G2620" s="4" t="str">
        <f>HYPERLINK("http://141.218.60.56/~jnz1568/getInfo.php?workbook=14_09.xlsx&amp;sheet=U0&amp;row=2620&amp;col=7&amp;number=0.0499&amp;sourceID=14","0.0499")</f>
        <v>0.0499</v>
      </c>
    </row>
    <row r="2621" spans="1:7">
      <c r="A2621" s="3"/>
      <c r="B2621" s="3"/>
      <c r="C2621" s="3"/>
      <c r="D2621" s="3"/>
      <c r="E2621" s="3">
        <v>18</v>
      </c>
      <c r="F2621" s="4" t="str">
        <f>HYPERLINK("http://141.218.60.56/~jnz1568/getInfo.php?workbook=14_09.xlsx&amp;sheet=U0&amp;row=2621&amp;col=6&amp;number=4.7&amp;sourceID=14","4.7")</f>
        <v>4.7</v>
      </c>
      <c r="G2621" s="4" t="str">
        <f>HYPERLINK("http://141.218.60.56/~jnz1568/getInfo.php?workbook=14_09.xlsx&amp;sheet=U0&amp;row=2621&amp;col=7&amp;number=0.0502&amp;sourceID=14","0.0502")</f>
        <v>0.0502</v>
      </c>
    </row>
    <row r="2622" spans="1:7">
      <c r="A2622" s="3"/>
      <c r="B2622" s="3"/>
      <c r="C2622" s="3"/>
      <c r="D2622" s="3"/>
      <c r="E2622" s="3">
        <v>19</v>
      </c>
      <c r="F2622" s="4" t="str">
        <f>HYPERLINK("http://141.218.60.56/~jnz1568/getInfo.php?workbook=14_09.xlsx&amp;sheet=U0&amp;row=2622&amp;col=6&amp;number=4.8&amp;sourceID=14","4.8")</f>
        <v>4.8</v>
      </c>
      <c r="G2622" s="4" t="str">
        <f>HYPERLINK("http://141.218.60.56/~jnz1568/getInfo.php?workbook=14_09.xlsx&amp;sheet=U0&amp;row=2622&amp;col=7&amp;number=0.0506&amp;sourceID=14","0.0506")</f>
        <v>0.0506</v>
      </c>
    </row>
    <row r="2623" spans="1:7">
      <c r="A2623" s="3"/>
      <c r="B2623" s="3"/>
      <c r="C2623" s="3"/>
      <c r="D2623" s="3"/>
      <c r="E2623" s="3">
        <v>20</v>
      </c>
      <c r="F2623" s="4" t="str">
        <f>HYPERLINK("http://141.218.60.56/~jnz1568/getInfo.php?workbook=14_09.xlsx&amp;sheet=U0&amp;row=2623&amp;col=6&amp;number=4.9&amp;sourceID=14","4.9")</f>
        <v>4.9</v>
      </c>
      <c r="G2623" s="4" t="str">
        <f>HYPERLINK("http://141.218.60.56/~jnz1568/getInfo.php?workbook=14_09.xlsx&amp;sheet=U0&amp;row=2623&amp;col=7&amp;number=0.0511&amp;sourceID=14","0.0511")</f>
        <v>0.0511</v>
      </c>
    </row>
    <row r="2624" spans="1:7">
      <c r="A2624" s="3">
        <v>14</v>
      </c>
      <c r="B2624" s="3">
        <v>9</v>
      </c>
      <c r="C2624" s="3">
        <v>1</v>
      </c>
      <c r="D2624" s="3">
        <v>133</v>
      </c>
      <c r="E2624" s="3">
        <v>1</v>
      </c>
      <c r="F2624" s="4" t="str">
        <f>HYPERLINK("http://141.218.60.56/~jnz1568/getInfo.php?workbook=14_09.xlsx&amp;sheet=U0&amp;row=2624&amp;col=6&amp;number=3&amp;sourceID=14","3")</f>
        <v>3</v>
      </c>
      <c r="G2624" s="4" t="str">
        <f>HYPERLINK("http://141.218.60.56/~jnz1568/getInfo.php?workbook=14_09.xlsx&amp;sheet=U0&amp;row=2624&amp;col=7&amp;number=0.0133&amp;sourceID=14","0.0133")</f>
        <v>0.0133</v>
      </c>
    </row>
    <row r="2625" spans="1:7">
      <c r="A2625" s="3"/>
      <c r="B2625" s="3"/>
      <c r="C2625" s="3"/>
      <c r="D2625" s="3"/>
      <c r="E2625" s="3">
        <v>2</v>
      </c>
      <c r="F2625" s="4" t="str">
        <f>HYPERLINK("http://141.218.60.56/~jnz1568/getInfo.php?workbook=14_09.xlsx&amp;sheet=U0&amp;row=2625&amp;col=6&amp;number=3.1&amp;sourceID=14","3.1")</f>
        <v>3.1</v>
      </c>
      <c r="G2625" s="4" t="str">
        <f>HYPERLINK("http://141.218.60.56/~jnz1568/getInfo.php?workbook=14_09.xlsx&amp;sheet=U0&amp;row=2625&amp;col=7&amp;number=0.0133&amp;sourceID=14","0.0133")</f>
        <v>0.0133</v>
      </c>
    </row>
    <row r="2626" spans="1:7">
      <c r="A2626" s="3"/>
      <c r="B2626" s="3"/>
      <c r="C2626" s="3"/>
      <c r="D2626" s="3"/>
      <c r="E2626" s="3">
        <v>3</v>
      </c>
      <c r="F2626" s="4" t="str">
        <f>HYPERLINK("http://141.218.60.56/~jnz1568/getInfo.php?workbook=14_09.xlsx&amp;sheet=U0&amp;row=2626&amp;col=6&amp;number=3.2&amp;sourceID=14","3.2")</f>
        <v>3.2</v>
      </c>
      <c r="G2626" s="4" t="str">
        <f>HYPERLINK("http://141.218.60.56/~jnz1568/getInfo.php?workbook=14_09.xlsx&amp;sheet=U0&amp;row=2626&amp;col=7&amp;number=0.0133&amp;sourceID=14","0.0133")</f>
        <v>0.0133</v>
      </c>
    </row>
    <row r="2627" spans="1:7">
      <c r="A2627" s="3"/>
      <c r="B2627" s="3"/>
      <c r="C2627" s="3"/>
      <c r="D2627" s="3"/>
      <c r="E2627" s="3">
        <v>4</v>
      </c>
      <c r="F2627" s="4" t="str">
        <f>HYPERLINK("http://141.218.60.56/~jnz1568/getInfo.php?workbook=14_09.xlsx&amp;sheet=U0&amp;row=2627&amp;col=6&amp;number=3.3&amp;sourceID=14","3.3")</f>
        <v>3.3</v>
      </c>
      <c r="G2627" s="4" t="str">
        <f>HYPERLINK("http://141.218.60.56/~jnz1568/getInfo.php?workbook=14_09.xlsx&amp;sheet=U0&amp;row=2627&amp;col=7&amp;number=0.0133&amp;sourceID=14","0.0133")</f>
        <v>0.0133</v>
      </c>
    </row>
    <row r="2628" spans="1:7">
      <c r="A2628" s="3"/>
      <c r="B2628" s="3"/>
      <c r="C2628" s="3"/>
      <c r="D2628" s="3"/>
      <c r="E2628" s="3">
        <v>5</v>
      </c>
      <c r="F2628" s="4" t="str">
        <f>HYPERLINK("http://141.218.60.56/~jnz1568/getInfo.php?workbook=14_09.xlsx&amp;sheet=U0&amp;row=2628&amp;col=6&amp;number=3.4&amp;sourceID=14","3.4")</f>
        <v>3.4</v>
      </c>
      <c r="G2628" s="4" t="str">
        <f>HYPERLINK("http://141.218.60.56/~jnz1568/getInfo.php?workbook=14_09.xlsx&amp;sheet=U0&amp;row=2628&amp;col=7&amp;number=0.0133&amp;sourceID=14","0.0133")</f>
        <v>0.0133</v>
      </c>
    </row>
    <row r="2629" spans="1:7">
      <c r="A2629" s="3"/>
      <c r="B2629" s="3"/>
      <c r="C2629" s="3"/>
      <c r="D2629" s="3"/>
      <c r="E2629" s="3">
        <v>6</v>
      </c>
      <c r="F2629" s="4" t="str">
        <f>HYPERLINK("http://141.218.60.56/~jnz1568/getInfo.php?workbook=14_09.xlsx&amp;sheet=U0&amp;row=2629&amp;col=6&amp;number=3.5&amp;sourceID=14","3.5")</f>
        <v>3.5</v>
      </c>
      <c r="G2629" s="4" t="str">
        <f>HYPERLINK("http://141.218.60.56/~jnz1568/getInfo.php?workbook=14_09.xlsx&amp;sheet=U0&amp;row=2629&amp;col=7&amp;number=0.0133&amp;sourceID=14","0.0133")</f>
        <v>0.0133</v>
      </c>
    </row>
    <row r="2630" spans="1:7">
      <c r="A2630" s="3"/>
      <c r="B2630" s="3"/>
      <c r="C2630" s="3"/>
      <c r="D2630" s="3"/>
      <c r="E2630" s="3">
        <v>7</v>
      </c>
      <c r="F2630" s="4" t="str">
        <f>HYPERLINK("http://141.218.60.56/~jnz1568/getInfo.php?workbook=14_09.xlsx&amp;sheet=U0&amp;row=2630&amp;col=6&amp;number=3.6&amp;sourceID=14","3.6")</f>
        <v>3.6</v>
      </c>
      <c r="G2630" s="4" t="str">
        <f>HYPERLINK("http://141.218.60.56/~jnz1568/getInfo.php?workbook=14_09.xlsx&amp;sheet=U0&amp;row=2630&amp;col=7&amp;number=0.0133&amp;sourceID=14","0.0133")</f>
        <v>0.0133</v>
      </c>
    </row>
    <row r="2631" spans="1:7">
      <c r="A2631" s="3"/>
      <c r="B2631" s="3"/>
      <c r="C2631" s="3"/>
      <c r="D2631" s="3"/>
      <c r="E2631" s="3">
        <v>8</v>
      </c>
      <c r="F2631" s="4" t="str">
        <f>HYPERLINK("http://141.218.60.56/~jnz1568/getInfo.php?workbook=14_09.xlsx&amp;sheet=U0&amp;row=2631&amp;col=6&amp;number=3.7&amp;sourceID=14","3.7")</f>
        <v>3.7</v>
      </c>
      <c r="G2631" s="4" t="str">
        <f>HYPERLINK("http://141.218.60.56/~jnz1568/getInfo.php?workbook=14_09.xlsx&amp;sheet=U0&amp;row=2631&amp;col=7&amp;number=0.0133&amp;sourceID=14","0.0133")</f>
        <v>0.0133</v>
      </c>
    </row>
    <row r="2632" spans="1:7">
      <c r="A2632" s="3"/>
      <c r="B2632" s="3"/>
      <c r="C2632" s="3"/>
      <c r="D2632" s="3"/>
      <c r="E2632" s="3">
        <v>9</v>
      </c>
      <c r="F2632" s="4" t="str">
        <f>HYPERLINK("http://141.218.60.56/~jnz1568/getInfo.php?workbook=14_09.xlsx&amp;sheet=U0&amp;row=2632&amp;col=6&amp;number=3.8&amp;sourceID=14","3.8")</f>
        <v>3.8</v>
      </c>
      <c r="G2632" s="4" t="str">
        <f>HYPERLINK("http://141.218.60.56/~jnz1568/getInfo.php?workbook=14_09.xlsx&amp;sheet=U0&amp;row=2632&amp;col=7&amp;number=0.0133&amp;sourceID=14","0.0133")</f>
        <v>0.0133</v>
      </c>
    </row>
    <row r="2633" spans="1:7">
      <c r="A2633" s="3"/>
      <c r="B2633" s="3"/>
      <c r="C2633" s="3"/>
      <c r="D2633" s="3"/>
      <c r="E2633" s="3">
        <v>10</v>
      </c>
      <c r="F2633" s="4" t="str">
        <f>HYPERLINK("http://141.218.60.56/~jnz1568/getInfo.php?workbook=14_09.xlsx&amp;sheet=U0&amp;row=2633&amp;col=6&amp;number=3.9&amp;sourceID=14","3.9")</f>
        <v>3.9</v>
      </c>
      <c r="G2633" s="4" t="str">
        <f>HYPERLINK("http://141.218.60.56/~jnz1568/getInfo.php?workbook=14_09.xlsx&amp;sheet=U0&amp;row=2633&amp;col=7&amp;number=0.0133&amp;sourceID=14","0.0133")</f>
        <v>0.0133</v>
      </c>
    </row>
    <row r="2634" spans="1:7">
      <c r="A2634" s="3"/>
      <c r="B2634" s="3"/>
      <c r="C2634" s="3"/>
      <c r="D2634" s="3"/>
      <c r="E2634" s="3">
        <v>11</v>
      </c>
      <c r="F2634" s="4" t="str">
        <f>HYPERLINK("http://141.218.60.56/~jnz1568/getInfo.php?workbook=14_09.xlsx&amp;sheet=U0&amp;row=2634&amp;col=6&amp;number=4&amp;sourceID=14","4")</f>
        <v>4</v>
      </c>
      <c r="G2634" s="4" t="str">
        <f>HYPERLINK("http://141.218.60.56/~jnz1568/getInfo.php?workbook=14_09.xlsx&amp;sheet=U0&amp;row=2634&amp;col=7&amp;number=0.0133&amp;sourceID=14","0.0133")</f>
        <v>0.0133</v>
      </c>
    </row>
    <row r="2635" spans="1:7">
      <c r="A2635" s="3"/>
      <c r="B2635" s="3"/>
      <c r="C2635" s="3"/>
      <c r="D2635" s="3"/>
      <c r="E2635" s="3">
        <v>12</v>
      </c>
      <c r="F2635" s="4" t="str">
        <f>HYPERLINK("http://141.218.60.56/~jnz1568/getInfo.php?workbook=14_09.xlsx&amp;sheet=U0&amp;row=2635&amp;col=6&amp;number=4.1&amp;sourceID=14","4.1")</f>
        <v>4.1</v>
      </c>
      <c r="G2635" s="4" t="str">
        <f>HYPERLINK("http://141.218.60.56/~jnz1568/getInfo.php?workbook=14_09.xlsx&amp;sheet=U0&amp;row=2635&amp;col=7&amp;number=0.0133&amp;sourceID=14","0.0133")</f>
        <v>0.0133</v>
      </c>
    </row>
    <row r="2636" spans="1:7">
      <c r="A2636" s="3"/>
      <c r="B2636" s="3"/>
      <c r="C2636" s="3"/>
      <c r="D2636" s="3"/>
      <c r="E2636" s="3">
        <v>13</v>
      </c>
      <c r="F2636" s="4" t="str">
        <f>HYPERLINK("http://141.218.60.56/~jnz1568/getInfo.php?workbook=14_09.xlsx&amp;sheet=U0&amp;row=2636&amp;col=6&amp;number=4.2&amp;sourceID=14","4.2")</f>
        <v>4.2</v>
      </c>
      <c r="G2636" s="4" t="str">
        <f>HYPERLINK("http://141.218.60.56/~jnz1568/getInfo.php?workbook=14_09.xlsx&amp;sheet=U0&amp;row=2636&amp;col=7&amp;number=0.0133&amp;sourceID=14","0.0133")</f>
        <v>0.0133</v>
      </c>
    </row>
    <row r="2637" spans="1:7">
      <c r="A2637" s="3"/>
      <c r="B2637" s="3"/>
      <c r="C2637" s="3"/>
      <c r="D2637" s="3"/>
      <c r="E2637" s="3">
        <v>14</v>
      </c>
      <c r="F2637" s="4" t="str">
        <f>HYPERLINK("http://141.218.60.56/~jnz1568/getInfo.php?workbook=14_09.xlsx&amp;sheet=U0&amp;row=2637&amp;col=6&amp;number=4.3&amp;sourceID=14","4.3")</f>
        <v>4.3</v>
      </c>
      <c r="G2637" s="4" t="str">
        <f>HYPERLINK("http://141.218.60.56/~jnz1568/getInfo.php?workbook=14_09.xlsx&amp;sheet=U0&amp;row=2637&amp;col=7&amp;number=0.0133&amp;sourceID=14","0.0133")</f>
        <v>0.0133</v>
      </c>
    </row>
    <row r="2638" spans="1:7">
      <c r="A2638" s="3"/>
      <c r="B2638" s="3"/>
      <c r="C2638" s="3"/>
      <c r="D2638" s="3"/>
      <c r="E2638" s="3">
        <v>15</v>
      </c>
      <c r="F2638" s="4" t="str">
        <f>HYPERLINK("http://141.218.60.56/~jnz1568/getInfo.php?workbook=14_09.xlsx&amp;sheet=U0&amp;row=2638&amp;col=6&amp;number=4.4&amp;sourceID=14","4.4")</f>
        <v>4.4</v>
      </c>
      <c r="G2638" s="4" t="str">
        <f>HYPERLINK("http://141.218.60.56/~jnz1568/getInfo.php?workbook=14_09.xlsx&amp;sheet=U0&amp;row=2638&amp;col=7&amp;number=0.0133&amp;sourceID=14","0.0133")</f>
        <v>0.0133</v>
      </c>
    </row>
    <row r="2639" spans="1:7">
      <c r="A2639" s="3"/>
      <c r="B2639" s="3"/>
      <c r="C2639" s="3"/>
      <c r="D2639" s="3"/>
      <c r="E2639" s="3">
        <v>16</v>
      </c>
      <c r="F2639" s="4" t="str">
        <f>HYPERLINK("http://141.218.60.56/~jnz1568/getInfo.php?workbook=14_09.xlsx&amp;sheet=U0&amp;row=2639&amp;col=6&amp;number=4.5&amp;sourceID=14","4.5")</f>
        <v>4.5</v>
      </c>
      <c r="G2639" s="4" t="str">
        <f>HYPERLINK("http://141.218.60.56/~jnz1568/getInfo.php?workbook=14_09.xlsx&amp;sheet=U0&amp;row=2639&amp;col=7&amp;number=0.0132&amp;sourceID=14","0.0132")</f>
        <v>0.0132</v>
      </c>
    </row>
    <row r="2640" spans="1:7">
      <c r="A2640" s="3"/>
      <c r="B2640" s="3"/>
      <c r="C2640" s="3"/>
      <c r="D2640" s="3"/>
      <c r="E2640" s="3">
        <v>17</v>
      </c>
      <c r="F2640" s="4" t="str">
        <f>HYPERLINK("http://141.218.60.56/~jnz1568/getInfo.php?workbook=14_09.xlsx&amp;sheet=U0&amp;row=2640&amp;col=6&amp;number=4.6&amp;sourceID=14","4.6")</f>
        <v>4.6</v>
      </c>
      <c r="G2640" s="4" t="str">
        <f>HYPERLINK("http://141.218.60.56/~jnz1568/getInfo.php?workbook=14_09.xlsx&amp;sheet=U0&amp;row=2640&amp;col=7&amp;number=0.0132&amp;sourceID=14","0.0132")</f>
        <v>0.0132</v>
      </c>
    </row>
    <row r="2641" spans="1:7">
      <c r="A2641" s="3"/>
      <c r="B2641" s="3"/>
      <c r="C2641" s="3"/>
      <c r="D2641" s="3"/>
      <c r="E2641" s="3">
        <v>18</v>
      </c>
      <c r="F2641" s="4" t="str">
        <f>HYPERLINK("http://141.218.60.56/~jnz1568/getInfo.php?workbook=14_09.xlsx&amp;sheet=U0&amp;row=2641&amp;col=6&amp;number=4.7&amp;sourceID=14","4.7")</f>
        <v>4.7</v>
      </c>
      <c r="G2641" s="4" t="str">
        <f>HYPERLINK("http://141.218.60.56/~jnz1568/getInfo.php?workbook=14_09.xlsx&amp;sheet=U0&amp;row=2641&amp;col=7&amp;number=0.0132&amp;sourceID=14","0.0132")</f>
        <v>0.0132</v>
      </c>
    </row>
    <row r="2642" spans="1:7">
      <c r="A2642" s="3"/>
      <c r="B2642" s="3"/>
      <c r="C2642" s="3"/>
      <c r="D2642" s="3"/>
      <c r="E2642" s="3">
        <v>19</v>
      </c>
      <c r="F2642" s="4" t="str">
        <f>HYPERLINK("http://141.218.60.56/~jnz1568/getInfo.php?workbook=14_09.xlsx&amp;sheet=U0&amp;row=2642&amp;col=6&amp;number=4.8&amp;sourceID=14","4.8")</f>
        <v>4.8</v>
      </c>
      <c r="G2642" s="4" t="str">
        <f>HYPERLINK("http://141.218.60.56/~jnz1568/getInfo.php?workbook=14_09.xlsx&amp;sheet=U0&amp;row=2642&amp;col=7&amp;number=0.0131&amp;sourceID=14","0.0131")</f>
        <v>0.0131</v>
      </c>
    </row>
    <row r="2643" spans="1:7">
      <c r="A2643" s="3"/>
      <c r="B2643" s="3"/>
      <c r="C2643" s="3"/>
      <c r="D2643" s="3"/>
      <c r="E2643" s="3">
        <v>20</v>
      </c>
      <c r="F2643" s="4" t="str">
        <f>HYPERLINK("http://141.218.60.56/~jnz1568/getInfo.php?workbook=14_09.xlsx&amp;sheet=U0&amp;row=2643&amp;col=6&amp;number=4.9&amp;sourceID=14","4.9")</f>
        <v>4.9</v>
      </c>
      <c r="G2643" s="4" t="str">
        <f>HYPERLINK("http://141.218.60.56/~jnz1568/getInfo.php?workbook=14_09.xlsx&amp;sheet=U0&amp;row=2643&amp;col=7&amp;number=0.0131&amp;sourceID=14","0.0131")</f>
        <v>0.0131</v>
      </c>
    </row>
    <row r="2644" spans="1:7">
      <c r="A2644" s="3">
        <v>14</v>
      </c>
      <c r="B2644" s="3">
        <v>9</v>
      </c>
      <c r="C2644" s="3">
        <v>1</v>
      </c>
      <c r="D2644" s="3">
        <v>134</v>
      </c>
      <c r="E2644" s="3">
        <v>1</v>
      </c>
      <c r="F2644" s="4" t="str">
        <f>HYPERLINK("http://141.218.60.56/~jnz1568/getInfo.php?workbook=14_09.xlsx&amp;sheet=U0&amp;row=2644&amp;col=6&amp;number=3&amp;sourceID=14","3")</f>
        <v>3</v>
      </c>
      <c r="G2644" s="4" t="str">
        <f>HYPERLINK("http://141.218.60.56/~jnz1568/getInfo.php?workbook=14_09.xlsx&amp;sheet=U0&amp;row=2644&amp;col=7&amp;number=0.0175&amp;sourceID=14","0.0175")</f>
        <v>0.0175</v>
      </c>
    </row>
    <row r="2645" spans="1:7">
      <c r="A2645" s="3"/>
      <c r="B2645" s="3"/>
      <c r="C2645" s="3"/>
      <c r="D2645" s="3"/>
      <c r="E2645" s="3">
        <v>2</v>
      </c>
      <c r="F2645" s="4" t="str">
        <f>HYPERLINK("http://141.218.60.56/~jnz1568/getInfo.php?workbook=14_09.xlsx&amp;sheet=U0&amp;row=2645&amp;col=6&amp;number=3.1&amp;sourceID=14","3.1")</f>
        <v>3.1</v>
      </c>
      <c r="G2645" s="4" t="str">
        <f>HYPERLINK("http://141.218.60.56/~jnz1568/getInfo.php?workbook=14_09.xlsx&amp;sheet=U0&amp;row=2645&amp;col=7&amp;number=0.0175&amp;sourceID=14","0.0175")</f>
        <v>0.0175</v>
      </c>
    </row>
    <row r="2646" spans="1:7">
      <c r="A2646" s="3"/>
      <c r="B2646" s="3"/>
      <c r="C2646" s="3"/>
      <c r="D2646" s="3"/>
      <c r="E2646" s="3">
        <v>3</v>
      </c>
      <c r="F2646" s="4" t="str">
        <f>HYPERLINK("http://141.218.60.56/~jnz1568/getInfo.php?workbook=14_09.xlsx&amp;sheet=U0&amp;row=2646&amp;col=6&amp;number=3.2&amp;sourceID=14","3.2")</f>
        <v>3.2</v>
      </c>
      <c r="G2646" s="4" t="str">
        <f>HYPERLINK("http://141.218.60.56/~jnz1568/getInfo.php?workbook=14_09.xlsx&amp;sheet=U0&amp;row=2646&amp;col=7&amp;number=0.0176&amp;sourceID=14","0.0176")</f>
        <v>0.0176</v>
      </c>
    </row>
    <row r="2647" spans="1:7">
      <c r="A2647" s="3"/>
      <c r="B2647" s="3"/>
      <c r="C2647" s="3"/>
      <c r="D2647" s="3"/>
      <c r="E2647" s="3">
        <v>4</v>
      </c>
      <c r="F2647" s="4" t="str">
        <f>HYPERLINK("http://141.218.60.56/~jnz1568/getInfo.php?workbook=14_09.xlsx&amp;sheet=U0&amp;row=2647&amp;col=6&amp;number=3.3&amp;sourceID=14","3.3")</f>
        <v>3.3</v>
      </c>
      <c r="G2647" s="4" t="str">
        <f>HYPERLINK("http://141.218.60.56/~jnz1568/getInfo.php?workbook=14_09.xlsx&amp;sheet=U0&amp;row=2647&amp;col=7&amp;number=0.0176&amp;sourceID=14","0.0176")</f>
        <v>0.0176</v>
      </c>
    </row>
    <row r="2648" spans="1:7">
      <c r="A2648" s="3"/>
      <c r="B2648" s="3"/>
      <c r="C2648" s="3"/>
      <c r="D2648" s="3"/>
      <c r="E2648" s="3">
        <v>5</v>
      </c>
      <c r="F2648" s="4" t="str">
        <f>HYPERLINK("http://141.218.60.56/~jnz1568/getInfo.php?workbook=14_09.xlsx&amp;sheet=U0&amp;row=2648&amp;col=6&amp;number=3.4&amp;sourceID=14","3.4")</f>
        <v>3.4</v>
      </c>
      <c r="G2648" s="4" t="str">
        <f>HYPERLINK("http://141.218.60.56/~jnz1568/getInfo.php?workbook=14_09.xlsx&amp;sheet=U0&amp;row=2648&amp;col=7&amp;number=0.0176&amp;sourceID=14","0.0176")</f>
        <v>0.0176</v>
      </c>
    </row>
    <row r="2649" spans="1:7">
      <c r="A2649" s="3"/>
      <c r="B2649" s="3"/>
      <c r="C2649" s="3"/>
      <c r="D2649" s="3"/>
      <c r="E2649" s="3">
        <v>6</v>
      </c>
      <c r="F2649" s="4" t="str">
        <f>HYPERLINK("http://141.218.60.56/~jnz1568/getInfo.php?workbook=14_09.xlsx&amp;sheet=U0&amp;row=2649&amp;col=6&amp;number=3.5&amp;sourceID=14","3.5")</f>
        <v>3.5</v>
      </c>
      <c r="G2649" s="4" t="str">
        <f>HYPERLINK("http://141.218.60.56/~jnz1568/getInfo.php?workbook=14_09.xlsx&amp;sheet=U0&amp;row=2649&amp;col=7&amp;number=0.0176&amp;sourceID=14","0.0176")</f>
        <v>0.0176</v>
      </c>
    </row>
    <row r="2650" spans="1:7">
      <c r="A2650" s="3"/>
      <c r="B2650" s="3"/>
      <c r="C2650" s="3"/>
      <c r="D2650" s="3"/>
      <c r="E2650" s="3">
        <v>7</v>
      </c>
      <c r="F2650" s="4" t="str">
        <f>HYPERLINK("http://141.218.60.56/~jnz1568/getInfo.php?workbook=14_09.xlsx&amp;sheet=U0&amp;row=2650&amp;col=6&amp;number=3.6&amp;sourceID=14","3.6")</f>
        <v>3.6</v>
      </c>
      <c r="G2650" s="4" t="str">
        <f>HYPERLINK("http://141.218.60.56/~jnz1568/getInfo.php?workbook=14_09.xlsx&amp;sheet=U0&amp;row=2650&amp;col=7&amp;number=0.0176&amp;sourceID=14","0.0176")</f>
        <v>0.0176</v>
      </c>
    </row>
    <row r="2651" spans="1:7">
      <c r="A2651" s="3"/>
      <c r="B2651" s="3"/>
      <c r="C2651" s="3"/>
      <c r="D2651" s="3"/>
      <c r="E2651" s="3">
        <v>8</v>
      </c>
      <c r="F2651" s="4" t="str">
        <f>HYPERLINK("http://141.218.60.56/~jnz1568/getInfo.php?workbook=14_09.xlsx&amp;sheet=U0&amp;row=2651&amp;col=6&amp;number=3.7&amp;sourceID=14","3.7")</f>
        <v>3.7</v>
      </c>
      <c r="G2651" s="4" t="str">
        <f>HYPERLINK("http://141.218.60.56/~jnz1568/getInfo.php?workbook=14_09.xlsx&amp;sheet=U0&amp;row=2651&amp;col=7&amp;number=0.0176&amp;sourceID=14","0.0176")</f>
        <v>0.0176</v>
      </c>
    </row>
    <row r="2652" spans="1:7">
      <c r="A2652" s="3"/>
      <c r="B2652" s="3"/>
      <c r="C2652" s="3"/>
      <c r="D2652" s="3"/>
      <c r="E2652" s="3">
        <v>9</v>
      </c>
      <c r="F2652" s="4" t="str">
        <f>HYPERLINK("http://141.218.60.56/~jnz1568/getInfo.php?workbook=14_09.xlsx&amp;sheet=U0&amp;row=2652&amp;col=6&amp;number=3.8&amp;sourceID=14","3.8")</f>
        <v>3.8</v>
      </c>
      <c r="G2652" s="4" t="str">
        <f>HYPERLINK("http://141.218.60.56/~jnz1568/getInfo.php?workbook=14_09.xlsx&amp;sheet=U0&amp;row=2652&amp;col=7&amp;number=0.0176&amp;sourceID=14","0.0176")</f>
        <v>0.0176</v>
      </c>
    </row>
    <row r="2653" spans="1:7">
      <c r="A2653" s="3"/>
      <c r="B2653" s="3"/>
      <c r="C2653" s="3"/>
      <c r="D2653" s="3"/>
      <c r="E2653" s="3">
        <v>10</v>
      </c>
      <c r="F2653" s="4" t="str">
        <f>HYPERLINK("http://141.218.60.56/~jnz1568/getInfo.php?workbook=14_09.xlsx&amp;sheet=U0&amp;row=2653&amp;col=6&amp;number=3.9&amp;sourceID=14","3.9")</f>
        <v>3.9</v>
      </c>
      <c r="G2653" s="4" t="str">
        <f>HYPERLINK("http://141.218.60.56/~jnz1568/getInfo.php?workbook=14_09.xlsx&amp;sheet=U0&amp;row=2653&amp;col=7&amp;number=0.0176&amp;sourceID=14","0.0176")</f>
        <v>0.0176</v>
      </c>
    </row>
    <row r="2654" spans="1:7">
      <c r="A2654" s="3"/>
      <c r="B2654" s="3"/>
      <c r="C2654" s="3"/>
      <c r="D2654" s="3"/>
      <c r="E2654" s="3">
        <v>11</v>
      </c>
      <c r="F2654" s="4" t="str">
        <f>HYPERLINK("http://141.218.60.56/~jnz1568/getInfo.php?workbook=14_09.xlsx&amp;sheet=U0&amp;row=2654&amp;col=6&amp;number=4&amp;sourceID=14","4")</f>
        <v>4</v>
      </c>
      <c r="G2654" s="4" t="str">
        <f>HYPERLINK("http://141.218.60.56/~jnz1568/getInfo.php?workbook=14_09.xlsx&amp;sheet=U0&amp;row=2654&amp;col=7&amp;number=0.0176&amp;sourceID=14","0.0176")</f>
        <v>0.0176</v>
      </c>
    </row>
    <row r="2655" spans="1:7">
      <c r="A2655" s="3"/>
      <c r="B2655" s="3"/>
      <c r="C2655" s="3"/>
      <c r="D2655" s="3"/>
      <c r="E2655" s="3">
        <v>12</v>
      </c>
      <c r="F2655" s="4" t="str">
        <f>HYPERLINK("http://141.218.60.56/~jnz1568/getInfo.php?workbook=14_09.xlsx&amp;sheet=U0&amp;row=2655&amp;col=6&amp;number=4.1&amp;sourceID=14","4.1")</f>
        <v>4.1</v>
      </c>
      <c r="G2655" s="4" t="str">
        <f>HYPERLINK("http://141.218.60.56/~jnz1568/getInfo.php?workbook=14_09.xlsx&amp;sheet=U0&amp;row=2655&amp;col=7&amp;number=0.0176&amp;sourceID=14","0.0176")</f>
        <v>0.0176</v>
      </c>
    </row>
    <row r="2656" spans="1:7">
      <c r="A2656" s="3"/>
      <c r="B2656" s="3"/>
      <c r="C2656" s="3"/>
      <c r="D2656" s="3"/>
      <c r="E2656" s="3">
        <v>13</v>
      </c>
      <c r="F2656" s="4" t="str">
        <f>HYPERLINK("http://141.218.60.56/~jnz1568/getInfo.php?workbook=14_09.xlsx&amp;sheet=U0&amp;row=2656&amp;col=6&amp;number=4.2&amp;sourceID=14","4.2")</f>
        <v>4.2</v>
      </c>
      <c r="G2656" s="4" t="str">
        <f>HYPERLINK("http://141.218.60.56/~jnz1568/getInfo.php?workbook=14_09.xlsx&amp;sheet=U0&amp;row=2656&amp;col=7&amp;number=0.0177&amp;sourceID=14","0.0177")</f>
        <v>0.0177</v>
      </c>
    </row>
    <row r="2657" spans="1:7">
      <c r="A2657" s="3"/>
      <c r="B2657" s="3"/>
      <c r="C2657" s="3"/>
      <c r="D2657" s="3"/>
      <c r="E2657" s="3">
        <v>14</v>
      </c>
      <c r="F2657" s="4" t="str">
        <f>HYPERLINK("http://141.218.60.56/~jnz1568/getInfo.php?workbook=14_09.xlsx&amp;sheet=U0&amp;row=2657&amp;col=6&amp;number=4.3&amp;sourceID=14","4.3")</f>
        <v>4.3</v>
      </c>
      <c r="G2657" s="4" t="str">
        <f>HYPERLINK("http://141.218.60.56/~jnz1568/getInfo.php?workbook=14_09.xlsx&amp;sheet=U0&amp;row=2657&amp;col=7&amp;number=0.0177&amp;sourceID=14","0.0177")</f>
        <v>0.0177</v>
      </c>
    </row>
    <row r="2658" spans="1:7">
      <c r="A2658" s="3"/>
      <c r="B2658" s="3"/>
      <c r="C2658" s="3"/>
      <c r="D2658" s="3"/>
      <c r="E2658" s="3">
        <v>15</v>
      </c>
      <c r="F2658" s="4" t="str">
        <f>HYPERLINK("http://141.218.60.56/~jnz1568/getInfo.php?workbook=14_09.xlsx&amp;sheet=U0&amp;row=2658&amp;col=6&amp;number=4.4&amp;sourceID=14","4.4")</f>
        <v>4.4</v>
      </c>
      <c r="G2658" s="4" t="str">
        <f>HYPERLINK("http://141.218.60.56/~jnz1568/getInfo.php?workbook=14_09.xlsx&amp;sheet=U0&amp;row=2658&amp;col=7&amp;number=0.0177&amp;sourceID=14","0.0177")</f>
        <v>0.0177</v>
      </c>
    </row>
    <row r="2659" spans="1:7">
      <c r="A2659" s="3"/>
      <c r="B2659" s="3"/>
      <c r="C2659" s="3"/>
      <c r="D2659" s="3"/>
      <c r="E2659" s="3">
        <v>16</v>
      </c>
      <c r="F2659" s="4" t="str">
        <f>HYPERLINK("http://141.218.60.56/~jnz1568/getInfo.php?workbook=14_09.xlsx&amp;sheet=U0&amp;row=2659&amp;col=6&amp;number=4.5&amp;sourceID=14","4.5")</f>
        <v>4.5</v>
      </c>
      <c r="G2659" s="4" t="str">
        <f>HYPERLINK("http://141.218.60.56/~jnz1568/getInfo.php?workbook=14_09.xlsx&amp;sheet=U0&amp;row=2659&amp;col=7&amp;number=0.0178&amp;sourceID=14","0.0178")</f>
        <v>0.0178</v>
      </c>
    </row>
    <row r="2660" spans="1:7">
      <c r="A2660" s="3"/>
      <c r="B2660" s="3"/>
      <c r="C2660" s="3"/>
      <c r="D2660" s="3"/>
      <c r="E2660" s="3">
        <v>17</v>
      </c>
      <c r="F2660" s="4" t="str">
        <f>HYPERLINK("http://141.218.60.56/~jnz1568/getInfo.php?workbook=14_09.xlsx&amp;sheet=U0&amp;row=2660&amp;col=6&amp;number=4.6&amp;sourceID=14","4.6")</f>
        <v>4.6</v>
      </c>
      <c r="G2660" s="4" t="str">
        <f>HYPERLINK("http://141.218.60.56/~jnz1568/getInfo.php?workbook=14_09.xlsx&amp;sheet=U0&amp;row=2660&amp;col=7&amp;number=0.0178&amp;sourceID=14","0.0178")</f>
        <v>0.0178</v>
      </c>
    </row>
    <row r="2661" spans="1:7">
      <c r="A2661" s="3"/>
      <c r="B2661" s="3"/>
      <c r="C2661" s="3"/>
      <c r="D2661" s="3"/>
      <c r="E2661" s="3">
        <v>18</v>
      </c>
      <c r="F2661" s="4" t="str">
        <f>HYPERLINK("http://141.218.60.56/~jnz1568/getInfo.php?workbook=14_09.xlsx&amp;sheet=U0&amp;row=2661&amp;col=6&amp;number=4.7&amp;sourceID=14","4.7")</f>
        <v>4.7</v>
      </c>
      <c r="G2661" s="4" t="str">
        <f>HYPERLINK("http://141.218.60.56/~jnz1568/getInfo.php?workbook=14_09.xlsx&amp;sheet=U0&amp;row=2661&amp;col=7&amp;number=0.0179&amp;sourceID=14","0.0179")</f>
        <v>0.0179</v>
      </c>
    </row>
    <row r="2662" spans="1:7">
      <c r="A2662" s="3"/>
      <c r="B2662" s="3"/>
      <c r="C2662" s="3"/>
      <c r="D2662" s="3"/>
      <c r="E2662" s="3">
        <v>19</v>
      </c>
      <c r="F2662" s="4" t="str">
        <f>HYPERLINK("http://141.218.60.56/~jnz1568/getInfo.php?workbook=14_09.xlsx&amp;sheet=U0&amp;row=2662&amp;col=6&amp;number=4.8&amp;sourceID=14","4.8")</f>
        <v>4.8</v>
      </c>
      <c r="G2662" s="4" t="str">
        <f>HYPERLINK("http://141.218.60.56/~jnz1568/getInfo.php?workbook=14_09.xlsx&amp;sheet=U0&amp;row=2662&amp;col=7&amp;number=0.018&amp;sourceID=14","0.018")</f>
        <v>0.018</v>
      </c>
    </row>
    <row r="2663" spans="1:7">
      <c r="A2663" s="3"/>
      <c r="B2663" s="3"/>
      <c r="C2663" s="3"/>
      <c r="D2663" s="3"/>
      <c r="E2663" s="3">
        <v>20</v>
      </c>
      <c r="F2663" s="4" t="str">
        <f>HYPERLINK("http://141.218.60.56/~jnz1568/getInfo.php?workbook=14_09.xlsx&amp;sheet=U0&amp;row=2663&amp;col=6&amp;number=4.9&amp;sourceID=14","4.9")</f>
        <v>4.9</v>
      </c>
      <c r="G2663" s="4" t="str">
        <f>HYPERLINK("http://141.218.60.56/~jnz1568/getInfo.php?workbook=14_09.xlsx&amp;sheet=U0&amp;row=2663&amp;col=7&amp;number=0.0181&amp;sourceID=14","0.0181")</f>
        <v>0.0181</v>
      </c>
    </row>
    <row r="2664" spans="1:7">
      <c r="A2664" s="3">
        <v>14</v>
      </c>
      <c r="B2664" s="3">
        <v>9</v>
      </c>
      <c r="C2664" s="3">
        <v>1</v>
      </c>
      <c r="D2664" s="3">
        <v>135</v>
      </c>
      <c r="E2664" s="3">
        <v>1</v>
      </c>
      <c r="F2664" s="4" t="str">
        <f>HYPERLINK("http://141.218.60.56/~jnz1568/getInfo.php?workbook=14_09.xlsx&amp;sheet=U0&amp;row=2664&amp;col=6&amp;number=3&amp;sourceID=14","3")</f>
        <v>3</v>
      </c>
      <c r="G2664" s="4" t="str">
        <f>HYPERLINK("http://141.218.60.56/~jnz1568/getInfo.php?workbook=14_09.xlsx&amp;sheet=U0&amp;row=2664&amp;col=7&amp;number=0.0522&amp;sourceID=14","0.0522")</f>
        <v>0.0522</v>
      </c>
    </row>
    <row r="2665" spans="1:7">
      <c r="A2665" s="3"/>
      <c r="B2665" s="3"/>
      <c r="C2665" s="3"/>
      <c r="D2665" s="3"/>
      <c r="E2665" s="3">
        <v>2</v>
      </c>
      <c r="F2665" s="4" t="str">
        <f>HYPERLINK("http://141.218.60.56/~jnz1568/getInfo.php?workbook=14_09.xlsx&amp;sheet=U0&amp;row=2665&amp;col=6&amp;number=3.1&amp;sourceID=14","3.1")</f>
        <v>3.1</v>
      </c>
      <c r="G2665" s="4" t="str">
        <f>HYPERLINK("http://141.218.60.56/~jnz1568/getInfo.php?workbook=14_09.xlsx&amp;sheet=U0&amp;row=2665&amp;col=7&amp;number=0.0522&amp;sourceID=14","0.0522")</f>
        <v>0.0522</v>
      </c>
    </row>
    <row r="2666" spans="1:7">
      <c r="A2666" s="3"/>
      <c r="B2666" s="3"/>
      <c r="C2666" s="3"/>
      <c r="D2666" s="3"/>
      <c r="E2666" s="3">
        <v>3</v>
      </c>
      <c r="F2666" s="4" t="str">
        <f>HYPERLINK("http://141.218.60.56/~jnz1568/getInfo.php?workbook=14_09.xlsx&amp;sheet=U0&amp;row=2666&amp;col=6&amp;number=3.2&amp;sourceID=14","3.2")</f>
        <v>3.2</v>
      </c>
      <c r="G2666" s="4" t="str">
        <f>HYPERLINK("http://141.218.60.56/~jnz1568/getInfo.php?workbook=14_09.xlsx&amp;sheet=U0&amp;row=2666&amp;col=7&amp;number=0.0522&amp;sourceID=14","0.0522")</f>
        <v>0.0522</v>
      </c>
    </row>
    <row r="2667" spans="1:7">
      <c r="A2667" s="3"/>
      <c r="B2667" s="3"/>
      <c r="C2667" s="3"/>
      <c r="D2667" s="3"/>
      <c r="E2667" s="3">
        <v>4</v>
      </c>
      <c r="F2667" s="4" t="str">
        <f>HYPERLINK("http://141.218.60.56/~jnz1568/getInfo.php?workbook=14_09.xlsx&amp;sheet=U0&amp;row=2667&amp;col=6&amp;number=3.3&amp;sourceID=14","3.3")</f>
        <v>3.3</v>
      </c>
      <c r="G2667" s="4" t="str">
        <f>HYPERLINK("http://141.218.60.56/~jnz1568/getInfo.php?workbook=14_09.xlsx&amp;sheet=U0&amp;row=2667&amp;col=7&amp;number=0.0522&amp;sourceID=14","0.0522")</f>
        <v>0.0522</v>
      </c>
    </row>
    <row r="2668" spans="1:7">
      <c r="A2668" s="3"/>
      <c r="B2668" s="3"/>
      <c r="C2668" s="3"/>
      <c r="D2668" s="3"/>
      <c r="E2668" s="3">
        <v>5</v>
      </c>
      <c r="F2668" s="4" t="str">
        <f>HYPERLINK("http://141.218.60.56/~jnz1568/getInfo.php?workbook=14_09.xlsx&amp;sheet=U0&amp;row=2668&amp;col=6&amp;number=3.4&amp;sourceID=14","3.4")</f>
        <v>3.4</v>
      </c>
      <c r="G2668" s="4" t="str">
        <f>HYPERLINK("http://141.218.60.56/~jnz1568/getInfo.php?workbook=14_09.xlsx&amp;sheet=U0&amp;row=2668&amp;col=7&amp;number=0.0522&amp;sourceID=14","0.0522")</f>
        <v>0.0522</v>
      </c>
    </row>
    <row r="2669" spans="1:7">
      <c r="A2669" s="3"/>
      <c r="B2669" s="3"/>
      <c r="C2669" s="3"/>
      <c r="D2669" s="3"/>
      <c r="E2669" s="3">
        <v>6</v>
      </c>
      <c r="F2669" s="4" t="str">
        <f>HYPERLINK("http://141.218.60.56/~jnz1568/getInfo.php?workbook=14_09.xlsx&amp;sheet=U0&amp;row=2669&amp;col=6&amp;number=3.5&amp;sourceID=14","3.5")</f>
        <v>3.5</v>
      </c>
      <c r="G2669" s="4" t="str">
        <f>HYPERLINK("http://141.218.60.56/~jnz1568/getInfo.php?workbook=14_09.xlsx&amp;sheet=U0&amp;row=2669&amp;col=7&amp;number=0.0522&amp;sourceID=14","0.0522")</f>
        <v>0.0522</v>
      </c>
    </row>
    <row r="2670" spans="1:7">
      <c r="A2670" s="3"/>
      <c r="B2670" s="3"/>
      <c r="C2670" s="3"/>
      <c r="D2670" s="3"/>
      <c r="E2670" s="3">
        <v>7</v>
      </c>
      <c r="F2670" s="4" t="str">
        <f>HYPERLINK("http://141.218.60.56/~jnz1568/getInfo.php?workbook=14_09.xlsx&amp;sheet=U0&amp;row=2670&amp;col=6&amp;number=3.6&amp;sourceID=14","3.6")</f>
        <v>3.6</v>
      </c>
      <c r="G2670" s="4" t="str">
        <f>HYPERLINK("http://141.218.60.56/~jnz1568/getInfo.php?workbook=14_09.xlsx&amp;sheet=U0&amp;row=2670&amp;col=7&amp;number=0.0522&amp;sourceID=14","0.0522")</f>
        <v>0.0522</v>
      </c>
    </row>
    <row r="2671" spans="1:7">
      <c r="A2671" s="3"/>
      <c r="B2671" s="3"/>
      <c r="C2671" s="3"/>
      <c r="D2671" s="3"/>
      <c r="E2671" s="3">
        <v>8</v>
      </c>
      <c r="F2671" s="4" t="str">
        <f>HYPERLINK("http://141.218.60.56/~jnz1568/getInfo.php?workbook=14_09.xlsx&amp;sheet=U0&amp;row=2671&amp;col=6&amp;number=3.7&amp;sourceID=14","3.7")</f>
        <v>3.7</v>
      </c>
      <c r="G2671" s="4" t="str">
        <f>HYPERLINK("http://141.218.60.56/~jnz1568/getInfo.php?workbook=14_09.xlsx&amp;sheet=U0&amp;row=2671&amp;col=7&amp;number=0.0523&amp;sourceID=14","0.0523")</f>
        <v>0.0523</v>
      </c>
    </row>
    <row r="2672" spans="1:7">
      <c r="A2672" s="3"/>
      <c r="B2672" s="3"/>
      <c r="C2672" s="3"/>
      <c r="D2672" s="3"/>
      <c r="E2672" s="3">
        <v>9</v>
      </c>
      <c r="F2672" s="4" t="str">
        <f>HYPERLINK("http://141.218.60.56/~jnz1568/getInfo.php?workbook=14_09.xlsx&amp;sheet=U0&amp;row=2672&amp;col=6&amp;number=3.8&amp;sourceID=14","3.8")</f>
        <v>3.8</v>
      </c>
      <c r="G2672" s="4" t="str">
        <f>HYPERLINK("http://141.218.60.56/~jnz1568/getInfo.php?workbook=14_09.xlsx&amp;sheet=U0&amp;row=2672&amp;col=7&amp;number=0.0523&amp;sourceID=14","0.0523")</f>
        <v>0.0523</v>
      </c>
    </row>
    <row r="2673" spans="1:7">
      <c r="A2673" s="3"/>
      <c r="B2673" s="3"/>
      <c r="C2673" s="3"/>
      <c r="D2673" s="3"/>
      <c r="E2673" s="3">
        <v>10</v>
      </c>
      <c r="F2673" s="4" t="str">
        <f>HYPERLINK("http://141.218.60.56/~jnz1568/getInfo.php?workbook=14_09.xlsx&amp;sheet=U0&amp;row=2673&amp;col=6&amp;number=3.9&amp;sourceID=14","3.9")</f>
        <v>3.9</v>
      </c>
      <c r="G2673" s="4" t="str">
        <f>HYPERLINK("http://141.218.60.56/~jnz1568/getInfo.php?workbook=14_09.xlsx&amp;sheet=U0&amp;row=2673&amp;col=7&amp;number=0.0523&amp;sourceID=14","0.0523")</f>
        <v>0.0523</v>
      </c>
    </row>
    <row r="2674" spans="1:7">
      <c r="A2674" s="3"/>
      <c r="B2674" s="3"/>
      <c r="C2674" s="3"/>
      <c r="D2674" s="3"/>
      <c r="E2674" s="3">
        <v>11</v>
      </c>
      <c r="F2674" s="4" t="str">
        <f>HYPERLINK("http://141.218.60.56/~jnz1568/getInfo.php?workbook=14_09.xlsx&amp;sheet=U0&amp;row=2674&amp;col=6&amp;number=4&amp;sourceID=14","4")</f>
        <v>4</v>
      </c>
      <c r="G2674" s="4" t="str">
        <f>HYPERLINK("http://141.218.60.56/~jnz1568/getInfo.php?workbook=14_09.xlsx&amp;sheet=U0&amp;row=2674&amp;col=7&amp;number=0.0524&amp;sourceID=14","0.0524")</f>
        <v>0.0524</v>
      </c>
    </row>
    <row r="2675" spans="1:7">
      <c r="A2675" s="3"/>
      <c r="B2675" s="3"/>
      <c r="C2675" s="3"/>
      <c r="D2675" s="3"/>
      <c r="E2675" s="3">
        <v>12</v>
      </c>
      <c r="F2675" s="4" t="str">
        <f>HYPERLINK("http://141.218.60.56/~jnz1568/getInfo.php?workbook=14_09.xlsx&amp;sheet=U0&amp;row=2675&amp;col=6&amp;number=4.1&amp;sourceID=14","4.1")</f>
        <v>4.1</v>
      </c>
      <c r="G2675" s="4" t="str">
        <f>HYPERLINK("http://141.218.60.56/~jnz1568/getInfo.php?workbook=14_09.xlsx&amp;sheet=U0&amp;row=2675&amp;col=7&amp;number=0.0524&amp;sourceID=14","0.0524")</f>
        <v>0.0524</v>
      </c>
    </row>
    <row r="2676" spans="1:7">
      <c r="A2676" s="3"/>
      <c r="B2676" s="3"/>
      <c r="C2676" s="3"/>
      <c r="D2676" s="3"/>
      <c r="E2676" s="3">
        <v>13</v>
      </c>
      <c r="F2676" s="4" t="str">
        <f>HYPERLINK("http://141.218.60.56/~jnz1568/getInfo.php?workbook=14_09.xlsx&amp;sheet=U0&amp;row=2676&amp;col=6&amp;number=4.2&amp;sourceID=14","4.2")</f>
        <v>4.2</v>
      </c>
      <c r="G2676" s="4" t="str">
        <f>HYPERLINK("http://141.218.60.56/~jnz1568/getInfo.php?workbook=14_09.xlsx&amp;sheet=U0&amp;row=2676&amp;col=7&amp;number=0.0525&amp;sourceID=14","0.0525")</f>
        <v>0.0525</v>
      </c>
    </row>
    <row r="2677" spans="1:7">
      <c r="A2677" s="3"/>
      <c r="B2677" s="3"/>
      <c r="C2677" s="3"/>
      <c r="D2677" s="3"/>
      <c r="E2677" s="3">
        <v>14</v>
      </c>
      <c r="F2677" s="4" t="str">
        <f>HYPERLINK("http://141.218.60.56/~jnz1568/getInfo.php?workbook=14_09.xlsx&amp;sheet=U0&amp;row=2677&amp;col=6&amp;number=4.3&amp;sourceID=14","4.3")</f>
        <v>4.3</v>
      </c>
      <c r="G2677" s="4" t="str">
        <f>HYPERLINK("http://141.218.60.56/~jnz1568/getInfo.php?workbook=14_09.xlsx&amp;sheet=U0&amp;row=2677&amp;col=7&amp;number=0.0526&amp;sourceID=14","0.0526")</f>
        <v>0.0526</v>
      </c>
    </row>
    <row r="2678" spans="1:7">
      <c r="A2678" s="3"/>
      <c r="B2678" s="3"/>
      <c r="C2678" s="3"/>
      <c r="D2678" s="3"/>
      <c r="E2678" s="3">
        <v>15</v>
      </c>
      <c r="F2678" s="4" t="str">
        <f>HYPERLINK("http://141.218.60.56/~jnz1568/getInfo.php?workbook=14_09.xlsx&amp;sheet=U0&amp;row=2678&amp;col=6&amp;number=4.4&amp;sourceID=14","4.4")</f>
        <v>4.4</v>
      </c>
      <c r="G2678" s="4" t="str">
        <f>HYPERLINK("http://141.218.60.56/~jnz1568/getInfo.php?workbook=14_09.xlsx&amp;sheet=U0&amp;row=2678&amp;col=7&amp;number=0.0527&amp;sourceID=14","0.0527")</f>
        <v>0.0527</v>
      </c>
    </row>
    <row r="2679" spans="1:7">
      <c r="A2679" s="3"/>
      <c r="B2679" s="3"/>
      <c r="C2679" s="3"/>
      <c r="D2679" s="3"/>
      <c r="E2679" s="3">
        <v>16</v>
      </c>
      <c r="F2679" s="4" t="str">
        <f>HYPERLINK("http://141.218.60.56/~jnz1568/getInfo.php?workbook=14_09.xlsx&amp;sheet=U0&amp;row=2679&amp;col=6&amp;number=4.5&amp;sourceID=14","4.5")</f>
        <v>4.5</v>
      </c>
      <c r="G2679" s="4" t="str">
        <f>HYPERLINK("http://141.218.60.56/~jnz1568/getInfo.php?workbook=14_09.xlsx&amp;sheet=U0&amp;row=2679&amp;col=7&amp;number=0.0528&amp;sourceID=14","0.0528")</f>
        <v>0.0528</v>
      </c>
    </row>
    <row r="2680" spans="1:7">
      <c r="A2680" s="3"/>
      <c r="B2680" s="3"/>
      <c r="C2680" s="3"/>
      <c r="D2680" s="3"/>
      <c r="E2680" s="3">
        <v>17</v>
      </c>
      <c r="F2680" s="4" t="str">
        <f>HYPERLINK("http://141.218.60.56/~jnz1568/getInfo.php?workbook=14_09.xlsx&amp;sheet=U0&amp;row=2680&amp;col=6&amp;number=4.6&amp;sourceID=14","4.6")</f>
        <v>4.6</v>
      </c>
      <c r="G2680" s="4" t="str">
        <f>HYPERLINK("http://141.218.60.56/~jnz1568/getInfo.php?workbook=14_09.xlsx&amp;sheet=U0&amp;row=2680&amp;col=7&amp;number=0.053&amp;sourceID=14","0.053")</f>
        <v>0.053</v>
      </c>
    </row>
    <row r="2681" spans="1:7">
      <c r="A2681" s="3"/>
      <c r="B2681" s="3"/>
      <c r="C2681" s="3"/>
      <c r="D2681" s="3"/>
      <c r="E2681" s="3">
        <v>18</v>
      </c>
      <c r="F2681" s="4" t="str">
        <f>HYPERLINK("http://141.218.60.56/~jnz1568/getInfo.php?workbook=14_09.xlsx&amp;sheet=U0&amp;row=2681&amp;col=6&amp;number=4.7&amp;sourceID=14","4.7")</f>
        <v>4.7</v>
      </c>
      <c r="G2681" s="4" t="str">
        <f>HYPERLINK("http://141.218.60.56/~jnz1568/getInfo.php?workbook=14_09.xlsx&amp;sheet=U0&amp;row=2681&amp;col=7&amp;number=0.0532&amp;sourceID=14","0.0532")</f>
        <v>0.0532</v>
      </c>
    </row>
    <row r="2682" spans="1:7">
      <c r="A2682" s="3"/>
      <c r="B2682" s="3"/>
      <c r="C2682" s="3"/>
      <c r="D2682" s="3"/>
      <c r="E2682" s="3">
        <v>19</v>
      </c>
      <c r="F2682" s="4" t="str">
        <f>HYPERLINK("http://141.218.60.56/~jnz1568/getInfo.php?workbook=14_09.xlsx&amp;sheet=U0&amp;row=2682&amp;col=6&amp;number=4.8&amp;sourceID=14","4.8")</f>
        <v>4.8</v>
      </c>
      <c r="G2682" s="4" t="str">
        <f>HYPERLINK("http://141.218.60.56/~jnz1568/getInfo.php?workbook=14_09.xlsx&amp;sheet=U0&amp;row=2682&amp;col=7&amp;number=0.0535&amp;sourceID=14","0.0535")</f>
        <v>0.0535</v>
      </c>
    </row>
    <row r="2683" spans="1:7">
      <c r="A2683" s="3"/>
      <c r="B2683" s="3"/>
      <c r="C2683" s="3"/>
      <c r="D2683" s="3"/>
      <c r="E2683" s="3">
        <v>20</v>
      </c>
      <c r="F2683" s="4" t="str">
        <f>HYPERLINK("http://141.218.60.56/~jnz1568/getInfo.php?workbook=14_09.xlsx&amp;sheet=U0&amp;row=2683&amp;col=6&amp;number=4.9&amp;sourceID=14","4.9")</f>
        <v>4.9</v>
      </c>
      <c r="G2683" s="4" t="str">
        <f>HYPERLINK("http://141.218.60.56/~jnz1568/getInfo.php?workbook=14_09.xlsx&amp;sheet=U0&amp;row=2683&amp;col=7&amp;number=0.0539&amp;sourceID=14","0.0539")</f>
        <v>0.0539</v>
      </c>
    </row>
    <row r="2684" spans="1:7">
      <c r="A2684" s="3">
        <v>14</v>
      </c>
      <c r="B2684" s="3">
        <v>9</v>
      </c>
      <c r="C2684" s="3">
        <v>1</v>
      </c>
      <c r="D2684" s="3">
        <v>136</v>
      </c>
      <c r="E2684" s="3">
        <v>1</v>
      </c>
      <c r="F2684" s="4" t="str">
        <f>HYPERLINK("http://141.218.60.56/~jnz1568/getInfo.php?workbook=14_09.xlsx&amp;sheet=U0&amp;row=2684&amp;col=6&amp;number=3&amp;sourceID=14","3")</f>
        <v>3</v>
      </c>
      <c r="G2684" s="4" t="str">
        <f>HYPERLINK("http://141.218.60.56/~jnz1568/getInfo.php?workbook=14_09.xlsx&amp;sheet=U0&amp;row=2684&amp;col=7&amp;number=0.0148&amp;sourceID=14","0.0148")</f>
        <v>0.0148</v>
      </c>
    </row>
    <row r="2685" spans="1:7">
      <c r="A2685" s="3"/>
      <c r="B2685" s="3"/>
      <c r="C2685" s="3"/>
      <c r="D2685" s="3"/>
      <c r="E2685" s="3">
        <v>2</v>
      </c>
      <c r="F2685" s="4" t="str">
        <f>HYPERLINK("http://141.218.60.56/~jnz1568/getInfo.php?workbook=14_09.xlsx&amp;sheet=U0&amp;row=2685&amp;col=6&amp;number=3.1&amp;sourceID=14","3.1")</f>
        <v>3.1</v>
      </c>
      <c r="G2685" s="4" t="str">
        <f>HYPERLINK("http://141.218.60.56/~jnz1568/getInfo.php?workbook=14_09.xlsx&amp;sheet=U0&amp;row=2685&amp;col=7&amp;number=0.0148&amp;sourceID=14","0.0148")</f>
        <v>0.0148</v>
      </c>
    </row>
    <row r="2686" spans="1:7">
      <c r="A2686" s="3"/>
      <c r="B2686" s="3"/>
      <c r="C2686" s="3"/>
      <c r="D2686" s="3"/>
      <c r="E2686" s="3">
        <v>3</v>
      </c>
      <c r="F2686" s="4" t="str">
        <f>HYPERLINK("http://141.218.60.56/~jnz1568/getInfo.php?workbook=14_09.xlsx&amp;sheet=U0&amp;row=2686&amp;col=6&amp;number=3.2&amp;sourceID=14","3.2")</f>
        <v>3.2</v>
      </c>
      <c r="G2686" s="4" t="str">
        <f>HYPERLINK("http://141.218.60.56/~jnz1568/getInfo.php?workbook=14_09.xlsx&amp;sheet=U0&amp;row=2686&amp;col=7&amp;number=0.0148&amp;sourceID=14","0.0148")</f>
        <v>0.0148</v>
      </c>
    </row>
    <row r="2687" spans="1:7">
      <c r="A2687" s="3"/>
      <c r="B2687" s="3"/>
      <c r="C2687" s="3"/>
      <c r="D2687" s="3"/>
      <c r="E2687" s="3">
        <v>4</v>
      </c>
      <c r="F2687" s="4" t="str">
        <f>HYPERLINK("http://141.218.60.56/~jnz1568/getInfo.php?workbook=14_09.xlsx&amp;sheet=U0&amp;row=2687&amp;col=6&amp;number=3.3&amp;sourceID=14","3.3")</f>
        <v>3.3</v>
      </c>
      <c r="G2687" s="4" t="str">
        <f>HYPERLINK("http://141.218.60.56/~jnz1568/getInfo.php?workbook=14_09.xlsx&amp;sheet=U0&amp;row=2687&amp;col=7&amp;number=0.0148&amp;sourceID=14","0.0148")</f>
        <v>0.0148</v>
      </c>
    </row>
    <row r="2688" spans="1:7">
      <c r="A2688" s="3"/>
      <c r="B2688" s="3"/>
      <c r="C2688" s="3"/>
      <c r="D2688" s="3"/>
      <c r="E2688" s="3">
        <v>5</v>
      </c>
      <c r="F2688" s="4" t="str">
        <f>HYPERLINK("http://141.218.60.56/~jnz1568/getInfo.php?workbook=14_09.xlsx&amp;sheet=U0&amp;row=2688&amp;col=6&amp;number=3.4&amp;sourceID=14","3.4")</f>
        <v>3.4</v>
      </c>
      <c r="G2688" s="4" t="str">
        <f>HYPERLINK("http://141.218.60.56/~jnz1568/getInfo.php?workbook=14_09.xlsx&amp;sheet=U0&amp;row=2688&amp;col=7&amp;number=0.0148&amp;sourceID=14","0.0148")</f>
        <v>0.0148</v>
      </c>
    </row>
    <row r="2689" spans="1:7">
      <c r="A2689" s="3"/>
      <c r="B2689" s="3"/>
      <c r="C2689" s="3"/>
      <c r="D2689" s="3"/>
      <c r="E2689" s="3">
        <v>6</v>
      </c>
      <c r="F2689" s="4" t="str">
        <f>HYPERLINK("http://141.218.60.56/~jnz1568/getInfo.php?workbook=14_09.xlsx&amp;sheet=U0&amp;row=2689&amp;col=6&amp;number=3.5&amp;sourceID=14","3.5")</f>
        <v>3.5</v>
      </c>
      <c r="G2689" s="4" t="str">
        <f>HYPERLINK("http://141.218.60.56/~jnz1568/getInfo.php?workbook=14_09.xlsx&amp;sheet=U0&amp;row=2689&amp;col=7&amp;number=0.0148&amp;sourceID=14","0.0148")</f>
        <v>0.0148</v>
      </c>
    </row>
    <row r="2690" spans="1:7">
      <c r="A2690" s="3"/>
      <c r="B2690" s="3"/>
      <c r="C2690" s="3"/>
      <c r="D2690" s="3"/>
      <c r="E2690" s="3">
        <v>7</v>
      </c>
      <c r="F2690" s="4" t="str">
        <f>HYPERLINK("http://141.218.60.56/~jnz1568/getInfo.php?workbook=14_09.xlsx&amp;sheet=U0&amp;row=2690&amp;col=6&amp;number=3.6&amp;sourceID=14","3.6")</f>
        <v>3.6</v>
      </c>
      <c r="G2690" s="4" t="str">
        <f>HYPERLINK("http://141.218.60.56/~jnz1568/getInfo.php?workbook=14_09.xlsx&amp;sheet=U0&amp;row=2690&amp;col=7&amp;number=0.0148&amp;sourceID=14","0.0148")</f>
        <v>0.0148</v>
      </c>
    </row>
    <row r="2691" spans="1:7">
      <c r="A2691" s="3"/>
      <c r="B2691" s="3"/>
      <c r="C2691" s="3"/>
      <c r="D2691" s="3"/>
      <c r="E2691" s="3">
        <v>8</v>
      </c>
      <c r="F2691" s="4" t="str">
        <f>HYPERLINK("http://141.218.60.56/~jnz1568/getInfo.php?workbook=14_09.xlsx&amp;sheet=U0&amp;row=2691&amp;col=6&amp;number=3.7&amp;sourceID=14","3.7")</f>
        <v>3.7</v>
      </c>
      <c r="G2691" s="4" t="str">
        <f>HYPERLINK("http://141.218.60.56/~jnz1568/getInfo.php?workbook=14_09.xlsx&amp;sheet=U0&amp;row=2691&amp;col=7&amp;number=0.0148&amp;sourceID=14","0.0148")</f>
        <v>0.0148</v>
      </c>
    </row>
    <row r="2692" spans="1:7">
      <c r="A2692" s="3"/>
      <c r="B2692" s="3"/>
      <c r="C2692" s="3"/>
      <c r="D2692" s="3"/>
      <c r="E2692" s="3">
        <v>9</v>
      </c>
      <c r="F2692" s="4" t="str">
        <f>HYPERLINK("http://141.218.60.56/~jnz1568/getInfo.php?workbook=14_09.xlsx&amp;sheet=U0&amp;row=2692&amp;col=6&amp;number=3.8&amp;sourceID=14","3.8")</f>
        <v>3.8</v>
      </c>
      <c r="G2692" s="4" t="str">
        <f>HYPERLINK("http://141.218.60.56/~jnz1568/getInfo.php?workbook=14_09.xlsx&amp;sheet=U0&amp;row=2692&amp;col=7&amp;number=0.0148&amp;sourceID=14","0.0148")</f>
        <v>0.0148</v>
      </c>
    </row>
    <row r="2693" spans="1:7">
      <c r="A2693" s="3"/>
      <c r="B2693" s="3"/>
      <c r="C2693" s="3"/>
      <c r="D2693" s="3"/>
      <c r="E2693" s="3">
        <v>10</v>
      </c>
      <c r="F2693" s="4" t="str">
        <f>HYPERLINK("http://141.218.60.56/~jnz1568/getInfo.php?workbook=14_09.xlsx&amp;sheet=U0&amp;row=2693&amp;col=6&amp;number=3.9&amp;sourceID=14","3.9")</f>
        <v>3.9</v>
      </c>
      <c r="G2693" s="4" t="str">
        <f>HYPERLINK("http://141.218.60.56/~jnz1568/getInfo.php?workbook=14_09.xlsx&amp;sheet=U0&amp;row=2693&amp;col=7&amp;number=0.0148&amp;sourceID=14","0.0148")</f>
        <v>0.0148</v>
      </c>
    </row>
    <row r="2694" spans="1:7">
      <c r="A2694" s="3"/>
      <c r="B2694" s="3"/>
      <c r="C2694" s="3"/>
      <c r="D2694" s="3"/>
      <c r="E2694" s="3">
        <v>11</v>
      </c>
      <c r="F2694" s="4" t="str">
        <f>HYPERLINK("http://141.218.60.56/~jnz1568/getInfo.php?workbook=14_09.xlsx&amp;sheet=U0&amp;row=2694&amp;col=6&amp;number=4&amp;sourceID=14","4")</f>
        <v>4</v>
      </c>
      <c r="G2694" s="4" t="str">
        <f>HYPERLINK("http://141.218.60.56/~jnz1568/getInfo.php?workbook=14_09.xlsx&amp;sheet=U0&amp;row=2694&amp;col=7&amp;number=0.0148&amp;sourceID=14","0.0148")</f>
        <v>0.0148</v>
      </c>
    </row>
    <row r="2695" spans="1:7">
      <c r="A2695" s="3"/>
      <c r="B2695" s="3"/>
      <c r="C2695" s="3"/>
      <c r="D2695" s="3"/>
      <c r="E2695" s="3">
        <v>12</v>
      </c>
      <c r="F2695" s="4" t="str">
        <f>HYPERLINK("http://141.218.60.56/~jnz1568/getInfo.php?workbook=14_09.xlsx&amp;sheet=U0&amp;row=2695&amp;col=6&amp;number=4.1&amp;sourceID=14","4.1")</f>
        <v>4.1</v>
      </c>
      <c r="G2695" s="4" t="str">
        <f>HYPERLINK("http://141.218.60.56/~jnz1568/getInfo.php?workbook=14_09.xlsx&amp;sheet=U0&amp;row=2695&amp;col=7&amp;number=0.0148&amp;sourceID=14","0.0148")</f>
        <v>0.0148</v>
      </c>
    </row>
    <row r="2696" spans="1:7">
      <c r="A2696" s="3"/>
      <c r="B2696" s="3"/>
      <c r="C2696" s="3"/>
      <c r="D2696" s="3"/>
      <c r="E2696" s="3">
        <v>13</v>
      </c>
      <c r="F2696" s="4" t="str">
        <f>HYPERLINK("http://141.218.60.56/~jnz1568/getInfo.php?workbook=14_09.xlsx&amp;sheet=U0&amp;row=2696&amp;col=6&amp;number=4.2&amp;sourceID=14","4.2")</f>
        <v>4.2</v>
      </c>
      <c r="G2696" s="4" t="str">
        <f>HYPERLINK("http://141.218.60.56/~jnz1568/getInfo.php?workbook=14_09.xlsx&amp;sheet=U0&amp;row=2696&amp;col=7&amp;number=0.0148&amp;sourceID=14","0.0148")</f>
        <v>0.0148</v>
      </c>
    </row>
    <row r="2697" spans="1:7">
      <c r="A2697" s="3"/>
      <c r="B2697" s="3"/>
      <c r="C2697" s="3"/>
      <c r="D2697" s="3"/>
      <c r="E2697" s="3">
        <v>14</v>
      </c>
      <c r="F2697" s="4" t="str">
        <f>HYPERLINK("http://141.218.60.56/~jnz1568/getInfo.php?workbook=14_09.xlsx&amp;sheet=U0&amp;row=2697&amp;col=6&amp;number=4.3&amp;sourceID=14","4.3")</f>
        <v>4.3</v>
      </c>
      <c r="G2697" s="4" t="str">
        <f>HYPERLINK("http://141.218.60.56/~jnz1568/getInfo.php?workbook=14_09.xlsx&amp;sheet=U0&amp;row=2697&amp;col=7&amp;number=0.0148&amp;sourceID=14","0.0148")</f>
        <v>0.0148</v>
      </c>
    </row>
    <row r="2698" spans="1:7">
      <c r="A2698" s="3"/>
      <c r="B2698" s="3"/>
      <c r="C2698" s="3"/>
      <c r="D2698" s="3"/>
      <c r="E2698" s="3">
        <v>15</v>
      </c>
      <c r="F2698" s="4" t="str">
        <f>HYPERLINK("http://141.218.60.56/~jnz1568/getInfo.php?workbook=14_09.xlsx&amp;sheet=U0&amp;row=2698&amp;col=6&amp;number=4.4&amp;sourceID=14","4.4")</f>
        <v>4.4</v>
      </c>
      <c r="G2698" s="4" t="str">
        <f>HYPERLINK("http://141.218.60.56/~jnz1568/getInfo.php?workbook=14_09.xlsx&amp;sheet=U0&amp;row=2698&amp;col=7&amp;number=0.0148&amp;sourceID=14","0.0148")</f>
        <v>0.0148</v>
      </c>
    </row>
    <row r="2699" spans="1:7">
      <c r="A2699" s="3"/>
      <c r="B2699" s="3"/>
      <c r="C2699" s="3"/>
      <c r="D2699" s="3"/>
      <c r="E2699" s="3">
        <v>16</v>
      </c>
      <c r="F2699" s="4" t="str">
        <f>HYPERLINK("http://141.218.60.56/~jnz1568/getInfo.php?workbook=14_09.xlsx&amp;sheet=U0&amp;row=2699&amp;col=6&amp;number=4.5&amp;sourceID=14","4.5")</f>
        <v>4.5</v>
      </c>
      <c r="G2699" s="4" t="str">
        <f>HYPERLINK("http://141.218.60.56/~jnz1568/getInfo.php?workbook=14_09.xlsx&amp;sheet=U0&amp;row=2699&amp;col=7&amp;number=0.0149&amp;sourceID=14","0.0149")</f>
        <v>0.0149</v>
      </c>
    </row>
    <row r="2700" spans="1:7">
      <c r="A2700" s="3"/>
      <c r="B2700" s="3"/>
      <c r="C2700" s="3"/>
      <c r="D2700" s="3"/>
      <c r="E2700" s="3">
        <v>17</v>
      </c>
      <c r="F2700" s="4" t="str">
        <f>HYPERLINK("http://141.218.60.56/~jnz1568/getInfo.php?workbook=14_09.xlsx&amp;sheet=U0&amp;row=2700&amp;col=6&amp;number=4.6&amp;sourceID=14","4.6")</f>
        <v>4.6</v>
      </c>
      <c r="G2700" s="4" t="str">
        <f>HYPERLINK("http://141.218.60.56/~jnz1568/getInfo.php?workbook=14_09.xlsx&amp;sheet=U0&amp;row=2700&amp;col=7&amp;number=0.0149&amp;sourceID=14","0.0149")</f>
        <v>0.0149</v>
      </c>
    </row>
    <row r="2701" spans="1:7">
      <c r="A2701" s="3"/>
      <c r="B2701" s="3"/>
      <c r="C2701" s="3"/>
      <c r="D2701" s="3"/>
      <c r="E2701" s="3">
        <v>18</v>
      </c>
      <c r="F2701" s="4" t="str">
        <f>HYPERLINK("http://141.218.60.56/~jnz1568/getInfo.php?workbook=14_09.xlsx&amp;sheet=U0&amp;row=2701&amp;col=6&amp;number=4.7&amp;sourceID=14","4.7")</f>
        <v>4.7</v>
      </c>
      <c r="G2701" s="4" t="str">
        <f>HYPERLINK("http://141.218.60.56/~jnz1568/getInfo.php?workbook=14_09.xlsx&amp;sheet=U0&amp;row=2701&amp;col=7&amp;number=0.0149&amp;sourceID=14","0.0149")</f>
        <v>0.0149</v>
      </c>
    </row>
    <row r="2702" spans="1:7">
      <c r="A2702" s="3"/>
      <c r="B2702" s="3"/>
      <c r="C2702" s="3"/>
      <c r="D2702" s="3"/>
      <c r="E2702" s="3">
        <v>19</v>
      </c>
      <c r="F2702" s="4" t="str">
        <f>HYPERLINK("http://141.218.60.56/~jnz1568/getInfo.php?workbook=14_09.xlsx&amp;sheet=U0&amp;row=2702&amp;col=6&amp;number=4.8&amp;sourceID=14","4.8")</f>
        <v>4.8</v>
      </c>
      <c r="G2702" s="4" t="str">
        <f>HYPERLINK("http://141.218.60.56/~jnz1568/getInfo.php?workbook=14_09.xlsx&amp;sheet=U0&amp;row=2702&amp;col=7&amp;number=0.0149&amp;sourceID=14","0.0149")</f>
        <v>0.0149</v>
      </c>
    </row>
    <row r="2703" spans="1:7">
      <c r="A2703" s="3"/>
      <c r="B2703" s="3"/>
      <c r="C2703" s="3"/>
      <c r="D2703" s="3"/>
      <c r="E2703" s="3">
        <v>20</v>
      </c>
      <c r="F2703" s="4" t="str">
        <f>HYPERLINK("http://141.218.60.56/~jnz1568/getInfo.php?workbook=14_09.xlsx&amp;sheet=U0&amp;row=2703&amp;col=6&amp;number=4.9&amp;sourceID=14","4.9")</f>
        <v>4.9</v>
      </c>
      <c r="G2703" s="4" t="str">
        <f>HYPERLINK("http://141.218.60.56/~jnz1568/getInfo.php?workbook=14_09.xlsx&amp;sheet=U0&amp;row=2703&amp;col=7&amp;number=0.0149&amp;sourceID=14","0.0149")</f>
        <v>0.0149</v>
      </c>
    </row>
    <row r="2704" spans="1:7">
      <c r="A2704" s="3">
        <v>14</v>
      </c>
      <c r="B2704" s="3">
        <v>9</v>
      </c>
      <c r="C2704" s="3">
        <v>1</v>
      </c>
      <c r="D2704" s="3">
        <v>137</v>
      </c>
      <c r="E2704" s="3">
        <v>1</v>
      </c>
      <c r="F2704" s="4" t="str">
        <f>HYPERLINK("http://141.218.60.56/~jnz1568/getInfo.php?workbook=14_09.xlsx&amp;sheet=U0&amp;row=2704&amp;col=6&amp;number=3&amp;sourceID=14","3")</f>
        <v>3</v>
      </c>
      <c r="G2704" s="4" t="str">
        <f>HYPERLINK("http://141.218.60.56/~jnz1568/getInfo.php?workbook=14_09.xlsx&amp;sheet=U0&amp;row=2704&amp;col=7&amp;number=0.021&amp;sourceID=14","0.021")</f>
        <v>0.021</v>
      </c>
    </row>
    <row r="2705" spans="1:7">
      <c r="A2705" s="3"/>
      <c r="B2705" s="3"/>
      <c r="C2705" s="3"/>
      <c r="D2705" s="3"/>
      <c r="E2705" s="3">
        <v>2</v>
      </c>
      <c r="F2705" s="4" t="str">
        <f>HYPERLINK("http://141.218.60.56/~jnz1568/getInfo.php?workbook=14_09.xlsx&amp;sheet=U0&amp;row=2705&amp;col=6&amp;number=3.1&amp;sourceID=14","3.1")</f>
        <v>3.1</v>
      </c>
      <c r="G2705" s="4" t="str">
        <f>HYPERLINK("http://141.218.60.56/~jnz1568/getInfo.php?workbook=14_09.xlsx&amp;sheet=U0&amp;row=2705&amp;col=7&amp;number=0.021&amp;sourceID=14","0.021")</f>
        <v>0.021</v>
      </c>
    </row>
    <row r="2706" spans="1:7">
      <c r="A2706" s="3"/>
      <c r="B2706" s="3"/>
      <c r="C2706" s="3"/>
      <c r="D2706" s="3"/>
      <c r="E2706" s="3">
        <v>3</v>
      </c>
      <c r="F2706" s="4" t="str">
        <f>HYPERLINK("http://141.218.60.56/~jnz1568/getInfo.php?workbook=14_09.xlsx&amp;sheet=U0&amp;row=2706&amp;col=6&amp;number=3.2&amp;sourceID=14","3.2")</f>
        <v>3.2</v>
      </c>
      <c r="G2706" s="4" t="str">
        <f>HYPERLINK("http://141.218.60.56/~jnz1568/getInfo.php?workbook=14_09.xlsx&amp;sheet=U0&amp;row=2706&amp;col=7&amp;number=0.021&amp;sourceID=14","0.021")</f>
        <v>0.021</v>
      </c>
    </row>
    <row r="2707" spans="1:7">
      <c r="A2707" s="3"/>
      <c r="B2707" s="3"/>
      <c r="C2707" s="3"/>
      <c r="D2707" s="3"/>
      <c r="E2707" s="3">
        <v>4</v>
      </c>
      <c r="F2707" s="4" t="str">
        <f>HYPERLINK("http://141.218.60.56/~jnz1568/getInfo.php?workbook=14_09.xlsx&amp;sheet=U0&amp;row=2707&amp;col=6&amp;number=3.3&amp;sourceID=14","3.3")</f>
        <v>3.3</v>
      </c>
      <c r="G2707" s="4" t="str">
        <f>HYPERLINK("http://141.218.60.56/~jnz1568/getInfo.php?workbook=14_09.xlsx&amp;sheet=U0&amp;row=2707&amp;col=7&amp;number=0.021&amp;sourceID=14","0.021")</f>
        <v>0.021</v>
      </c>
    </row>
    <row r="2708" spans="1:7">
      <c r="A2708" s="3"/>
      <c r="B2708" s="3"/>
      <c r="C2708" s="3"/>
      <c r="D2708" s="3"/>
      <c r="E2708" s="3">
        <v>5</v>
      </c>
      <c r="F2708" s="4" t="str">
        <f>HYPERLINK("http://141.218.60.56/~jnz1568/getInfo.php?workbook=14_09.xlsx&amp;sheet=U0&amp;row=2708&amp;col=6&amp;number=3.4&amp;sourceID=14","3.4")</f>
        <v>3.4</v>
      </c>
      <c r="G2708" s="4" t="str">
        <f>HYPERLINK("http://141.218.60.56/~jnz1568/getInfo.php?workbook=14_09.xlsx&amp;sheet=U0&amp;row=2708&amp;col=7&amp;number=0.021&amp;sourceID=14","0.021")</f>
        <v>0.021</v>
      </c>
    </row>
    <row r="2709" spans="1:7">
      <c r="A2709" s="3"/>
      <c r="B2709" s="3"/>
      <c r="C2709" s="3"/>
      <c r="D2709" s="3"/>
      <c r="E2709" s="3">
        <v>6</v>
      </c>
      <c r="F2709" s="4" t="str">
        <f>HYPERLINK("http://141.218.60.56/~jnz1568/getInfo.php?workbook=14_09.xlsx&amp;sheet=U0&amp;row=2709&amp;col=6&amp;number=3.5&amp;sourceID=14","3.5")</f>
        <v>3.5</v>
      </c>
      <c r="G2709" s="4" t="str">
        <f>HYPERLINK("http://141.218.60.56/~jnz1568/getInfo.php?workbook=14_09.xlsx&amp;sheet=U0&amp;row=2709&amp;col=7&amp;number=0.021&amp;sourceID=14","0.021")</f>
        <v>0.021</v>
      </c>
    </row>
    <row r="2710" spans="1:7">
      <c r="A2710" s="3"/>
      <c r="B2710" s="3"/>
      <c r="C2710" s="3"/>
      <c r="D2710" s="3"/>
      <c r="E2710" s="3">
        <v>7</v>
      </c>
      <c r="F2710" s="4" t="str">
        <f>HYPERLINK("http://141.218.60.56/~jnz1568/getInfo.php?workbook=14_09.xlsx&amp;sheet=U0&amp;row=2710&amp;col=6&amp;number=3.6&amp;sourceID=14","3.6")</f>
        <v>3.6</v>
      </c>
      <c r="G2710" s="4" t="str">
        <f>HYPERLINK("http://141.218.60.56/~jnz1568/getInfo.php?workbook=14_09.xlsx&amp;sheet=U0&amp;row=2710&amp;col=7&amp;number=0.0209&amp;sourceID=14","0.0209")</f>
        <v>0.0209</v>
      </c>
    </row>
    <row r="2711" spans="1:7">
      <c r="A2711" s="3"/>
      <c r="B2711" s="3"/>
      <c r="C2711" s="3"/>
      <c r="D2711" s="3"/>
      <c r="E2711" s="3">
        <v>8</v>
      </c>
      <c r="F2711" s="4" t="str">
        <f>HYPERLINK("http://141.218.60.56/~jnz1568/getInfo.php?workbook=14_09.xlsx&amp;sheet=U0&amp;row=2711&amp;col=6&amp;number=3.7&amp;sourceID=14","3.7")</f>
        <v>3.7</v>
      </c>
      <c r="G2711" s="4" t="str">
        <f>HYPERLINK("http://141.218.60.56/~jnz1568/getInfo.php?workbook=14_09.xlsx&amp;sheet=U0&amp;row=2711&amp;col=7&amp;number=0.0209&amp;sourceID=14","0.0209")</f>
        <v>0.0209</v>
      </c>
    </row>
    <row r="2712" spans="1:7">
      <c r="A2712" s="3"/>
      <c r="B2712" s="3"/>
      <c r="C2712" s="3"/>
      <c r="D2712" s="3"/>
      <c r="E2712" s="3">
        <v>9</v>
      </c>
      <c r="F2712" s="4" t="str">
        <f>HYPERLINK("http://141.218.60.56/~jnz1568/getInfo.php?workbook=14_09.xlsx&amp;sheet=U0&amp;row=2712&amp;col=6&amp;number=3.8&amp;sourceID=14","3.8")</f>
        <v>3.8</v>
      </c>
      <c r="G2712" s="4" t="str">
        <f>HYPERLINK("http://141.218.60.56/~jnz1568/getInfo.php?workbook=14_09.xlsx&amp;sheet=U0&amp;row=2712&amp;col=7&amp;number=0.0208&amp;sourceID=14","0.0208")</f>
        <v>0.0208</v>
      </c>
    </row>
    <row r="2713" spans="1:7">
      <c r="A2713" s="3"/>
      <c r="B2713" s="3"/>
      <c r="C2713" s="3"/>
      <c r="D2713" s="3"/>
      <c r="E2713" s="3">
        <v>10</v>
      </c>
      <c r="F2713" s="4" t="str">
        <f>HYPERLINK("http://141.218.60.56/~jnz1568/getInfo.php?workbook=14_09.xlsx&amp;sheet=U0&amp;row=2713&amp;col=6&amp;number=3.9&amp;sourceID=14","3.9")</f>
        <v>3.9</v>
      </c>
      <c r="G2713" s="4" t="str">
        <f>HYPERLINK("http://141.218.60.56/~jnz1568/getInfo.php?workbook=14_09.xlsx&amp;sheet=U0&amp;row=2713&amp;col=7&amp;number=0.0208&amp;sourceID=14","0.0208")</f>
        <v>0.0208</v>
      </c>
    </row>
    <row r="2714" spans="1:7">
      <c r="A2714" s="3"/>
      <c r="B2714" s="3"/>
      <c r="C2714" s="3"/>
      <c r="D2714" s="3"/>
      <c r="E2714" s="3">
        <v>11</v>
      </c>
      <c r="F2714" s="4" t="str">
        <f>HYPERLINK("http://141.218.60.56/~jnz1568/getInfo.php?workbook=14_09.xlsx&amp;sheet=U0&amp;row=2714&amp;col=6&amp;number=4&amp;sourceID=14","4")</f>
        <v>4</v>
      </c>
      <c r="G2714" s="4" t="str">
        <f>HYPERLINK("http://141.218.60.56/~jnz1568/getInfo.php?workbook=14_09.xlsx&amp;sheet=U0&amp;row=2714&amp;col=7&amp;number=0.0207&amp;sourceID=14","0.0207")</f>
        <v>0.0207</v>
      </c>
    </row>
    <row r="2715" spans="1:7">
      <c r="A2715" s="3"/>
      <c r="B2715" s="3"/>
      <c r="C2715" s="3"/>
      <c r="D2715" s="3"/>
      <c r="E2715" s="3">
        <v>12</v>
      </c>
      <c r="F2715" s="4" t="str">
        <f>HYPERLINK("http://141.218.60.56/~jnz1568/getInfo.php?workbook=14_09.xlsx&amp;sheet=U0&amp;row=2715&amp;col=6&amp;number=4.1&amp;sourceID=14","4.1")</f>
        <v>4.1</v>
      </c>
      <c r="G2715" s="4" t="str">
        <f>HYPERLINK("http://141.218.60.56/~jnz1568/getInfo.php?workbook=14_09.xlsx&amp;sheet=U0&amp;row=2715&amp;col=7&amp;number=0.0206&amp;sourceID=14","0.0206")</f>
        <v>0.0206</v>
      </c>
    </row>
    <row r="2716" spans="1:7">
      <c r="A2716" s="3"/>
      <c r="B2716" s="3"/>
      <c r="C2716" s="3"/>
      <c r="D2716" s="3"/>
      <c r="E2716" s="3">
        <v>13</v>
      </c>
      <c r="F2716" s="4" t="str">
        <f>HYPERLINK("http://141.218.60.56/~jnz1568/getInfo.php?workbook=14_09.xlsx&amp;sheet=U0&amp;row=2716&amp;col=6&amp;number=4.2&amp;sourceID=14","4.2")</f>
        <v>4.2</v>
      </c>
      <c r="G2716" s="4" t="str">
        <f>HYPERLINK("http://141.218.60.56/~jnz1568/getInfo.php?workbook=14_09.xlsx&amp;sheet=U0&amp;row=2716&amp;col=7&amp;number=0.0205&amp;sourceID=14","0.0205")</f>
        <v>0.0205</v>
      </c>
    </row>
    <row r="2717" spans="1:7">
      <c r="A2717" s="3"/>
      <c r="B2717" s="3"/>
      <c r="C2717" s="3"/>
      <c r="D2717" s="3"/>
      <c r="E2717" s="3">
        <v>14</v>
      </c>
      <c r="F2717" s="4" t="str">
        <f>HYPERLINK("http://141.218.60.56/~jnz1568/getInfo.php?workbook=14_09.xlsx&amp;sheet=U0&amp;row=2717&amp;col=6&amp;number=4.3&amp;sourceID=14","4.3")</f>
        <v>4.3</v>
      </c>
      <c r="G2717" s="4" t="str">
        <f>HYPERLINK("http://141.218.60.56/~jnz1568/getInfo.php?workbook=14_09.xlsx&amp;sheet=U0&amp;row=2717&amp;col=7&amp;number=0.0204&amp;sourceID=14","0.0204")</f>
        <v>0.0204</v>
      </c>
    </row>
    <row r="2718" spans="1:7">
      <c r="A2718" s="3"/>
      <c r="B2718" s="3"/>
      <c r="C2718" s="3"/>
      <c r="D2718" s="3"/>
      <c r="E2718" s="3">
        <v>15</v>
      </c>
      <c r="F2718" s="4" t="str">
        <f>HYPERLINK("http://141.218.60.56/~jnz1568/getInfo.php?workbook=14_09.xlsx&amp;sheet=U0&amp;row=2718&amp;col=6&amp;number=4.4&amp;sourceID=14","4.4")</f>
        <v>4.4</v>
      </c>
      <c r="G2718" s="4" t="str">
        <f>HYPERLINK("http://141.218.60.56/~jnz1568/getInfo.php?workbook=14_09.xlsx&amp;sheet=U0&amp;row=2718&amp;col=7&amp;number=0.0202&amp;sourceID=14","0.0202")</f>
        <v>0.0202</v>
      </c>
    </row>
    <row r="2719" spans="1:7">
      <c r="A2719" s="3"/>
      <c r="B2719" s="3"/>
      <c r="C2719" s="3"/>
      <c r="D2719" s="3"/>
      <c r="E2719" s="3">
        <v>16</v>
      </c>
      <c r="F2719" s="4" t="str">
        <f>HYPERLINK("http://141.218.60.56/~jnz1568/getInfo.php?workbook=14_09.xlsx&amp;sheet=U0&amp;row=2719&amp;col=6&amp;number=4.5&amp;sourceID=14","4.5")</f>
        <v>4.5</v>
      </c>
      <c r="G2719" s="4" t="str">
        <f>HYPERLINK("http://141.218.60.56/~jnz1568/getInfo.php?workbook=14_09.xlsx&amp;sheet=U0&amp;row=2719&amp;col=7&amp;number=0.02&amp;sourceID=14","0.02")</f>
        <v>0.02</v>
      </c>
    </row>
    <row r="2720" spans="1:7">
      <c r="A2720" s="3"/>
      <c r="B2720" s="3"/>
      <c r="C2720" s="3"/>
      <c r="D2720" s="3"/>
      <c r="E2720" s="3">
        <v>17</v>
      </c>
      <c r="F2720" s="4" t="str">
        <f>HYPERLINK("http://141.218.60.56/~jnz1568/getInfo.php?workbook=14_09.xlsx&amp;sheet=U0&amp;row=2720&amp;col=6&amp;number=4.6&amp;sourceID=14","4.6")</f>
        <v>4.6</v>
      </c>
      <c r="G2720" s="4" t="str">
        <f>HYPERLINK("http://141.218.60.56/~jnz1568/getInfo.php?workbook=14_09.xlsx&amp;sheet=U0&amp;row=2720&amp;col=7&amp;number=0.0198&amp;sourceID=14","0.0198")</f>
        <v>0.0198</v>
      </c>
    </row>
    <row r="2721" spans="1:7">
      <c r="A2721" s="3"/>
      <c r="B2721" s="3"/>
      <c r="C2721" s="3"/>
      <c r="D2721" s="3"/>
      <c r="E2721" s="3">
        <v>18</v>
      </c>
      <c r="F2721" s="4" t="str">
        <f>HYPERLINK("http://141.218.60.56/~jnz1568/getInfo.php?workbook=14_09.xlsx&amp;sheet=U0&amp;row=2721&amp;col=6&amp;number=4.7&amp;sourceID=14","4.7")</f>
        <v>4.7</v>
      </c>
      <c r="G2721" s="4" t="str">
        <f>HYPERLINK("http://141.218.60.56/~jnz1568/getInfo.php?workbook=14_09.xlsx&amp;sheet=U0&amp;row=2721&amp;col=7&amp;number=0.0195&amp;sourceID=14","0.0195")</f>
        <v>0.0195</v>
      </c>
    </row>
    <row r="2722" spans="1:7">
      <c r="A2722" s="3"/>
      <c r="B2722" s="3"/>
      <c r="C2722" s="3"/>
      <c r="D2722" s="3"/>
      <c r="E2722" s="3">
        <v>19</v>
      </c>
      <c r="F2722" s="4" t="str">
        <f>HYPERLINK("http://141.218.60.56/~jnz1568/getInfo.php?workbook=14_09.xlsx&amp;sheet=U0&amp;row=2722&amp;col=6&amp;number=4.8&amp;sourceID=14","4.8")</f>
        <v>4.8</v>
      </c>
      <c r="G2722" s="4" t="str">
        <f>HYPERLINK("http://141.218.60.56/~jnz1568/getInfo.php?workbook=14_09.xlsx&amp;sheet=U0&amp;row=2722&amp;col=7&amp;number=0.0191&amp;sourceID=14","0.0191")</f>
        <v>0.0191</v>
      </c>
    </row>
    <row r="2723" spans="1:7">
      <c r="A2723" s="3"/>
      <c r="B2723" s="3"/>
      <c r="C2723" s="3"/>
      <c r="D2723" s="3"/>
      <c r="E2723" s="3">
        <v>20</v>
      </c>
      <c r="F2723" s="4" t="str">
        <f>HYPERLINK("http://141.218.60.56/~jnz1568/getInfo.php?workbook=14_09.xlsx&amp;sheet=U0&amp;row=2723&amp;col=6&amp;number=4.9&amp;sourceID=14","4.9")</f>
        <v>4.9</v>
      </c>
      <c r="G2723" s="4" t="str">
        <f>HYPERLINK("http://141.218.60.56/~jnz1568/getInfo.php?workbook=14_09.xlsx&amp;sheet=U0&amp;row=2723&amp;col=7&amp;number=0.0187&amp;sourceID=14","0.0187")</f>
        <v>0.0187</v>
      </c>
    </row>
    <row r="2724" spans="1:7">
      <c r="A2724" s="3">
        <v>14</v>
      </c>
      <c r="B2724" s="3">
        <v>9</v>
      </c>
      <c r="C2724" s="3">
        <v>1</v>
      </c>
      <c r="D2724" s="3">
        <v>138</v>
      </c>
      <c r="E2724" s="3">
        <v>1</v>
      </c>
      <c r="F2724" s="4" t="str">
        <f>HYPERLINK("http://141.218.60.56/~jnz1568/getInfo.php?workbook=14_09.xlsx&amp;sheet=U0&amp;row=2724&amp;col=6&amp;number=3&amp;sourceID=14","3")</f>
        <v>3</v>
      </c>
      <c r="G2724" s="4" t="str">
        <f>HYPERLINK("http://141.218.60.56/~jnz1568/getInfo.php?workbook=14_09.xlsx&amp;sheet=U0&amp;row=2724&amp;col=7&amp;number=0.0033&amp;sourceID=14","0.0033")</f>
        <v>0.0033</v>
      </c>
    </row>
    <row r="2725" spans="1:7">
      <c r="A2725" s="3"/>
      <c r="B2725" s="3"/>
      <c r="C2725" s="3"/>
      <c r="D2725" s="3"/>
      <c r="E2725" s="3">
        <v>2</v>
      </c>
      <c r="F2725" s="4" t="str">
        <f>HYPERLINK("http://141.218.60.56/~jnz1568/getInfo.php?workbook=14_09.xlsx&amp;sheet=U0&amp;row=2725&amp;col=6&amp;number=3.1&amp;sourceID=14","3.1")</f>
        <v>3.1</v>
      </c>
      <c r="G2725" s="4" t="str">
        <f>HYPERLINK("http://141.218.60.56/~jnz1568/getInfo.php?workbook=14_09.xlsx&amp;sheet=U0&amp;row=2725&amp;col=7&amp;number=0.0033&amp;sourceID=14","0.0033")</f>
        <v>0.0033</v>
      </c>
    </row>
    <row r="2726" spans="1:7">
      <c r="A2726" s="3"/>
      <c r="B2726" s="3"/>
      <c r="C2726" s="3"/>
      <c r="D2726" s="3"/>
      <c r="E2726" s="3">
        <v>3</v>
      </c>
      <c r="F2726" s="4" t="str">
        <f>HYPERLINK("http://141.218.60.56/~jnz1568/getInfo.php?workbook=14_09.xlsx&amp;sheet=U0&amp;row=2726&amp;col=6&amp;number=3.2&amp;sourceID=14","3.2")</f>
        <v>3.2</v>
      </c>
      <c r="G2726" s="4" t="str">
        <f>HYPERLINK("http://141.218.60.56/~jnz1568/getInfo.php?workbook=14_09.xlsx&amp;sheet=U0&amp;row=2726&amp;col=7&amp;number=0.0033&amp;sourceID=14","0.0033")</f>
        <v>0.0033</v>
      </c>
    </row>
    <row r="2727" spans="1:7">
      <c r="A2727" s="3"/>
      <c r="B2727" s="3"/>
      <c r="C2727" s="3"/>
      <c r="D2727" s="3"/>
      <c r="E2727" s="3">
        <v>4</v>
      </c>
      <c r="F2727" s="4" t="str">
        <f>HYPERLINK("http://141.218.60.56/~jnz1568/getInfo.php?workbook=14_09.xlsx&amp;sheet=U0&amp;row=2727&amp;col=6&amp;number=3.3&amp;sourceID=14","3.3")</f>
        <v>3.3</v>
      </c>
      <c r="G2727" s="4" t="str">
        <f>HYPERLINK("http://141.218.60.56/~jnz1568/getInfo.php?workbook=14_09.xlsx&amp;sheet=U0&amp;row=2727&amp;col=7&amp;number=0.0033&amp;sourceID=14","0.0033")</f>
        <v>0.0033</v>
      </c>
    </row>
    <row r="2728" spans="1:7">
      <c r="A2728" s="3"/>
      <c r="B2728" s="3"/>
      <c r="C2728" s="3"/>
      <c r="D2728" s="3"/>
      <c r="E2728" s="3">
        <v>5</v>
      </c>
      <c r="F2728" s="4" t="str">
        <f>HYPERLINK("http://141.218.60.56/~jnz1568/getInfo.php?workbook=14_09.xlsx&amp;sheet=U0&amp;row=2728&amp;col=6&amp;number=3.4&amp;sourceID=14","3.4")</f>
        <v>3.4</v>
      </c>
      <c r="G2728" s="4" t="str">
        <f>HYPERLINK("http://141.218.60.56/~jnz1568/getInfo.php?workbook=14_09.xlsx&amp;sheet=U0&amp;row=2728&amp;col=7&amp;number=0.00329&amp;sourceID=14","0.00329")</f>
        <v>0.00329</v>
      </c>
    </row>
    <row r="2729" spans="1:7">
      <c r="A2729" s="3"/>
      <c r="B2729" s="3"/>
      <c r="C2729" s="3"/>
      <c r="D2729" s="3"/>
      <c r="E2729" s="3">
        <v>6</v>
      </c>
      <c r="F2729" s="4" t="str">
        <f>HYPERLINK("http://141.218.60.56/~jnz1568/getInfo.php?workbook=14_09.xlsx&amp;sheet=U0&amp;row=2729&amp;col=6&amp;number=3.5&amp;sourceID=14","3.5")</f>
        <v>3.5</v>
      </c>
      <c r="G2729" s="4" t="str">
        <f>HYPERLINK("http://141.218.60.56/~jnz1568/getInfo.php?workbook=14_09.xlsx&amp;sheet=U0&amp;row=2729&amp;col=7&amp;number=0.00329&amp;sourceID=14","0.00329")</f>
        <v>0.00329</v>
      </c>
    </row>
    <row r="2730" spans="1:7">
      <c r="A2730" s="3"/>
      <c r="B2730" s="3"/>
      <c r="C2730" s="3"/>
      <c r="D2730" s="3"/>
      <c r="E2730" s="3">
        <v>7</v>
      </c>
      <c r="F2730" s="4" t="str">
        <f>HYPERLINK("http://141.218.60.56/~jnz1568/getInfo.php?workbook=14_09.xlsx&amp;sheet=U0&amp;row=2730&amp;col=6&amp;number=3.6&amp;sourceID=14","3.6")</f>
        <v>3.6</v>
      </c>
      <c r="G2730" s="4" t="str">
        <f>HYPERLINK("http://141.218.60.56/~jnz1568/getInfo.php?workbook=14_09.xlsx&amp;sheet=U0&amp;row=2730&amp;col=7&amp;number=0.00329&amp;sourceID=14","0.00329")</f>
        <v>0.00329</v>
      </c>
    </row>
    <row r="2731" spans="1:7">
      <c r="A2731" s="3"/>
      <c r="B2731" s="3"/>
      <c r="C2731" s="3"/>
      <c r="D2731" s="3"/>
      <c r="E2731" s="3">
        <v>8</v>
      </c>
      <c r="F2731" s="4" t="str">
        <f>HYPERLINK("http://141.218.60.56/~jnz1568/getInfo.php?workbook=14_09.xlsx&amp;sheet=U0&amp;row=2731&amp;col=6&amp;number=3.7&amp;sourceID=14","3.7")</f>
        <v>3.7</v>
      </c>
      <c r="G2731" s="4" t="str">
        <f>HYPERLINK("http://141.218.60.56/~jnz1568/getInfo.php?workbook=14_09.xlsx&amp;sheet=U0&amp;row=2731&amp;col=7&amp;number=0.00329&amp;sourceID=14","0.00329")</f>
        <v>0.00329</v>
      </c>
    </row>
    <row r="2732" spans="1:7">
      <c r="A2732" s="3"/>
      <c r="B2732" s="3"/>
      <c r="C2732" s="3"/>
      <c r="D2732" s="3"/>
      <c r="E2732" s="3">
        <v>9</v>
      </c>
      <c r="F2732" s="4" t="str">
        <f>HYPERLINK("http://141.218.60.56/~jnz1568/getInfo.php?workbook=14_09.xlsx&amp;sheet=U0&amp;row=2732&amp;col=6&amp;number=3.8&amp;sourceID=14","3.8")</f>
        <v>3.8</v>
      </c>
      <c r="G2732" s="4" t="str">
        <f>HYPERLINK("http://141.218.60.56/~jnz1568/getInfo.php?workbook=14_09.xlsx&amp;sheet=U0&amp;row=2732&amp;col=7&amp;number=0.00328&amp;sourceID=14","0.00328")</f>
        <v>0.00328</v>
      </c>
    </row>
    <row r="2733" spans="1:7">
      <c r="A2733" s="3"/>
      <c r="B2733" s="3"/>
      <c r="C2733" s="3"/>
      <c r="D2733" s="3"/>
      <c r="E2733" s="3">
        <v>10</v>
      </c>
      <c r="F2733" s="4" t="str">
        <f>HYPERLINK("http://141.218.60.56/~jnz1568/getInfo.php?workbook=14_09.xlsx&amp;sheet=U0&amp;row=2733&amp;col=6&amp;number=3.9&amp;sourceID=14","3.9")</f>
        <v>3.9</v>
      </c>
      <c r="G2733" s="4" t="str">
        <f>HYPERLINK("http://141.218.60.56/~jnz1568/getInfo.php?workbook=14_09.xlsx&amp;sheet=U0&amp;row=2733&amp;col=7&amp;number=0.00328&amp;sourceID=14","0.00328")</f>
        <v>0.00328</v>
      </c>
    </row>
    <row r="2734" spans="1:7">
      <c r="A2734" s="3"/>
      <c r="B2734" s="3"/>
      <c r="C2734" s="3"/>
      <c r="D2734" s="3"/>
      <c r="E2734" s="3">
        <v>11</v>
      </c>
      <c r="F2734" s="4" t="str">
        <f>HYPERLINK("http://141.218.60.56/~jnz1568/getInfo.php?workbook=14_09.xlsx&amp;sheet=U0&amp;row=2734&amp;col=6&amp;number=4&amp;sourceID=14","4")</f>
        <v>4</v>
      </c>
      <c r="G2734" s="4" t="str">
        <f>HYPERLINK("http://141.218.60.56/~jnz1568/getInfo.php?workbook=14_09.xlsx&amp;sheet=U0&amp;row=2734&amp;col=7&amp;number=0.00327&amp;sourceID=14","0.00327")</f>
        <v>0.00327</v>
      </c>
    </row>
    <row r="2735" spans="1:7">
      <c r="A2735" s="3"/>
      <c r="B2735" s="3"/>
      <c r="C2735" s="3"/>
      <c r="D2735" s="3"/>
      <c r="E2735" s="3">
        <v>12</v>
      </c>
      <c r="F2735" s="4" t="str">
        <f>HYPERLINK("http://141.218.60.56/~jnz1568/getInfo.php?workbook=14_09.xlsx&amp;sheet=U0&amp;row=2735&amp;col=6&amp;number=4.1&amp;sourceID=14","4.1")</f>
        <v>4.1</v>
      </c>
      <c r="G2735" s="4" t="str">
        <f>HYPERLINK("http://141.218.60.56/~jnz1568/getInfo.php?workbook=14_09.xlsx&amp;sheet=U0&amp;row=2735&amp;col=7&amp;number=0.00327&amp;sourceID=14","0.00327")</f>
        <v>0.00327</v>
      </c>
    </row>
    <row r="2736" spans="1:7">
      <c r="A2736" s="3"/>
      <c r="B2736" s="3"/>
      <c r="C2736" s="3"/>
      <c r="D2736" s="3"/>
      <c r="E2736" s="3">
        <v>13</v>
      </c>
      <c r="F2736" s="4" t="str">
        <f>HYPERLINK("http://141.218.60.56/~jnz1568/getInfo.php?workbook=14_09.xlsx&amp;sheet=U0&amp;row=2736&amp;col=6&amp;number=4.2&amp;sourceID=14","4.2")</f>
        <v>4.2</v>
      </c>
      <c r="G2736" s="4" t="str">
        <f>HYPERLINK("http://141.218.60.56/~jnz1568/getInfo.php?workbook=14_09.xlsx&amp;sheet=U0&amp;row=2736&amp;col=7&amp;number=0.00326&amp;sourceID=14","0.00326")</f>
        <v>0.00326</v>
      </c>
    </row>
    <row r="2737" spans="1:7">
      <c r="A2737" s="3"/>
      <c r="B2737" s="3"/>
      <c r="C2737" s="3"/>
      <c r="D2737" s="3"/>
      <c r="E2737" s="3">
        <v>14</v>
      </c>
      <c r="F2737" s="4" t="str">
        <f>HYPERLINK("http://141.218.60.56/~jnz1568/getInfo.php?workbook=14_09.xlsx&amp;sheet=U0&amp;row=2737&amp;col=6&amp;number=4.3&amp;sourceID=14","4.3")</f>
        <v>4.3</v>
      </c>
      <c r="G2737" s="4" t="str">
        <f>HYPERLINK("http://141.218.60.56/~jnz1568/getInfo.php?workbook=14_09.xlsx&amp;sheet=U0&amp;row=2737&amp;col=7&amp;number=0.00324&amp;sourceID=14","0.00324")</f>
        <v>0.00324</v>
      </c>
    </row>
    <row r="2738" spans="1:7">
      <c r="A2738" s="3"/>
      <c r="B2738" s="3"/>
      <c r="C2738" s="3"/>
      <c r="D2738" s="3"/>
      <c r="E2738" s="3">
        <v>15</v>
      </c>
      <c r="F2738" s="4" t="str">
        <f>HYPERLINK("http://141.218.60.56/~jnz1568/getInfo.php?workbook=14_09.xlsx&amp;sheet=U0&amp;row=2738&amp;col=6&amp;number=4.4&amp;sourceID=14","4.4")</f>
        <v>4.4</v>
      </c>
      <c r="G2738" s="4" t="str">
        <f>HYPERLINK("http://141.218.60.56/~jnz1568/getInfo.php?workbook=14_09.xlsx&amp;sheet=U0&amp;row=2738&amp;col=7&amp;number=0.00323&amp;sourceID=14","0.00323")</f>
        <v>0.00323</v>
      </c>
    </row>
    <row r="2739" spans="1:7">
      <c r="A2739" s="3"/>
      <c r="B2739" s="3"/>
      <c r="C2739" s="3"/>
      <c r="D2739" s="3"/>
      <c r="E2739" s="3">
        <v>16</v>
      </c>
      <c r="F2739" s="4" t="str">
        <f>HYPERLINK("http://141.218.60.56/~jnz1568/getInfo.php?workbook=14_09.xlsx&amp;sheet=U0&amp;row=2739&amp;col=6&amp;number=4.5&amp;sourceID=14","4.5")</f>
        <v>4.5</v>
      </c>
      <c r="G2739" s="4" t="str">
        <f>HYPERLINK("http://141.218.60.56/~jnz1568/getInfo.php?workbook=14_09.xlsx&amp;sheet=U0&amp;row=2739&amp;col=7&amp;number=0.00321&amp;sourceID=14","0.00321")</f>
        <v>0.00321</v>
      </c>
    </row>
    <row r="2740" spans="1:7">
      <c r="A2740" s="3"/>
      <c r="B2740" s="3"/>
      <c r="C2740" s="3"/>
      <c r="D2740" s="3"/>
      <c r="E2740" s="3">
        <v>17</v>
      </c>
      <c r="F2740" s="4" t="str">
        <f>HYPERLINK("http://141.218.60.56/~jnz1568/getInfo.php?workbook=14_09.xlsx&amp;sheet=U0&amp;row=2740&amp;col=6&amp;number=4.6&amp;sourceID=14","4.6")</f>
        <v>4.6</v>
      </c>
      <c r="G2740" s="4" t="str">
        <f>HYPERLINK("http://141.218.60.56/~jnz1568/getInfo.php?workbook=14_09.xlsx&amp;sheet=U0&amp;row=2740&amp;col=7&amp;number=0.00319&amp;sourceID=14","0.00319")</f>
        <v>0.00319</v>
      </c>
    </row>
    <row r="2741" spans="1:7">
      <c r="A2741" s="3"/>
      <c r="B2741" s="3"/>
      <c r="C2741" s="3"/>
      <c r="D2741" s="3"/>
      <c r="E2741" s="3">
        <v>18</v>
      </c>
      <c r="F2741" s="4" t="str">
        <f>HYPERLINK("http://141.218.60.56/~jnz1568/getInfo.php?workbook=14_09.xlsx&amp;sheet=U0&amp;row=2741&amp;col=6&amp;number=4.7&amp;sourceID=14","4.7")</f>
        <v>4.7</v>
      </c>
      <c r="G2741" s="4" t="str">
        <f>HYPERLINK("http://141.218.60.56/~jnz1568/getInfo.php?workbook=14_09.xlsx&amp;sheet=U0&amp;row=2741&amp;col=7&amp;number=0.00316&amp;sourceID=14","0.00316")</f>
        <v>0.00316</v>
      </c>
    </row>
    <row r="2742" spans="1:7">
      <c r="A2742" s="3"/>
      <c r="B2742" s="3"/>
      <c r="C2742" s="3"/>
      <c r="D2742" s="3"/>
      <c r="E2742" s="3">
        <v>19</v>
      </c>
      <c r="F2742" s="4" t="str">
        <f>HYPERLINK("http://141.218.60.56/~jnz1568/getInfo.php?workbook=14_09.xlsx&amp;sheet=U0&amp;row=2742&amp;col=6&amp;number=4.8&amp;sourceID=14","4.8")</f>
        <v>4.8</v>
      </c>
      <c r="G2742" s="4" t="str">
        <f>HYPERLINK("http://141.218.60.56/~jnz1568/getInfo.php?workbook=14_09.xlsx&amp;sheet=U0&amp;row=2742&amp;col=7&amp;number=0.00312&amp;sourceID=14","0.00312")</f>
        <v>0.00312</v>
      </c>
    </row>
    <row r="2743" spans="1:7">
      <c r="A2743" s="3"/>
      <c r="B2743" s="3"/>
      <c r="C2743" s="3"/>
      <c r="D2743" s="3"/>
      <c r="E2743" s="3">
        <v>20</v>
      </c>
      <c r="F2743" s="4" t="str">
        <f>HYPERLINK("http://141.218.60.56/~jnz1568/getInfo.php?workbook=14_09.xlsx&amp;sheet=U0&amp;row=2743&amp;col=6&amp;number=4.9&amp;sourceID=14","4.9")</f>
        <v>4.9</v>
      </c>
      <c r="G2743" s="4" t="str">
        <f>HYPERLINK("http://141.218.60.56/~jnz1568/getInfo.php?workbook=14_09.xlsx&amp;sheet=U0&amp;row=2743&amp;col=7&amp;number=0.00308&amp;sourceID=14","0.00308")</f>
        <v>0.00308</v>
      </c>
    </row>
    <row r="2744" spans="1:7">
      <c r="A2744" s="3">
        <v>14</v>
      </c>
      <c r="B2744" s="3">
        <v>9</v>
      </c>
      <c r="C2744" s="3">
        <v>1</v>
      </c>
      <c r="D2744" s="3">
        <v>139</v>
      </c>
      <c r="E2744" s="3">
        <v>1</v>
      </c>
      <c r="F2744" s="4" t="str">
        <f>HYPERLINK("http://141.218.60.56/~jnz1568/getInfo.php?workbook=14_09.xlsx&amp;sheet=U0&amp;row=2744&amp;col=6&amp;number=3&amp;sourceID=14","3")</f>
        <v>3</v>
      </c>
      <c r="G2744" s="4" t="str">
        <f>HYPERLINK("http://141.218.60.56/~jnz1568/getInfo.php?workbook=14_09.xlsx&amp;sheet=U0&amp;row=2744&amp;col=7&amp;number=0.00484&amp;sourceID=14","0.00484")</f>
        <v>0.00484</v>
      </c>
    </row>
    <row r="2745" spans="1:7">
      <c r="A2745" s="3"/>
      <c r="B2745" s="3"/>
      <c r="C2745" s="3"/>
      <c r="D2745" s="3"/>
      <c r="E2745" s="3">
        <v>2</v>
      </c>
      <c r="F2745" s="4" t="str">
        <f>HYPERLINK("http://141.218.60.56/~jnz1568/getInfo.php?workbook=14_09.xlsx&amp;sheet=U0&amp;row=2745&amp;col=6&amp;number=3.1&amp;sourceID=14","3.1")</f>
        <v>3.1</v>
      </c>
      <c r="G2745" s="4" t="str">
        <f>HYPERLINK("http://141.218.60.56/~jnz1568/getInfo.php?workbook=14_09.xlsx&amp;sheet=U0&amp;row=2745&amp;col=7&amp;number=0.00484&amp;sourceID=14","0.00484")</f>
        <v>0.00484</v>
      </c>
    </row>
    <row r="2746" spans="1:7">
      <c r="A2746" s="3"/>
      <c r="B2746" s="3"/>
      <c r="C2746" s="3"/>
      <c r="D2746" s="3"/>
      <c r="E2746" s="3">
        <v>3</v>
      </c>
      <c r="F2746" s="4" t="str">
        <f>HYPERLINK("http://141.218.60.56/~jnz1568/getInfo.php?workbook=14_09.xlsx&amp;sheet=U0&amp;row=2746&amp;col=6&amp;number=3.2&amp;sourceID=14","3.2")</f>
        <v>3.2</v>
      </c>
      <c r="G2746" s="4" t="str">
        <f>HYPERLINK("http://141.218.60.56/~jnz1568/getInfo.php?workbook=14_09.xlsx&amp;sheet=U0&amp;row=2746&amp;col=7&amp;number=0.00484&amp;sourceID=14","0.00484")</f>
        <v>0.00484</v>
      </c>
    </row>
    <row r="2747" spans="1:7">
      <c r="A2747" s="3"/>
      <c r="B2747" s="3"/>
      <c r="C2747" s="3"/>
      <c r="D2747" s="3"/>
      <c r="E2747" s="3">
        <v>4</v>
      </c>
      <c r="F2747" s="4" t="str">
        <f>HYPERLINK("http://141.218.60.56/~jnz1568/getInfo.php?workbook=14_09.xlsx&amp;sheet=U0&amp;row=2747&amp;col=6&amp;number=3.3&amp;sourceID=14","3.3")</f>
        <v>3.3</v>
      </c>
      <c r="G2747" s="4" t="str">
        <f>HYPERLINK("http://141.218.60.56/~jnz1568/getInfo.php?workbook=14_09.xlsx&amp;sheet=U0&amp;row=2747&amp;col=7&amp;number=0.00483&amp;sourceID=14","0.00483")</f>
        <v>0.00483</v>
      </c>
    </row>
    <row r="2748" spans="1:7">
      <c r="A2748" s="3"/>
      <c r="B2748" s="3"/>
      <c r="C2748" s="3"/>
      <c r="D2748" s="3"/>
      <c r="E2748" s="3">
        <v>5</v>
      </c>
      <c r="F2748" s="4" t="str">
        <f>HYPERLINK("http://141.218.60.56/~jnz1568/getInfo.php?workbook=14_09.xlsx&amp;sheet=U0&amp;row=2748&amp;col=6&amp;number=3.4&amp;sourceID=14","3.4")</f>
        <v>3.4</v>
      </c>
      <c r="G2748" s="4" t="str">
        <f>HYPERLINK("http://141.218.60.56/~jnz1568/getInfo.php?workbook=14_09.xlsx&amp;sheet=U0&amp;row=2748&amp;col=7&amp;number=0.00483&amp;sourceID=14","0.00483")</f>
        <v>0.00483</v>
      </c>
    </row>
    <row r="2749" spans="1:7">
      <c r="A2749" s="3"/>
      <c r="B2749" s="3"/>
      <c r="C2749" s="3"/>
      <c r="D2749" s="3"/>
      <c r="E2749" s="3">
        <v>6</v>
      </c>
      <c r="F2749" s="4" t="str">
        <f>HYPERLINK("http://141.218.60.56/~jnz1568/getInfo.php?workbook=14_09.xlsx&amp;sheet=U0&amp;row=2749&amp;col=6&amp;number=3.5&amp;sourceID=14","3.5")</f>
        <v>3.5</v>
      </c>
      <c r="G2749" s="4" t="str">
        <f>HYPERLINK("http://141.218.60.56/~jnz1568/getInfo.php?workbook=14_09.xlsx&amp;sheet=U0&amp;row=2749&amp;col=7&amp;number=0.00483&amp;sourceID=14","0.00483")</f>
        <v>0.00483</v>
      </c>
    </row>
    <row r="2750" spans="1:7">
      <c r="A2750" s="3"/>
      <c r="B2750" s="3"/>
      <c r="C2750" s="3"/>
      <c r="D2750" s="3"/>
      <c r="E2750" s="3">
        <v>7</v>
      </c>
      <c r="F2750" s="4" t="str">
        <f>HYPERLINK("http://141.218.60.56/~jnz1568/getInfo.php?workbook=14_09.xlsx&amp;sheet=U0&amp;row=2750&amp;col=6&amp;number=3.6&amp;sourceID=14","3.6")</f>
        <v>3.6</v>
      </c>
      <c r="G2750" s="4" t="str">
        <f>HYPERLINK("http://141.218.60.56/~jnz1568/getInfo.php?workbook=14_09.xlsx&amp;sheet=U0&amp;row=2750&amp;col=7&amp;number=0.00482&amp;sourceID=14","0.00482")</f>
        <v>0.00482</v>
      </c>
    </row>
    <row r="2751" spans="1:7">
      <c r="A2751" s="3"/>
      <c r="B2751" s="3"/>
      <c r="C2751" s="3"/>
      <c r="D2751" s="3"/>
      <c r="E2751" s="3">
        <v>8</v>
      </c>
      <c r="F2751" s="4" t="str">
        <f>HYPERLINK("http://141.218.60.56/~jnz1568/getInfo.php?workbook=14_09.xlsx&amp;sheet=U0&amp;row=2751&amp;col=6&amp;number=3.7&amp;sourceID=14","3.7")</f>
        <v>3.7</v>
      </c>
      <c r="G2751" s="4" t="str">
        <f>HYPERLINK("http://141.218.60.56/~jnz1568/getInfo.php?workbook=14_09.xlsx&amp;sheet=U0&amp;row=2751&amp;col=7&amp;number=0.00482&amp;sourceID=14","0.00482")</f>
        <v>0.00482</v>
      </c>
    </row>
    <row r="2752" spans="1:7">
      <c r="A2752" s="3"/>
      <c r="B2752" s="3"/>
      <c r="C2752" s="3"/>
      <c r="D2752" s="3"/>
      <c r="E2752" s="3">
        <v>9</v>
      </c>
      <c r="F2752" s="4" t="str">
        <f>HYPERLINK("http://141.218.60.56/~jnz1568/getInfo.php?workbook=14_09.xlsx&amp;sheet=U0&amp;row=2752&amp;col=6&amp;number=3.8&amp;sourceID=14","3.8")</f>
        <v>3.8</v>
      </c>
      <c r="G2752" s="4" t="str">
        <f>HYPERLINK("http://141.218.60.56/~jnz1568/getInfo.php?workbook=14_09.xlsx&amp;sheet=U0&amp;row=2752&amp;col=7&amp;number=0.00481&amp;sourceID=14","0.00481")</f>
        <v>0.00481</v>
      </c>
    </row>
    <row r="2753" spans="1:7">
      <c r="A2753" s="3"/>
      <c r="B2753" s="3"/>
      <c r="C2753" s="3"/>
      <c r="D2753" s="3"/>
      <c r="E2753" s="3">
        <v>10</v>
      </c>
      <c r="F2753" s="4" t="str">
        <f>HYPERLINK("http://141.218.60.56/~jnz1568/getInfo.php?workbook=14_09.xlsx&amp;sheet=U0&amp;row=2753&amp;col=6&amp;number=3.9&amp;sourceID=14","3.9")</f>
        <v>3.9</v>
      </c>
      <c r="G2753" s="4" t="str">
        <f>HYPERLINK("http://141.218.60.56/~jnz1568/getInfo.php?workbook=14_09.xlsx&amp;sheet=U0&amp;row=2753&amp;col=7&amp;number=0.0048&amp;sourceID=14","0.0048")</f>
        <v>0.0048</v>
      </c>
    </row>
    <row r="2754" spans="1:7">
      <c r="A2754" s="3"/>
      <c r="B2754" s="3"/>
      <c r="C2754" s="3"/>
      <c r="D2754" s="3"/>
      <c r="E2754" s="3">
        <v>11</v>
      </c>
      <c r="F2754" s="4" t="str">
        <f>HYPERLINK("http://141.218.60.56/~jnz1568/getInfo.php?workbook=14_09.xlsx&amp;sheet=U0&amp;row=2754&amp;col=6&amp;number=4&amp;sourceID=14","4")</f>
        <v>4</v>
      </c>
      <c r="G2754" s="4" t="str">
        <f>HYPERLINK("http://141.218.60.56/~jnz1568/getInfo.php?workbook=14_09.xlsx&amp;sheet=U0&amp;row=2754&amp;col=7&amp;number=0.00479&amp;sourceID=14","0.00479")</f>
        <v>0.00479</v>
      </c>
    </row>
    <row r="2755" spans="1:7">
      <c r="A2755" s="3"/>
      <c r="B2755" s="3"/>
      <c r="C2755" s="3"/>
      <c r="D2755" s="3"/>
      <c r="E2755" s="3">
        <v>12</v>
      </c>
      <c r="F2755" s="4" t="str">
        <f>HYPERLINK("http://141.218.60.56/~jnz1568/getInfo.php?workbook=14_09.xlsx&amp;sheet=U0&amp;row=2755&amp;col=6&amp;number=4.1&amp;sourceID=14","4.1")</f>
        <v>4.1</v>
      </c>
      <c r="G2755" s="4" t="str">
        <f>HYPERLINK("http://141.218.60.56/~jnz1568/getInfo.php?workbook=14_09.xlsx&amp;sheet=U0&amp;row=2755&amp;col=7&amp;number=0.00478&amp;sourceID=14","0.00478")</f>
        <v>0.00478</v>
      </c>
    </row>
    <row r="2756" spans="1:7">
      <c r="A2756" s="3"/>
      <c r="B2756" s="3"/>
      <c r="C2756" s="3"/>
      <c r="D2756" s="3"/>
      <c r="E2756" s="3">
        <v>13</v>
      </c>
      <c r="F2756" s="4" t="str">
        <f>HYPERLINK("http://141.218.60.56/~jnz1568/getInfo.php?workbook=14_09.xlsx&amp;sheet=U0&amp;row=2756&amp;col=6&amp;number=4.2&amp;sourceID=14","4.2")</f>
        <v>4.2</v>
      </c>
      <c r="G2756" s="4" t="str">
        <f>HYPERLINK("http://141.218.60.56/~jnz1568/getInfo.php?workbook=14_09.xlsx&amp;sheet=U0&amp;row=2756&amp;col=7&amp;number=0.00476&amp;sourceID=14","0.00476")</f>
        <v>0.00476</v>
      </c>
    </row>
    <row r="2757" spans="1:7">
      <c r="A2757" s="3"/>
      <c r="B2757" s="3"/>
      <c r="C2757" s="3"/>
      <c r="D2757" s="3"/>
      <c r="E2757" s="3">
        <v>14</v>
      </c>
      <c r="F2757" s="4" t="str">
        <f>HYPERLINK("http://141.218.60.56/~jnz1568/getInfo.php?workbook=14_09.xlsx&amp;sheet=U0&amp;row=2757&amp;col=6&amp;number=4.3&amp;sourceID=14","4.3")</f>
        <v>4.3</v>
      </c>
      <c r="G2757" s="4" t="str">
        <f>HYPERLINK("http://141.218.60.56/~jnz1568/getInfo.php?workbook=14_09.xlsx&amp;sheet=U0&amp;row=2757&amp;col=7&amp;number=0.00474&amp;sourceID=14","0.00474")</f>
        <v>0.00474</v>
      </c>
    </row>
    <row r="2758" spans="1:7">
      <c r="A2758" s="3"/>
      <c r="B2758" s="3"/>
      <c r="C2758" s="3"/>
      <c r="D2758" s="3"/>
      <c r="E2758" s="3">
        <v>15</v>
      </c>
      <c r="F2758" s="4" t="str">
        <f>HYPERLINK("http://141.218.60.56/~jnz1568/getInfo.php?workbook=14_09.xlsx&amp;sheet=U0&amp;row=2758&amp;col=6&amp;number=4.4&amp;sourceID=14","4.4")</f>
        <v>4.4</v>
      </c>
      <c r="G2758" s="4" t="str">
        <f>HYPERLINK("http://141.218.60.56/~jnz1568/getInfo.php?workbook=14_09.xlsx&amp;sheet=U0&amp;row=2758&amp;col=7&amp;number=0.00471&amp;sourceID=14","0.00471")</f>
        <v>0.00471</v>
      </c>
    </row>
    <row r="2759" spans="1:7">
      <c r="A2759" s="3"/>
      <c r="B2759" s="3"/>
      <c r="C2759" s="3"/>
      <c r="D2759" s="3"/>
      <c r="E2759" s="3">
        <v>16</v>
      </c>
      <c r="F2759" s="4" t="str">
        <f>HYPERLINK("http://141.218.60.56/~jnz1568/getInfo.php?workbook=14_09.xlsx&amp;sheet=U0&amp;row=2759&amp;col=6&amp;number=4.5&amp;sourceID=14","4.5")</f>
        <v>4.5</v>
      </c>
      <c r="G2759" s="4" t="str">
        <f>HYPERLINK("http://141.218.60.56/~jnz1568/getInfo.php?workbook=14_09.xlsx&amp;sheet=U0&amp;row=2759&amp;col=7&amp;number=0.00468&amp;sourceID=14","0.00468")</f>
        <v>0.00468</v>
      </c>
    </row>
    <row r="2760" spans="1:7">
      <c r="A2760" s="3"/>
      <c r="B2760" s="3"/>
      <c r="C2760" s="3"/>
      <c r="D2760" s="3"/>
      <c r="E2760" s="3">
        <v>17</v>
      </c>
      <c r="F2760" s="4" t="str">
        <f>HYPERLINK("http://141.218.60.56/~jnz1568/getInfo.php?workbook=14_09.xlsx&amp;sheet=U0&amp;row=2760&amp;col=6&amp;number=4.6&amp;sourceID=14","4.6")</f>
        <v>4.6</v>
      </c>
      <c r="G2760" s="4" t="str">
        <f>HYPERLINK("http://141.218.60.56/~jnz1568/getInfo.php?workbook=14_09.xlsx&amp;sheet=U0&amp;row=2760&amp;col=7&amp;number=0.00464&amp;sourceID=14","0.00464")</f>
        <v>0.00464</v>
      </c>
    </row>
    <row r="2761" spans="1:7">
      <c r="A2761" s="3"/>
      <c r="B2761" s="3"/>
      <c r="C2761" s="3"/>
      <c r="D2761" s="3"/>
      <c r="E2761" s="3">
        <v>18</v>
      </c>
      <c r="F2761" s="4" t="str">
        <f>HYPERLINK("http://141.218.60.56/~jnz1568/getInfo.php?workbook=14_09.xlsx&amp;sheet=U0&amp;row=2761&amp;col=6&amp;number=4.7&amp;sourceID=14","4.7")</f>
        <v>4.7</v>
      </c>
      <c r="G2761" s="4" t="str">
        <f>HYPERLINK("http://141.218.60.56/~jnz1568/getInfo.php?workbook=14_09.xlsx&amp;sheet=U0&amp;row=2761&amp;col=7&amp;number=0.00459&amp;sourceID=14","0.00459")</f>
        <v>0.00459</v>
      </c>
    </row>
    <row r="2762" spans="1:7">
      <c r="A2762" s="3"/>
      <c r="B2762" s="3"/>
      <c r="C2762" s="3"/>
      <c r="D2762" s="3"/>
      <c r="E2762" s="3">
        <v>19</v>
      </c>
      <c r="F2762" s="4" t="str">
        <f>HYPERLINK("http://141.218.60.56/~jnz1568/getInfo.php?workbook=14_09.xlsx&amp;sheet=U0&amp;row=2762&amp;col=6&amp;number=4.8&amp;sourceID=14","4.8")</f>
        <v>4.8</v>
      </c>
      <c r="G2762" s="4" t="str">
        <f>HYPERLINK("http://141.218.60.56/~jnz1568/getInfo.php?workbook=14_09.xlsx&amp;sheet=U0&amp;row=2762&amp;col=7&amp;number=0.00452&amp;sourceID=14","0.00452")</f>
        <v>0.00452</v>
      </c>
    </row>
    <row r="2763" spans="1:7">
      <c r="A2763" s="3"/>
      <c r="B2763" s="3"/>
      <c r="C2763" s="3"/>
      <c r="D2763" s="3"/>
      <c r="E2763" s="3">
        <v>20</v>
      </c>
      <c r="F2763" s="4" t="str">
        <f>HYPERLINK("http://141.218.60.56/~jnz1568/getInfo.php?workbook=14_09.xlsx&amp;sheet=U0&amp;row=2763&amp;col=6&amp;number=4.9&amp;sourceID=14","4.9")</f>
        <v>4.9</v>
      </c>
      <c r="G2763" s="4" t="str">
        <f>HYPERLINK("http://141.218.60.56/~jnz1568/getInfo.php?workbook=14_09.xlsx&amp;sheet=U0&amp;row=2763&amp;col=7&amp;number=0.00444&amp;sourceID=14","0.00444")</f>
        <v>0.00444</v>
      </c>
    </row>
    <row r="2764" spans="1:7">
      <c r="A2764" s="3">
        <v>14</v>
      </c>
      <c r="B2764" s="3">
        <v>9</v>
      </c>
      <c r="C2764" s="3">
        <v>1</v>
      </c>
      <c r="D2764" s="3">
        <v>140</v>
      </c>
      <c r="E2764" s="3">
        <v>1</v>
      </c>
      <c r="F2764" s="4" t="str">
        <f>HYPERLINK("http://141.218.60.56/~jnz1568/getInfo.php?workbook=14_09.xlsx&amp;sheet=U0&amp;row=2764&amp;col=6&amp;number=3&amp;sourceID=14","3")</f>
        <v>3</v>
      </c>
      <c r="G2764" s="4" t="str">
        <f>HYPERLINK("http://141.218.60.56/~jnz1568/getInfo.php?workbook=14_09.xlsx&amp;sheet=U0&amp;row=2764&amp;col=7&amp;number=0.0305&amp;sourceID=14","0.0305")</f>
        <v>0.0305</v>
      </c>
    </row>
    <row r="2765" spans="1:7">
      <c r="A2765" s="3"/>
      <c r="B2765" s="3"/>
      <c r="C2765" s="3"/>
      <c r="D2765" s="3"/>
      <c r="E2765" s="3">
        <v>2</v>
      </c>
      <c r="F2765" s="4" t="str">
        <f>HYPERLINK("http://141.218.60.56/~jnz1568/getInfo.php?workbook=14_09.xlsx&amp;sheet=U0&amp;row=2765&amp;col=6&amp;number=3.1&amp;sourceID=14","3.1")</f>
        <v>3.1</v>
      </c>
      <c r="G2765" s="4" t="str">
        <f>HYPERLINK("http://141.218.60.56/~jnz1568/getInfo.php?workbook=14_09.xlsx&amp;sheet=U0&amp;row=2765&amp;col=7&amp;number=0.0305&amp;sourceID=14","0.0305")</f>
        <v>0.0305</v>
      </c>
    </row>
    <row r="2766" spans="1:7">
      <c r="A2766" s="3"/>
      <c r="B2766" s="3"/>
      <c r="C2766" s="3"/>
      <c r="D2766" s="3"/>
      <c r="E2766" s="3">
        <v>3</v>
      </c>
      <c r="F2766" s="4" t="str">
        <f>HYPERLINK("http://141.218.60.56/~jnz1568/getInfo.php?workbook=14_09.xlsx&amp;sheet=U0&amp;row=2766&amp;col=6&amp;number=3.2&amp;sourceID=14","3.2")</f>
        <v>3.2</v>
      </c>
      <c r="G2766" s="4" t="str">
        <f>HYPERLINK("http://141.218.60.56/~jnz1568/getInfo.php?workbook=14_09.xlsx&amp;sheet=U0&amp;row=2766&amp;col=7&amp;number=0.0304&amp;sourceID=14","0.0304")</f>
        <v>0.0304</v>
      </c>
    </row>
    <row r="2767" spans="1:7">
      <c r="A2767" s="3"/>
      <c r="B2767" s="3"/>
      <c r="C2767" s="3"/>
      <c r="D2767" s="3"/>
      <c r="E2767" s="3">
        <v>4</v>
      </c>
      <c r="F2767" s="4" t="str">
        <f>HYPERLINK("http://141.218.60.56/~jnz1568/getInfo.php?workbook=14_09.xlsx&amp;sheet=U0&amp;row=2767&amp;col=6&amp;number=3.3&amp;sourceID=14","3.3")</f>
        <v>3.3</v>
      </c>
      <c r="G2767" s="4" t="str">
        <f>HYPERLINK("http://141.218.60.56/~jnz1568/getInfo.php?workbook=14_09.xlsx&amp;sheet=U0&amp;row=2767&amp;col=7&amp;number=0.0304&amp;sourceID=14","0.0304")</f>
        <v>0.0304</v>
      </c>
    </row>
    <row r="2768" spans="1:7">
      <c r="A2768" s="3"/>
      <c r="B2768" s="3"/>
      <c r="C2768" s="3"/>
      <c r="D2768" s="3"/>
      <c r="E2768" s="3">
        <v>5</v>
      </c>
      <c r="F2768" s="4" t="str">
        <f>HYPERLINK("http://141.218.60.56/~jnz1568/getInfo.php?workbook=14_09.xlsx&amp;sheet=U0&amp;row=2768&amp;col=6&amp;number=3.4&amp;sourceID=14","3.4")</f>
        <v>3.4</v>
      </c>
      <c r="G2768" s="4" t="str">
        <f>HYPERLINK("http://141.218.60.56/~jnz1568/getInfo.php?workbook=14_09.xlsx&amp;sheet=U0&amp;row=2768&amp;col=7&amp;number=0.0303&amp;sourceID=14","0.0303")</f>
        <v>0.0303</v>
      </c>
    </row>
    <row r="2769" spans="1:7">
      <c r="A2769" s="3"/>
      <c r="B2769" s="3"/>
      <c r="C2769" s="3"/>
      <c r="D2769" s="3"/>
      <c r="E2769" s="3">
        <v>6</v>
      </c>
      <c r="F2769" s="4" t="str">
        <f>HYPERLINK("http://141.218.60.56/~jnz1568/getInfo.php?workbook=14_09.xlsx&amp;sheet=U0&amp;row=2769&amp;col=6&amp;number=3.5&amp;sourceID=14","3.5")</f>
        <v>3.5</v>
      </c>
      <c r="G2769" s="4" t="str">
        <f>HYPERLINK("http://141.218.60.56/~jnz1568/getInfo.php?workbook=14_09.xlsx&amp;sheet=U0&amp;row=2769&amp;col=7&amp;number=0.0302&amp;sourceID=14","0.0302")</f>
        <v>0.0302</v>
      </c>
    </row>
    <row r="2770" spans="1:7">
      <c r="A2770" s="3"/>
      <c r="B2770" s="3"/>
      <c r="C2770" s="3"/>
      <c r="D2770" s="3"/>
      <c r="E2770" s="3">
        <v>7</v>
      </c>
      <c r="F2770" s="4" t="str">
        <f>HYPERLINK("http://141.218.60.56/~jnz1568/getInfo.php?workbook=14_09.xlsx&amp;sheet=U0&amp;row=2770&amp;col=6&amp;number=3.6&amp;sourceID=14","3.6")</f>
        <v>3.6</v>
      </c>
      <c r="G2770" s="4" t="str">
        <f>HYPERLINK("http://141.218.60.56/~jnz1568/getInfo.php?workbook=14_09.xlsx&amp;sheet=U0&amp;row=2770&amp;col=7&amp;number=0.0302&amp;sourceID=14","0.0302")</f>
        <v>0.0302</v>
      </c>
    </row>
    <row r="2771" spans="1:7">
      <c r="A2771" s="3"/>
      <c r="B2771" s="3"/>
      <c r="C2771" s="3"/>
      <c r="D2771" s="3"/>
      <c r="E2771" s="3">
        <v>8</v>
      </c>
      <c r="F2771" s="4" t="str">
        <f>HYPERLINK("http://141.218.60.56/~jnz1568/getInfo.php?workbook=14_09.xlsx&amp;sheet=U0&amp;row=2771&amp;col=6&amp;number=3.7&amp;sourceID=14","3.7")</f>
        <v>3.7</v>
      </c>
      <c r="G2771" s="4" t="str">
        <f>HYPERLINK("http://141.218.60.56/~jnz1568/getInfo.php?workbook=14_09.xlsx&amp;sheet=U0&amp;row=2771&amp;col=7&amp;number=0.03&amp;sourceID=14","0.03")</f>
        <v>0.03</v>
      </c>
    </row>
    <row r="2772" spans="1:7">
      <c r="A2772" s="3"/>
      <c r="B2772" s="3"/>
      <c r="C2772" s="3"/>
      <c r="D2772" s="3"/>
      <c r="E2772" s="3">
        <v>9</v>
      </c>
      <c r="F2772" s="4" t="str">
        <f>HYPERLINK("http://141.218.60.56/~jnz1568/getInfo.php?workbook=14_09.xlsx&amp;sheet=U0&amp;row=2772&amp;col=6&amp;number=3.8&amp;sourceID=14","3.8")</f>
        <v>3.8</v>
      </c>
      <c r="G2772" s="4" t="str">
        <f>HYPERLINK("http://141.218.60.56/~jnz1568/getInfo.php?workbook=14_09.xlsx&amp;sheet=U0&amp;row=2772&amp;col=7&amp;number=0.0299&amp;sourceID=14","0.0299")</f>
        <v>0.0299</v>
      </c>
    </row>
    <row r="2773" spans="1:7">
      <c r="A2773" s="3"/>
      <c r="B2773" s="3"/>
      <c r="C2773" s="3"/>
      <c r="D2773" s="3"/>
      <c r="E2773" s="3">
        <v>10</v>
      </c>
      <c r="F2773" s="4" t="str">
        <f>HYPERLINK("http://141.218.60.56/~jnz1568/getInfo.php?workbook=14_09.xlsx&amp;sheet=U0&amp;row=2773&amp;col=6&amp;number=3.9&amp;sourceID=14","3.9")</f>
        <v>3.9</v>
      </c>
      <c r="G2773" s="4" t="str">
        <f>HYPERLINK("http://141.218.60.56/~jnz1568/getInfo.php?workbook=14_09.xlsx&amp;sheet=U0&amp;row=2773&amp;col=7&amp;number=0.0297&amp;sourceID=14","0.0297")</f>
        <v>0.0297</v>
      </c>
    </row>
    <row r="2774" spans="1:7">
      <c r="A2774" s="3"/>
      <c r="B2774" s="3"/>
      <c r="C2774" s="3"/>
      <c r="D2774" s="3"/>
      <c r="E2774" s="3">
        <v>11</v>
      </c>
      <c r="F2774" s="4" t="str">
        <f>HYPERLINK("http://141.218.60.56/~jnz1568/getInfo.php?workbook=14_09.xlsx&amp;sheet=U0&amp;row=2774&amp;col=6&amp;number=4&amp;sourceID=14","4")</f>
        <v>4</v>
      </c>
      <c r="G2774" s="4" t="str">
        <f>HYPERLINK("http://141.218.60.56/~jnz1568/getInfo.php?workbook=14_09.xlsx&amp;sheet=U0&amp;row=2774&amp;col=7&amp;number=0.0295&amp;sourceID=14","0.0295")</f>
        <v>0.0295</v>
      </c>
    </row>
    <row r="2775" spans="1:7">
      <c r="A2775" s="3"/>
      <c r="B2775" s="3"/>
      <c r="C2775" s="3"/>
      <c r="D2775" s="3"/>
      <c r="E2775" s="3">
        <v>12</v>
      </c>
      <c r="F2775" s="4" t="str">
        <f>HYPERLINK("http://141.218.60.56/~jnz1568/getInfo.php?workbook=14_09.xlsx&amp;sheet=U0&amp;row=2775&amp;col=6&amp;number=4.1&amp;sourceID=14","4.1")</f>
        <v>4.1</v>
      </c>
      <c r="G2775" s="4" t="str">
        <f>HYPERLINK("http://141.218.60.56/~jnz1568/getInfo.php?workbook=14_09.xlsx&amp;sheet=U0&amp;row=2775&amp;col=7&amp;number=0.0292&amp;sourceID=14","0.0292")</f>
        <v>0.0292</v>
      </c>
    </row>
    <row r="2776" spans="1:7">
      <c r="A2776" s="3"/>
      <c r="B2776" s="3"/>
      <c r="C2776" s="3"/>
      <c r="D2776" s="3"/>
      <c r="E2776" s="3">
        <v>13</v>
      </c>
      <c r="F2776" s="4" t="str">
        <f>HYPERLINK("http://141.218.60.56/~jnz1568/getInfo.php?workbook=14_09.xlsx&amp;sheet=U0&amp;row=2776&amp;col=6&amp;number=4.2&amp;sourceID=14","4.2")</f>
        <v>4.2</v>
      </c>
      <c r="G2776" s="4" t="str">
        <f>HYPERLINK("http://141.218.60.56/~jnz1568/getInfo.php?workbook=14_09.xlsx&amp;sheet=U0&amp;row=2776&amp;col=7&amp;number=0.0289&amp;sourceID=14","0.0289")</f>
        <v>0.0289</v>
      </c>
    </row>
    <row r="2777" spans="1:7">
      <c r="A2777" s="3"/>
      <c r="B2777" s="3"/>
      <c r="C2777" s="3"/>
      <c r="D2777" s="3"/>
      <c r="E2777" s="3">
        <v>14</v>
      </c>
      <c r="F2777" s="4" t="str">
        <f>HYPERLINK("http://141.218.60.56/~jnz1568/getInfo.php?workbook=14_09.xlsx&amp;sheet=U0&amp;row=2777&amp;col=6&amp;number=4.3&amp;sourceID=14","4.3")</f>
        <v>4.3</v>
      </c>
      <c r="G2777" s="4" t="str">
        <f>HYPERLINK("http://141.218.60.56/~jnz1568/getInfo.php?workbook=14_09.xlsx&amp;sheet=U0&amp;row=2777&amp;col=7&amp;number=0.0284&amp;sourceID=14","0.0284")</f>
        <v>0.0284</v>
      </c>
    </row>
    <row r="2778" spans="1:7">
      <c r="A2778" s="3"/>
      <c r="B2778" s="3"/>
      <c r="C2778" s="3"/>
      <c r="D2778" s="3"/>
      <c r="E2778" s="3">
        <v>15</v>
      </c>
      <c r="F2778" s="4" t="str">
        <f>HYPERLINK("http://141.218.60.56/~jnz1568/getInfo.php?workbook=14_09.xlsx&amp;sheet=U0&amp;row=2778&amp;col=6&amp;number=4.4&amp;sourceID=14","4.4")</f>
        <v>4.4</v>
      </c>
      <c r="G2778" s="4" t="str">
        <f>HYPERLINK("http://141.218.60.56/~jnz1568/getInfo.php?workbook=14_09.xlsx&amp;sheet=U0&amp;row=2778&amp;col=7&amp;number=0.0279&amp;sourceID=14","0.0279")</f>
        <v>0.0279</v>
      </c>
    </row>
    <row r="2779" spans="1:7">
      <c r="A2779" s="3"/>
      <c r="B2779" s="3"/>
      <c r="C2779" s="3"/>
      <c r="D2779" s="3"/>
      <c r="E2779" s="3">
        <v>16</v>
      </c>
      <c r="F2779" s="4" t="str">
        <f>HYPERLINK("http://141.218.60.56/~jnz1568/getInfo.php?workbook=14_09.xlsx&amp;sheet=U0&amp;row=2779&amp;col=6&amp;number=4.5&amp;sourceID=14","4.5")</f>
        <v>4.5</v>
      </c>
      <c r="G2779" s="4" t="str">
        <f>HYPERLINK("http://141.218.60.56/~jnz1568/getInfo.php?workbook=14_09.xlsx&amp;sheet=U0&amp;row=2779&amp;col=7&amp;number=0.0273&amp;sourceID=14","0.0273")</f>
        <v>0.0273</v>
      </c>
    </row>
    <row r="2780" spans="1:7">
      <c r="A2780" s="3"/>
      <c r="B2780" s="3"/>
      <c r="C2780" s="3"/>
      <c r="D2780" s="3"/>
      <c r="E2780" s="3">
        <v>17</v>
      </c>
      <c r="F2780" s="4" t="str">
        <f>HYPERLINK("http://141.218.60.56/~jnz1568/getInfo.php?workbook=14_09.xlsx&amp;sheet=U0&amp;row=2780&amp;col=6&amp;number=4.6&amp;sourceID=14","4.6")</f>
        <v>4.6</v>
      </c>
      <c r="G2780" s="4" t="str">
        <f>HYPERLINK("http://141.218.60.56/~jnz1568/getInfo.php?workbook=14_09.xlsx&amp;sheet=U0&amp;row=2780&amp;col=7&amp;number=0.0265&amp;sourceID=14","0.0265")</f>
        <v>0.0265</v>
      </c>
    </row>
    <row r="2781" spans="1:7">
      <c r="A2781" s="3"/>
      <c r="B2781" s="3"/>
      <c r="C2781" s="3"/>
      <c r="D2781" s="3"/>
      <c r="E2781" s="3">
        <v>18</v>
      </c>
      <c r="F2781" s="4" t="str">
        <f>HYPERLINK("http://141.218.60.56/~jnz1568/getInfo.php?workbook=14_09.xlsx&amp;sheet=U0&amp;row=2781&amp;col=6&amp;number=4.7&amp;sourceID=14","4.7")</f>
        <v>4.7</v>
      </c>
      <c r="G2781" s="4" t="str">
        <f>HYPERLINK("http://141.218.60.56/~jnz1568/getInfo.php?workbook=14_09.xlsx&amp;sheet=U0&amp;row=2781&amp;col=7&amp;number=0.0256&amp;sourceID=14","0.0256")</f>
        <v>0.0256</v>
      </c>
    </row>
    <row r="2782" spans="1:7">
      <c r="A2782" s="3"/>
      <c r="B2782" s="3"/>
      <c r="C2782" s="3"/>
      <c r="D2782" s="3"/>
      <c r="E2782" s="3">
        <v>19</v>
      </c>
      <c r="F2782" s="4" t="str">
        <f>HYPERLINK("http://141.218.60.56/~jnz1568/getInfo.php?workbook=14_09.xlsx&amp;sheet=U0&amp;row=2782&amp;col=6&amp;number=4.8&amp;sourceID=14","4.8")</f>
        <v>4.8</v>
      </c>
      <c r="G2782" s="4" t="str">
        <f>HYPERLINK("http://141.218.60.56/~jnz1568/getInfo.php?workbook=14_09.xlsx&amp;sheet=U0&amp;row=2782&amp;col=7&amp;number=0.0245&amp;sourceID=14","0.0245")</f>
        <v>0.0245</v>
      </c>
    </row>
    <row r="2783" spans="1:7">
      <c r="A2783" s="3"/>
      <c r="B2783" s="3"/>
      <c r="C2783" s="3"/>
      <c r="D2783" s="3"/>
      <c r="E2783" s="3">
        <v>20</v>
      </c>
      <c r="F2783" s="4" t="str">
        <f>HYPERLINK("http://141.218.60.56/~jnz1568/getInfo.php?workbook=14_09.xlsx&amp;sheet=U0&amp;row=2783&amp;col=6&amp;number=4.9&amp;sourceID=14","4.9")</f>
        <v>4.9</v>
      </c>
      <c r="G2783" s="4" t="str">
        <f>HYPERLINK("http://141.218.60.56/~jnz1568/getInfo.php?workbook=14_09.xlsx&amp;sheet=U0&amp;row=2783&amp;col=7&amp;number=0.0233&amp;sourceID=14","0.0233")</f>
        <v>0.0233</v>
      </c>
    </row>
    <row r="2784" spans="1:7">
      <c r="A2784" s="3">
        <v>14</v>
      </c>
      <c r="B2784" s="3">
        <v>9</v>
      </c>
      <c r="C2784" s="3">
        <v>1</v>
      </c>
      <c r="D2784" s="3">
        <v>141</v>
      </c>
      <c r="E2784" s="3">
        <v>1</v>
      </c>
      <c r="F2784" s="4" t="str">
        <f>HYPERLINK("http://141.218.60.56/~jnz1568/getInfo.php?workbook=14_09.xlsx&amp;sheet=U0&amp;row=2784&amp;col=6&amp;number=3&amp;sourceID=14","3")</f>
        <v>3</v>
      </c>
      <c r="G2784" s="4" t="str">
        <f>HYPERLINK("http://141.218.60.56/~jnz1568/getInfo.php?workbook=14_09.xlsx&amp;sheet=U0&amp;row=2784&amp;col=7&amp;number=0.00578&amp;sourceID=14","0.00578")</f>
        <v>0.00578</v>
      </c>
    </row>
    <row r="2785" spans="1:7">
      <c r="A2785" s="3"/>
      <c r="B2785" s="3"/>
      <c r="C2785" s="3"/>
      <c r="D2785" s="3"/>
      <c r="E2785" s="3">
        <v>2</v>
      </c>
      <c r="F2785" s="4" t="str">
        <f>HYPERLINK("http://141.218.60.56/~jnz1568/getInfo.php?workbook=14_09.xlsx&amp;sheet=U0&amp;row=2785&amp;col=6&amp;number=3.1&amp;sourceID=14","3.1")</f>
        <v>3.1</v>
      </c>
      <c r="G2785" s="4" t="str">
        <f>HYPERLINK("http://141.218.60.56/~jnz1568/getInfo.php?workbook=14_09.xlsx&amp;sheet=U0&amp;row=2785&amp;col=7&amp;number=0.00577&amp;sourceID=14","0.00577")</f>
        <v>0.00577</v>
      </c>
    </row>
    <row r="2786" spans="1:7">
      <c r="A2786" s="3"/>
      <c r="B2786" s="3"/>
      <c r="C2786" s="3"/>
      <c r="D2786" s="3"/>
      <c r="E2786" s="3">
        <v>3</v>
      </c>
      <c r="F2786" s="4" t="str">
        <f>HYPERLINK("http://141.218.60.56/~jnz1568/getInfo.php?workbook=14_09.xlsx&amp;sheet=U0&amp;row=2786&amp;col=6&amp;number=3.2&amp;sourceID=14","3.2")</f>
        <v>3.2</v>
      </c>
      <c r="G2786" s="4" t="str">
        <f>HYPERLINK("http://141.218.60.56/~jnz1568/getInfo.php?workbook=14_09.xlsx&amp;sheet=U0&amp;row=2786&amp;col=7&amp;number=0.00577&amp;sourceID=14","0.00577")</f>
        <v>0.00577</v>
      </c>
    </row>
    <row r="2787" spans="1:7">
      <c r="A2787" s="3"/>
      <c r="B2787" s="3"/>
      <c r="C2787" s="3"/>
      <c r="D2787" s="3"/>
      <c r="E2787" s="3">
        <v>4</v>
      </c>
      <c r="F2787" s="4" t="str">
        <f>HYPERLINK("http://141.218.60.56/~jnz1568/getInfo.php?workbook=14_09.xlsx&amp;sheet=U0&amp;row=2787&amp;col=6&amp;number=3.3&amp;sourceID=14","3.3")</f>
        <v>3.3</v>
      </c>
      <c r="G2787" s="4" t="str">
        <f>HYPERLINK("http://141.218.60.56/~jnz1568/getInfo.php?workbook=14_09.xlsx&amp;sheet=U0&amp;row=2787&amp;col=7&amp;number=0.00577&amp;sourceID=14","0.00577")</f>
        <v>0.00577</v>
      </c>
    </row>
    <row r="2788" spans="1:7">
      <c r="A2788" s="3"/>
      <c r="B2788" s="3"/>
      <c r="C2788" s="3"/>
      <c r="D2788" s="3"/>
      <c r="E2788" s="3">
        <v>5</v>
      </c>
      <c r="F2788" s="4" t="str">
        <f>HYPERLINK("http://141.218.60.56/~jnz1568/getInfo.php?workbook=14_09.xlsx&amp;sheet=U0&amp;row=2788&amp;col=6&amp;number=3.4&amp;sourceID=14","3.4")</f>
        <v>3.4</v>
      </c>
      <c r="G2788" s="4" t="str">
        <f>HYPERLINK("http://141.218.60.56/~jnz1568/getInfo.php?workbook=14_09.xlsx&amp;sheet=U0&amp;row=2788&amp;col=7&amp;number=0.00577&amp;sourceID=14","0.00577")</f>
        <v>0.00577</v>
      </c>
    </row>
    <row r="2789" spans="1:7">
      <c r="A2789" s="3"/>
      <c r="B2789" s="3"/>
      <c r="C2789" s="3"/>
      <c r="D2789" s="3"/>
      <c r="E2789" s="3">
        <v>6</v>
      </c>
      <c r="F2789" s="4" t="str">
        <f>HYPERLINK("http://141.218.60.56/~jnz1568/getInfo.php?workbook=14_09.xlsx&amp;sheet=U0&amp;row=2789&amp;col=6&amp;number=3.5&amp;sourceID=14","3.5")</f>
        <v>3.5</v>
      </c>
      <c r="G2789" s="4" t="str">
        <f>HYPERLINK("http://141.218.60.56/~jnz1568/getInfo.php?workbook=14_09.xlsx&amp;sheet=U0&amp;row=2789&amp;col=7&amp;number=0.00576&amp;sourceID=14","0.00576")</f>
        <v>0.00576</v>
      </c>
    </row>
    <row r="2790" spans="1:7">
      <c r="A2790" s="3"/>
      <c r="B2790" s="3"/>
      <c r="C2790" s="3"/>
      <c r="D2790" s="3"/>
      <c r="E2790" s="3">
        <v>7</v>
      </c>
      <c r="F2790" s="4" t="str">
        <f>HYPERLINK("http://141.218.60.56/~jnz1568/getInfo.php?workbook=14_09.xlsx&amp;sheet=U0&amp;row=2790&amp;col=6&amp;number=3.6&amp;sourceID=14","3.6")</f>
        <v>3.6</v>
      </c>
      <c r="G2790" s="4" t="str">
        <f>HYPERLINK("http://141.218.60.56/~jnz1568/getInfo.php?workbook=14_09.xlsx&amp;sheet=U0&amp;row=2790&amp;col=7&amp;number=0.00576&amp;sourceID=14","0.00576")</f>
        <v>0.00576</v>
      </c>
    </row>
    <row r="2791" spans="1:7">
      <c r="A2791" s="3"/>
      <c r="B2791" s="3"/>
      <c r="C2791" s="3"/>
      <c r="D2791" s="3"/>
      <c r="E2791" s="3">
        <v>8</v>
      </c>
      <c r="F2791" s="4" t="str">
        <f>HYPERLINK("http://141.218.60.56/~jnz1568/getInfo.php?workbook=14_09.xlsx&amp;sheet=U0&amp;row=2791&amp;col=6&amp;number=3.7&amp;sourceID=14","3.7")</f>
        <v>3.7</v>
      </c>
      <c r="G2791" s="4" t="str">
        <f>HYPERLINK("http://141.218.60.56/~jnz1568/getInfo.php?workbook=14_09.xlsx&amp;sheet=U0&amp;row=2791&amp;col=7&amp;number=0.00576&amp;sourceID=14","0.00576")</f>
        <v>0.00576</v>
      </c>
    </row>
    <row r="2792" spans="1:7">
      <c r="A2792" s="3"/>
      <c r="B2792" s="3"/>
      <c r="C2792" s="3"/>
      <c r="D2792" s="3"/>
      <c r="E2792" s="3">
        <v>9</v>
      </c>
      <c r="F2792" s="4" t="str">
        <f>HYPERLINK("http://141.218.60.56/~jnz1568/getInfo.php?workbook=14_09.xlsx&amp;sheet=U0&amp;row=2792&amp;col=6&amp;number=3.8&amp;sourceID=14","3.8")</f>
        <v>3.8</v>
      </c>
      <c r="G2792" s="4" t="str">
        <f>HYPERLINK("http://141.218.60.56/~jnz1568/getInfo.php?workbook=14_09.xlsx&amp;sheet=U0&amp;row=2792&amp;col=7&amp;number=0.00575&amp;sourceID=14","0.00575")</f>
        <v>0.00575</v>
      </c>
    </row>
    <row r="2793" spans="1:7">
      <c r="A2793" s="3"/>
      <c r="B2793" s="3"/>
      <c r="C2793" s="3"/>
      <c r="D2793" s="3"/>
      <c r="E2793" s="3">
        <v>10</v>
      </c>
      <c r="F2793" s="4" t="str">
        <f>HYPERLINK("http://141.218.60.56/~jnz1568/getInfo.php?workbook=14_09.xlsx&amp;sheet=U0&amp;row=2793&amp;col=6&amp;number=3.9&amp;sourceID=14","3.9")</f>
        <v>3.9</v>
      </c>
      <c r="G2793" s="4" t="str">
        <f>HYPERLINK("http://141.218.60.56/~jnz1568/getInfo.php?workbook=14_09.xlsx&amp;sheet=U0&amp;row=2793&amp;col=7&amp;number=0.00574&amp;sourceID=14","0.00574")</f>
        <v>0.00574</v>
      </c>
    </row>
    <row r="2794" spans="1:7">
      <c r="A2794" s="3"/>
      <c r="B2794" s="3"/>
      <c r="C2794" s="3"/>
      <c r="D2794" s="3"/>
      <c r="E2794" s="3">
        <v>11</v>
      </c>
      <c r="F2794" s="4" t="str">
        <f>HYPERLINK("http://141.218.60.56/~jnz1568/getInfo.php?workbook=14_09.xlsx&amp;sheet=U0&amp;row=2794&amp;col=6&amp;number=4&amp;sourceID=14","4")</f>
        <v>4</v>
      </c>
      <c r="G2794" s="4" t="str">
        <f>HYPERLINK("http://141.218.60.56/~jnz1568/getInfo.php?workbook=14_09.xlsx&amp;sheet=U0&amp;row=2794&amp;col=7&amp;number=0.00573&amp;sourceID=14","0.00573")</f>
        <v>0.00573</v>
      </c>
    </row>
    <row r="2795" spans="1:7">
      <c r="A2795" s="3"/>
      <c r="B2795" s="3"/>
      <c r="C2795" s="3"/>
      <c r="D2795" s="3"/>
      <c r="E2795" s="3">
        <v>12</v>
      </c>
      <c r="F2795" s="4" t="str">
        <f>HYPERLINK("http://141.218.60.56/~jnz1568/getInfo.php?workbook=14_09.xlsx&amp;sheet=U0&amp;row=2795&amp;col=6&amp;number=4.1&amp;sourceID=14","4.1")</f>
        <v>4.1</v>
      </c>
      <c r="G2795" s="4" t="str">
        <f>HYPERLINK("http://141.218.60.56/~jnz1568/getInfo.php?workbook=14_09.xlsx&amp;sheet=U0&amp;row=2795&amp;col=7&amp;number=0.00572&amp;sourceID=14","0.00572")</f>
        <v>0.00572</v>
      </c>
    </row>
    <row r="2796" spans="1:7">
      <c r="A2796" s="3"/>
      <c r="B2796" s="3"/>
      <c r="C2796" s="3"/>
      <c r="D2796" s="3"/>
      <c r="E2796" s="3">
        <v>13</v>
      </c>
      <c r="F2796" s="4" t="str">
        <f>HYPERLINK("http://141.218.60.56/~jnz1568/getInfo.php?workbook=14_09.xlsx&amp;sheet=U0&amp;row=2796&amp;col=6&amp;number=4.2&amp;sourceID=14","4.2")</f>
        <v>4.2</v>
      </c>
      <c r="G2796" s="4" t="str">
        <f>HYPERLINK("http://141.218.60.56/~jnz1568/getInfo.php?workbook=14_09.xlsx&amp;sheet=U0&amp;row=2796&amp;col=7&amp;number=0.0057&amp;sourceID=14","0.0057")</f>
        <v>0.0057</v>
      </c>
    </row>
    <row r="2797" spans="1:7">
      <c r="A2797" s="3"/>
      <c r="B2797" s="3"/>
      <c r="C2797" s="3"/>
      <c r="D2797" s="3"/>
      <c r="E2797" s="3">
        <v>14</v>
      </c>
      <c r="F2797" s="4" t="str">
        <f>HYPERLINK("http://141.218.60.56/~jnz1568/getInfo.php?workbook=14_09.xlsx&amp;sheet=U0&amp;row=2797&amp;col=6&amp;number=4.3&amp;sourceID=14","4.3")</f>
        <v>4.3</v>
      </c>
      <c r="G2797" s="4" t="str">
        <f>HYPERLINK("http://141.218.60.56/~jnz1568/getInfo.php?workbook=14_09.xlsx&amp;sheet=U0&amp;row=2797&amp;col=7&amp;number=0.00568&amp;sourceID=14","0.00568")</f>
        <v>0.00568</v>
      </c>
    </row>
    <row r="2798" spans="1:7">
      <c r="A2798" s="3"/>
      <c r="B2798" s="3"/>
      <c r="C2798" s="3"/>
      <c r="D2798" s="3"/>
      <c r="E2798" s="3">
        <v>15</v>
      </c>
      <c r="F2798" s="4" t="str">
        <f>HYPERLINK("http://141.218.60.56/~jnz1568/getInfo.php?workbook=14_09.xlsx&amp;sheet=U0&amp;row=2798&amp;col=6&amp;number=4.4&amp;sourceID=14","4.4")</f>
        <v>4.4</v>
      </c>
      <c r="G2798" s="4" t="str">
        <f>HYPERLINK("http://141.218.60.56/~jnz1568/getInfo.php?workbook=14_09.xlsx&amp;sheet=U0&amp;row=2798&amp;col=7&amp;number=0.00565&amp;sourceID=14","0.00565")</f>
        <v>0.00565</v>
      </c>
    </row>
    <row r="2799" spans="1:7">
      <c r="A2799" s="3"/>
      <c r="B2799" s="3"/>
      <c r="C2799" s="3"/>
      <c r="D2799" s="3"/>
      <c r="E2799" s="3">
        <v>16</v>
      </c>
      <c r="F2799" s="4" t="str">
        <f>HYPERLINK("http://141.218.60.56/~jnz1568/getInfo.php?workbook=14_09.xlsx&amp;sheet=U0&amp;row=2799&amp;col=6&amp;number=4.5&amp;sourceID=14","4.5")</f>
        <v>4.5</v>
      </c>
      <c r="G2799" s="4" t="str">
        <f>HYPERLINK("http://141.218.60.56/~jnz1568/getInfo.php?workbook=14_09.xlsx&amp;sheet=U0&amp;row=2799&amp;col=7&amp;number=0.00562&amp;sourceID=14","0.00562")</f>
        <v>0.00562</v>
      </c>
    </row>
    <row r="2800" spans="1:7">
      <c r="A2800" s="3"/>
      <c r="B2800" s="3"/>
      <c r="C2800" s="3"/>
      <c r="D2800" s="3"/>
      <c r="E2800" s="3">
        <v>17</v>
      </c>
      <c r="F2800" s="4" t="str">
        <f>HYPERLINK("http://141.218.60.56/~jnz1568/getInfo.php?workbook=14_09.xlsx&amp;sheet=U0&amp;row=2800&amp;col=6&amp;number=4.6&amp;sourceID=14","4.6")</f>
        <v>4.6</v>
      </c>
      <c r="G2800" s="4" t="str">
        <f>HYPERLINK("http://141.218.60.56/~jnz1568/getInfo.php?workbook=14_09.xlsx&amp;sheet=U0&amp;row=2800&amp;col=7&amp;number=0.00558&amp;sourceID=14","0.00558")</f>
        <v>0.00558</v>
      </c>
    </row>
    <row r="2801" spans="1:7">
      <c r="A2801" s="3"/>
      <c r="B2801" s="3"/>
      <c r="C2801" s="3"/>
      <c r="D2801" s="3"/>
      <c r="E2801" s="3">
        <v>18</v>
      </c>
      <c r="F2801" s="4" t="str">
        <f>HYPERLINK("http://141.218.60.56/~jnz1568/getInfo.php?workbook=14_09.xlsx&amp;sheet=U0&amp;row=2801&amp;col=6&amp;number=4.7&amp;sourceID=14","4.7")</f>
        <v>4.7</v>
      </c>
      <c r="G2801" s="4" t="str">
        <f>HYPERLINK("http://141.218.60.56/~jnz1568/getInfo.php?workbook=14_09.xlsx&amp;sheet=U0&amp;row=2801&amp;col=7&amp;number=0.00553&amp;sourceID=14","0.00553")</f>
        <v>0.00553</v>
      </c>
    </row>
    <row r="2802" spans="1:7">
      <c r="A2802" s="3"/>
      <c r="B2802" s="3"/>
      <c r="C2802" s="3"/>
      <c r="D2802" s="3"/>
      <c r="E2802" s="3">
        <v>19</v>
      </c>
      <c r="F2802" s="4" t="str">
        <f>HYPERLINK("http://141.218.60.56/~jnz1568/getInfo.php?workbook=14_09.xlsx&amp;sheet=U0&amp;row=2802&amp;col=6&amp;number=4.8&amp;sourceID=14","4.8")</f>
        <v>4.8</v>
      </c>
      <c r="G2802" s="4" t="str">
        <f>HYPERLINK("http://141.218.60.56/~jnz1568/getInfo.php?workbook=14_09.xlsx&amp;sheet=U0&amp;row=2802&amp;col=7&amp;number=0.00547&amp;sourceID=14","0.00547")</f>
        <v>0.00547</v>
      </c>
    </row>
    <row r="2803" spans="1:7">
      <c r="A2803" s="3"/>
      <c r="B2803" s="3"/>
      <c r="C2803" s="3"/>
      <c r="D2803" s="3"/>
      <c r="E2803" s="3">
        <v>20</v>
      </c>
      <c r="F2803" s="4" t="str">
        <f>HYPERLINK("http://141.218.60.56/~jnz1568/getInfo.php?workbook=14_09.xlsx&amp;sheet=U0&amp;row=2803&amp;col=6&amp;number=4.9&amp;sourceID=14","4.9")</f>
        <v>4.9</v>
      </c>
      <c r="G2803" s="4" t="str">
        <f>HYPERLINK("http://141.218.60.56/~jnz1568/getInfo.php?workbook=14_09.xlsx&amp;sheet=U0&amp;row=2803&amp;col=7&amp;number=0.00539&amp;sourceID=14","0.00539")</f>
        <v>0.00539</v>
      </c>
    </row>
    <row r="2804" spans="1:7">
      <c r="A2804" s="3">
        <v>14</v>
      </c>
      <c r="B2804" s="3">
        <v>9</v>
      </c>
      <c r="C2804" s="3">
        <v>1</v>
      </c>
      <c r="D2804" s="3">
        <v>142</v>
      </c>
      <c r="E2804" s="3">
        <v>1</v>
      </c>
      <c r="F2804" s="4" t="str">
        <f>HYPERLINK("http://141.218.60.56/~jnz1568/getInfo.php?workbook=14_09.xlsx&amp;sheet=U0&amp;row=2804&amp;col=6&amp;number=3&amp;sourceID=14","3")</f>
        <v>3</v>
      </c>
      <c r="G2804" s="4" t="str">
        <f>HYPERLINK("http://141.218.60.56/~jnz1568/getInfo.php?workbook=14_09.xlsx&amp;sheet=U0&amp;row=2804&amp;col=7&amp;number=0.00342&amp;sourceID=14","0.00342")</f>
        <v>0.00342</v>
      </c>
    </row>
    <row r="2805" spans="1:7">
      <c r="A2805" s="3"/>
      <c r="B2805" s="3"/>
      <c r="C2805" s="3"/>
      <c r="D2805" s="3"/>
      <c r="E2805" s="3">
        <v>2</v>
      </c>
      <c r="F2805" s="4" t="str">
        <f>HYPERLINK("http://141.218.60.56/~jnz1568/getInfo.php?workbook=14_09.xlsx&amp;sheet=U0&amp;row=2805&amp;col=6&amp;number=3.1&amp;sourceID=14","3.1")</f>
        <v>3.1</v>
      </c>
      <c r="G2805" s="4" t="str">
        <f>HYPERLINK("http://141.218.60.56/~jnz1568/getInfo.php?workbook=14_09.xlsx&amp;sheet=U0&amp;row=2805&amp;col=7&amp;number=0.00342&amp;sourceID=14","0.00342")</f>
        <v>0.00342</v>
      </c>
    </row>
    <row r="2806" spans="1:7">
      <c r="A2806" s="3"/>
      <c r="B2806" s="3"/>
      <c r="C2806" s="3"/>
      <c r="D2806" s="3"/>
      <c r="E2806" s="3">
        <v>3</v>
      </c>
      <c r="F2806" s="4" t="str">
        <f>HYPERLINK("http://141.218.60.56/~jnz1568/getInfo.php?workbook=14_09.xlsx&amp;sheet=U0&amp;row=2806&amp;col=6&amp;number=3.2&amp;sourceID=14","3.2")</f>
        <v>3.2</v>
      </c>
      <c r="G2806" s="4" t="str">
        <f>HYPERLINK("http://141.218.60.56/~jnz1568/getInfo.php?workbook=14_09.xlsx&amp;sheet=U0&amp;row=2806&amp;col=7&amp;number=0.00342&amp;sourceID=14","0.00342")</f>
        <v>0.00342</v>
      </c>
    </row>
    <row r="2807" spans="1:7">
      <c r="A2807" s="3"/>
      <c r="B2807" s="3"/>
      <c r="C2807" s="3"/>
      <c r="D2807" s="3"/>
      <c r="E2807" s="3">
        <v>4</v>
      </c>
      <c r="F2807" s="4" t="str">
        <f>HYPERLINK("http://141.218.60.56/~jnz1568/getInfo.php?workbook=14_09.xlsx&amp;sheet=U0&amp;row=2807&amp;col=6&amp;number=3.3&amp;sourceID=14","3.3")</f>
        <v>3.3</v>
      </c>
      <c r="G2807" s="4" t="str">
        <f>HYPERLINK("http://141.218.60.56/~jnz1568/getInfo.php?workbook=14_09.xlsx&amp;sheet=U0&amp;row=2807&amp;col=7&amp;number=0.00342&amp;sourceID=14","0.00342")</f>
        <v>0.00342</v>
      </c>
    </row>
    <row r="2808" spans="1:7">
      <c r="A2808" s="3"/>
      <c r="B2808" s="3"/>
      <c r="C2808" s="3"/>
      <c r="D2808" s="3"/>
      <c r="E2808" s="3">
        <v>5</v>
      </c>
      <c r="F2808" s="4" t="str">
        <f>HYPERLINK("http://141.218.60.56/~jnz1568/getInfo.php?workbook=14_09.xlsx&amp;sheet=U0&amp;row=2808&amp;col=6&amp;number=3.4&amp;sourceID=14","3.4")</f>
        <v>3.4</v>
      </c>
      <c r="G2808" s="4" t="str">
        <f>HYPERLINK("http://141.218.60.56/~jnz1568/getInfo.php?workbook=14_09.xlsx&amp;sheet=U0&amp;row=2808&amp;col=7&amp;number=0.00342&amp;sourceID=14","0.00342")</f>
        <v>0.00342</v>
      </c>
    </row>
    <row r="2809" spans="1:7">
      <c r="A2809" s="3"/>
      <c r="B2809" s="3"/>
      <c r="C2809" s="3"/>
      <c r="D2809" s="3"/>
      <c r="E2809" s="3">
        <v>6</v>
      </c>
      <c r="F2809" s="4" t="str">
        <f>HYPERLINK("http://141.218.60.56/~jnz1568/getInfo.php?workbook=14_09.xlsx&amp;sheet=U0&amp;row=2809&amp;col=6&amp;number=3.5&amp;sourceID=14","3.5")</f>
        <v>3.5</v>
      </c>
      <c r="G2809" s="4" t="str">
        <f>HYPERLINK("http://141.218.60.56/~jnz1568/getInfo.php?workbook=14_09.xlsx&amp;sheet=U0&amp;row=2809&amp;col=7&amp;number=0.00342&amp;sourceID=14","0.00342")</f>
        <v>0.00342</v>
      </c>
    </row>
    <row r="2810" spans="1:7">
      <c r="A2810" s="3"/>
      <c r="B2810" s="3"/>
      <c r="C2810" s="3"/>
      <c r="D2810" s="3"/>
      <c r="E2810" s="3">
        <v>7</v>
      </c>
      <c r="F2810" s="4" t="str">
        <f>HYPERLINK("http://141.218.60.56/~jnz1568/getInfo.php?workbook=14_09.xlsx&amp;sheet=U0&amp;row=2810&amp;col=6&amp;number=3.6&amp;sourceID=14","3.6")</f>
        <v>3.6</v>
      </c>
      <c r="G2810" s="4" t="str">
        <f>HYPERLINK("http://141.218.60.56/~jnz1568/getInfo.php?workbook=14_09.xlsx&amp;sheet=U0&amp;row=2810&amp;col=7&amp;number=0.00341&amp;sourceID=14","0.00341")</f>
        <v>0.00341</v>
      </c>
    </row>
    <row r="2811" spans="1:7">
      <c r="A2811" s="3"/>
      <c r="B2811" s="3"/>
      <c r="C2811" s="3"/>
      <c r="D2811" s="3"/>
      <c r="E2811" s="3">
        <v>8</v>
      </c>
      <c r="F2811" s="4" t="str">
        <f>HYPERLINK("http://141.218.60.56/~jnz1568/getInfo.php?workbook=14_09.xlsx&amp;sheet=U0&amp;row=2811&amp;col=6&amp;number=3.7&amp;sourceID=14","3.7")</f>
        <v>3.7</v>
      </c>
      <c r="G2811" s="4" t="str">
        <f>HYPERLINK("http://141.218.60.56/~jnz1568/getInfo.php?workbook=14_09.xlsx&amp;sheet=U0&amp;row=2811&amp;col=7&amp;number=0.00341&amp;sourceID=14","0.00341")</f>
        <v>0.00341</v>
      </c>
    </row>
    <row r="2812" spans="1:7">
      <c r="A2812" s="3"/>
      <c r="B2812" s="3"/>
      <c r="C2812" s="3"/>
      <c r="D2812" s="3"/>
      <c r="E2812" s="3">
        <v>9</v>
      </c>
      <c r="F2812" s="4" t="str">
        <f>HYPERLINK("http://141.218.60.56/~jnz1568/getInfo.php?workbook=14_09.xlsx&amp;sheet=U0&amp;row=2812&amp;col=6&amp;number=3.8&amp;sourceID=14","3.8")</f>
        <v>3.8</v>
      </c>
      <c r="G2812" s="4" t="str">
        <f>HYPERLINK("http://141.218.60.56/~jnz1568/getInfo.php?workbook=14_09.xlsx&amp;sheet=U0&amp;row=2812&amp;col=7&amp;number=0.00341&amp;sourceID=14","0.00341")</f>
        <v>0.00341</v>
      </c>
    </row>
    <row r="2813" spans="1:7">
      <c r="A2813" s="3"/>
      <c r="B2813" s="3"/>
      <c r="C2813" s="3"/>
      <c r="D2813" s="3"/>
      <c r="E2813" s="3">
        <v>10</v>
      </c>
      <c r="F2813" s="4" t="str">
        <f>HYPERLINK("http://141.218.60.56/~jnz1568/getInfo.php?workbook=14_09.xlsx&amp;sheet=U0&amp;row=2813&amp;col=6&amp;number=3.9&amp;sourceID=14","3.9")</f>
        <v>3.9</v>
      </c>
      <c r="G2813" s="4" t="str">
        <f>HYPERLINK("http://141.218.60.56/~jnz1568/getInfo.php?workbook=14_09.xlsx&amp;sheet=U0&amp;row=2813&amp;col=7&amp;number=0.0034&amp;sourceID=14","0.0034")</f>
        <v>0.0034</v>
      </c>
    </row>
    <row r="2814" spans="1:7">
      <c r="A2814" s="3"/>
      <c r="B2814" s="3"/>
      <c r="C2814" s="3"/>
      <c r="D2814" s="3"/>
      <c r="E2814" s="3">
        <v>11</v>
      </c>
      <c r="F2814" s="4" t="str">
        <f>HYPERLINK("http://141.218.60.56/~jnz1568/getInfo.php?workbook=14_09.xlsx&amp;sheet=U0&amp;row=2814&amp;col=6&amp;number=4&amp;sourceID=14","4")</f>
        <v>4</v>
      </c>
      <c r="G2814" s="4" t="str">
        <f>HYPERLINK("http://141.218.60.56/~jnz1568/getInfo.php?workbook=14_09.xlsx&amp;sheet=U0&amp;row=2814&amp;col=7&amp;number=0.00339&amp;sourceID=14","0.00339")</f>
        <v>0.00339</v>
      </c>
    </row>
    <row r="2815" spans="1:7">
      <c r="A2815" s="3"/>
      <c r="B2815" s="3"/>
      <c r="C2815" s="3"/>
      <c r="D2815" s="3"/>
      <c r="E2815" s="3">
        <v>12</v>
      </c>
      <c r="F2815" s="4" t="str">
        <f>HYPERLINK("http://141.218.60.56/~jnz1568/getInfo.php?workbook=14_09.xlsx&amp;sheet=U0&amp;row=2815&amp;col=6&amp;number=4.1&amp;sourceID=14","4.1")</f>
        <v>4.1</v>
      </c>
      <c r="G2815" s="4" t="str">
        <f>HYPERLINK("http://141.218.60.56/~jnz1568/getInfo.php?workbook=14_09.xlsx&amp;sheet=U0&amp;row=2815&amp;col=7&amp;number=0.00339&amp;sourceID=14","0.00339")</f>
        <v>0.00339</v>
      </c>
    </row>
    <row r="2816" spans="1:7">
      <c r="A2816" s="3"/>
      <c r="B2816" s="3"/>
      <c r="C2816" s="3"/>
      <c r="D2816" s="3"/>
      <c r="E2816" s="3">
        <v>13</v>
      </c>
      <c r="F2816" s="4" t="str">
        <f>HYPERLINK("http://141.218.60.56/~jnz1568/getInfo.php?workbook=14_09.xlsx&amp;sheet=U0&amp;row=2816&amp;col=6&amp;number=4.2&amp;sourceID=14","4.2")</f>
        <v>4.2</v>
      </c>
      <c r="G2816" s="4" t="str">
        <f>HYPERLINK("http://141.218.60.56/~jnz1568/getInfo.php?workbook=14_09.xlsx&amp;sheet=U0&amp;row=2816&amp;col=7&amp;number=0.00337&amp;sourceID=14","0.00337")</f>
        <v>0.00337</v>
      </c>
    </row>
    <row r="2817" spans="1:7">
      <c r="A2817" s="3"/>
      <c r="B2817" s="3"/>
      <c r="C2817" s="3"/>
      <c r="D2817" s="3"/>
      <c r="E2817" s="3">
        <v>14</v>
      </c>
      <c r="F2817" s="4" t="str">
        <f>HYPERLINK("http://141.218.60.56/~jnz1568/getInfo.php?workbook=14_09.xlsx&amp;sheet=U0&amp;row=2817&amp;col=6&amp;number=4.3&amp;sourceID=14","4.3")</f>
        <v>4.3</v>
      </c>
      <c r="G2817" s="4" t="str">
        <f>HYPERLINK("http://141.218.60.56/~jnz1568/getInfo.php?workbook=14_09.xlsx&amp;sheet=U0&amp;row=2817&amp;col=7&amp;number=0.00336&amp;sourceID=14","0.00336")</f>
        <v>0.00336</v>
      </c>
    </row>
    <row r="2818" spans="1:7">
      <c r="A2818" s="3"/>
      <c r="B2818" s="3"/>
      <c r="C2818" s="3"/>
      <c r="D2818" s="3"/>
      <c r="E2818" s="3">
        <v>15</v>
      </c>
      <c r="F2818" s="4" t="str">
        <f>HYPERLINK("http://141.218.60.56/~jnz1568/getInfo.php?workbook=14_09.xlsx&amp;sheet=U0&amp;row=2818&amp;col=6&amp;number=4.4&amp;sourceID=14","4.4")</f>
        <v>4.4</v>
      </c>
      <c r="G2818" s="4" t="str">
        <f>HYPERLINK("http://141.218.60.56/~jnz1568/getInfo.php?workbook=14_09.xlsx&amp;sheet=U0&amp;row=2818&amp;col=7&amp;number=0.00334&amp;sourceID=14","0.00334")</f>
        <v>0.00334</v>
      </c>
    </row>
    <row r="2819" spans="1:7">
      <c r="A2819" s="3"/>
      <c r="B2819" s="3"/>
      <c r="C2819" s="3"/>
      <c r="D2819" s="3"/>
      <c r="E2819" s="3">
        <v>16</v>
      </c>
      <c r="F2819" s="4" t="str">
        <f>HYPERLINK("http://141.218.60.56/~jnz1568/getInfo.php?workbook=14_09.xlsx&amp;sheet=U0&amp;row=2819&amp;col=6&amp;number=4.5&amp;sourceID=14","4.5")</f>
        <v>4.5</v>
      </c>
      <c r="G2819" s="4" t="str">
        <f>HYPERLINK("http://141.218.60.56/~jnz1568/getInfo.php?workbook=14_09.xlsx&amp;sheet=U0&amp;row=2819&amp;col=7&amp;number=0.00332&amp;sourceID=14","0.00332")</f>
        <v>0.00332</v>
      </c>
    </row>
    <row r="2820" spans="1:7">
      <c r="A2820" s="3"/>
      <c r="B2820" s="3"/>
      <c r="C2820" s="3"/>
      <c r="D2820" s="3"/>
      <c r="E2820" s="3">
        <v>17</v>
      </c>
      <c r="F2820" s="4" t="str">
        <f>HYPERLINK("http://141.218.60.56/~jnz1568/getInfo.php?workbook=14_09.xlsx&amp;sheet=U0&amp;row=2820&amp;col=6&amp;number=4.6&amp;sourceID=14","4.6")</f>
        <v>4.6</v>
      </c>
      <c r="G2820" s="4" t="str">
        <f>HYPERLINK("http://141.218.60.56/~jnz1568/getInfo.php?workbook=14_09.xlsx&amp;sheet=U0&amp;row=2820&amp;col=7&amp;number=0.0033&amp;sourceID=14","0.0033")</f>
        <v>0.0033</v>
      </c>
    </row>
    <row r="2821" spans="1:7">
      <c r="A2821" s="3"/>
      <c r="B2821" s="3"/>
      <c r="C2821" s="3"/>
      <c r="D2821" s="3"/>
      <c r="E2821" s="3">
        <v>18</v>
      </c>
      <c r="F2821" s="4" t="str">
        <f>HYPERLINK("http://141.218.60.56/~jnz1568/getInfo.php?workbook=14_09.xlsx&amp;sheet=U0&amp;row=2821&amp;col=6&amp;number=4.7&amp;sourceID=14","4.7")</f>
        <v>4.7</v>
      </c>
      <c r="G2821" s="4" t="str">
        <f>HYPERLINK("http://141.218.60.56/~jnz1568/getInfo.php?workbook=14_09.xlsx&amp;sheet=U0&amp;row=2821&amp;col=7&amp;number=0.00327&amp;sourceID=14","0.00327")</f>
        <v>0.00327</v>
      </c>
    </row>
    <row r="2822" spans="1:7">
      <c r="A2822" s="3"/>
      <c r="B2822" s="3"/>
      <c r="C2822" s="3"/>
      <c r="D2822" s="3"/>
      <c r="E2822" s="3">
        <v>19</v>
      </c>
      <c r="F2822" s="4" t="str">
        <f>HYPERLINK("http://141.218.60.56/~jnz1568/getInfo.php?workbook=14_09.xlsx&amp;sheet=U0&amp;row=2822&amp;col=6&amp;number=4.8&amp;sourceID=14","4.8")</f>
        <v>4.8</v>
      </c>
      <c r="G2822" s="4" t="str">
        <f>HYPERLINK("http://141.218.60.56/~jnz1568/getInfo.php?workbook=14_09.xlsx&amp;sheet=U0&amp;row=2822&amp;col=7&amp;number=0.00323&amp;sourceID=14","0.00323")</f>
        <v>0.00323</v>
      </c>
    </row>
    <row r="2823" spans="1:7">
      <c r="A2823" s="3"/>
      <c r="B2823" s="3"/>
      <c r="C2823" s="3"/>
      <c r="D2823" s="3"/>
      <c r="E2823" s="3">
        <v>20</v>
      </c>
      <c r="F2823" s="4" t="str">
        <f>HYPERLINK("http://141.218.60.56/~jnz1568/getInfo.php?workbook=14_09.xlsx&amp;sheet=U0&amp;row=2823&amp;col=6&amp;number=4.9&amp;sourceID=14","4.9")</f>
        <v>4.9</v>
      </c>
      <c r="G2823" s="4" t="str">
        <f>HYPERLINK("http://141.218.60.56/~jnz1568/getInfo.php?workbook=14_09.xlsx&amp;sheet=U0&amp;row=2823&amp;col=7&amp;number=0.00318&amp;sourceID=14","0.00318")</f>
        <v>0.00318</v>
      </c>
    </row>
    <row r="2824" spans="1:7">
      <c r="A2824" s="3">
        <v>14</v>
      </c>
      <c r="B2824" s="3">
        <v>9</v>
      </c>
      <c r="C2824" s="3">
        <v>1</v>
      </c>
      <c r="D2824" s="3">
        <v>143</v>
      </c>
      <c r="E2824" s="3">
        <v>1</v>
      </c>
      <c r="F2824" s="4" t="str">
        <f>HYPERLINK("http://141.218.60.56/~jnz1568/getInfo.php?workbook=14_09.xlsx&amp;sheet=U0&amp;row=2824&amp;col=6&amp;number=3&amp;sourceID=14","3")</f>
        <v>3</v>
      </c>
      <c r="G2824" s="4" t="str">
        <f>HYPERLINK("http://141.218.60.56/~jnz1568/getInfo.php?workbook=14_09.xlsx&amp;sheet=U0&amp;row=2824&amp;col=7&amp;number=0.00291&amp;sourceID=14","0.00291")</f>
        <v>0.00291</v>
      </c>
    </row>
    <row r="2825" spans="1:7">
      <c r="A2825" s="3"/>
      <c r="B2825" s="3"/>
      <c r="C2825" s="3"/>
      <c r="D2825" s="3"/>
      <c r="E2825" s="3">
        <v>2</v>
      </c>
      <c r="F2825" s="4" t="str">
        <f>HYPERLINK("http://141.218.60.56/~jnz1568/getInfo.php?workbook=14_09.xlsx&amp;sheet=U0&amp;row=2825&amp;col=6&amp;number=3.1&amp;sourceID=14","3.1")</f>
        <v>3.1</v>
      </c>
      <c r="G2825" s="4" t="str">
        <f>HYPERLINK("http://141.218.60.56/~jnz1568/getInfo.php?workbook=14_09.xlsx&amp;sheet=U0&amp;row=2825&amp;col=7&amp;number=0.00291&amp;sourceID=14","0.00291")</f>
        <v>0.00291</v>
      </c>
    </row>
    <row r="2826" spans="1:7">
      <c r="A2826" s="3"/>
      <c r="B2826" s="3"/>
      <c r="C2826" s="3"/>
      <c r="D2826" s="3"/>
      <c r="E2826" s="3">
        <v>3</v>
      </c>
      <c r="F2826" s="4" t="str">
        <f>HYPERLINK("http://141.218.60.56/~jnz1568/getInfo.php?workbook=14_09.xlsx&amp;sheet=U0&amp;row=2826&amp;col=6&amp;number=3.2&amp;sourceID=14","3.2")</f>
        <v>3.2</v>
      </c>
      <c r="G2826" s="4" t="str">
        <f>HYPERLINK("http://141.218.60.56/~jnz1568/getInfo.php?workbook=14_09.xlsx&amp;sheet=U0&amp;row=2826&amp;col=7&amp;number=0.00291&amp;sourceID=14","0.00291")</f>
        <v>0.00291</v>
      </c>
    </row>
    <row r="2827" spans="1:7">
      <c r="A2827" s="3"/>
      <c r="B2827" s="3"/>
      <c r="C2827" s="3"/>
      <c r="D2827" s="3"/>
      <c r="E2827" s="3">
        <v>4</v>
      </c>
      <c r="F2827" s="4" t="str">
        <f>HYPERLINK("http://141.218.60.56/~jnz1568/getInfo.php?workbook=14_09.xlsx&amp;sheet=U0&amp;row=2827&amp;col=6&amp;number=3.3&amp;sourceID=14","3.3")</f>
        <v>3.3</v>
      </c>
      <c r="G2827" s="4" t="str">
        <f>HYPERLINK("http://141.218.60.56/~jnz1568/getInfo.php?workbook=14_09.xlsx&amp;sheet=U0&amp;row=2827&amp;col=7&amp;number=0.0029&amp;sourceID=14","0.0029")</f>
        <v>0.0029</v>
      </c>
    </row>
    <row r="2828" spans="1:7">
      <c r="A2828" s="3"/>
      <c r="B2828" s="3"/>
      <c r="C2828" s="3"/>
      <c r="D2828" s="3"/>
      <c r="E2828" s="3">
        <v>5</v>
      </c>
      <c r="F2828" s="4" t="str">
        <f>HYPERLINK("http://141.218.60.56/~jnz1568/getInfo.php?workbook=14_09.xlsx&amp;sheet=U0&amp;row=2828&amp;col=6&amp;number=3.4&amp;sourceID=14","3.4")</f>
        <v>3.4</v>
      </c>
      <c r="G2828" s="4" t="str">
        <f>HYPERLINK("http://141.218.60.56/~jnz1568/getInfo.php?workbook=14_09.xlsx&amp;sheet=U0&amp;row=2828&amp;col=7&amp;number=0.0029&amp;sourceID=14","0.0029")</f>
        <v>0.0029</v>
      </c>
    </row>
    <row r="2829" spans="1:7">
      <c r="A2829" s="3"/>
      <c r="B2829" s="3"/>
      <c r="C2829" s="3"/>
      <c r="D2829" s="3"/>
      <c r="E2829" s="3">
        <v>6</v>
      </c>
      <c r="F2829" s="4" t="str">
        <f>HYPERLINK("http://141.218.60.56/~jnz1568/getInfo.php?workbook=14_09.xlsx&amp;sheet=U0&amp;row=2829&amp;col=6&amp;number=3.5&amp;sourceID=14","3.5")</f>
        <v>3.5</v>
      </c>
      <c r="G2829" s="4" t="str">
        <f>HYPERLINK("http://141.218.60.56/~jnz1568/getInfo.php?workbook=14_09.xlsx&amp;sheet=U0&amp;row=2829&amp;col=7&amp;number=0.0029&amp;sourceID=14","0.0029")</f>
        <v>0.0029</v>
      </c>
    </row>
    <row r="2830" spans="1:7">
      <c r="A2830" s="3"/>
      <c r="B2830" s="3"/>
      <c r="C2830" s="3"/>
      <c r="D2830" s="3"/>
      <c r="E2830" s="3">
        <v>7</v>
      </c>
      <c r="F2830" s="4" t="str">
        <f>HYPERLINK("http://141.218.60.56/~jnz1568/getInfo.php?workbook=14_09.xlsx&amp;sheet=U0&amp;row=2830&amp;col=6&amp;number=3.6&amp;sourceID=14","3.6")</f>
        <v>3.6</v>
      </c>
      <c r="G2830" s="4" t="str">
        <f>HYPERLINK("http://141.218.60.56/~jnz1568/getInfo.php?workbook=14_09.xlsx&amp;sheet=U0&amp;row=2830&amp;col=7&amp;number=0.0029&amp;sourceID=14","0.0029")</f>
        <v>0.0029</v>
      </c>
    </row>
    <row r="2831" spans="1:7">
      <c r="A2831" s="3"/>
      <c r="B2831" s="3"/>
      <c r="C2831" s="3"/>
      <c r="D2831" s="3"/>
      <c r="E2831" s="3">
        <v>8</v>
      </c>
      <c r="F2831" s="4" t="str">
        <f>HYPERLINK("http://141.218.60.56/~jnz1568/getInfo.php?workbook=14_09.xlsx&amp;sheet=U0&amp;row=2831&amp;col=6&amp;number=3.7&amp;sourceID=14","3.7")</f>
        <v>3.7</v>
      </c>
      <c r="G2831" s="4" t="str">
        <f>HYPERLINK("http://141.218.60.56/~jnz1568/getInfo.php?workbook=14_09.xlsx&amp;sheet=U0&amp;row=2831&amp;col=7&amp;number=0.00289&amp;sourceID=14","0.00289")</f>
        <v>0.00289</v>
      </c>
    </row>
    <row r="2832" spans="1:7">
      <c r="A2832" s="3"/>
      <c r="B2832" s="3"/>
      <c r="C2832" s="3"/>
      <c r="D2832" s="3"/>
      <c r="E2832" s="3">
        <v>9</v>
      </c>
      <c r="F2832" s="4" t="str">
        <f>HYPERLINK("http://141.218.60.56/~jnz1568/getInfo.php?workbook=14_09.xlsx&amp;sheet=U0&amp;row=2832&amp;col=6&amp;number=3.8&amp;sourceID=14","3.8")</f>
        <v>3.8</v>
      </c>
      <c r="G2832" s="4" t="str">
        <f>HYPERLINK("http://141.218.60.56/~jnz1568/getInfo.php?workbook=14_09.xlsx&amp;sheet=U0&amp;row=2832&amp;col=7&amp;number=0.00289&amp;sourceID=14","0.00289")</f>
        <v>0.00289</v>
      </c>
    </row>
    <row r="2833" spans="1:7">
      <c r="A2833" s="3"/>
      <c r="B2833" s="3"/>
      <c r="C2833" s="3"/>
      <c r="D2833" s="3"/>
      <c r="E2833" s="3">
        <v>10</v>
      </c>
      <c r="F2833" s="4" t="str">
        <f>HYPERLINK("http://141.218.60.56/~jnz1568/getInfo.php?workbook=14_09.xlsx&amp;sheet=U0&amp;row=2833&amp;col=6&amp;number=3.9&amp;sourceID=14","3.9")</f>
        <v>3.9</v>
      </c>
      <c r="G2833" s="4" t="str">
        <f>HYPERLINK("http://141.218.60.56/~jnz1568/getInfo.php?workbook=14_09.xlsx&amp;sheet=U0&amp;row=2833&amp;col=7&amp;number=0.00288&amp;sourceID=14","0.00288")</f>
        <v>0.00288</v>
      </c>
    </row>
    <row r="2834" spans="1:7">
      <c r="A2834" s="3"/>
      <c r="B2834" s="3"/>
      <c r="C2834" s="3"/>
      <c r="D2834" s="3"/>
      <c r="E2834" s="3">
        <v>11</v>
      </c>
      <c r="F2834" s="4" t="str">
        <f>HYPERLINK("http://141.218.60.56/~jnz1568/getInfo.php?workbook=14_09.xlsx&amp;sheet=U0&amp;row=2834&amp;col=6&amp;number=4&amp;sourceID=14","4")</f>
        <v>4</v>
      </c>
      <c r="G2834" s="4" t="str">
        <f>HYPERLINK("http://141.218.60.56/~jnz1568/getInfo.php?workbook=14_09.xlsx&amp;sheet=U0&amp;row=2834&amp;col=7&amp;number=0.00287&amp;sourceID=14","0.00287")</f>
        <v>0.00287</v>
      </c>
    </row>
    <row r="2835" spans="1:7">
      <c r="A2835" s="3"/>
      <c r="B2835" s="3"/>
      <c r="C2835" s="3"/>
      <c r="D2835" s="3"/>
      <c r="E2835" s="3">
        <v>12</v>
      </c>
      <c r="F2835" s="4" t="str">
        <f>HYPERLINK("http://141.218.60.56/~jnz1568/getInfo.php?workbook=14_09.xlsx&amp;sheet=U0&amp;row=2835&amp;col=6&amp;number=4.1&amp;sourceID=14","4.1")</f>
        <v>4.1</v>
      </c>
      <c r="G2835" s="4" t="str">
        <f>HYPERLINK("http://141.218.60.56/~jnz1568/getInfo.php?workbook=14_09.xlsx&amp;sheet=U0&amp;row=2835&amp;col=7&amp;number=0.00286&amp;sourceID=14","0.00286")</f>
        <v>0.00286</v>
      </c>
    </row>
    <row r="2836" spans="1:7">
      <c r="A2836" s="3"/>
      <c r="B2836" s="3"/>
      <c r="C2836" s="3"/>
      <c r="D2836" s="3"/>
      <c r="E2836" s="3">
        <v>13</v>
      </c>
      <c r="F2836" s="4" t="str">
        <f>HYPERLINK("http://141.218.60.56/~jnz1568/getInfo.php?workbook=14_09.xlsx&amp;sheet=U0&amp;row=2836&amp;col=6&amp;number=4.2&amp;sourceID=14","4.2")</f>
        <v>4.2</v>
      </c>
      <c r="G2836" s="4" t="str">
        <f>HYPERLINK("http://141.218.60.56/~jnz1568/getInfo.php?workbook=14_09.xlsx&amp;sheet=U0&amp;row=2836&amp;col=7&amp;number=0.00285&amp;sourceID=14","0.00285")</f>
        <v>0.00285</v>
      </c>
    </row>
    <row r="2837" spans="1:7">
      <c r="A2837" s="3"/>
      <c r="B2837" s="3"/>
      <c r="C2837" s="3"/>
      <c r="D2837" s="3"/>
      <c r="E2837" s="3">
        <v>14</v>
      </c>
      <c r="F2837" s="4" t="str">
        <f>HYPERLINK("http://141.218.60.56/~jnz1568/getInfo.php?workbook=14_09.xlsx&amp;sheet=U0&amp;row=2837&amp;col=6&amp;number=4.3&amp;sourceID=14","4.3")</f>
        <v>4.3</v>
      </c>
      <c r="G2837" s="4" t="str">
        <f>HYPERLINK("http://141.218.60.56/~jnz1568/getInfo.php?workbook=14_09.xlsx&amp;sheet=U0&amp;row=2837&amp;col=7&amp;number=0.00284&amp;sourceID=14","0.00284")</f>
        <v>0.00284</v>
      </c>
    </row>
    <row r="2838" spans="1:7">
      <c r="A2838" s="3"/>
      <c r="B2838" s="3"/>
      <c r="C2838" s="3"/>
      <c r="D2838" s="3"/>
      <c r="E2838" s="3">
        <v>15</v>
      </c>
      <c r="F2838" s="4" t="str">
        <f>HYPERLINK("http://141.218.60.56/~jnz1568/getInfo.php?workbook=14_09.xlsx&amp;sheet=U0&amp;row=2838&amp;col=6&amp;number=4.4&amp;sourceID=14","4.4")</f>
        <v>4.4</v>
      </c>
      <c r="G2838" s="4" t="str">
        <f>HYPERLINK("http://141.218.60.56/~jnz1568/getInfo.php?workbook=14_09.xlsx&amp;sheet=U0&amp;row=2838&amp;col=7&amp;number=0.00282&amp;sourceID=14","0.00282")</f>
        <v>0.00282</v>
      </c>
    </row>
    <row r="2839" spans="1:7">
      <c r="A2839" s="3"/>
      <c r="B2839" s="3"/>
      <c r="C2839" s="3"/>
      <c r="D2839" s="3"/>
      <c r="E2839" s="3">
        <v>16</v>
      </c>
      <c r="F2839" s="4" t="str">
        <f>HYPERLINK("http://141.218.60.56/~jnz1568/getInfo.php?workbook=14_09.xlsx&amp;sheet=U0&amp;row=2839&amp;col=6&amp;number=4.5&amp;sourceID=14","4.5")</f>
        <v>4.5</v>
      </c>
      <c r="G2839" s="4" t="str">
        <f>HYPERLINK("http://141.218.60.56/~jnz1568/getInfo.php?workbook=14_09.xlsx&amp;sheet=U0&amp;row=2839&amp;col=7&amp;number=0.00279&amp;sourceID=14","0.00279")</f>
        <v>0.00279</v>
      </c>
    </row>
    <row r="2840" spans="1:7">
      <c r="A2840" s="3"/>
      <c r="B2840" s="3"/>
      <c r="C2840" s="3"/>
      <c r="D2840" s="3"/>
      <c r="E2840" s="3">
        <v>17</v>
      </c>
      <c r="F2840" s="4" t="str">
        <f>HYPERLINK("http://141.218.60.56/~jnz1568/getInfo.php?workbook=14_09.xlsx&amp;sheet=U0&amp;row=2840&amp;col=6&amp;number=4.6&amp;sourceID=14","4.6")</f>
        <v>4.6</v>
      </c>
      <c r="G2840" s="4" t="str">
        <f>HYPERLINK("http://141.218.60.56/~jnz1568/getInfo.php?workbook=14_09.xlsx&amp;sheet=U0&amp;row=2840&amp;col=7&amp;number=0.00276&amp;sourceID=14","0.00276")</f>
        <v>0.00276</v>
      </c>
    </row>
    <row r="2841" spans="1:7">
      <c r="A2841" s="3"/>
      <c r="B2841" s="3"/>
      <c r="C2841" s="3"/>
      <c r="D2841" s="3"/>
      <c r="E2841" s="3">
        <v>18</v>
      </c>
      <c r="F2841" s="4" t="str">
        <f>HYPERLINK("http://141.218.60.56/~jnz1568/getInfo.php?workbook=14_09.xlsx&amp;sheet=U0&amp;row=2841&amp;col=6&amp;number=4.7&amp;sourceID=14","4.7")</f>
        <v>4.7</v>
      </c>
      <c r="G2841" s="4" t="str">
        <f>HYPERLINK("http://141.218.60.56/~jnz1568/getInfo.php?workbook=14_09.xlsx&amp;sheet=U0&amp;row=2841&amp;col=7&amp;number=0.00273&amp;sourceID=14","0.00273")</f>
        <v>0.00273</v>
      </c>
    </row>
    <row r="2842" spans="1:7">
      <c r="A2842" s="3"/>
      <c r="B2842" s="3"/>
      <c r="C2842" s="3"/>
      <c r="D2842" s="3"/>
      <c r="E2842" s="3">
        <v>19</v>
      </c>
      <c r="F2842" s="4" t="str">
        <f>HYPERLINK("http://141.218.60.56/~jnz1568/getInfo.php?workbook=14_09.xlsx&amp;sheet=U0&amp;row=2842&amp;col=6&amp;number=4.8&amp;sourceID=14","4.8")</f>
        <v>4.8</v>
      </c>
      <c r="G2842" s="4" t="str">
        <f>HYPERLINK("http://141.218.60.56/~jnz1568/getInfo.php?workbook=14_09.xlsx&amp;sheet=U0&amp;row=2842&amp;col=7&amp;number=0.00268&amp;sourceID=14","0.00268")</f>
        <v>0.00268</v>
      </c>
    </row>
    <row r="2843" spans="1:7">
      <c r="A2843" s="3"/>
      <c r="B2843" s="3"/>
      <c r="C2843" s="3"/>
      <c r="D2843" s="3"/>
      <c r="E2843" s="3">
        <v>20</v>
      </c>
      <c r="F2843" s="4" t="str">
        <f>HYPERLINK("http://141.218.60.56/~jnz1568/getInfo.php?workbook=14_09.xlsx&amp;sheet=U0&amp;row=2843&amp;col=6&amp;number=4.9&amp;sourceID=14","4.9")</f>
        <v>4.9</v>
      </c>
      <c r="G2843" s="4" t="str">
        <f>HYPERLINK("http://141.218.60.56/~jnz1568/getInfo.php?workbook=14_09.xlsx&amp;sheet=U0&amp;row=2843&amp;col=7&amp;number=0.00262&amp;sourceID=14","0.00262")</f>
        <v>0.00262</v>
      </c>
    </row>
    <row r="2844" spans="1:7">
      <c r="A2844" s="3">
        <v>14</v>
      </c>
      <c r="B2844" s="3">
        <v>9</v>
      </c>
      <c r="C2844" s="3">
        <v>1</v>
      </c>
      <c r="D2844" s="3">
        <v>144</v>
      </c>
      <c r="E2844" s="3">
        <v>1</v>
      </c>
      <c r="F2844" s="4" t="str">
        <f>HYPERLINK("http://141.218.60.56/~jnz1568/getInfo.php?workbook=14_09.xlsx&amp;sheet=U0&amp;row=2844&amp;col=6&amp;number=3&amp;sourceID=14","3")</f>
        <v>3</v>
      </c>
      <c r="G2844" s="4" t="str">
        <f>HYPERLINK("http://141.218.60.56/~jnz1568/getInfo.php?workbook=14_09.xlsx&amp;sheet=U0&amp;row=2844&amp;col=7&amp;number=0.00334&amp;sourceID=14","0.00334")</f>
        <v>0.00334</v>
      </c>
    </row>
    <row r="2845" spans="1:7">
      <c r="A2845" s="3"/>
      <c r="B2845" s="3"/>
      <c r="C2845" s="3"/>
      <c r="D2845" s="3"/>
      <c r="E2845" s="3">
        <v>2</v>
      </c>
      <c r="F2845" s="4" t="str">
        <f>HYPERLINK("http://141.218.60.56/~jnz1568/getInfo.php?workbook=14_09.xlsx&amp;sheet=U0&amp;row=2845&amp;col=6&amp;number=3.1&amp;sourceID=14","3.1")</f>
        <v>3.1</v>
      </c>
      <c r="G2845" s="4" t="str">
        <f>HYPERLINK("http://141.218.60.56/~jnz1568/getInfo.php?workbook=14_09.xlsx&amp;sheet=U0&amp;row=2845&amp;col=7&amp;number=0.00333&amp;sourceID=14","0.00333")</f>
        <v>0.00333</v>
      </c>
    </row>
    <row r="2846" spans="1:7">
      <c r="A2846" s="3"/>
      <c r="B2846" s="3"/>
      <c r="C2846" s="3"/>
      <c r="D2846" s="3"/>
      <c r="E2846" s="3">
        <v>3</v>
      </c>
      <c r="F2846" s="4" t="str">
        <f>HYPERLINK("http://141.218.60.56/~jnz1568/getInfo.php?workbook=14_09.xlsx&amp;sheet=U0&amp;row=2846&amp;col=6&amp;number=3.2&amp;sourceID=14","3.2")</f>
        <v>3.2</v>
      </c>
      <c r="G2846" s="4" t="str">
        <f>HYPERLINK("http://141.218.60.56/~jnz1568/getInfo.php?workbook=14_09.xlsx&amp;sheet=U0&amp;row=2846&amp;col=7&amp;number=0.00333&amp;sourceID=14","0.00333")</f>
        <v>0.00333</v>
      </c>
    </row>
    <row r="2847" spans="1:7">
      <c r="A2847" s="3"/>
      <c r="B2847" s="3"/>
      <c r="C2847" s="3"/>
      <c r="D2847" s="3"/>
      <c r="E2847" s="3">
        <v>4</v>
      </c>
      <c r="F2847" s="4" t="str">
        <f>HYPERLINK("http://141.218.60.56/~jnz1568/getInfo.php?workbook=14_09.xlsx&amp;sheet=U0&amp;row=2847&amp;col=6&amp;number=3.3&amp;sourceID=14","3.3")</f>
        <v>3.3</v>
      </c>
      <c r="G2847" s="4" t="str">
        <f>HYPERLINK("http://141.218.60.56/~jnz1568/getInfo.php?workbook=14_09.xlsx&amp;sheet=U0&amp;row=2847&amp;col=7&amp;number=0.00333&amp;sourceID=14","0.00333")</f>
        <v>0.00333</v>
      </c>
    </row>
    <row r="2848" spans="1:7">
      <c r="A2848" s="3"/>
      <c r="B2848" s="3"/>
      <c r="C2848" s="3"/>
      <c r="D2848" s="3"/>
      <c r="E2848" s="3">
        <v>5</v>
      </c>
      <c r="F2848" s="4" t="str">
        <f>HYPERLINK("http://141.218.60.56/~jnz1568/getInfo.php?workbook=14_09.xlsx&amp;sheet=U0&amp;row=2848&amp;col=6&amp;number=3.4&amp;sourceID=14","3.4")</f>
        <v>3.4</v>
      </c>
      <c r="G2848" s="4" t="str">
        <f>HYPERLINK("http://141.218.60.56/~jnz1568/getInfo.php?workbook=14_09.xlsx&amp;sheet=U0&amp;row=2848&amp;col=7&amp;number=0.00333&amp;sourceID=14","0.00333")</f>
        <v>0.00333</v>
      </c>
    </row>
    <row r="2849" spans="1:7">
      <c r="A2849" s="3"/>
      <c r="B2849" s="3"/>
      <c r="C2849" s="3"/>
      <c r="D2849" s="3"/>
      <c r="E2849" s="3">
        <v>6</v>
      </c>
      <c r="F2849" s="4" t="str">
        <f>HYPERLINK("http://141.218.60.56/~jnz1568/getInfo.php?workbook=14_09.xlsx&amp;sheet=U0&amp;row=2849&amp;col=6&amp;number=3.5&amp;sourceID=14","3.5")</f>
        <v>3.5</v>
      </c>
      <c r="G2849" s="4" t="str">
        <f>HYPERLINK("http://141.218.60.56/~jnz1568/getInfo.php?workbook=14_09.xlsx&amp;sheet=U0&amp;row=2849&amp;col=7&amp;number=0.00333&amp;sourceID=14","0.00333")</f>
        <v>0.00333</v>
      </c>
    </row>
    <row r="2850" spans="1:7">
      <c r="A2850" s="3"/>
      <c r="B2850" s="3"/>
      <c r="C2850" s="3"/>
      <c r="D2850" s="3"/>
      <c r="E2850" s="3">
        <v>7</v>
      </c>
      <c r="F2850" s="4" t="str">
        <f>HYPERLINK("http://141.218.60.56/~jnz1568/getInfo.php?workbook=14_09.xlsx&amp;sheet=U0&amp;row=2850&amp;col=6&amp;number=3.6&amp;sourceID=14","3.6")</f>
        <v>3.6</v>
      </c>
      <c r="G2850" s="4" t="str">
        <f>HYPERLINK("http://141.218.60.56/~jnz1568/getInfo.php?workbook=14_09.xlsx&amp;sheet=U0&amp;row=2850&amp;col=7&amp;number=0.00332&amp;sourceID=14","0.00332")</f>
        <v>0.00332</v>
      </c>
    </row>
    <row r="2851" spans="1:7">
      <c r="A2851" s="3"/>
      <c r="B2851" s="3"/>
      <c r="C2851" s="3"/>
      <c r="D2851" s="3"/>
      <c r="E2851" s="3">
        <v>8</v>
      </c>
      <c r="F2851" s="4" t="str">
        <f>HYPERLINK("http://141.218.60.56/~jnz1568/getInfo.php?workbook=14_09.xlsx&amp;sheet=U0&amp;row=2851&amp;col=6&amp;number=3.7&amp;sourceID=14","3.7")</f>
        <v>3.7</v>
      </c>
      <c r="G2851" s="4" t="str">
        <f>HYPERLINK("http://141.218.60.56/~jnz1568/getInfo.php?workbook=14_09.xlsx&amp;sheet=U0&amp;row=2851&amp;col=7&amp;number=0.00332&amp;sourceID=14","0.00332")</f>
        <v>0.00332</v>
      </c>
    </row>
    <row r="2852" spans="1:7">
      <c r="A2852" s="3"/>
      <c r="B2852" s="3"/>
      <c r="C2852" s="3"/>
      <c r="D2852" s="3"/>
      <c r="E2852" s="3">
        <v>9</v>
      </c>
      <c r="F2852" s="4" t="str">
        <f>HYPERLINK("http://141.218.60.56/~jnz1568/getInfo.php?workbook=14_09.xlsx&amp;sheet=U0&amp;row=2852&amp;col=6&amp;number=3.8&amp;sourceID=14","3.8")</f>
        <v>3.8</v>
      </c>
      <c r="G2852" s="4" t="str">
        <f>HYPERLINK("http://141.218.60.56/~jnz1568/getInfo.php?workbook=14_09.xlsx&amp;sheet=U0&amp;row=2852&amp;col=7&amp;number=0.00331&amp;sourceID=14","0.00331")</f>
        <v>0.00331</v>
      </c>
    </row>
    <row r="2853" spans="1:7">
      <c r="A2853" s="3"/>
      <c r="B2853" s="3"/>
      <c r="C2853" s="3"/>
      <c r="D2853" s="3"/>
      <c r="E2853" s="3">
        <v>10</v>
      </c>
      <c r="F2853" s="4" t="str">
        <f>HYPERLINK("http://141.218.60.56/~jnz1568/getInfo.php?workbook=14_09.xlsx&amp;sheet=U0&amp;row=2853&amp;col=6&amp;number=3.9&amp;sourceID=14","3.9")</f>
        <v>3.9</v>
      </c>
      <c r="G2853" s="4" t="str">
        <f>HYPERLINK("http://141.218.60.56/~jnz1568/getInfo.php?workbook=14_09.xlsx&amp;sheet=U0&amp;row=2853&amp;col=7&amp;number=0.00331&amp;sourceID=14","0.00331")</f>
        <v>0.00331</v>
      </c>
    </row>
    <row r="2854" spans="1:7">
      <c r="A2854" s="3"/>
      <c r="B2854" s="3"/>
      <c r="C2854" s="3"/>
      <c r="D2854" s="3"/>
      <c r="E2854" s="3">
        <v>11</v>
      </c>
      <c r="F2854" s="4" t="str">
        <f>HYPERLINK("http://141.218.60.56/~jnz1568/getInfo.php?workbook=14_09.xlsx&amp;sheet=U0&amp;row=2854&amp;col=6&amp;number=4&amp;sourceID=14","4")</f>
        <v>4</v>
      </c>
      <c r="G2854" s="4" t="str">
        <f>HYPERLINK("http://141.218.60.56/~jnz1568/getInfo.php?workbook=14_09.xlsx&amp;sheet=U0&amp;row=2854&amp;col=7&amp;number=0.0033&amp;sourceID=14","0.0033")</f>
        <v>0.0033</v>
      </c>
    </row>
    <row r="2855" spans="1:7">
      <c r="A2855" s="3"/>
      <c r="B2855" s="3"/>
      <c r="C2855" s="3"/>
      <c r="D2855" s="3"/>
      <c r="E2855" s="3">
        <v>12</v>
      </c>
      <c r="F2855" s="4" t="str">
        <f>HYPERLINK("http://141.218.60.56/~jnz1568/getInfo.php?workbook=14_09.xlsx&amp;sheet=U0&amp;row=2855&amp;col=6&amp;number=4.1&amp;sourceID=14","4.1")</f>
        <v>4.1</v>
      </c>
      <c r="G2855" s="4" t="str">
        <f>HYPERLINK("http://141.218.60.56/~jnz1568/getInfo.php?workbook=14_09.xlsx&amp;sheet=U0&amp;row=2855&amp;col=7&amp;number=0.00329&amp;sourceID=14","0.00329")</f>
        <v>0.00329</v>
      </c>
    </row>
    <row r="2856" spans="1:7">
      <c r="A2856" s="3"/>
      <c r="B2856" s="3"/>
      <c r="C2856" s="3"/>
      <c r="D2856" s="3"/>
      <c r="E2856" s="3">
        <v>13</v>
      </c>
      <c r="F2856" s="4" t="str">
        <f>HYPERLINK("http://141.218.60.56/~jnz1568/getInfo.php?workbook=14_09.xlsx&amp;sheet=U0&amp;row=2856&amp;col=6&amp;number=4.2&amp;sourceID=14","4.2")</f>
        <v>4.2</v>
      </c>
      <c r="G2856" s="4" t="str">
        <f>HYPERLINK("http://141.218.60.56/~jnz1568/getInfo.php?workbook=14_09.xlsx&amp;sheet=U0&amp;row=2856&amp;col=7&amp;number=0.00328&amp;sourceID=14","0.00328")</f>
        <v>0.00328</v>
      </c>
    </row>
    <row r="2857" spans="1:7">
      <c r="A2857" s="3"/>
      <c r="B2857" s="3"/>
      <c r="C2857" s="3"/>
      <c r="D2857" s="3"/>
      <c r="E2857" s="3">
        <v>14</v>
      </c>
      <c r="F2857" s="4" t="str">
        <f>HYPERLINK("http://141.218.60.56/~jnz1568/getInfo.php?workbook=14_09.xlsx&amp;sheet=U0&amp;row=2857&amp;col=6&amp;number=4.3&amp;sourceID=14","4.3")</f>
        <v>4.3</v>
      </c>
      <c r="G2857" s="4" t="str">
        <f>HYPERLINK("http://141.218.60.56/~jnz1568/getInfo.php?workbook=14_09.xlsx&amp;sheet=U0&amp;row=2857&amp;col=7&amp;number=0.00326&amp;sourceID=14","0.00326")</f>
        <v>0.00326</v>
      </c>
    </row>
    <row r="2858" spans="1:7">
      <c r="A2858" s="3"/>
      <c r="B2858" s="3"/>
      <c r="C2858" s="3"/>
      <c r="D2858" s="3"/>
      <c r="E2858" s="3">
        <v>15</v>
      </c>
      <c r="F2858" s="4" t="str">
        <f>HYPERLINK("http://141.218.60.56/~jnz1568/getInfo.php?workbook=14_09.xlsx&amp;sheet=U0&amp;row=2858&amp;col=6&amp;number=4.4&amp;sourceID=14","4.4")</f>
        <v>4.4</v>
      </c>
      <c r="G2858" s="4" t="str">
        <f>HYPERLINK("http://141.218.60.56/~jnz1568/getInfo.php?workbook=14_09.xlsx&amp;sheet=U0&amp;row=2858&amp;col=7&amp;number=0.00324&amp;sourceID=14","0.00324")</f>
        <v>0.00324</v>
      </c>
    </row>
    <row r="2859" spans="1:7">
      <c r="A2859" s="3"/>
      <c r="B2859" s="3"/>
      <c r="C2859" s="3"/>
      <c r="D2859" s="3"/>
      <c r="E2859" s="3">
        <v>16</v>
      </c>
      <c r="F2859" s="4" t="str">
        <f>HYPERLINK("http://141.218.60.56/~jnz1568/getInfo.php?workbook=14_09.xlsx&amp;sheet=U0&amp;row=2859&amp;col=6&amp;number=4.5&amp;sourceID=14","4.5")</f>
        <v>4.5</v>
      </c>
      <c r="G2859" s="4" t="str">
        <f>HYPERLINK("http://141.218.60.56/~jnz1568/getInfo.php?workbook=14_09.xlsx&amp;sheet=U0&amp;row=2859&amp;col=7&amp;number=0.00321&amp;sourceID=14","0.00321")</f>
        <v>0.00321</v>
      </c>
    </row>
    <row r="2860" spans="1:7">
      <c r="A2860" s="3"/>
      <c r="B2860" s="3"/>
      <c r="C2860" s="3"/>
      <c r="D2860" s="3"/>
      <c r="E2860" s="3">
        <v>17</v>
      </c>
      <c r="F2860" s="4" t="str">
        <f>HYPERLINK("http://141.218.60.56/~jnz1568/getInfo.php?workbook=14_09.xlsx&amp;sheet=U0&amp;row=2860&amp;col=6&amp;number=4.6&amp;sourceID=14","4.6")</f>
        <v>4.6</v>
      </c>
      <c r="G2860" s="4" t="str">
        <f>HYPERLINK("http://141.218.60.56/~jnz1568/getInfo.php?workbook=14_09.xlsx&amp;sheet=U0&amp;row=2860&amp;col=7&amp;number=0.00318&amp;sourceID=14","0.00318")</f>
        <v>0.00318</v>
      </c>
    </row>
    <row r="2861" spans="1:7">
      <c r="A2861" s="3"/>
      <c r="B2861" s="3"/>
      <c r="C2861" s="3"/>
      <c r="D2861" s="3"/>
      <c r="E2861" s="3">
        <v>18</v>
      </c>
      <c r="F2861" s="4" t="str">
        <f>HYPERLINK("http://141.218.60.56/~jnz1568/getInfo.php?workbook=14_09.xlsx&amp;sheet=U0&amp;row=2861&amp;col=6&amp;number=4.7&amp;sourceID=14","4.7")</f>
        <v>4.7</v>
      </c>
      <c r="G2861" s="4" t="str">
        <f>HYPERLINK("http://141.218.60.56/~jnz1568/getInfo.php?workbook=14_09.xlsx&amp;sheet=U0&amp;row=2861&amp;col=7&amp;number=0.00314&amp;sourceID=14","0.00314")</f>
        <v>0.00314</v>
      </c>
    </row>
    <row r="2862" spans="1:7">
      <c r="A2862" s="3"/>
      <c r="B2862" s="3"/>
      <c r="C2862" s="3"/>
      <c r="D2862" s="3"/>
      <c r="E2862" s="3">
        <v>19</v>
      </c>
      <c r="F2862" s="4" t="str">
        <f>HYPERLINK("http://141.218.60.56/~jnz1568/getInfo.php?workbook=14_09.xlsx&amp;sheet=U0&amp;row=2862&amp;col=6&amp;number=4.8&amp;sourceID=14","4.8")</f>
        <v>4.8</v>
      </c>
      <c r="G2862" s="4" t="str">
        <f>HYPERLINK("http://141.218.60.56/~jnz1568/getInfo.php?workbook=14_09.xlsx&amp;sheet=U0&amp;row=2862&amp;col=7&amp;number=0.0031&amp;sourceID=14","0.0031")</f>
        <v>0.0031</v>
      </c>
    </row>
    <row r="2863" spans="1:7">
      <c r="A2863" s="3"/>
      <c r="B2863" s="3"/>
      <c r="C2863" s="3"/>
      <c r="D2863" s="3"/>
      <c r="E2863" s="3">
        <v>20</v>
      </c>
      <c r="F2863" s="4" t="str">
        <f>HYPERLINK("http://141.218.60.56/~jnz1568/getInfo.php?workbook=14_09.xlsx&amp;sheet=U0&amp;row=2863&amp;col=6&amp;number=4.9&amp;sourceID=14","4.9")</f>
        <v>4.9</v>
      </c>
      <c r="G2863" s="4" t="str">
        <f>HYPERLINK("http://141.218.60.56/~jnz1568/getInfo.php?workbook=14_09.xlsx&amp;sheet=U0&amp;row=2863&amp;col=7&amp;number=0.00303&amp;sourceID=14","0.00303")</f>
        <v>0.00303</v>
      </c>
    </row>
    <row r="2864" spans="1:7">
      <c r="A2864" s="3">
        <v>14</v>
      </c>
      <c r="B2864" s="3">
        <v>9</v>
      </c>
      <c r="C2864" s="3">
        <v>1</v>
      </c>
      <c r="D2864" s="3">
        <v>145</v>
      </c>
      <c r="E2864" s="3">
        <v>1</v>
      </c>
      <c r="F2864" s="4" t="str">
        <f>HYPERLINK("http://141.218.60.56/~jnz1568/getInfo.php?workbook=14_09.xlsx&amp;sheet=U0&amp;row=2864&amp;col=6&amp;number=3&amp;sourceID=14","3")</f>
        <v>3</v>
      </c>
      <c r="G2864" s="4" t="str">
        <f>HYPERLINK("http://141.218.60.56/~jnz1568/getInfo.php?workbook=14_09.xlsx&amp;sheet=U0&amp;row=2864&amp;col=7&amp;number=0.0243&amp;sourceID=14","0.0243")</f>
        <v>0.0243</v>
      </c>
    </row>
    <row r="2865" spans="1:7">
      <c r="A2865" s="3"/>
      <c r="B2865" s="3"/>
      <c r="C2865" s="3"/>
      <c r="D2865" s="3"/>
      <c r="E2865" s="3">
        <v>2</v>
      </c>
      <c r="F2865" s="4" t="str">
        <f>HYPERLINK("http://141.218.60.56/~jnz1568/getInfo.php?workbook=14_09.xlsx&amp;sheet=U0&amp;row=2865&amp;col=6&amp;number=3.1&amp;sourceID=14","3.1")</f>
        <v>3.1</v>
      </c>
      <c r="G2865" s="4" t="str">
        <f>HYPERLINK("http://141.218.60.56/~jnz1568/getInfo.php?workbook=14_09.xlsx&amp;sheet=U0&amp;row=2865&amp;col=7&amp;number=0.0242&amp;sourceID=14","0.0242")</f>
        <v>0.0242</v>
      </c>
    </row>
    <row r="2866" spans="1:7">
      <c r="A2866" s="3"/>
      <c r="B2866" s="3"/>
      <c r="C2866" s="3"/>
      <c r="D2866" s="3"/>
      <c r="E2866" s="3">
        <v>3</v>
      </c>
      <c r="F2866" s="4" t="str">
        <f>HYPERLINK("http://141.218.60.56/~jnz1568/getInfo.php?workbook=14_09.xlsx&amp;sheet=U0&amp;row=2866&amp;col=6&amp;number=3.2&amp;sourceID=14","3.2")</f>
        <v>3.2</v>
      </c>
      <c r="G2866" s="4" t="str">
        <f>HYPERLINK("http://141.218.60.56/~jnz1568/getInfo.php?workbook=14_09.xlsx&amp;sheet=U0&amp;row=2866&amp;col=7&amp;number=0.0241&amp;sourceID=14","0.0241")</f>
        <v>0.0241</v>
      </c>
    </row>
    <row r="2867" spans="1:7">
      <c r="A2867" s="3"/>
      <c r="B2867" s="3"/>
      <c r="C2867" s="3"/>
      <c r="D2867" s="3"/>
      <c r="E2867" s="3">
        <v>4</v>
      </c>
      <c r="F2867" s="4" t="str">
        <f>HYPERLINK("http://141.218.60.56/~jnz1568/getInfo.php?workbook=14_09.xlsx&amp;sheet=U0&amp;row=2867&amp;col=6&amp;number=3.3&amp;sourceID=14","3.3")</f>
        <v>3.3</v>
      </c>
      <c r="G2867" s="4" t="str">
        <f>HYPERLINK("http://141.218.60.56/~jnz1568/getInfo.php?workbook=14_09.xlsx&amp;sheet=U0&amp;row=2867&amp;col=7&amp;number=0.024&amp;sourceID=14","0.024")</f>
        <v>0.024</v>
      </c>
    </row>
    <row r="2868" spans="1:7">
      <c r="A2868" s="3"/>
      <c r="B2868" s="3"/>
      <c r="C2868" s="3"/>
      <c r="D2868" s="3"/>
      <c r="E2868" s="3">
        <v>5</v>
      </c>
      <c r="F2868" s="4" t="str">
        <f>HYPERLINK("http://141.218.60.56/~jnz1568/getInfo.php?workbook=14_09.xlsx&amp;sheet=U0&amp;row=2868&amp;col=6&amp;number=3.4&amp;sourceID=14","3.4")</f>
        <v>3.4</v>
      </c>
      <c r="G2868" s="4" t="str">
        <f>HYPERLINK("http://141.218.60.56/~jnz1568/getInfo.php?workbook=14_09.xlsx&amp;sheet=U0&amp;row=2868&amp;col=7&amp;number=0.0239&amp;sourceID=14","0.0239")</f>
        <v>0.0239</v>
      </c>
    </row>
    <row r="2869" spans="1:7">
      <c r="A2869" s="3"/>
      <c r="B2869" s="3"/>
      <c r="C2869" s="3"/>
      <c r="D2869" s="3"/>
      <c r="E2869" s="3">
        <v>6</v>
      </c>
      <c r="F2869" s="4" t="str">
        <f>HYPERLINK("http://141.218.60.56/~jnz1568/getInfo.php?workbook=14_09.xlsx&amp;sheet=U0&amp;row=2869&amp;col=6&amp;number=3.5&amp;sourceID=14","3.5")</f>
        <v>3.5</v>
      </c>
      <c r="G2869" s="4" t="str">
        <f>HYPERLINK("http://141.218.60.56/~jnz1568/getInfo.php?workbook=14_09.xlsx&amp;sheet=U0&amp;row=2869&amp;col=7&amp;number=0.0237&amp;sourceID=14","0.0237")</f>
        <v>0.0237</v>
      </c>
    </row>
    <row r="2870" spans="1:7">
      <c r="A2870" s="3"/>
      <c r="B2870" s="3"/>
      <c r="C2870" s="3"/>
      <c r="D2870" s="3"/>
      <c r="E2870" s="3">
        <v>7</v>
      </c>
      <c r="F2870" s="4" t="str">
        <f>HYPERLINK("http://141.218.60.56/~jnz1568/getInfo.php?workbook=14_09.xlsx&amp;sheet=U0&amp;row=2870&amp;col=6&amp;number=3.6&amp;sourceID=14","3.6")</f>
        <v>3.6</v>
      </c>
      <c r="G2870" s="4" t="str">
        <f>HYPERLINK("http://141.218.60.56/~jnz1568/getInfo.php?workbook=14_09.xlsx&amp;sheet=U0&amp;row=2870&amp;col=7&amp;number=0.0235&amp;sourceID=14","0.0235")</f>
        <v>0.0235</v>
      </c>
    </row>
    <row r="2871" spans="1:7">
      <c r="A2871" s="3"/>
      <c r="B2871" s="3"/>
      <c r="C2871" s="3"/>
      <c r="D2871" s="3"/>
      <c r="E2871" s="3">
        <v>8</v>
      </c>
      <c r="F2871" s="4" t="str">
        <f>HYPERLINK("http://141.218.60.56/~jnz1568/getInfo.php?workbook=14_09.xlsx&amp;sheet=U0&amp;row=2871&amp;col=6&amp;number=3.7&amp;sourceID=14","3.7")</f>
        <v>3.7</v>
      </c>
      <c r="G2871" s="4" t="str">
        <f>HYPERLINK("http://141.218.60.56/~jnz1568/getInfo.php?workbook=14_09.xlsx&amp;sheet=U0&amp;row=2871&amp;col=7&amp;number=0.0232&amp;sourceID=14","0.0232")</f>
        <v>0.0232</v>
      </c>
    </row>
    <row r="2872" spans="1:7">
      <c r="A2872" s="3"/>
      <c r="B2872" s="3"/>
      <c r="C2872" s="3"/>
      <c r="D2872" s="3"/>
      <c r="E2872" s="3">
        <v>9</v>
      </c>
      <c r="F2872" s="4" t="str">
        <f>HYPERLINK("http://141.218.60.56/~jnz1568/getInfo.php?workbook=14_09.xlsx&amp;sheet=U0&amp;row=2872&amp;col=6&amp;number=3.8&amp;sourceID=14","3.8")</f>
        <v>3.8</v>
      </c>
      <c r="G2872" s="4" t="str">
        <f>HYPERLINK("http://141.218.60.56/~jnz1568/getInfo.php?workbook=14_09.xlsx&amp;sheet=U0&amp;row=2872&amp;col=7&amp;number=0.0229&amp;sourceID=14","0.0229")</f>
        <v>0.0229</v>
      </c>
    </row>
    <row r="2873" spans="1:7">
      <c r="A2873" s="3"/>
      <c r="B2873" s="3"/>
      <c r="C2873" s="3"/>
      <c r="D2873" s="3"/>
      <c r="E2873" s="3">
        <v>10</v>
      </c>
      <c r="F2873" s="4" t="str">
        <f>HYPERLINK("http://141.218.60.56/~jnz1568/getInfo.php?workbook=14_09.xlsx&amp;sheet=U0&amp;row=2873&amp;col=6&amp;number=3.9&amp;sourceID=14","3.9")</f>
        <v>3.9</v>
      </c>
      <c r="G2873" s="4" t="str">
        <f>HYPERLINK("http://141.218.60.56/~jnz1568/getInfo.php?workbook=14_09.xlsx&amp;sheet=U0&amp;row=2873&amp;col=7&amp;number=0.0225&amp;sourceID=14","0.0225")</f>
        <v>0.0225</v>
      </c>
    </row>
    <row r="2874" spans="1:7">
      <c r="A2874" s="3"/>
      <c r="B2874" s="3"/>
      <c r="C2874" s="3"/>
      <c r="D2874" s="3"/>
      <c r="E2874" s="3">
        <v>11</v>
      </c>
      <c r="F2874" s="4" t="str">
        <f>HYPERLINK("http://141.218.60.56/~jnz1568/getInfo.php?workbook=14_09.xlsx&amp;sheet=U0&amp;row=2874&amp;col=6&amp;number=4&amp;sourceID=14","4")</f>
        <v>4</v>
      </c>
      <c r="G2874" s="4" t="str">
        <f>HYPERLINK("http://141.218.60.56/~jnz1568/getInfo.php?workbook=14_09.xlsx&amp;sheet=U0&amp;row=2874&amp;col=7&amp;number=0.0221&amp;sourceID=14","0.0221")</f>
        <v>0.0221</v>
      </c>
    </row>
    <row r="2875" spans="1:7">
      <c r="A2875" s="3"/>
      <c r="B2875" s="3"/>
      <c r="C2875" s="3"/>
      <c r="D2875" s="3"/>
      <c r="E2875" s="3">
        <v>12</v>
      </c>
      <c r="F2875" s="4" t="str">
        <f>HYPERLINK("http://141.218.60.56/~jnz1568/getInfo.php?workbook=14_09.xlsx&amp;sheet=U0&amp;row=2875&amp;col=6&amp;number=4.1&amp;sourceID=14","4.1")</f>
        <v>4.1</v>
      </c>
      <c r="G2875" s="4" t="str">
        <f>HYPERLINK("http://141.218.60.56/~jnz1568/getInfo.php?workbook=14_09.xlsx&amp;sheet=U0&amp;row=2875&amp;col=7&amp;number=0.0215&amp;sourceID=14","0.0215")</f>
        <v>0.0215</v>
      </c>
    </row>
    <row r="2876" spans="1:7">
      <c r="A2876" s="3"/>
      <c r="B2876" s="3"/>
      <c r="C2876" s="3"/>
      <c r="D2876" s="3"/>
      <c r="E2876" s="3">
        <v>13</v>
      </c>
      <c r="F2876" s="4" t="str">
        <f>HYPERLINK("http://141.218.60.56/~jnz1568/getInfo.php?workbook=14_09.xlsx&amp;sheet=U0&amp;row=2876&amp;col=6&amp;number=4.2&amp;sourceID=14","4.2")</f>
        <v>4.2</v>
      </c>
      <c r="G2876" s="4" t="str">
        <f>HYPERLINK("http://141.218.60.56/~jnz1568/getInfo.php?workbook=14_09.xlsx&amp;sheet=U0&amp;row=2876&amp;col=7&amp;number=0.0208&amp;sourceID=14","0.0208")</f>
        <v>0.0208</v>
      </c>
    </row>
    <row r="2877" spans="1:7">
      <c r="A2877" s="3"/>
      <c r="B2877" s="3"/>
      <c r="C2877" s="3"/>
      <c r="D2877" s="3"/>
      <c r="E2877" s="3">
        <v>14</v>
      </c>
      <c r="F2877" s="4" t="str">
        <f>HYPERLINK("http://141.218.60.56/~jnz1568/getInfo.php?workbook=14_09.xlsx&amp;sheet=U0&amp;row=2877&amp;col=6&amp;number=4.3&amp;sourceID=14","4.3")</f>
        <v>4.3</v>
      </c>
      <c r="G2877" s="4" t="str">
        <f>HYPERLINK("http://141.218.60.56/~jnz1568/getInfo.php?workbook=14_09.xlsx&amp;sheet=U0&amp;row=2877&amp;col=7&amp;number=0.02&amp;sourceID=14","0.02")</f>
        <v>0.02</v>
      </c>
    </row>
    <row r="2878" spans="1:7">
      <c r="A2878" s="3"/>
      <c r="B2878" s="3"/>
      <c r="C2878" s="3"/>
      <c r="D2878" s="3"/>
      <c r="E2878" s="3">
        <v>15</v>
      </c>
      <c r="F2878" s="4" t="str">
        <f>HYPERLINK("http://141.218.60.56/~jnz1568/getInfo.php?workbook=14_09.xlsx&amp;sheet=U0&amp;row=2878&amp;col=6&amp;number=4.4&amp;sourceID=14","4.4")</f>
        <v>4.4</v>
      </c>
      <c r="G2878" s="4" t="str">
        <f>HYPERLINK("http://141.218.60.56/~jnz1568/getInfo.php?workbook=14_09.xlsx&amp;sheet=U0&amp;row=2878&amp;col=7&amp;number=0.0192&amp;sourceID=14","0.0192")</f>
        <v>0.0192</v>
      </c>
    </row>
    <row r="2879" spans="1:7">
      <c r="A2879" s="3"/>
      <c r="B2879" s="3"/>
      <c r="C2879" s="3"/>
      <c r="D2879" s="3"/>
      <c r="E2879" s="3">
        <v>16</v>
      </c>
      <c r="F2879" s="4" t="str">
        <f>HYPERLINK("http://141.218.60.56/~jnz1568/getInfo.php?workbook=14_09.xlsx&amp;sheet=U0&amp;row=2879&amp;col=6&amp;number=4.5&amp;sourceID=14","4.5")</f>
        <v>4.5</v>
      </c>
      <c r="G2879" s="4" t="str">
        <f>HYPERLINK("http://141.218.60.56/~jnz1568/getInfo.php?workbook=14_09.xlsx&amp;sheet=U0&amp;row=2879&amp;col=7&amp;number=0.0183&amp;sourceID=14","0.0183")</f>
        <v>0.0183</v>
      </c>
    </row>
    <row r="2880" spans="1:7">
      <c r="A2880" s="3"/>
      <c r="B2880" s="3"/>
      <c r="C2880" s="3"/>
      <c r="D2880" s="3"/>
      <c r="E2880" s="3">
        <v>17</v>
      </c>
      <c r="F2880" s="4" t="str">
        <f>HYPERLINK("http://141.218.60.56/~jnz1568/getInfo.php?workbook=14_09.xlsx&amp;sheet=U0&amp;row=2880&amp;col=6&amp;number=4.6&amp;sourceID=14","4.6")</f>
        <v>4.6</v>
      </c>
      <c r="G2880" s="4" t="str">
        <f>HYPERLINK("http://141.218.60.56/~jnz1568/getInfo.php?workbook=14_09.xlsx&amp;sheet=U0&amp;row=2880&amp;col=7&amp;number=0.0175&amp;sourceID=14","0.0175")</f>
        <v>0.0175</v>
      </c>
    </row>
    <row r="2881" spans="1:7">
      <c r="A2881" s="3"/>
      <c r="B2881" s="3"/>
      <c r="C2881" s="3"/>
      <c r="D2881" s="3"/>
      <c r="E2881" s="3">
        <v>18</v>
      </c>
      <c r="F2881" s="4" t="str">
        <f>HYPERLINK("http://141.218.60.56/~jnz1568/getInfo.php?workbook=14_09.xlsx&amp;sheet=U0&amp;row=2881&amp;col=6&amp;number=4.7&amp;sourceID=14","4.7")</f>
        <v>4.7</v>
      </c>
      <c r="G2881" s="4" t="str">
        <f>HYPERLINK("http://141.218.60.56/~jnz1568/getInfo.php?workbook=14_09.xlsx&amp;sheet=U0&amp;row=2881&amp;col=7&amp;number=0.0168&amp;sourceID=14","0.0168")</f>
        <v>0.0168</v>
      </c>
    </row>
    <row r="2882" spans="1:7">
      <c r="A2882" s="3"/>
      <c r="B2882" s="3"/>
      <c r="C2882" s="3"/>
      <c r="D2882" s="3"/>
      <c r="E2882" s="3">
        <v>19</v>
      </c>
      <c r="F2882" s="4" t="str">
        <f>HYPERLINK("http://141.218.60.56/~jnz1568/getInfo.php?workbook=14_09.xlsx&amp;sheet=U0&amp;row=2882&amp;col=6&amp;number=4.8&amp;sourceID=14","4.8")</f>
        <v>4.8</v>
      </c>
      <c r="G2882" s="4" t="str">
        <f>HYPERLINK("http://141.218.60.56/~jnz1568/getInfo.php?workbook=14_09.xlsx&amp;sheet=U0&amp;row=2882&amp;col=7&amp;number=0.0161&amp;sourceID=14","0.0161")</f>
        <v>0.0161</v>
      </c>
    </row>
    <row r="2883" spans="1:7">
      <c r="A2883" s="3"/>
      <c r="B2883" s="3"/>
      <c r="C2883" s="3"/>
      <c r="D2883" s="3"/>
      <c r="E2883" s="3">
        <v>20</v>
      </c>
      <c r="F2883" s="4" t="str">
        <f>HYPERLINK("http://141.218.60.56/~jnz1568/getInfo.php?workbook=14_09.xlsx&amp;sheet=U0&amp;row=2883&amp;col=6&amp;number=4.9&amp;sourceID=14","4.9")</f>
        <v>4.9</v>
      </c>
      <c r="G2883" s="4" t="str">
        <f>HYPERLINK("http://141.218.60.56/~jnz1568/getInfo.php?workbook=14_09.xlsx&amp;sheet=U0&amp;row=2883&amp;col=7&amp;number=0.0153&amp;sourceID=14","0.0153")</f>
        <v>0.0153</v>
      </c>
    </row>
    <row r="2884" spans="1:7">
      <c r="A2884" s="3">
        <v>14</v>
      </c>
      <c r="B2884" s="3">
        <v>9</v>
      </c>
      <c r="C2884" s="3">
        <v>1</v>
      </c>
      <c r="D2884" s="3">
        <v>146</v>
      </c>
      <c r="E2884" s="3">
        <v>1</v>
      </c>
      <c r="F2884" s="4" t="str">
        <f>HYPERLINK("http://141.218.60.56/~jnz1568/getInfo.php?workbook=14_09.xlsx&amp;sheet=U0&amp;row=2884&amp;col=6&amp;number=3&amp;sourceID=14","3")</f>
        <v>3</v>
      </c>
      <c r="G2884" s="4" t="str">
        <f>HYPERLINK("http://141.218.60.56/~jnz1568/getInfo.php?workbook=14_09.xlsx&amp;sheet=U0&amp;row=2884&amp;col=7&amp;number=0.00474&amp;sourceID=14","0.00474")</f>
        <v>0.00474</v>
      </c>
    </row>
    <row r="2885" spans="1:7">
      <c r="A2885" s="3"/>
      <c r="B2885" s="3"/>
      <c r="C2885" s="3"/>
      <c r="D2885" s="3"/>
      <c r="E2885" s="3">
        <v>2</v>
      </c>
      <c r="F2885" s="4" t="str">
        <f>HYPERLINK("http://141.218.60.56/~jnz1568/getInfo.php?workbook=14_09.xlsx&amp;sheet=U0&amp;row=2885&amp;col=6&amp;number=3.1&amp;sourceID=14","3.1")</f>
        <v>3.1</v>
      </c>
      <c r="G2885" s="4" t="str">
        <f>HYPERLINK("http://141.218.60.56/~jnz1568/getInfo.php?workbook=14_09.xlsx&amp;sheet=U0&amp;row=2885&amp;col=7&amp;number=0.00474&amp;sourceID=14","0.00474")</f>
        <v>0.00474</v>
      </c>
    </row>
    <row r="2886" spans="1:7">
      <c r="A2886" s="3"/>
      <c r="B2886" s="3"/>
      <c r="C2886" s="3"/>
      <c r="D2886" s="3"/>
      <c r="E2886" s="3">
        <v>3</v>
      </c>
      <c r="F2886" s="4" t="str">
        <f>HYPERLINK("http://141.218.60.56/~jnz1568/getInfo.php?workbook=14_09.xlsx&amp;sheet=U0&amp;row=2886&amp;col=6&amp;number=3.2&amp;sourceID=14","3.2")</f>
        <v>3.2</v>
      </c>
      <c r="G2886" s="4" t="str">
        <f>HYPERLINK("http://141.218.60.56/~jnz1568/getInfo.php?workbook=14_09.xlsx&amp;sheet=U0&amp;row=2886&amp;col=7&amp;number=0.00474&amp;sourceID=14","0.00474")</f>
        <v>0.00474</v>
      </c>
    </row>
    <row r="2887" spans="1:7">
      <c r="A2887" s="3"/>
      <c r="B2887" s="3"/>
      <c r="C2887" s="3"/>
      <c r="D2887" s="3"/>
      <c r="E2887" s="3">
        <v>4</v>
      </c>
      <c r="F2887" s="4" t="str">
        <f>HYPERLINK("http://141.218.60.56/~jnz1568/getInfo.php?workbook=14_09.xlsx&amp;sheet=U0&amp;row=2887&amp;col=6&amp;number=3.3&amp;sourceID=14","3.3")</f>
        <v>3.3</v>
      </c>
      <c r="G2887" s="4" t="str">
        <f>HYPERLINK("http://141.218.60.56/~jnz1568/getInfo.php?workbook=14_09.xlsx&amp;sheet=U0&amp;row=2887&amp;col=7&amp;number=0.00474&amp;sourceID=14","0.00474")</f>
        <v>0.00474</v>
      </c>
    </row>
    <row r="2888" spans="1:7">
      <c r="A2888" s="3"/>
      <c r="B2888" s="3"/>
      <c r="C2888" s="3"/>
      <c r="D2888" s="3"/>
      <c r="E2888" s="3">
        <v>5</v>
      </c>
      <c r="F2888" s="4" t="str">
        <f>HYPERLINK("http://141.218.60.56/~jnz1568/getInfo.php?workbook=14_09.xlsx&amp;sheet=U0&amp;row=2888&amp;col=6&amp;number=3.4&amp;sourceID=14","3.4")</f>
        <v>3.4</v>
      </c>
      <c r="G2888" s="4" t="str">
        <f>HYPERLINK("http://141.218.60.56/~jnz1568/getInfo.php?workbook=14_09.xlsx&amp;sheet=U0&amp;row=2888&amp;col=7&amp;number=0.00474&amp;sourceID=14","0.00474")</f>
        <v>0.00474</v>
      </c>
    </row>
    <row r="2889" spans="1:7">
      <c r="A2889" s="3"/>
      <c r="B2889" s="3"/>
      <c r="C2889" s="3"/>
      <c r="D2889" s="3"/>
      <c r="E2889" s="3">
        <v>6</v>
      </c>
      <c r="F2889" s="4" t="str">
        <f>HYPERLINK("http://141.218.60.56/~jnz1568/getInfo.php?workbook=14_09.xlsx&amp;sheet=U0&amp;row=2889&amp;col=6&amp;number=3.5&amp;sourceID=14","3.5")</f>
        <v>3.5</v>
      </c>
      <c r="G2889" s="4" t="str">
        <f>HYPERLINK("http://141.218.60.56/~jnz1568/getInfo.php?workbook=14_09.xlsx&amp;sheet=U0&amp;row=2889&amp;col=7&amp;number=0.00473&amp;sourceID=14","0.00473")</f>
        <v>0.00473</v>
      </c>
    </row>
    <row r="2890" spans="1:7">
      <c r="A2890" s="3"/>
      <c r="B2890" s="3"/>
      <c r="C2890" s="3"/>
      <c r="D2890" s="3"/>
      <c r="E2890" s="3">
        <v>7</v>
      </c>
      <c r="F2890" s="4" t="str">
        <f>HYPERLINK("http://141.218.60.56/~jnz1568/getInfo.php?workbook=14_09.xlsx&amp;sheet=U0&amp;row=2890&amp;col=6&amp;number=3.6&amp;sourceID=14","3.6")</f>
        <v>3.6</v>
      </c>
      <c r="G2890" s="4" t="str">
        <f>HYPERLINK("http://141.218.60.56/~jnz1568/getInfo.php?workbook=14_09.xlsx&amp;sheet=U0&amp;row=2890&amp;col=7&amp;number=0.00473&amp;sourceID=14","0.00473")</f>
        <v>0.00473</v>
      </c>
    </row>
    <row r="2891" spans="1:7">
      <c r="A2891" s="3"/>
      <c r="B2891" s="3"/>
      <c r="C2891" s="3"/>
      <c r="D2891" s="3"/>
      <c r="E2891" s="3">
        <v>8</v>
      </c>
      <c r="F2891" s="4" t="str">
        <f>HYPERLINK("http://141.218.60.56/~jnz1568/getInfo.php?workbook=14_09.xlsx&amp;sheet=U0&amp;row=2891&amp;col=6&amp;number=3.7&amp;sourceID=14","3.7")</f>
        <v>3.7</v>
      </c>
      <c r="G2891" s="4" t="str">
        <f>HYPERLINK("http://141.218.60.56/~jnz1568/getInfo.php?workbook=14_09.xlsx&amp;sheet=U0&amp;row=2891&amp;col=7&amp;number=0.00473&amp;sourceID=14","0.00473")</f>
        <v>0.00473</v>
      </c>
    </row>
    <row r="2892" spans="1:7">
      <c r="A2892" s="3"/>
      <c r="B2892" s="3"/>
      <c r="C2892" s="3"/>
      <c r="D2892" s="3"/>
      <c r="E2892" s="3">
        <v>9</v>
      </c>
      <c r="F2892" s="4" t="str">
        <f>HYPERLINK("http://141.218.60.56/~jnz1568/getInfo.php?workbook=14_09.xlsx&amp;sheet=U0&amp;row=2892&amp;col=6&amp;number=3.8&amp;sourceID=14","3.8")</f>
        <v>3.8</v>
      </c>
      <c r="G2892" s="4" t="str">
        <f>HYPERLINK("http://141.218.60.56/~jnz1568/getInfo.php?workbook=14_09.xlsx&amp;sheet=U0&amp;row=2892&amp;col=7&amp;number=0.00472&amp;sourceID=14","0.00472")</f>
        <v>0.00472</v>
      </c>
    </row>
    <row r="2893" spans="1:7">
      <c r="A2893" s="3"/>
      <c r="B2893" s="3"/>
      <c r="C2893" s="3"/>
      <c r="D2893" s="3"/>
      <c r="E2893" s="3">
        <v>10</v>
      </c>
      <c r="F2893" s="4" t="str">
        <f>HYPERLINK("http://141.218.60.56/~jnz1568/getInfo.php?workbook=14_09.xlsx&amp;sheet=U0&amp;row=2893&amp;col=6&amp;number=3.9&amp;sourceID=14","3.9")</f>
        <v>3.9</v>
      </c>
      <c r="G2893" s="4" t="str">
        <f>HYPERLINK("http://141.218.60.56/~jnz1568/getInfo.php?workbook=14_09.xlsx&amp;sheet=U0&amp;row=2893&amp;col=7&amp;number=0.00471&amp;sourceID=14","0.00471")</f>
        <v>0.00471</v>
      </c>
    </row>
    <row r="2894" spans="1:7">
      <c r="A2894" s="3"/>
      <c r="B2894" s="3"/>
      <c r="C2894" s="3"/>
      <c r="D2894" s="3"/>
      <c r="E2894" s="3">
        <v>11</v>
      </c>
      <c r="F2894" s="4" t="str">
        <f>HYPERLINK("http://141.218.60.56/~jnz1568/getInfo.php?workbook=14_09.xlsx&amp;sheet=U0&amp;row=2894&amp;col=6&amp;number=4&amp;sourceID=14","4")</f>
        <v>4</v>
      </c>
      <c r="G2894" s="4" t="str">
        <f>HYPERLINK("http://141.218.60.56/~jnz1568/getInfo.php?workbook=14_09.xlsx&amp;sheet=U0&amp;row=2894&amp;col=7&amp;number=0.0047&amp;sourceID=14","0.0047")</f>
        <v>0.0047</v>
      </c>
    </row>
    <row r="2895" spans="1:7">
      <c r="A2895" s="3"/>
      <c r="B2895" s="3"/>
      <c r="C2895" s="3"/>
      <c r="D2895" s="3"/>
      <c r="E2895" s="3">
        <v>12</v>
      </c>
      <c r="F2895" s="4" t="str">
        <f>HYPERLINK("http://141.218.60.56/~jnz1568/getInfo.php?workbook=14_09.xlsx&amp;sheet=U0&amp;row=2895&amp;col=6&amp;number=4.1&amp;sourceID=14","4.1")</f>
        <v>4.1</v>
      </c>
      <c r="G2895" s="4" t="str">
        <f>HYPERLINK("http://141.218.60.56/~jnz1568/getInfo.php?workbook=14_09.xlsx&amp;sheet=U0&amp;row=2895&amp;col=7&amp;number=0.00469&amp;sourceID=14","0.00469")</f>
        <v>0.00469</v>
      </c>
    </row>
    <row r="2896" spans="1:7">
      <c r="A2896" s="3"/>
      <c r="B2896" s="3"/>
      <c r="C2896" s="3"/>
      <c r="D2896" s="3"/>
      <c r="E2896" s="3">
        <v>13</v>
      </c>
      <c r="F2896" s="4" t="str">
        <f>HYPERLINK("http://141.218.60.56/~jnz1568/getInfo.php?workbook=14_09.xlsx&amp;sheet=U0&amp;row=2896&amp;col=6&amp;number=4.2&amp;sourceID=14","4.2")</f>
        <v>4.2</v>
      </c>
      <c r="G2896" s="4" t="str">
        <f>HYPERLINK("http://141.218.60.56/~jnz1568/getInfo.php?workbook=14_09.xlsx&amp;sheet=U0&amp;row=2896&amp;col=7&amp;number=0.00468&amp;sourceID=14","0.00468")</f>
        <v>0.00468</v>
      </c>
    </row>
    <row r="2897" spans="1:7">
      <c r="A2897" s="3"/>
      <c r="B2897" s="3"/>
      <c r="C2897" s="3"/>
      <c r="D2897" s="3"/>
      <c r="E2897" s="3">
        <v>14</v>
      </c>
      <c r="F2897" s="4" t="str">
        <f>HYPERLINK("http://141.218.60.56/~jnz1568/getInfo.php?workbook=14_09.xlsx&amp;sheet=U0&amp;row=2897&amp;col=6&amp;number=4.3&amp;sourceID=14","4.3")</f>
        <v>4.3</v>
      </c>
      <c r="G2897" s="4" t="str">
        <f>HYPERLINK("http://141.218.60.56/~jnz1568/getInfo.php?workbook=14_09.xlsx&amp;sheet=U0&amp;row=2897&amp;col=7&amp;number=0.00466&amp;sourceID=14","0.00466")</f>
        <v>0.00466</v>
      </c>
    </row>
    <row r="2898" spans="1:7">
      <c r="A2898" s="3"/>
      <c r="B2898" s="3"/>
      <c r="C2898" s="3"/>
      <c r="D2898" s="3"/>
      <c r="E2898" s="3">
        <v>15</v>
      </c>
      <c r="F2898" s="4" t="str">
        <f>HYPERLINK("http://141.218.60.56/~jnz1568/getInfo.php?workbook=14_09.xlsx&amp;sheet=U0&amp;row=2898&amp;col=6&amp;number=4.4&amp;sourceID=14","4.4")</f>
        <v>4.4</v>
      </c>
      <c r="G2898" s="4" t="str">
        <f>HYPERLINK("http://141.218.60.56/~jnz1568/getInfo.php?workbook=14_09.xlsx&amp;sheet=U0&amp;row=2898&amp;col=7&amp;number=0.00464&amp;sourceID=14","0.00464")</f>
        <v>0.00464</v>
      </c>
    </row>
    <row r="2899" spans="1:7">
      <c r="A2899" s="3"/>
      <c r="B2899" s="3"/>
      <c r="C2899" s="3"/>
      <c r="D2899" s="3"/>
      <c r="E2899" s="3">
        <v>16</v>
      </c>
      <c r="F2899" s="4" t="str">
        <f>HYPERLINK("http://141.218.60.56/~jnz1568/getInfo.php?workbook=14_09.xlsx&amp;sheet=U0&amp;row=2899&amp;col=6&amp;number=4.5&amp;sourceID=14","4.5")</f>
        <v>4.5</v>
      </c>
      <c r="G2899" s="4" t="str">
        <f>HYPERLINK("http://141.218.60.56/~jnz1568/getInfo.php?workbook=14_09.xlsx&amp;sheet=U0&amp;row=2899&amp;col=7&amp;number=0.00461&amp;sourceID=14","0.00461")</f>
        <v>0.00461</v>
      </c>
    </row>
    <row r="2900" spans="1:7">
      <c r="A2900" s="3"/>
      <c r="B2900" s="3"/>
      <c r="C2900" s="3"/>
      <c r="D2900" s="3"/>
      <c r="E2900" s="3">
        <v>17</v>
      </c>
      <c r="F2900" s="4" t="str">
        <f>HYPERLINK("http://141.218.60.56/~jnz1568/getInfo.php?workbook=14_09.xlsx&amp;sheet=U0&amp;row=2900&amp;col=6&amp;number=4.6&amp;sourceID=14","4.6")</f>
        <v>4.6</v>
      </c>
      <c r="G2900" s="4" t="str">
        <f>HYPERLINK("http://141.218.60.56/~jnz1568/getInfo.php?workbook=14_09.xlsx&amp;sheet=U0&amp;row=2900&amp;col=7&amp;number=0.00457&amp;sourceID=14","0.00457")</f>
        <v>0.00457</v>
      </c>
    </row>
    <row r="2901" spans="1:7">
      <c r="A2901" s="3"/>
      <c r="B2901" s="3"/>
      <c r="C2901" s="3"/>
      <c r="D2901" s="3"/>
      <c r="E2901" s="3">
        <v>18</v>
      </c>
      <c r="F2901" s="4" t="str">
        <f>HYPERLINK("http://141.218.60.56/~jnz1568/getInfo.php?workbook=14_09.xlsx&amp;sheet=U0&amp;row=2901&amp;col=6&amp;number=4.7&amp;sourceID=14","4.7")</f>
        <v>4.7</v>
      </c>
      <c r="G2901" s="4" t="str">
        <f>HYPERLINK("http://141.218.60.56/~jnz1568/getInfo.php?workbook=14_09.xlsx&amp;sheet=U0&amp;row=2901&amp;col=7&amp;number=0.00453&amp;sourceID=14","0.00453")</f>
        <v>0.00453</v>
      </c>
    </row>
    <row r="2902" spans="1:7">
      <c r="A2902" s="3"/>
      <c r="B2902" s="3"/>
      <c r="C2902" s="3"/>
      <c r="D2902" s="3"/>
      <c r="E2902" s="3">
        <v>19</v>
      </c>
      <c r="F2902" s="4" t="str">
        <f>HYPERLINK("http://141.218.60.56/~jnz1568/getInfo.php?workbook=14_09.xlsx&amp;sheet=U0&amp;row=2902&amp;col=6&amp;number=4.8&amp;sourceID=14","4.8")</f>
        <v>4.8</v>
      </c>
      <c r="G2902" s="4" t="str">
        <f>HYPERLINK("http://141.218.60.56/~jnz1568/getInfo.php?workbook=14_09.xlsx&amp;sheet=U0&amp;row=2902&amp;col=7&amp;number=0.00448&amp;sourceID=14","0.00448")</f>
        <v>0.00448</v>
      </c>
    </row>
    <row r="2903" spans="1:7">
      <c r="A2903" s="3"/>
      <c r="B2903" s="3"/>
      <c r="C2903" s="3"/>
      <c r="D2903" s="3"/>
      <c r="E2903" s="3">
        <v>20</v>
      </c>
      <c r="F2903" s="4" t="str">
        <f>HYPERLINK("http://141.218.60.56/~jnz1568/getInfo.php?workbook=14_09.xlsx&amp;sheet=U0&amp;row=2903&amp;col=6&amp;number=4.9&amp;sourceID=14","4.9")</f>
        <v>4.9</v>
      </c>
      <c r="G2903" s="4" t="str">
        <f>HYPERLINK("http://141.218.60.56/~jnz1568/getInfo.php?workbook=14_09.xlsx&amp;sheet=U0&amp;row=2903&amp;col=7&amp;number=0.00441&amp;sourceID=14","0.00441")</f>
        <v>0.00441</v>
      </c>
    </row>
    <row r="2904" spans="1:7">
      <c r="A2904" s="3">
        <v>14</v>
      </c>
      <c r="B2904" s="3">
        <v>9</v>
      </c>
      <c r="C2904" s="3">
        <v>1</v>
      </c>
      <c r="D2904" s="3">
        <v>147</v>
      </c>
      <c r="E2904" s="3">
        <v>1</v>
      </c>
      <c r="F2904" s="4" t="str">
        <f>HYPERLINK("http://141.218.60.56/~jnz1568/getInfo.php?workbook=14_09.xlsx&amp;sheet=U0&amp;row=2904&amp;col=6&amp;number=3&amp;sourceID=14","3")</f>
        <v>3</v>
      </c>
      <c r="G2904" s="4" t="str">
        <f>HYPERLINK("http://141.218.60.56/~jnz1568/getInfo.php?workbook=14_09.xlsx&amp;sheet=U0&amp;row=2904&amp;col=7&amp;number=0.00263&amp;sourceID=14","0.00263")</f>
        <v>0.00263</v>
      </c>
    </row>
    <row r="2905" spans="1:7">
      <c r="A2905" s="3"/>
      <c r="B2905" s="3"/>
      <c r="C2905" s="3"/>
      <c r="D2905" s="3"/>
      <c r="E2905" s="3">
        <v>2</v>
      </c>
      <c r="F2905" s="4" t="str">
        <f>HYPERLINK("http://141.218.60.56/~jnz1568/getInfo.php?workbook=14_09.xlsx&amp;sheet=U0&amp;row=2905&amp;col=6&amp;number=3.1&amp;sourceID=14","3.1")</f>
        <v>3.1</v>
      </c>
      <c r="G2905" s="4" t="str">
        <f>HYPERLINK("http://141.218.60.56/~jnz1568/getInfo.php?workbook=14_09.xlsx&amp;sheet=U0&amp;row=2905&amp;col=7&amp;number=0.00263&amp;sourceID=14","0.00263")</f>
        <v>0.00263</v>
      </c>
    </row>
    <row r="2906" spans="1:7">
      <c r="A2906" s="3"/>
      <c r="B2906" s="3"/>
      <c r="C2906" s="3"/>
      <c r="D2906" s="3"/>
      <c r="E2906" s="3">
        <v>3</v>
      </c>
      <c r="F2906" s="4" t="str">
        <f>HYPERLINK("http://141.218.60.56/~jnz1568/getInfo.php?workbook=14_09.xlsx&amp;sheet=U0&amp;row=2906&amp;col=6&amp;number=3.2&amp;sourceID=14","3.2")</f>
        <v>3.2</v>
      </c>
      <c r="G2906" s="4" t="str">
        <f>HYPERLINK("http://141.218.60.56/~jnz1568/getInfo.php?workbook=14_09.xlsx&amp;sheet=U0&amp;row=2906&amp;col=7&amp;number=0.00263&amp;sourceID=14","0.00263")</f>
        <v>0.00263</v>
      </c>
    </row>
    <row r="2907" spans="1:7">
      <c r="A2907" s="3"/>
      <c r="B2907" s="3"/>
      <c r="C2907" s="3"/>
      <c r="D2907" s="3"/>
      <c r="E2907" s="3">
        <v>4</v>
      </c>
      <c r="F2907" s="4" t="str">
        <f>HYPERLINK("http://141.218.60.56/~jnz1568/getInfo.php?workbook=14_09.xlsx&amp;sheet=U0&amp;row=2907&amp;col=6&amp;number=3.3&amp;sourceID=14","3.3")</f>
        <v>3.3</v>
      </c>
      <c r="G2907" s="4" t="str">
        <f>HYPERLINK("http://141.218.60.56/~jnz1568/getInfo.php?workbook=14_09.xlsx&amp;sheet=U0&amp;row=2907&amp;col=7&amp;number=0.00262&amp;sourceID=14","0.00262")</f>
        <v>0.00262</v>
      </c>
    </row>
    <row r="2908" spans="1:7">
      <c r="A2908" s="3"/>
      <c r="B2908" s="3"/>
      <c r="C2908" s="3"/>
      <c r="D2908" s="3"/>
      <c r="E2908" s="3">
        <v>5</v>
      </c>
      <c r="F2908" s="4" t="str">
        <f>HYPERLINK("http://141.218.60.56/~jnz1568/getInfo.php?workbook=14_09.xlsx&amp;sheet=U0&amp;row=2908&amp;col=6&amp;number=3.4&amp;sourceID=14","3.4")</f>
        <v>3.4</v>
      </c>
      <c r="G2908" s="4" t="str">
        <f>HYPERLINK("http://141.218.60.56/~jnz1568/getInfo.php?workbook=14_09.xlsx&amp;sheet=U0&amp;row=2908&amp;col=7&amp;number=0.00262&amp;sourceID=14","0.00262")</f>
        <v>0.00262</v>
      </c>
    </row>
    <row r="2909" spans="1:7">
      <c r="A2909" s="3"/>
      <c r="B2909" s="3"/>
      <c r="C2909" s="3"/>
      <c r="D2909" s="3"/>
      <c r="E2909" s="3">
        <v>6</v>
      </c>
      <c r="F2909" s="4" t="str">
        <f>HYPERLINK("http://141.218.60.56/~jnz1568/getInfo.php?workbook=14_09.xlsx&amp;sheet=U0&amp;row=2909&amp;col=6&amp;number=3.5&amp;sourceID=14","3.5")</f>
        <v>3.5</v>
      </c>
      <c r="G2909" s="4" t="str">
        <f>HYPERLINK("http://141.218.60.56/~jnz1568/getInfo.php?workbook=14_09.xlsx&amp;sheet=U0&amp;row=2909&amp;col=7&amp;number=0.00262&amp;sourceID=14","0.00262")</f>
        <v>0.00262</v>
      </c>
    </row>
    <row r="2910" spans="1:7">
      <c r="A2910" s="3"/>
      <c r="B2910" s="3"/>
      <c r="C2910" s="3"/>
      <c r="D2910" s="3"/>
      <c r="E2910" s="3">
        <v>7</v>
      </c>
      <c r="F2910" s="4" t="str">
        <f>HYPERLINK("http://141.218.60.56/~jnz1568/getInfo.php?workbook=14_09.xlsx&amp;sheet=U0&amp;row=2910&amp;col=6&amp;number=3.6&amp;sourceID=14","3.6")</f>
        <v>3.6</v>
      </c>
      <c r="G2910" s="4" t="str">
        <f>HYPERLINK("http://141.218.60.56/~jnz1568/getInfo.php?workbook=14_09.xlsx&amp;sheet=U0&amp;row=2910&amp;col=7&amp;number=0.00262&amp;sourceID=14","0.00262")</f>
        <v>0.00262</v>
      </c>
    </row>
    <row r="2911" spans="1:7">
      <c r="A2911" s="3"/>
      <c r="B2911" s="3"/>
      <c r="C2911" s="3"/>
      <c r="D2911" s="3"/>
      <c r="E2911" s="3">
        <v>8</v>
      </c>
      <c r="F2911" s="4" t="str">
        <f>HYPERLINK("http://141.218.60.56/~jnz1568/getInfo.php?workbook=14_09.xlsx&amp;sheet=U0&amp;row=2911&amp;col=6&amp;number=3.7&amp;sourceID=14","3.7")</f>
        <v>3.7</v>
      </c>
      <c r="G2911" s="4" t="str">
        <f>HYPERLINK("http://141.218.60.56/~jnz1568/getInfo.php?workbook=14_09.xlsx&amp;sheet=U0&amp;row=2911&amp;col=7&amp;number=0.00261&amp;sourceID=14","0.00261")</f>
        <v>0.00261</v>
      </c>
    </row>
    <row r="2912" spans="1:7">
      <c r="A2912" s="3"/>
      <c r="B2912" s="3"/>
      <c r="C2912" s="3"/>
      <c r="D2912" s="3"/>
      <c r="E2912" s="3">
        <v>9</v>
      </c>
      <c r="F2912" s="4" t="str">
        <f>HYPERLINK("http://141.218.60.56/~jnz1568/getInfo.php?workbook=14_09.xlsx&amp;sheet=U0&amp;row=2912&amp;col=6&amp;number=3.8&amp;sourceID=14","3.8")</f>
        <v>3.8</v>
      </c>
      <c r="G2912" s="4" t="str">
        <f>HYPERLINK("http://141.218.60.56/~jnz1568/getInfo.php?workbook=14_09.xlsx&amp;sheet=U0&amp;row=2912&amp;col=7&amp;number=0.00261&amp;sourceID=14","0.00261")</f>
        <v>0.00261</v>
      </c>
    </row>
    <row r="2913" spans="1:7">
      <c r="A2913" s="3"/>
      <c r="B2913" s="3"/>
      <c r="C2913" s="3"/>
      <c r="D2913" s="3"/>
      <c r="E2913" s="3">
        <v>10</v>
      </c>
      <c r="F2913" s="4" t="str">
        <f>HYPERLINK("http://141.218.60.56/~jnz1568/getInfo.php?workbook=14_09.xlsx&amp;sheet=U0&amp;row=2913&amp;col=6&amp;number=3.9&amp;sourceID=14","3.9")</f>
        <v>3.9</v>
      </c>
      <c r="G2913" s="4" t="str">
        <f>HYPERLINK("http://141.218.60.56/~jnz1568/getInfo.php?workbook=14_09.xlsx&amp;sheet=U0&amp;row=2913&amp;col=7&amp;number=0.00261&amp;sourceID=14","0.00261")</f>
        <v>0.00261</v>
      </c>
    </row>
    <row r="2914" spans="1:7">
      <c r="A2914" s="3"/>
      <c r="B2914" s="3"/>
      <c r="C2914" s="3"/>
      <c r="D2914" s="3"/>
      <c r="E2914" s="3">
        <v>11</v>
      </c>
      <c r="F2914" s="4" t="str">
        <f>HYPERLINK("http://141.218.60.56/~jnz1568/getInfo.php?workbook=14_09.xlsx&amp;sheet=U0&amp;row=2914&amp;col=6&amp;number=4&amp;sourceID=14","4")</f>
        <v>4</v>
      </c>
      <c r="G2914" s="4" t="str">
        <f>HYPERLINK("http://141.218.60.56/~jnz1568/getInfo.php?workbook=14_09.xlsx&amp;sheet=U0&amp;row=2914&amp;col=7&amp;number=0.0026&amp;sourceID=14","0.0026")</f>
        <v>0.0026</v>
      </c>
    </row>
    <row r="2915" spans="1:7">
      <c r="A2915" s="3"/>
      <c r="B2915" s="3"/>
      <c r="C2915" s="3"/>
      <c r="D2915" s="3"/>
      <c r="E2915" s="3">
        <v>12</v>
      </c>
      <c r="F2915" s="4" t="str">
        <f>HYPERLINK("http://141.218.60.56/~jnz1568/getInfo.php?workbook=14_09.xlsx&amp;sheet=U0&amp;row=2915&amp;col=6&amp;number=4.1&amp;sourceID=14","4.1")</f>
        <v>4.1</v>
      </c>
      <c r="G2915" s="4" t="str">
        <f>HYPERLINK("http://141.218.60.56/~jnz1568/getInfo.php?workbook=14_09.xlsx&amp;sheet=U0&amp;row=2915&amp;col=7&amp;number=0.00259&amp;sourceID=14","0.00259")</f>
        <v>0.00259</v>
      </c>
    </row>
    <row r="2916" spans="1:7">
      <c r="A2916" s="3"/>
      <c r="B2916" s="3"/>
      <c r="C2916" s="3"/>
      <c r="D2916" s="3"/>
      <c r="E2916" s="3">
        <v>13</v>
      </c>
      <c r="F2916" s="4" t="str">
        <f>HYPERLINK("http://141.218.60.56/~jnz1568/getInfo.php?workbook=14_09.xlsx&amp;sheet=U0&amp;row=2916&amp;col=6&amp;number=4.2&amp;sourceID=14","4.2")</f>
        <v>4.2</v>
      </c>
      <c r="G2916" s="4" t="str">
        <f>HYPERLINK("http://141.218.60.56/~jnz1568/getInfo.php?workbook=14_09.xlsx&amp;sheet=U0&amp;row=2916&amp;col=7&amp;number=0.00258&amp;sourceID=14","0.00258")</f>
        <v>0.00258</v>
      </c>
    </row>
    <row r="2917" spans="1:7">
      <c r="A2917" s="3"/>
      <c r="B2917" s="3"/>
      <c r="C2917" s="3"/>
      <c r="D2917" s="3"/>
      <c r="E2917" s="3">
        <v>14</v>
      </c>
      <c r="F2917" s="4" t="str">
        <f>HYPERLINK("http://141.218.60.56/~jnz1568/getInfo.php?workbook=14_09.xlsx&amp;sheet=U0&amp;row=2917&amp;col=6&amp;number=4.3&amp;sourceID=14","4.3")</f>
        <v>4.3</v>
      </c>
      <c r="G2917" s="4" t="str">
        <f>HYPERLINK("http://141.218.60.56/~jnz1568/getInfo.php?workbook=14_09.xlsx&amp;sheet=U0&amp;row=2917&amp;col=7&amp;number=0.00257&amp;sourceID=14","0.00257")</f>
        <v>0.00257</v>
      </c>
    </row>
    <row r="2918" spans="1:7">
      <c r="A2918" s="3"/>
      <c r="B2918" s="3"/>
      <c r="C2918" s="3"/>
      <c r="D2918" s="3"/>
      <c r="E2918" s="3">
        <v>15</v>
      </c>
      <c r="F2918" s="4" t="str">
        <f>HYPERLINK("http://141.218.60.56/~jnz1568/getInfo.php?workbook=14_09.xlsx&amp;sheet=U0&amp;row=2918&amp;col=6&amp;number=4.4&amp;sourceID=14","4.4")</f>
        <v>4.4</v>
      </c>
      <c r="G2918" s="4" t="str">
        <f>HYPERLINK("http://141.218.60.56/~jnz1568/getInfo.php?workbook=14_09.xlsx&amp;sheet=U0&amp;row=2918&amp;col=7&amp;number=0.00255&amp;sourceID=14","0.00255")</f>
        <v>0.00255</v>
      </c>
    </row>
    <row r="2919" spans="1:7">
      <c r="A2919" s="3"/>
      <c r="B2919" s="3"/>
      <c r="C2919" s="3"/>
      <c r="D2919" s="3"/>
      <c r="E2919" s="3">
        <v>16</v>
      </c>
      <c r="F2919" s="4" t="str">
        <f>HYPERLINK("http://141.218.60.56/~jnz1568/getInfo.php?workbook=14_09.xlsx&amp;sheet=U0&amp;row=2919&amp;col=6&amp;number=4.5&amp;sourceID=14","4.5")</f>
        <v>4.5</v>
      </c>
      <c r="G2919" s="4" t="str">
        <f>HYPERLINK("http://141.218.60.56/~jnz1568/getInfo.php?workbook=14_09.xlsx&amp;sheet=U0&amp;row=2919&amp;col=7&amp;number=0.00253&amp;sourceID=14","0.00253")</f>
        <v>0.00253</v>
      </c>
    </row>
    <row r="2920" spans="1:7">
      <c r="A2920" s="3"/>
      <c r="B2920" s="3"/>
      <c r="C2920" s="3"/>
      <c r="D2920" s="3"/>
      <c r="E2920" s="3">
        <v>17</v>
      </c>
      <c r="F2920" s="4" t="str">
        <f>HYPERLINK("http://141.218.60.56/~jnz1568/getInfo.php?workbook=14_09.xlsx&amp;sheet=U0&amp;row=2920&amp;col=6&amp;number=4.6&amp;sourceID=14","4.6")</f>
        <v>4.6</v>
      </c>
      <c r="G2920" s="4" t="str">
        <f>HYPERLINK("http://141.218.60.56/~jnz1568/getInfo.php?workbook=14_09.xlsx&amp;sheet=U0&amp;row=2920&amp;col=7&amp;number=0.00251&amp;sourceID=14","0.00251")</f>
        <v>0.00251</v>
      </c>
    </row>
    <row r="2921" spans="1:7">
      <c r="A2921" s="3"/>
      <c r="B2921" s="3"/>
      <c r="C2921" s="3"/>
      <c r="D2921" s="3"/>
      <c r="E2921" s="3">
        <v>18</v>
      </c>
      <c r="F2921" s="4" t="str">
        <f>HYPERLINK("http://141.218.60.56/~jnz1568/getInfo.php?workbook=14_09.xlsx&amp;sheet=U0&amp;row=2921&amp;col=6&amp;number=4.7&amp;sourceID=14","4.7")</f>
        <v>4.7</v>
      </c>
      <c r="G2921" s="4" t="str">
        <f>HYPERLINK("http://141.218.60.56/~jnz1568/getInfo.php?workbook=14_09.xlsx&amp;sheet=U0&amp;row=2921&amp;col=7&amp;number=0.00248&amp;sourceID=14","0.00248")</f>
        <v>0.00248</v>
      </c>
    </row>
    <row r="2922" spans="1:7">
      <c r="A2922" s="3"/>
      <c r="B2922" s="3"/>
      <c r="C2922" s="3"/>
      <c r="D2922" s="3"/>
      <c r="E2922" s="3">
        <v>19</v>
      </c>
      <c r="F2922" s="4" t="str">
        <f>HYPERLINK("http://141.218.60.56/~jnz1568/getInfo.php?workbook=14_09.xlsx&amp;sheet=U0&amp;row=2922&amp;col=6&amp;number=4.8&amp;sourceID=14","4.8")</f>
        <v>4.8</v>
      </c>
      <c r="G2922" s="4" t="str">
        <f>HYPERLINK("http://141.218.60.56/~jnz1568/getInfo.php?workbook=14_09.xlsx&amp;sheet=U0&amp;row=2922&amp;col=7&amp;number=0.00244&amp;sourceID=14","0.00244")</f>
        <v>0.00244</v>
      </c>
    </row>
    <row r="2923" spans="1:7">
      <c r="A2923" s="3"/>
      <c r="B2923" s="3"/>
      <c r="C2923" s="3"/>
      <c r="D2923" s="3"/>
      <c r="E2923" s="3">
        <v>20</v>
      </c>
      <c r="F2923" s="4" t="str">
        <f>HYPERLINK("http://141.218.60.56/~jnz1568/getInfo.php?workbook=14_09.xlsx&amp;sheet=U0&amp;row=2923&amp;col=6&amp;number=4.9&amp;sourceID=14","4.9")</f>
        <v>4.9</v>
      </c>
      <c r="G2923" s="4" t="str">
        <f>HYPERLINK("http://141.218.60.56/~jnz1568/getInfo.php?workbook=14_09.xlsx&amp;sheet=U0&amp;row=2923&amp;col=7&amp;number=0.0024&amp;sourceID=14","0.0024")</f>
        <v>0.0024</v>
      </c>
    </row>
    <row r="2924" spans="1:7">
      <c r="A2924" s="3">
        <v>14</v>
      </c>
      <c r="B2924" s="3">
        <v>9</v>
      </c>
      <c r="C2924" s="3">
        <v>1</v>
      </c>
      <c r="D2924" s="3">
        <v>148</v>
      </c>
      <c r="E2924" s="3">
        <v>1</v>
      </c>
      <c r="F2924" s="4" t="str">
        <f>HYPERLINK("http://141.218.60.56/~jnz1568/getInfo.php?workbook=14_09.xlsx&amp;sheet=U0&amp;row=2924&amp;col=6&amp;number=3&amp;sourceID=14","3")</f>
        <v>3</v>
      </c>
      <c r="G2924" s="4" t="str">
        <f>HYPERLINK("http://141.218.60.56/~jnz1568/getInfo.php?workbook=14_09.xlsx&amp;sheet=U0&amp;row=2924&amp;col=7&amp;number=0.0125&amp;sourceID=14","0.0125")</f>
        <v>0.0125</v>
      </c>
    </row>
    <row r="2925" spans="1:7">
      <c r="A2925" s="3"/>
      <c r="B2925" s="3"/>
      <c r="C2925" s="3"/>
      <c r="D2925" s="3"/>
      <c r="E2925" s="3">
        <v>2</v>
      </c>
      <c r="F2925" s="4" t="str">
        <f>HYPERLINK("http://141.218.60.56/~jnz1568/getInfo.php?workbook=14_09.xlsx&amp;sheet=U0&amp;row=2925&amp;col=6&amp;number=3.1&amp;sourceID=14","3.1")</f>
        <v>3.1</v>
      </c>
      <c r="G2925" s="4" t="str">
        <f>HYPERLINK("http://141.218.60.56/~jnz1568/getInfo.php?workbook=14_09.xlsx&amp;sheet=U0&amp;row=2925&amp;col=7&amp;number=0.0125&amp;sourceID=14","0.0125")</f>
        <v>0.0125</v>
      </c>
    </row>
    <row r="2926" spans="1:7">
      <c r="A2926" s="3"/>
      <c r="B2926" s="3"/>
      <c r="C2926" s="3"/>
      <c r="D2926" s="3"/>
      <c r="E2926" s="3">
        <v>3</v>
      </c>
      <c r="F2926" s="4" t="str">
        <f>HYPERLINK("http://141.218.60.56/~jnz1568/getInfo.php?workbook=14_09.xlsx&amp;sheet=U0&amp;row=2926&amp;col=6&amp;number=3.2&amp;sourceID=14","3.2")</f>
        <v>3.2</v>
      </c>
      <c r="G2926" s="4" t="str">
        <f>HYPERLINK("http://141.218.60.56/~jnz1568/getInfo.php?workbook=14_09.xlsx&amp;sheet=U0&amp;row=2926&amp;col=7&amp;number=0.0124&amp;sourceID=14","0.0124")</f>
        <v>0.0124</v>
      </c>
    </row>
    <row r="2927" spans="1:7">
      <c r="A2927" s="3"/>
      <c r="B2927" s="3"/>
      <c r="C2927" s="3"/>
      <c r="D2927" s="3"/>
      <c r="E2927" s="3">
        <v>4</v>
      </c>
      <c r="F2927" s="4" t="str">
        <f>HYPERLINK("http://141.218.60.56/~jnz1568/getInfo.php?workbook=14_09.xlsx&amp;sheet=U0&amp;row=2927&amp;col=6&amp;number=3.3&amp;sourceID=14","3.3")</f>
        <v>3.3</v>
      </c>
      <c r="G2927" s="4" t="str">
        <f>HYPERLINK("http://141.218.60.56/~jnz1568/getInfo.php?workbook=14_09.xlsx&amp;sheet=U0&amp;row=2927&amp;col=7&amp;number=0.0124&amp;sourceID=14","0.0124")</f>
        <v>0.0124</v>
      </c>
    </row>
    <row r="2928" spans="1:7">
      <c r="A2928" s="3"/>
      <c r="B2928" s="3"/>
      <c r="C2928" s="3"/>
      <c r="D2928" s="3"/>
      <c r="E2928" s="3">
        <v>5</v>
      </c>
      <c r="F2928" s="4" t="str">
        <f>HYPERLINK("http://141.218.60.56/~jnz1568/getInfo.php?workbook=14_09.xlsx&amp;sheet=U0&amp;row=2928&amp;col=6&amp;number=3.4&amp;sourceID=14","3.4")</f>
        <v>3.4</v>
      </c>
      <c r="G2928" s="4" t="str">
        <f>HYPERLINK("http://141.218.60.56/~jnz1568/getInfo.php?workbook=14_09.xlsx&amp;sheet=U0&amp;row=2928&amp;col=7&amp;number=0.0123&amp;sourceID=14","0.0123")</f>
        <v>0.0123</v>
      </c>
    </row>
    <row r="2929" spans="1:7">
      <c r="A2929" s="3"/>
      <c r="B2929" s="3"/>
      <c r="C2929" s="3"/>
      <c r="D2929" s="3"/>
      <c r="E2929" s="3">
        <v>6</v>
      </c>
      <c r="F2929" s="4" t="str">
        <f>HYPERLINK("http://141.218.60.56/~jnz1568/getInfo.php?workbook=14_09.xlsx&amp;sheet=U0&amp;row=2929&amp;col=6&amp;number=3.5&amp;sourceID=14","3.5")</f>
        <v>3.5</v>
      </c>
      <c r="G2929" s="4" t="str">
        <f>HYPERLINK("http://141.218.60.56/~jnz1568/getInfo.php?workbook=14_09.xlsx&amp;sheet=U0&amp;row=2929&amp;col=7&amp;number=0.0122&amp;sourceID=14","0.0122")</f>
        <v>0.0122</v>
      </c>
    </row>
    <row r="2930" spans="1:7">
      <c r="A2930" s="3"/>
      <c r="B2930" s="3"/>
      <c r="C2930" s="3"/>
      <c r="D2930" s="3"/>
      <c r="E2930" s="3">
        <v>7</v>
      </c>
      <c r="F2930" s="4" t="str">
        <f>HYPERLINK("http://141.218.60.56/~jnz1568/getInfo.php?workbook=14_09.xlsx&amp;sheet=U0&amp;row=2930&amp;col=6&amp;number=3.6&amp;sourceID=14","3.6")</f>
        <v>3.6</v>
      </c>
      <c r="G2930" s="4" t="str">
        <f>HYPERLINK("http://141.218.60.56/~jnz1568/getInfo.php?workbook=14_09.xlsx&amp;sheet=U0&amp;row=2930&amp;col=7&amp;number=0.0121&amp;sourceID=14","0.0121")</f>
        <v>0.0121</v>
      </c>
    </row>
    <row r="2931" spans="1:7">
      <c r="A2931" s="3"/>
      <c r="B2931" s="3"/>
      <c r="C2931" s="3"/>
      <c r="D2931" s="3"/>
      <c r="E2931" s="3">
        <v>8</v>
      </c>
      <c r="F2931" s="4" t="str">
        <f>HYPERLINK("http://141.218.60.56/~jnz1568/getInfo.php?workbook=14_09.xlsx&amp;sheet=U0&amp;row=2931&amp;col=6&amp;number=3.7&amp;sourceID=14","3.7")</f>
        <v>3.7</v>
      </c>
      <c r="G2931" s="4" t="str">
        <f>HYPERLINK("http://141.218.60.56/~jnz1568/getInfo.php?workbook=14_09.xlsx&amp;sheet=U0&amp;row=2931&amp;col=7&amp;number=0.0119&amp;sourceID=14","0.0119")</f>
        <v>0.0119</v>
      </c>
    </row>
    <row r="2932" spans="1:7">
      <c r="A2932" s="3"/>
      <c r="B2932" s="3"/>
      <c r="C2932" s="3"/>
      <c r="D2932" s="3"/>
      <c r="E2932" s="3">
        <v>9</v>
      </c>
      <c r="F2932" s="4" t="str">
        <f>HYPERLINK("http://141.218.60.56/~jnz1568/getInfo.php?workbook=14_09.xlsx&amp;sheet=U0&amp;row=2932&amp;col=6&amp;number=3.8&amp;sourceID=14","3.8")</f>
        <v>3.8</v>
      </c>
      <c r="G2932" s="4" t="str">
        <f>HYPERLINK("http://141.218.60.56/~jnz1568/getInfo.php?workbook=14_09.xlsx&amp;sheet=U0&amp;row=2932&amp;col=7&amp;number=0.0117&amp;sourceID=14","0.0117")</f>
        <v>0.0117</v>
      </c>
    </row>
    <row r="2933" spans="1:7">
      <c r="A2933" s="3"/>
      <c r="B2933" s="3"/>
      <c r="C2933" s="3"/>
      <c r="D2933" s="3"/>
      <c r="E2933" s="3">
        <v>10</v>
      </c>
      <c r="F2933" s="4" t="str">
        <f>HYPERLINK("http://141.218.60.56/~jnz1568/getInfo.php?workbook=14_09.xlsx&amp;sheet=U0&amp;row=2933&amp;col=6&amp;number=3.9&amp;sourceID=14","3.9")</f>
        <v>3.9</v>
      </c>
      <c r="G2933" s="4" t="str">
        <f>HYPERLINK("http://141.218.60.56/~jnz1568/getInfo.php?workbook=14_09.xlsx&amp;sheet=U0&amp;row=2933&amp;col=7&amp;number=0.0115&amp;sourceID=14","0.0115")</f>
        <v>0.0115</v>
      </c>
    </row>
    <row r="2934" spans="1:7">
      <c r="A2934" s="3"/>
      <c r="B2934" s="3"/>
      <c r="C2934" s="3"/>
      <c r="D2934" s="3"/>
      <c r="E2934" s="3">
        <v>11</v>
      </c>
      <c r="F2934" s="4" t="str">
        <f>HYPERLINK("http://141.218.60.56/~jnz1568/getInfo.php?workbook=14_09.xlsx&amp;sheet=U0&amp;row=2934&amp;col=6&amp;number=4&amp;sourceID=14","4")</f>
        <v>4</v>
      </c>
      <c r="G2934" s="4" t="str">
        <f>HYPERLINK("http://141.218.60.56/~jnz1568/getInfo.php?workbook=14_09.xlsx&amp;sheet=U0&amp;row=2934&amp;col=7&amp;number=0.0112&amp;sourceID=14","0.0112")</f>
        <v>0.0112</v>
      </c>
    </row>
    <row r="2935" spans="1:7">
      <c r="A2935" s="3"/>
      <c r="B2935" s="3"/>
      <c r="C2935" s="3"/>
      <c r="D2935" s="3"/>
      <c r="E2935" s="3">
        <v>12</v>
      </c>
      <c r="F2935" s="4" t="str">
        <f>HYPERLINK("http://141.218.60.56/~jnz1568/getInfo.php?workbook=14_09.xlsx&amp;sheet=U0&amp;row=2935&amp;col=6&amp;number=4.1&amp;sourceID=14","4.1")</f>
        <v>4.1</v>
      </c>
      <c r="G2935" s="4" t="str">
        <f>HYPERLINK("http://141.218.60.56/~jnz1568/getInfo.php?workbook=14_09.xlsx&amp;sheet=U0&amp;row=2935&amp;col=7&amp;number=0.0109&amp;sourceID=14","0.0109")</f>
        <v>0.0109</v>
      </c>
    </row>
    <row r="2936" spans="1:7">
      <c r="A2936" s="3"/>
      <c r="B2936" s="3"/>
      <c r="C2936" s="3"/>
      <c r="D2936" s="3"/>
      <c r="E2936" s="3">
        <v>13</v>
      </c>
      <c r="F2936" s="4" t="str">
        <f>HYPERLINK("http://141.218.60.56/~jnz1568/getInfo.php?workbook=14_09.xlsx&amp;sheet=U0&amp;row=2936&amp;col=6&amp;number=4.2&amp;sourceID=14","4.2")</f>
        <v>4.2</v>
      </c>
      <c r="G2936" s="4" t="str">
        <f>HYPERLINK("http://141.218.60.56/~jnz1568/getInfo.php?workbook=14_09.xlsx&amp;sheet=U0&amp;row=2936&amp;col=7&amp;number=0.0105&amp;sourceID=14","0.0105")</f>
        <v>0.0105</v>
      </c>
    </row>
    <row r="2937" spans="1:7">
      <c r="A2937" s="3"/>
      <c r="B2937" s="3"/>
      <c r="C2937" s="3"/>
      <c r="D2937" s="3"/>
      <c r="E2937" s="3">
        <v>14</v>
      </c>
      <c r="F2937" s="4" t="str">
        <f>HYPERLINK("http://141.218.60.56/~jnz1568/getInfo.php?workbook=14_09.xlsx&amp;sheet=U0&amp;row=2937&amp;col=6&amp;number=4.3&amp;sourceID=14","4.3")</f>
        <v>4.3</v>
      </c>
      <c r="G2937" s="4" t="str">
        <f>HYPERLINK("http://141.218.60.56/~jnz1568/getInfo.php?workbook=14_09.xlsx&amp;sheet=U0&amp;row=2937&amp;col=7&amp;number=0.01&amp;sourceID=14","0.01")</f>
        <v>0.01</v>
      </c>
    </row>
    <row r="2938" spans="1:7">
      <c r="A2938" s="3"/>
      <c r="B2938" s="3"/>
      <c r="C2938" s="3"/>
      <c r="D2938" s="3"/>
      <c r="E2938" s="3">
        <v>15</v>
      </c>
      <c r="F2938" s="4" t="str">
        <f>HYPERLINK("http://141.218.60.56/~jnz1568/getInfo.php?workbook=14_09.xlsx&amp;sheet=U0&amp;row=2938&amp;col=6&amp;number=4.4&amp;sourceID=14","4.4")</f>
        <v>4.4</v>
      </c>
      <c r="G2938" s="4" t="str">
        <f>HYPERLINK("http://141.218.60.56/~jnz1568/getInfo.php?workbook=14_09.xlsx&amp;sheet=U0&amp;row=2938&amp;col=7&amp;number=0.00955&amp;sourceID=14","0.00955")</f>
        <v>0.00955</v>
      </c>
    </row>
    <row r="2939" spans="1:7">
      <c r="A2939" s="3"/>
      <c r="B2939" s="3"/>
      <c r="C2939" s="3"/>
      <c r="D2939" s="3"/>
      <c r="E2939" s="3">
        <v>16</v>
      </c>
      <c r="F2939" s="4" t="str">
        <f>HYPERLINK("http://141.218.60.56/~jnz1568/getInfo.php?workbook=14_09.xlsx&amp;sheet=U0&amp;row=2939&amp;col=6&amp;number=4.5&amp;sourceID=14","4.5")</f>
        <v>4.5</v>
      </c>
      <c r="G2939" s="4" t="str">
        <f>HYPERLINK("http://141.218.60.56/~jnz1568/getInfo.php?workbook=14_09.xlsx&amp;sheet=U0&amp;row=2939&amp;col=7&amp;number=0.00905&amp;sourceID=14","0.00905")</f>
        <v>0.00905</v>
      </c>
    </row>
    <row r="2940" spans="1:7">
      <c r="A2940" s="3"/>
      <c r="B2940" s="3"/>
      <c r="C2940" s="3"/>
      <c r="D2940" s="3"/>
      <c r="E2940" s="3">
        <v>17</v>
      </c>
      <c r="F2940" s="4" t="str">
        <f>HYPERLINK("http://141.218.60.56/~jnz1568/getInfo.php?workbook=14_09.xlsx&amp;sheet=U0&amp;row=2940&amp;col=6&amp;number=4.6&amp;sourceID=14","4.6")</f>
        <v>4.6</v>
      </c>
      <c r="G2940" s="4" t="str">
        <f>HYPERLINK("http://141.218.60.56/~jnz1568/getInfo.php?workbook=14_09.xlsx&amp;sheet=U0&amp;row=2940&amp;col=7&amp;number=0.00859&amp;sourceID=14","0.00859")</f>
        <v>0.00859</v>
      </c>
    </row>
    <row r="2941" spans="1:7">
      <c r="A2941" s="3"/>
      <c r="B2941" s="3"/>
      <c r="C2941" s="3"/>
      <c r="D2941" s="3"/>
      <c r="E2941" s="3">
        <v>18</v>
      </c>
      <c r="F2941" s="4" t="str">
        <f>HYPERLINK("http://141.218.60.56/~jnz1568/getInfo.php?workbook=14_09.xlsx&amp;sheet=U0&amp;row=2941&amp;col=6&amp;number=4.7&amp;sourceID=14","4.7")</f>
        <v>4.7</v>
      </c>
      <c r="G2941" s="4" t="str">
        <f>HYPERLINK("http://141.218.60.56/~jnz1568/getInfo.php?workbook=14_09.xlsx&amp;sheet=U0&amp;row=2941&amp;col=7&amp;number=0.00817&amp;sourceID=14","0.00817")</f>
        <v>0.00817</v>
      </c>
    </row>
    <row r="2942" spans="1:7">
      <c r="A2942" s="3"/>
      <c r="B2942" s="3"/>
      <c r="C2942" s="3"/>
      <c r="D2942" s="3"/>
      <c r="E2942" s="3">
        <v>19</v>
      </c>
      <c r="F2942" s="4" t="str">
        <f>HYPERLINK("http://141.218.60.56/~jnz1568/getInfo.php?workbook=14_09.xlsx&amp;sheet=U0&amp;row=2942&amp;col=6&amp;number=4.8&amp;sourceID=14","4.8")</f>
        <v>4.8</v>
      </c>
      <c r="G2942" s="4" t="str">
        <f>HYPERLINK("http://141.218.60.56/~jnz1568/getInfo.php?workbook=14_09.xlsx&amp;sheet=U0&amp;row=2942&amp;col=7&amp;number=0.00779&amp;sourceID=14","0.00779")</f>
        <v>0.00779</v>
      </c>
    </row>
    <row r="2943" spans="1:7">
      <c r="A2943" s="3"/>
      <c r="B2943" s="3"/>
      <c r="C2943" s="3"/>
      <c r="D2943" s="3"/>
      <c r="E2943" s="3">
        <v>20</v>
      </c>
      <c r="F2943" s="4" t="str">
        <f>HYPERLINK("http://141.218.60.56/~jnz1568/getInfo.php?workbook=14_09.xlsx&amp;sheet=U0&amp;row=2943&amp;col=6&amp;number=4.9&amp;sourceID=14","4.9")</f>
        <v>4.9</v>
      </c>
      <c r="G2943" s="4" t="str">
        <f>HYPERLINK("http://141.218.60.56/~jnz1568/getInfo.php?workbook=14_09.xlsx&amp;sheet=U0&amp;row=2943&amp;col=7&amp;number=0.00736&amp;sourceID=14","0.00736")</f>
        <v>0.00736</v>
      </c>
    </row>
    <row r="2944" spans="1:7">
      <c r="A2944" s="3">
        <v>14</v>
      </c>
      <c r="B2944" s="3">
        <v>9</v>
      </c>
      <c r="C2944" s="3">
        <v>1</v>
      </c>
      <c r="D2944" s="3">
        <v>149</v>
      </c>
      <c r="E2944" s="3">
        <v>1</v>
      </c>
      <c r="F2944" s="4" t="str">
        <f>HYPERLINK("http://141.218.60.56/~jnz1568/getInfo.php?workbook=14_09.xlsx&amp;sheet=U0&amp;row=2944&amp;col=6&amp;number=3&amp;sourceID=14","3")</f>
        <v>3</v>
      </c>
      <c r="G2944" s="4" t="str">
        <f>HYPERLINK("http://141.218.60.56/~jnz1568/getInfo.php?workbook=14_09.xlsx&amp;sheet=U0&amp;row=2944&amp;col=7&amp;number=0.00175&amp;sourceID=14","0.00175")</f>
        <v>0.00175</v>
      </c>
    </row>
    <row r="2945" spans="1:7">
      <c r="A2945" s="3"/>
      <c r="B2945" s="3"/>
      <c r="C2945" s="3"/>
      <c r="D2945" s="3"/>
      <c r="E2945" s="3">
        <v>2</v>
      </c>
      <c r="F2945" s="4" t="str">
        <f>HYPERLINK("http://141.218.60.56/~jnz1568/getInfo.php?workbook=14_09.xlsx&amp;sheet=U0&amp;row=2945&amp;col=6&amp;number=3.1&amp;sourceID=14","3.1")</f>
        <v>3.1</v>
      </c>
      <c r="G2945" s="4" t="str">
        <f>HYPERLINK("http://141.218.60.56/~jnz1568/getInfo.php?workbook=14_09.xlsx&amp;sheet=U0&amp;row=2945&amp;col=7&amp;number=0.00175&amp;sourceID=14","0.00175")</f>
        <v>0.00175</v>
      </c>
    </row>
    <row r="2946" spans="1:7">
      <c r="A2946" s="3"/>
      <c r="B2946" s="3"/>
      <c r="C2946" s="3"/>
      <c r="D2946" s="3"/>
      <c r="E2946" s="3">
        <v>3</v>
      </c>
      <c r="F2946" s="4" t="str">
        <f>HYPERLINK("http://141.218.60.56/~jnz1568/getInfo.php?workbook=14_09.xlsx&amp;sheet=U0&amp;row=2946&amp;col=6&amp;number=3.2&amp;sourceID=14","3.2")</f>
        <v>3.2</v>
      </c>
      <c r="G2946" s="4" t="str">
        <f>HYPERLINK("http://141.218.60.56/~jnz1568/getInfo.php?workbook=14_09.xlsx&amp;sheet=U0&amp;row=2946&amp;col=7&amp;number=0.00175&amp;sourceID=14","0.00175")</f>
        <v>0.00175</v>
      </c>
    </row>
    <row r="2947" spans="1:7">
      <c r="A2947" s="3"/>
      <c r="B2947" s="3"/>
      <c r="C2947" s="3"/>
      <c r="D2947" s="3"/>
      <c r="E2947" s="3">
        <v>4</v>
      </c>
      <c r="F2947" s="4" t="str">
        <f>HYPERLINK("http://141.218.60.56/~jnz1568/getInfo.php?workbook=14_09.xlsx&amp;sheet=U0&amp;row=2947&amp;col=6&amp;number=3.3&amp;sourceID=14","3.3")</f>
        <v>3.3</v>
      </c>
      <c r="G2947" s="4" t="str">
        <f>HYPERLINK("http://141.218.60.56/~jnz1568/getInfo.php?workbook=14_09.xlsx&amp;sheet=U0&amp;row=2947&amp;col=7&amp;number=0.00175&amp;sourceID=14","0.00175")</f>
        <v>0.00175</v>
      </c>
    </row>
    <row r="2948" spans="1:7">
      <c r="A2948" s="3"/>
      <c r="B2948" s="3"/>
      <c r="C2948" s="3"/>
      <c r="D2948" s="3"/>
      <c r="E2948" s="3">
        <v>5</v>
      </c>
      <c r="F2948" s="4" t="str">
        <f>HYPERLINK("http://141.218.60.56/~jnz1568/getInfo.php?workbook=14_09.xlsx&amp;sheet=U0&amp;row=2948&amp;col=6&amp;number=3.4&amp;sourceID=14","3.4")</f>
        <v>3.4</v>
      </c>
      <c r="G2948" s="4" t="str">
        <f>HYPERLINK("http://141.218.60.56/~jnz1568/getInfo.php?workbook=14_09.xlsx&amp;sheet=U0&amp;row=2948&amp;col=7&amp;number=0.00174&amp;sourceID=14","0.00174")</f>
        <v>0.00174</v>
      </c>
    </row>
    <row r="2949" spans="1:7">
      <c r="A2949" s="3"/>
      <c r="B2949" s="3"/>
      <c r="C2949" s="3"/>
      <c r="D2949" s="3"/>
      <c r="E2949" s="3">
        <v>6</v>
      </c>
      <c r="F2949" s="4" t="str">
        <f>HYPERLINK("http://141.218.60.56/~jnz1568/getInfo.php?workbook=14_09.xlsx&amp;sheet=U0&amp;row=2949&amp;col=6&amp;number=3.5&amp;sourceID=14","3.5")</f>
        <v>3.5</v>
      </c>
      <c r="G2949" s="4" t="str">
        <f>HYPERLINK("http://141.218.60.56/~jnz1568/getInfo.php?workbook=14_09.xlsx&amp;sheet=U0&amp;row=2949&amp;col=7&amp;number=0.00174&amp;sourceID=14","0.00174")</f>
        <v>0.00174</v>
      </c>
    </row>
    <row r="2950" spans="1:7">
      <c r="A2950" s="3"/>
      <c r="B2950" s="3"/>
      <c r="C2950" s="3"/>
      <c r="D2950" s="3"/>
      <c r="E2950" s="3">
        <v>7</v>
      </c>
      <c r="F2950" s="4" t="str">
        <f>HYPERLINK("http://141.218.60.56/~jnz1568/getInfo.php?workbook=14_09.xlsx&amp;sheet=U0&amp;row=2950&amp;col=6&amp;number=3.6&amp;sourceID=14","3.6")</f>
        <v>3.6</v>
      </c>
      <c r="G2950" s="4" t="str">
        <f>HYPERLINK("http://141.218.60.56/~jnz1568/getInfo.php?workbook=14_09.xlsx&amp;sheet=U0&amp;row=2950&amp;col=7&amp;number=0.00174&amp;sourceID=14","0.00174")</f>
        <v>0.00174</v>
      </c>
    </row>
    <row r="2951" spans="1:7">
      <c r="A2951" s="3"/>
      <c r="B2951" s="3"/>
      <c r="C2951" s="3"/>
      <c r="D2951" s="3"/>
      <c r="E2951" s="3">
        <v>8</v>
      </c>
      <c r="F2951" s="4" t="str">
        <f>HYPERLINK("http://141.218.60.56/~jnz1568/getInfo.php?workbook=14_09.xlsx&amp;sheet=U0&amp;row=2951&amp;col=6&amp;number=3.7&amp;sourceID=14","3.7")</f>
        <v>3.7</v>
      </c>
      <c r="G2951" s="4" t="str">
        <f>HYPERLINK("http://141.218.60.56/~jnz1568/getInfo.php?workbook=14_09.xlsx&amp;sheet=U0&amp;row=2951&amp;col=7&amp;number=0.00174&amp;sourceID=14","0.00174")</f>
        <v>0.00174</v>
      </c>
    </row>
    <row r="2952" spans="1:7">
      <c r="A2952" s="3"/>
      <c r="B2952" s="3"/>
      <c r="C2952" s="3"/>
      <c r="D2952" s="3"/>
      <c r="E2952" s="3">
        <v>9</v>
      </c>
      <c r="F2952" s="4" t="str">
        <f>HYPERLINK("http://141.218.60.56/~jnz1568/getInfo.php?workbook=14_09.xlsx&amp;sheet=U0&amp;row=2952&amp;col=6&amp;number=3.8&amp;sourceID=14","3.8")</f>
        <v>3.8</v>
      </c>
      <c r="G2952" s="4" t="str">
        <f>HYPERLINK("http://141.218.60.56/~jnz1568/getInfo.php?workbook=14_09.xlsx&amp;sheet=U0&amp;row=2952&amp;col=7&amp;number=0.00174&amp;sourceID=14","0.00174")</f>
        <v>0.00174</v>
      </c>
    </row>
    <row r="2953" spans="1:7">
      <c r="A2953" s="3"/>
      <c r="B2953" s="3"/>
      <c r="C2953" s="3"/>
      <c r="D2953" s="3"/>
      <c r="E2953" s="3">
        <v>10</v>
      </c>
      <c r="F2953" s="4" t="str">
        <f>HYPERLINK("http://141.218.60.56/~jnz1568/getInfo.php?workbook=14_09.xlsx&amp;sheet=U0&amp;row=2953&amp;col=6&amp;number=3.9&amp;sourceID=14","3.9")</f>
        <v>3.9</v>
      </c>
      <c r="G2953" s="4" t="str">
        <f>HYPERLINK("http://141.218.60.56/~jnz1568/getInfo.php?workbook=14_09.xlsx&amp;sheet=U0&amp;row=2953&amp;col=7&amp;number=0.00173&amp;sourceID=14","0.00173")</f>
        <v>0.00173</v>
      </c>
    </row>
    <row r="2954" spans="1:7">
      <c r="A2954" s="3"/>
      <c r="B2954" s="3"/>
      <c r="C2954" s="3"/>
      <c r="D2954" s="3"/>
      <c r="E2954" s="3">
        <v>11</v>
      </c>
      <c r="F2954" s="4" t="str">
        <f>HYPERLINK("http://141.218.60.56/~jnz1568/getInfo.php?workbook=14_09.xlsx&amp;sheet=U0&amp;row=2954&amp;col=6&amp;number=4&amp;sourceID=14","4")</f>
        <v>4</v>
      </c>
      <c r="G2954" s="4" t="str">
        <f>HYPERLINK("http://141.218.60.56/~jnz1568/getInfo.php?workbook=14_09.xlsx&amp;sheet=U0&amp;row=2954&amp;col=7&amp;number=0.00173&amp;sourceID=14","0.00173")</f>
        <v>0.00173</v>
      </c>
    </row>
    <row r="2955" spans="1:7">
      <c r="A2955" s="3"/>
      <c r="B2955" s="3"/>
      <c r="C2955" s="3"/>
      <c r="D2955" s="3"/>
      <c r="E2955" s="3">
        <v>12</v>
      </c>
      <c r="F2955" s="4" t="str">
        <f>HYPERLINK("http://141.218.60.56/~jnz1568/getInfo.php?workbook=14_09.xlsx&amp;sheet=U0&amp;row=2955&amp;col=6&amp;number=4.1&amp;sourceID=14","4.1")</f>
        <v>4.1</v>
      </c>
      <c r="G2955" s="4" t="str">
        <f>HYPERLINK("http://141.218.60.56/~jnz1568/getInfo.php?workbook=14_09.xlsx&amp;sheet=U0&amp;row=2955&amp;col=7&amp;number=0.00172&amp;sourceID=14","0.00172")</f>
        <v>0.00172</v>
      </c>
    </row>
    <row r="2956" spans="1:7">
      <c r="A2956" s="3"/>
      <c r="B2956" s="3"/>
      <c r="C2956" s="3"/>
      <c r="D2956" s="3"/>
      <c r="E2956" s="3">
        <v>13</v>
      </c>
      <c r="F2956" s="4" t="str">
        <f>HYPERLINK("http://141.218.60.56/~jnz1568/getInfo.php?workbook=14_09.xlsx&amp;sheet=U0&amp;row=2956&amp;col=6&amp;number=4.2&amp;sourceID=14","4.2")</f>
        <v>4.2</v>
      </c>
      <c r="G2956" s="4" t="str">
        <f>HYPERLINK("http://141.218.60.56/~jnz1568/getInfo.php?workbook=14_09.xlsx&amp;sheet=U0&amp;row=2956&amp;col=7&amp;number=0.00171&amp;sourceID=14","0.00171")</f>
        <v>0.00171</v>
      </c>
    </row>
    <row r="2957" spans="1:7">
      <c r="A2957" s="3"/>
      <c r="B2957" s="3"/>
      <c r="C2957" s="3"/>
      <c r="D2957" s="3"/>
      <c r="E2957" s="3">
        <v>14</v>
      </c>
      <c r="F2957" s="4" t="str">
        <f>HYPERLINK("http://141.218.60.56/~jnz1568/getInfo.php?workbook=14_09.xlsx&amp;sheet=U0&amp;row=2957&amp;col=6&amp;number=4.3&amp;sourceID=14","4.3")</f>
        <v>4.3</v>
      </c>
      <c r="G2957" s="4" t="str">
        <f>HYPERLINK("http://141.218.60.56/~jnz1568/getInfo.php?workbook=14_09.xlsx&amp;sheet=U0&amp;row=2957&amp;col=7&amp;number=0.00171&amp;sourceID=14","0.00171")</f>
        <v>0.00171</v>
      </c>
    </row>
    <row r="2958" spans="1:7">
      <c r="A2958" s="3"/>
      <c r="B2958" s="3"/>
      <c r="C2958" s="3"/>
      <c r="D2958" s="3"/>
      <c r="E2958" s="3">
        <v>15</v>
      </c>
      <c r="F2958" s="4" t="str">
        <f>HYPERLINK("http://141.218.60.56/~jnz1568/getInfo.php?workbook=14_09.xlsx&amp;sheet=U0&amp;row=2958&amp;col=6&amp;number=4.4&amp;sourceID=14","4.4")</f>
        <v>4.4</v>
      </c>
      <c r="G2958" s="4" t="str">
        <f>HYPERLINK("http://141.218.60.56/~jnz1568/getInfo.php?workbook=14_09.xlsx&amp;sheet=U0&amp;row=2958&amp;col=7&amp;number=0.00169&amp;sourceID=14","0.00169")</f>
        <v>0.00169</v>
      </c>
    </row>
    <row r="2959" spans="1:7">
      <c r="A2959" s="3"/>
      <c r="B2959" s="3"/>
      <c r="C2959" s="3"/>
      <c r="D2959" s="3"/>
      <c r="E2959" s="3">
        <v>16</v>
      </c>
      <c r="F2959" s="4" t="str">
        <f>HYPERLINK("http://141.218.60.56/~jnz1568/getInfo.php?workbook=14_09.xlsx&amp;sheet=U0&amp;row=2959&amp;col=6&amp;number=4.5&amp;sourceID=14","4.5")</f>
        <v>4.5</v>
      </c>
      <c r="G2959" s="4" t="str">
        <f>HYPERLINK("http://141.218.60.56/~jnz1568/getInfo.php?workbook=14_09.xlsx&amp;sheet=U0&amp;row=2959&amp;col=7&amp;number=0.00168&amp;sourceID=14","0.00168")</f>
        <v>0.00168</v>
      </c>
    </row>
    <row r="2960" spans="1:7">
      <c r="A2960" s="3"/>
      <c r="B2960" s="3"/>
      <c r="C2960" s="3"/>
      <c r="D2960" s="3"/>
      <c r="E2960" s="3">
        <v>17</v>
      </c>
      <c r="F2960" s="4" t="str">
        <f>HYPERLINK("http://141.218.60.56/~jnz1568/getInfo.php?workbook=14_09.xlsx&amp;sheet=U0&amp;row=2960&amp;col=6&amp;number=4.6&amp;sourceID=14","4.6")</f>
        <v>4.6</v>
      </c>
      <c r="G2960" s="4" t="str">
        <f>HYPERLINK("http://141.218.60.56/~jnz1568/getInfo.php?workbook=14_09.xlsx&amp;sheet=U0&amp;row=2960&amp;col=7&amp;number=0.00166&amp;sourceID=14","0.00166")</f>
        <v>0.00166</v>
      </c>
    </row>
    <row r="2961" spans="1:7">
      <c r="A2961" s="3"/>
      <c r="B2961" s="3"/>
      <c r="C2961" s="3"/>
      <c r="D2961" s="3"/>
      <c r="E2961" s="3">
        <v>18</v>
      </c>
      <c r="F2961" s="4" t="str">
        <f>HYPERLINK("http://141.218.60.56/~jnz1568/getInfo.php?workbook=14_09.xlsx&amp;sheet=U0&amp;row=2961&amp;col=6&amp;number=4.7&amp;sourceID=14","4.7")</f>
        <v>4.7</v>
      </c>
      <c r="G2961" s="4" t="str">
        <f>HYPERLINK("http://141.218.60.56/~jnz1568/getInfo.php?workbook=14_09.xlsx&amp;sheet=U0&amp;row=2961&amp;col=7&amp;number=0.00164&amp;sourceID=14","0.00164")</f>
        <v>0.00164</v>
      </c>
    </row>
    <row r="2962" spans="1:7">
      <c r="A2962" s="3"/>
      <c r="B2962" s="3"/>
      <c r="C2962" s="3"/>
      <c r="D2962" s="3"/>
      <c r="E2962" s="3">
        <v>19</v>
      </c>
      <c r="F2962" s="4" t="str">
        <f>HYPERLINK("http://141.218.60.56/~jnz1568/getInfo.php?workbook=14_09.xlsx&amp;sheet=U0&amp;row=2962&amp;col=6&amp;number=4.8&amp;sourceID=14","4.8")</f>
        <v>4.8</v>
      </c>
      <c r="G2962" s="4" t="str">
        <f>HYPERLINK("http://141.218.60.56/~jnz1568/getInfo.php?workbook=14_09.xlsx&amp;sheet=U0&amp;row=2962&amp;col=7&amp;number=0.00161&amp;sourceID=14","0.00161")</f>
        <v>0.00161</v>
      </c>
    </row>
    <row r="2963" spans="1:7">
      <c r="A2963" s="3"/>
      <c r="B2963" s="3"/>
      <c r="C2963" s="3"/>
      <c r="D2963" s="3"/>
      <c r="E2963" s="3">
        <v>20</v>
      </c>
      <c r="F2963" s="4" t="str">
        <f>HYPERLINK("http://141.218.60.56/~jnz1568/getInfo.php?workbook=14_09.xlsx&amp;sheet=U0&amp;row=2963&amp;col=6&amp;number=4.9&amp;sourceID=14","4.9")</f>
        <v>4.9</v>
      </c>
      <c r="G2963" s="4" t="str">
        <f>HYPERLINK("http://141.218.60.56/~jnz1568/getInfo.php?workbook=14_09.xlsx&amp;sheet=U0&amp;row=2963&amp;col=7&amp;number=0.00158&amp;sourceID=14","0.00158")</f>
        <v>0.00158</v>
      </c>
    </row>
    <row r="2964" spans="1:7">
      <c r="A2964" s="3">
        <v>14</v>
      </c>
      <c r="B2964" s="3">
        <v>9</v>
      </c>
      <c r="C2964" s="3">
        <v>1</v>
      </c>
      <c r="D2964" s="3">
        <v>150</v>
      </c>
      <c r="E2964" s="3">
        <v>1</v>
      </c>
      <c r="F2964" s="4" t="str">
        <f>HYPERLINK("http://141.218.60.56/~jnz1568/getInfo.php?workbook=14_09.xlsx&amp;sheet=U0&amp;row=2964&amp;col=6&amp;number=3&amp;sourceID=14","3")</f>
        <v>3</v>
      </c>
      <c r="G2964" s="4" t="str">
        <f>HYPERLINK("http://141.218.60.56/~jnz1568/getInfo.php?workbook=14_09.xlsx&amp;sheet=U0&amp;row=2964&amp;col=7&amp;number=0.00229&amp;sourceID=14","0.00229")</f>
        <v>0.00229</v>
      </c>
    </row>
    <row r="2965" spans="1:7">
      <c r="A2965" s="3"/>
      <c r="B2965" s="3"/>
      <c r="C2965" s="3"/>
      <c r="D2965" s="3"/>
      <c r="E2965" s="3">
        <v>2</v>
      </c>
      <c r="F2965" s="4" t="str">
        <f>HYPERLINK("http://141.218.60.56/~jnz1568/getInfo.php?workbook=14_09.xlsx&amp;sheet=U0&amp;row=2965&amp;col=6&amp;number=3.1&amp;sourceID=14","3.1")</f>
        <v>3.1</v>
      </c>
      <c r="G2965" s="4" t="str">
        <f>HYPERLINK("http://141.218.60.56/~jnz1568/getInfo.php?workbook=14_09.xlsx&amp;sheet=U0&amp;row=2965&amp;col=7&amp;number=0.00229&amp;sourceID=14","0.00229")</f>
        <v>0.00229</v>
      </c>
    </row>
    <row r="2966" spans="1:7">
      <c r="A2966" s="3"/>
      <c r="B2966" s="3"/>
      <c r="C2966" s="3"/>
      <c r="D2966" s="3"/>
      <c r="E2966" s="3">
        <v>3</v>
      </c>
      <c r="F2966" s="4" t="str">
        <f>HYPERLINK("http://141.218.60.56/~jnz1568/getInfo.php?workbook=14_09.xlsx&amp;sheet=U0&amp;row=2966&amp;col=6&amp;number=3.2&amp;sourceID=14","3.2")</f>
        <v>3.2</v>
      </c>
      <c r="G2966" s="4" t="str">
        <f>HYPERLINK("http://141.218.60.56/~jnz1568/getInfo.php?workbook=14_09.xlsx&amp;sheet=U0&amp;row=2966&amp;col=7&amp;number=0.00229&amp;sourceID=14","0.00229")</f>
        <v>0.00229</v>
      </c>
    </row>
    <row r="2967" spans="1:7">
      <c r="A2967" s="3"/>
      <c r="B2967" s="3"/>
      <c r="C2967" s="3"/>
      <c r="D2967" s="3"/>
      <c r="E2967" s="3">
        <v>4</v>
      </c>
      <c r="F2967" s="4" t="str">
        <f>HYPERLINK("http://141.218.60.56/~jnz1568/getInfo.php?workbook=14_09.xlsx&amp;sheet=U0&amp;row=2967&amp;col=6&amp;number=3.3&amp;sourceID=14","3.3")</f>
        <v>3.3</v>
      </c>
      <c r="G2967" s="4" t="str">
        <f>HYPERLINK("http://141.218.60.56/~jnz1568/getInfo.php?workbook=14_09.xlsx&amp;sheet=U0&amp;row=2967&amp;col=7&amp;number=0.00229&amp;sourceID=14","0.00229")</f>
        <v>0.00229</v>
      </c>
    </row>
    <row r="2968" spans="1:7">
      <c r="A2968" s="3"/>
      <c r="B2968" s="3"/>
      <c r="C2968" s="3"/>
      <c r="D2968" s="3"/>
      <c r="E2968" s="3">
        <v>5</v>
      </c>
      <c r="F2968" s="4" t="str">
        <f>HYPERLINK("http://141.218.60.56/~jnz1568/getInfo.php?workbook=14_09.xlsx&amp;sheet=U0&amp;row=2968&amp;col=6&amp;number=3.4&amp;sourceID=14","3.4")</f>
        <v>3.4</v>
      </c>
      <c r="G2968" s="4" t="str">
        <f>HYPERLINK("http://141.218.60.56/~jnz1568/getInfo.php?workbook=14_09.xlsx&amp;sheet=U0&amp;row=2968&amp;col=7&amp;number=0.00228&amp;sourceID=14","0.00228")</f>
        <v>0.00228</v>
      </c>
    </row>
    <row r="2969" spans="1:7">
      <c r="A2969" s="3"/>
      <c r="B2969" s="3"/>
      <c r="C2969" s="3"/>
      <c r="D2969" s="3"/>
      <c r="E2969" s="3">
        <v>6</v>
      </c>
      <c r="F2969" s="4" t="str">
        <f>HYPERLINK("http://141.218.60.56/~jnz1568/getInfo.php?workbook=14_09.xlsx&amp;sheet=U0&amp;row=2969&amp;col=6&amp;number=3.5&amp;sourceID=14","3.5")</f>
        <v>3.5</v>
      </c>
      <c r="G2969" s="4" t="str">
        <f>HYPERLINK("http://141.218.60.56/~jnz1568/getInfo.php?workbook=14_09.xlsx&amp;sheet=U0&amp;row=2969&amp;col=7&amp;number=0.00228&amp;sourceID=14","0.00228")</f>
        <v>0.00228</v>
      </c>
    </row>
    <row r="2970" spans="1:7">
      <c r="A2970" s="3"/>
      <c r="B2970" s="3"/>
      <c r="C2970" s="3"/>
      <c r="D2970" s="3"/>
      <c r="E2970" s="3">
        <v>7</v>
      </c>
      <c r="F2970" s="4" t="str">
        <f>HYPERLINK("http://141.218.60.56/~jnz1568/getInfo.php?workbook=14_09.xlsx&amp;sheet=U0&amp;row=2970&amp;col=6&amp;number=3.6&amp;sourceID=14","3.6")</f>
        <v>3.6</v>
      </c>
      <c r="G2970" s="4" t="str">
        <f>HYPERLINK("http://141.218.60.56/~jnz1568/getInfo.php?workbook=14_09.xlsx&amp;sheet=U0&amp;row=2970&amp;col=7&amp;number=0.00228&amp;sourceID=14","0.00228")</f>
        <v>0.00228</v>
      </c>
    </row>
    <row r="2971" spans="1:7">
      <c r="A2971" s="3"/>
      <c r="B2971" s="3"/>
      <c r="C2971" s="3"/>
      <c r="D2971" s="3"/>
      <c r="E2971" s="3">
        <v>8</v>
      </c>
      <c r="F2971" s="4" t="str">
        <f>HYPERLINK("http://141.218.60.56/~jnz1568/getInfo.php?workbook=14_09.xlsx&amp;sheet=U0&amp;row=2971&amp;col=6&amp;number=3.7&amp;sourceID=14","3.7")</f>
        <v>3.7</v>
      </c>
      <c r="G2971" s="4" t="str">
        <f>HYPERLINK("http://141.218.60.56/~jnz1568/getInfo.php?workbook=14_09.xlsx&amp;sheet=U0&amp;row=2971&amp;col=7&amp;number=0.00228&amp;sourceID=14","0.00228")</f>
        <v>0.00228</v>
      </c>
    </row>
    <row r="2972" spans="1:7">
      <c r="A2972" s="3"/>
      <c r="B2972" s="3"/>
      <c r="C2972" s="3"/>
      <c r="D2972" s="3"/>
      <c r="E2972" s="3">
        <v>9</v>
      </c>
      <c r="F2972" s="4" t="str">
        <f>HYPERLINK("http://141.218.60.56/~jnz1568/getInfo.php?workbook=14_09.xlsx&amp;sheet=U0&amp;row=2972&amp;col=6&amp;number=3.8&amp;sourceID=14","3.8")</f>
        <v>3.8</v>
      </c>
      <c r="G2972" s="4" t="str">
        <f>HYPERLINK("http://141.218.60.56/~jnz1568/getInfo.php?workbook=14_09.xlsx&amp;sheet=U0&amp;row=2972&amp;col=7&amp;number=0.00227&amp;sourceID=14","0.00227")</f>
        <v>0.00227</v>
      </c>
    </row>
    <row r="2973" spans="1:7">
      <c r="A2973" s="3"/>
      <c r="B2973" s="3"/>
      <c r="C2973" s="3"/>
      <c r="D2973" s="3"/>
      <c r="E2973" s="3">
        <v>10</v>
      </c>
      <c r="F2973" s="4" t="str">
        <f>HYPERLINK("http://141.218.60.56/~jnz1568/getInfo.php?workbook=14_09.xlsx&amp;sheet=U0&amp;row=2973&amp;col=6&amp;number=3.9&amp;sourceID=14","3.9")</f>
        <v>3.9</v>
      </c>
      <c r="G2973" s="4" t="str">
        <f>HYPERLINK("http://141.218.60.56/~jnz1568/getInfo.php?workbook=14_09.xlsx&amp;sheet=U0&amp;row=2973&amp;col=7&amp;number=0.00227&amp;sourceID=14","0.00227")</f>
        <v>0.00227</v>
      </c>
    </row>
    <row r="2974" spans="1:7">
      <c r="A2974" s="3"/>
      <c r="B2974" s="3"/>
      <c r="C2974" s="3"/>
      <c r="D2974" s="3"/>
      <c r="E2974" s="3">
        <v>11</v>
      </c>
      <c r="F2974" s="4" t="str">
        <f>HYPERLINK("http://141.218.60.56/~jnz1568/getInfo.php?workbook=14_09.xlsx&amp;sheet=U0&amp;row=2974&amp;col=6&amp;number=4&amp;sourceID=14","4")</f>
        <v>4</v>
      </c>
      <c r="G2974" s="4" t="str">
        <f>HYPERLINK("http://141.218.60.56/~jnz1568/getInfo.php?workbook=14_09.xlsx&amp;sheet=U0&amp;row=2974&amp;col=7&amp;number=0.00226&amp;sourceID=14","0.00226")</f>
        <v>0.00226</v>
      </c>
    </row>
    <row r="2975" spans="1:7">
      <c r="A2975" s="3"/>
      <c r="B2975" s="3"/>
      <c r="C2975" s="3"/>
      <c r="D2975" s="3"/>
      <c r="E2975" s="3">
        <v>12</v>
      </c>
      <c r="F2975" s="4" t="str">
        <f>HYPERLINK("http://141.218.60.56/~jnz1568/getInfo.php?workbook=14_09.xlsx&amp;sheet=U0&amp;row=2975&amp;col=6&amp;number=4.1&amp;sourceID=14","4.1")</f>
        <v>4.1</v>
      </c>
      <c r="G2975" s="4" t="str">
        <f>HYPERLINK("http://141.218.60.56/~jnz1568/getInfo.php?workbook=14_09.xlsx&amp;sheet=U0&amp;row=2975&amp;col=7&amp;number=0.00226&amp;sourceID=14","0.00226")</f>
        <v>0.00226</v>
      </c>
    </row>
    <row r="2976" spans="1:7">
      <c r="A2976" s="3"/>
      <c r="B2976" s="3"/>
      <c r="C2976" s="3"/>
      <c r="D2976" s="3"/>
      <c r="E2976" s="3">
        <v>13</v>
      </c>
      <c r="F2976" s="4" t="str">
        <f>HYPERLINK("http://141.218.60.56/~jnz1568/getInfo.php?workbook=14_09.xlsx&amp;sheet=U0&amp;row=2976&amp;col=6&amp;number=4.2&amp;sourceID=14","4.2")</f>
        <v>4.2</v>
      </c>
      <c r="G2976" s="4" t="str">
        <f>HYPERLINK("http://141.218.60.56/~jnz1568/getInfo.php?workbook=14_09.xlsx&amp;sheet=U0&amp;row=2976&amp;col=7&amp;number=0.00225&amp;sourceID=14","0.00225")</f>
        <v>0.00225</v>
      </c>
    </row>
    <row r="2977" spans="1:7">
      <c r="A2977" s="3"/>
      <c r="B2977" s="3"/>
      <c r="C2977" s="3"/>
      <c r="D2977" s="3"/>
      <c r="E2977" s="3">
        <v>14</v>
      </c>
      <c r="F2977" s="4" t="str">
        <f>HYPERLINK("http://141.218.60.56/~jnz1568/getInfo.php?workbook=14_09.xlsx&amp;sheet=U0&amp;row=2977&amp;col=6&amp;number=4.3&amp;sourceID=14","4.3")</f>
        <v>4.3</v>
      </c>
      <c r="G2977" s="4" t="str">
        <f>HYPERLINK("http://141.218.60.56/~jnz1568/getInfo.php?workbook=14_09.xlsx&amp;sheet=U0&amp;row=2977&amp;col=7&amp;number=0.00223&amp;sourceID=14","0.00223")</f>
        <v>0.00223</v>
      </c>
    </row>
    <row r="2978" spans="1:7">
      <c r="A2978" s="3"/>
      <c r="B2978" s="3"/>
      <c r="C2978" s="3"/>
      <c r="D2978" s="3"/>
      <c r="E2978" s="3">
        <v>15</v>
      </c>
      <c r="F2978" s="4" t="str">
        <f>HYPERLINK("http://141.218.60.56/~jnz1568/getInfo.php?workbook=14_09.xlsx&amp;sheet=U0&amp;row=2978&amp;col=6&amp;number=4.4&amp;sourceID=14","4.4")</f>
        <v>4.4</v>
      </c>
      <c r="G2978" s="4" t="str">
        <f>HYPERLINK("http://141.218.60.56/~jnz1568/getInfo.php?workbook=14_09.xlsx&amp;sheet=U0&amp;row=2978&amp;col=7&amp;number=0.00222&amp;sourceID=14","0.00222")</f>
        <v>0.00222</v>
      </c>
    </row>
    <row r="2979" spans="1:7">
      <c r="A2979" s="3"/>
      <c r="B2979" s="3"/>
      <c r="C2979" s="3"/>
      <c r="D2979" s="3"/>
      <c r="E2979" s="3">
        <v>16</v>
      </c>
      <c r="F2979" s="4" t="str">
        <f>HYPERLINK("http://141.218.60.56/~jnz1568/getInfo.php?workbook=14_09.xlsx&amp;sheet=U0&amp;row=2979&amp;col=6&amp;number=4.5&amp;sourceID=14","4.5")</f>
        <v>4.5</v>
      </c>
      <c r="G2979" s="4" t="str">
        <f>HYPERLINK("http://141.218.60.56/~jnz1568/getInfo.php?workbook=14_09.xlsx&amp;sheet=U0&amp;row=2979&amp;col=7&amp;number=0.0022&amp;sourceID=14","0.0022")</f>
        <v>0.0022</v>
      </c>
    </row>
    <row r="2980" spans="1:7">
      <c r="A2980" s="3"/>
      <c r="B2980" s="3"/>
      <c r="C2980" s="3"/>
      <c r="D2980" s="3"/>
      <c r="E2980" s="3">
        <v>17</v>
      </c>
      <c r="F2980" s="4" t="str">
        <f>HYPERLINK("http://141.218.60.56/~jnz1568/getInfo.php?workbook=14_09.xlsx&amp;sheet=U0&amp;row=2980&amp;col=6&amp;number=4.6&amp;sourceID=14","4.6")</f>
        <v>4.6</v>
      </c>
      <c r="G2980" s="4" t="str">
        <f>HYPERLINK("http://141.218.60.56/~jnz1568/getInfo.php?workbook=14_09.xlsx&amp;sheet=U0&amp;row=2980&amp;col=7&amp;number=0.00218&amp;sourceID=14","0.00218")</f>
        <v>0.00218</v>
      </c>
    </row>
    <row r="2981" spans="1:7">
      <c r="A2981" s="3"/>
      <c r="B2981" s="3"/>
      <c r="C2981" s="3"/>
      <c r="D2981" s="3"/>
      <c r="E2981" s="3">
        <v>18</v>
      </c>
      <c r="F2981" s="4" t="str">
        <f>HYPERLINK("http://141.218.60.56/~jnz1568/getInfo.php?workbook=14_09.xlsx&amp;sheet=U0&amp;row=2981&amp;col=6&amp;number=4.7&amp;sourceID=14","4.7")</f>
        <v>4.7</v>
      </c>
      <c r="G2981" s="4" t="str">
        <f>HYPERLINK("http://141.218.60.56/~jnz1568/getInfo.php?workbook=14_09.xlsx&amp;sheet=U0&amp;row=2981&amp;col=7&amp;number=0.00215&amp;sourceID=14","0.00215")</f>
        <v>0.00215</v>
      </c>
    </row>
    <row r="2982" spans="1:7">
      <c r="A2982" s="3"/>
      <c r="B2982" s="3"/>
      <c r="C2982" s="3"/>
      <c r="D2982" s="3"/>
      <c r="E2982" s="3">
        <v>19</v>
      </c>
      <c r="F2982" s="4" t="str">
        <f>HYPERLINK("http://141.218.60.56/~jnz1568/getInfo.php?workbook=14_09.xlsx&amp;sheet=U0&amp;row=2982&amp;col=6&amp;number=4.8&amp;sourceID=14","4.8")</f>
        <v>4.8</v>
      </c>
      <c r="G2982" s="4" t="str">
        <f>HYPERLINK("http://141.218.60.56/~jnz1568/getInfo.php?workbook=14_09.xlsx&amp;sheet=U0&amp;row=2982&amp;col=7&amp;number=0.00211&amp;sourceID=14","0.00211")</f>
        <v>0.00211</v>
      </c>
    </row>
    <row r="2983" spans="1:7">
      <c r="A2983" s="3"/>
      <c r="B2983" s="3"/>
      <c r="C2983" s="3"/>
      <c r="D2983" s="3"/>
      <c r="E2983" s="3">
        <v>20</v>
      </c>
      <c r="F2983" s="4" t="str">
        <f>HYPERLINK("http://141.218.60.56/~jnz1568/getInfo.php?workbook=14_09.xlsx&amp;sheet=U0&amp;row=2983&amp;col=6&amp;number=4.9&amp;sourceID=14","4.9")</f>
        <v>4.9</v>
      </c>
      <c r="G2983" s="4" t="str">
        <f>HYPERLINK("http://141.218.60.56/~jnz1568/getInfo.php?workbook=14_09.xlsx&amp;sheet=U0&amp;row=2983&amp;col=7&amp;number=0.00207&amp;sourceID=14","0.00207")</f>
        <v>0.00207</v>
      </c>
    </row>
    <row r="2984" spans="1:7">
      <c r="A2984" s="3">
        <v>14</v>
      </c>
      <c r="B2984" s="3">
        <v>9</v>
      </c>
      <c r="C2984" s="3">
        <v>1</v>
      </c>
      <c r="D2984" s="3">
        <v>151</v>
      </c>
      <c r="E2984" s="3">
        <v>1</v>
      </c>
      <c r="F2984" s="4" t="str">
        <f>HYPERLINK("http://141.218.60.56/~jnz1568/getInfo.php?workbook=14_09.xlsx&amp;sheet=U0&amp;row=2984&amp;col=6&amp;number=3&amp;sourceID=14","3")</f>
        <v>3</v>
      </c>
      <c r="G2984" s="4" t="str">
        <f>HYPERLINK("http://141.218.60.56/~jnz1568/getInfo.php?workbook=14_09.xlsx&amp;sheet=U0&amp;row=2984&amp;col=7&amp;number=0.0043&amp;sourceID=14","0.0043")</f>
        <v>0.0043</v>
      </c>
    </row>
    <row r="2985" spans="1:7">
      <c r="A2985" s="3"/>
      <c r="B2985" s="3"/>
      <c r="C2985" s="3"/>
      <c r="D2985" s="3"/>
      <c r="E2985" s="3">
        <v>2</v>
      </c>
      <c r="F2985" s="4" t="str">
        <f>HYPERLINK("http://141.218.60.56/~jnz1568/getInfo.php?workbook=14_09.xlsx&amp;sheet=U0&amp;row=2985&amp;col=6&amp;number=3.1&amp;sourceID=14","3.1")</f>
        <v>3.1</v>
      </c>
      <c r="G2985" s="4" t="str">
        <f>HYPERLINK("http://141.218.60.56/~jnz1568/getInfo.php?workbook=14_09.xlsx&amp;sheet=U0&amp;row=2985&amp;col=7&amp;number=0.00429&amp;sourceID=14","0.00429")</f>
        <v>0.00429</v>
      </c>
    </row>
    <row r="2986" spans="1:7">
      <c r="A2986" s="3"/>
      <c r="B2986" s="3"/>
      <c r="C2986" s="3"/>
      <c r="D2986" s="3"/>
      <c r="E2986" s="3">
        <v>3</v>
      </c>
      <c r="F2986" s="4" t="str">
        <f>HYPERLINK("http://141.218.60.56/~jnz1568/getInfo.php?workbook=14_09.xlsx&amp;sheet=U0&amp;row=2986&amp;col=6&amp;number=3.2&amp;sourceID=14","3.2")</f>
        <v>3.2</v>
      </c>
      <c r="G2986" s="4" t="str">
        <f>HYPERLINK("http://141.218.60.56/~jnz1568/getInfo.php?workbook=14_09.xlsx&amp;sheet=U0&amp;row=2986&amp;col=7&amp;number=0.00428&amp;sourceID=14","0.00428")</f>
        <v>0.00428</v>
      </c>
    </row>
    <row r="2987" spans="1:7">
      <c r="A2987" s="3"/>
      <c r="B2987" s="3"/>
      <c r="C2987" s="3"/>
      <c r="D2987" s="3"/>
      <c r="E2987" s="3">
        <v>4</v>
      </c>
      <c r="F2987" s="4" t="str">
        <f>HYPERLINK("http://141.218.60.56/~jnz1568/getInfo.php?workbook=14_09.xlsx&amp;sheet=U0&amp;row=2987&amp;col=6&amp;number=3.3&amp;sourceID=14","3.3")</f>
        <v>3.3</v>
      </c>
      <c r="G2987" s="4" t="str">
        <f>HYPERLINK("http://141.218.60.56/~jnz1568/getInfo.php?workbook=14_09.xlsx&amp;sheet=U0&amp;row=2987&amp;col=7&amp;number=0.00426&amp;sourceID=14","0.00426")</f>
        <v>0.00426</v>
      </c>
    </row>
    <row r="2988" spans="1:7">
      <c r="A2988" s="3"/>
      <c r="B2988" s="3"/>
      <c r="C2988" s="3"/>
      <c r="D2988" s="3"/>
      <c r="E2988" s="3">
        <v>5</v>
      </c>
      <c r="F2988" s="4" t="str">
        <f>HYPERLINK("http://141.218.60.56/~jnz1568/getInfo.php?workbook=14_09.xlsx&amp;sheet=U0&amp;row=2988&amp;col=6&amp;number=3.4&amp;sourceID=14","3.4")</f>
        <v>3.4</v>
      </c>
      <c r="G2988" s="4" t="str">
        <f>HYPERLINK("http://141.218.60.56/~jnz1568/getInfo.php?workbook=14_09.xlsx&amp;sheet=U0&amp;row=2988&amp;col=7&amp;number=0.00425&amp;sourceID=14","0.00425")</f>
        <v>0.00425</v>
      </c>
    </row>
    <row r="2989" spans="1:7">
      <c r="A2989" s="3"/>
      <c r="B2989" s="3"/>
      <c r="C2989" s="3"/>
      <c r="D2989" s="3"/>
      <c r="E2989" s="3">
        <v>6</v>
      </c>
      <c r="F2989" s="4" t="str">
        <f>HYPERLINK("http://141.218.60.56/~jnz1568/getInfo.php?workbook=14_09.xlsx&amp;sheet=U0&amp;row=2989&amp;col=6&amp;number=3.5&amp;sourceID=14","3.5")</f>
        <v>3.5</v>
      </c>
      <c r="G2989" s="4" t="str">
        <f>HYPERLINK("http://141.218.60.56/~jnz1568/getInfo.php?workbook=14_09.xlsx&amp;sheet=U0&amp;row=2989&amp;col=7&amp;number=0.00422&amp;sourceID=14","0.00422")</f>
        <v>0.00422</v>
      </c>
    </row>
    <row r="2990" spans="1:7">
      <c r="A2990" s="3"/>
      <c r="B2990" s="3"/>
      <c r="C2990" s="3"/>
      <c r="D2990" s="3"/>
      <c r="E2990" s="3">
        <v>7</v>
      </c>
      <c r="F2990" s="4" t="str">
        <f>HYPERLINK("http://141.218.60.56/~jnz1568/getInfo.php?workbook=14_09.xlsx&amp;sheet=U0&amp;row=2990&amp;col=6&amp;number=3.6&amp;sourceID=14","3.6")</f>
        <v>3.6</v>
      </c>
      <c r="G2990" s="4" t="str">
        <f>HYPERLINK("http://141.218.60.56/~jnz1568/getInfo.php?workbook=14_09.xlsx&amp;sheet=U0&amp;row=2990&amp;col=7&amp;number=0.00419&amp;sourceID=14","0.00419")</f>
        <v>0.00419</v>
      </c>
    </row>
    <row r="2991" spans="1:7">
      <c r="A2991" s="3"/>
      <c r="B2991" s="3"/>
      <c r="C2991" s="3"/>
      <c r="D2991" s="3"/>
      <c r="E2991" s="3">
        <v>8</v>
      </c>
      <c r="F2991" s="4" t="str">
        <f>HYPERLINK("http://141.218.60.56/~jnz1568/getInfo.php?workbook=14_09.xlsx&amp;sheet=U0&amp;row=2991&amp;col=6&amp;number=3.7&amp;sourceID=14","3.7")</f>
        <v>3.7</v>
      </c>
      <c r="G2991" s="4" t="str">
        <f>HYPERLINK("http://141.218.60.56/~jnz1568/getInfo.php?workbook=14_09.xlsx&amp;sheet=U0&amp;row=2991&amp;col=7&amp;number=0.00416&amp;sourceID=14","0.00416")</f>
        <v>0.00416</v>
      </c>
    </row>
    <row r="2992" spans="1:7">
      <c r="A2992" s="3"/>
      <c r="B2992" s="3"/>
      <c r="C2992" s="3"/>
      <c r="D2992" s="3"/>
      <c r="E2992" s="3">
        <v>9</v>
      </c>
      <c r="F2992" s="4" t="str">
        <f>HYPERLINK("http://141.218.60.56/~jnz1568/getInfo.php?workbook=14_09.xlsx&amp;sheet=U0&amp;row=2992&amp;col=6&amp;number=3.8&amp;sourceID=14","3.8")</f>
        <v>3.8</v>
      </c>
      <c r="G2992" s="4" t="str">
        <f>HYPERLINK("http://141.218.60.56/~jnz1568/getInfo.php?workbook=14_09.xlsx&amp;sheet=U0&amp;row=2992&amp;col=7&amp;number=0.00411&amp;sourceID=14","0.00411")</f>
        <v>0.00411</v>
      </c>
    </row>
    <row r="2993" spans="1:7">
      <c r="A2993" s="3"/>
      <c r="B2993" s="3"/>
      <c r="C2993" s="3"/>
      <c r="D2993" s="3"/>
      <c r="E2993" s="3">
        <v>10</v>
      </c>
      <c r="F2993" s="4" t="str">
        <f>HYPERLINK("http://141.218.60.56/~jnz1568/getInfo.php?workbook=14_09.xlsx&amp;sheet=U0&amp;row=2993&amp;col=6&amp;number=3.9&amp;sourceID=14","3.9")</f>
        <v>3.9</v>
      </c>
      <c r="G2993" s="4" t="str">
        <f>HYPERLINK("http://141.218.60.56/~jnz1568/getInfo.php?workbook=14_09.xlsx&amp;sheet=U0&amp;row=2993&amp;col=7&amp;number=0.00405&amp;sourceID=14","0.00405")</f>
        <v>0.00405</v>
      </c>
    </row>
    <row r="2994" spans="1:7">
      <c r="A2994" s="3"/>
      <c r="B2994" s="3"/>
      <c r="C2994" s="3"/>
      <c r="D2994" s="3"/>
      <c r="E2994" s="3">
        <v>11</v>
      </c>
      <c r="F2994" s="4" t="str">
        <f>HYPERLINK("http://141.218.60.56/~jnz1568/getInfo.php?workbook=14_09.xlsx&amp;sheet=U0&amp;row=2994&amp;col=6&amp;number=4&amp;sourceID=14","4")</f>
        <v>4</v>
      </c>
      <c r="G2994" s="4" t="str">
        <f>HYPERLINK("http://141.218.60.56/~jnz1568/getInfo.php?workbook=14_09.xlsx&amp;sheet=U0&amp;row=2994&amp;col=7&amp;number=0.00398&amp;sourceID=14","0.00398")</f>
        <v>0.00398</v>
      </c>
    </row>
    <row r="2995" spans="1:7">
      <c r="A2995" s="3"/>
      <c r="B2995" s="3"/>
      <c r="C2995" s="3"/>
      <c r="D2995" s="3"/>
      <c r="E2995" s="3">
        <v>12</v>
      </c>
      <c r="F2995" s="4" t="str">
        <f>HYPERLINK("http://141.218.60.56/~jnz1568/getInfo.php?workbook=14_09.xlsx&amp;sheet=U0&amp;row=2995&amp;col=6&amp;number=4.1&amp;sourceID=14","4.1")</f>
        <v>4.1</v>
      </c>
      <c r="G2995" s="4" t="str">
        <f>HYPERLINK("http://141.218.60.56/~jnz1568/getInfo.php?workbook=14_09.xlsx&amp;sheet=U0&amp;row=2995&amp;col=7&amp;number=0.00389&amp;sourceID=14","0.00389")</f>
        <v>0.00389</v>
      </c>
    </row>
    <row r="2996" spans="1:7">
      <c r="A2996" s="3"/>
      <c r="B2996" s="3"/>
      <c r="C2996" s="3"/>
      <c r="D2996" s="3"/>
      <c r="E2996" s="3">
        <v>13</v>
      </c>
      <c r="F2996" s="4" t="str">
        <f>HYPERLINK("http://141.218.60.56/~jnz1568/getInfo.php?workbook=14_09.xlsx&amp;sheet=U0&amp;row=2996&amp;col=6&amp;number=4.2&amp;sourceID=14","4.2")</f>
        <v>4.2</v>
      </c>
      <c r="G2996" s="4" t="str">
        <f>HYPERLINK("http://141.218.60.56/~jnz1568/getInfo.php?workbook=14_09.xlsx&amp;sheet=U0&amp;row=2996&amp;col=7&amp;number=0.00378&amp;sourceID=14","0.00378")</f>
        <v>0.00378</v>
      </c>
    </row>
    <row r="2997" spans="1:7">
      <c r="A2997" s="3"/>
      <c r="B2997" s="3"/>
      <c r="C2997" s="3"/>
      <c r="D2997" s="3"/>
      <c r="E2997" s="3">
        <v>14</v>
      </c>
      <c r="F2997" s="4" t="str">
        <f>HYPERLINK("http://141.218.60.56/~jnz1568/getInfo.php?workbook=14_09.xlsx&amp;sheet=U0&amp;row=2997&amp;col=6&amp;number=4.3&amp;sourceID=14","4.3")</f>
        <v>4.3</v>
      </c>
      <c r="G2997" s="4" t="str">
        <f>HYPERLINK("http://141.218.60.56/~jnz1568/getInfo.php?workbook=14_09.xlsx&amp;sheet=U0&amp;row=2997&amp;col=7&amp;number=0.00365&amp;sourceID=14","0.00365")</f>
        <v>0.00365</v>
      </c>
    </row>
    <row r="2998" spans="1:7">
      <c r="A2998" s="3"/>
      <c r="B2998" s="3"/>
      <c r="C2998" s="3"/>
      <c r="D2998" s="3"/>
      <c r="E2998" s="3">
        <v>15</v>
      </c>
      <c r="F2998" s="4" t="str">
        <f>HYPERLINK("http://141.218.60.56/~jnz1568/getInfo.php?workbook=14_09.xlsx&amp;sheet=U0&amp;row=2998&amp;col=6&amp;number=4.4&amp;sourceID=14","4.4")</f>
        <v>4.4</v>
      </c>
      <c r="G2998" s="4" t="str">
        <f>HYPERLINK("http://141.218.60.56/~jnz1568/getInfo.php?workbook=14_09.xlsx&amp;sheet=U0&amp;row=2998&amp;col=7&amp;number=0.00349&amp;sourceID=14","0.00349")</f>
        <v>0.00349</v>
      </c>
    </row>
    <row r="2999" spans="1:7">
      <c r="A2999" s="3"/>
      <c r="B2999" s="3"/>
      <c r="C2999" s="3"/>
      <c r="D2999" s="3"/>
      <c r="E2999" s="3">
        <v>16</v>
      </c>
      <c r="F2999" s="4" t="str">
        <f>HYPERLINK("http://141.218.60.56/~jnz1568/getInfo.php?workbook=14_09.xlsx&amp;sheet=U0&amp;row=2999&amp;col=6&amp;number=4.5&amp;sourceID=14","4.5")</f>
        <v>4.5</v>
      </c>
      <c r="G2999" s="4" t="str">
        <f>HYPERLINK("http://141.218.60.56/~jnz1568/getInfo.php?workbook=14_09.xlsx&amp;sheet=U0&amp;row=2999&amp;col=7&amp;number=0.00331&amp;sourceID=14","0.00331")</f>
        <v>0.00331</v>
      </c>
    </row>
    <row r="3000" spans="1:7">
      <c r="A3000" s="3"/>
      <c r="B3000" s="3"/>
      <c r="C3000" s="3"/>
      <c r="D3000" s="3"/>
      <c r="E3000" s="3">
        <v>17</v>
      </c>
      <c r="F3000" s="4" t="str">
        <f>HYPERLINK("http://141.218.60.56/~jnz1568/getInfo.php?workbook=14_09.xlsx&amp;sheet=U0&amp;row=3000&amp;col=6&amp;number=4.6&amp;sourceID=14","4.6")</f>
        <v>4.6</v>
      </c>
      <c r="G3000" s="4" t="str">
        <f>HYPERLINK("http://141.218.60.56/~jnz1568/getInfo.php?workbook=14_09.xlsx&amp;sheet=U0&amp;row=3000&amp;col=7&amp;number=0.00309&amp;sourceID=14","0.00309")</f>
        <v>0.00309</v>
      </c>
    </row>
    <row r="3001" spans="1:7">
      <c r="A3001" s="3"/>
      <c r="B3001" s="3"/>
      <c r="C3001" s="3"/>
      <c r="D3001" s="3"/>
      <c r="E3001" s="3">
        <v>18</v>
      </c>
      <c r="F3001" s="4" t="str">
        <f>HYPERLINK("http://141.218.60.56/~jnz1568/getInfo.php?workbook=14_09.xlsx&amp;sheet=U0&amp;row=3001&amp;col=6&amp;number=4.7&amp;sourceID=14","4.7")</f>
        <v>4.7</v>
      </c>
      <c r="G3001" s="4" t="str">
        <f>HYPERLINK("http://141.218.60.56/~jnz1568/getInfo.php?workbook=14_09.xlsx&amp;sheet=U0&amp;row=3001&amp;col=7&amp;number=0.00286&amp;sourceID=14","0.00286")</f>
        <v>0.00286</v>
      </c>
    </row>
    <row r="3002" spans="1:7">
      <c r="A3002" s="3"/>
      <c r="B3002" s="3"/>
      <c r="C3002" s="3"/>
      <c r="D3002" s="3"/>
      <c r="E3002" s="3">
        <v>19</v>
      </c>
      <c r="F3002" s="4" t="str">
        <f>HYPERLINK("http://141.218.60.56/~jnz1568/getInfo.php?workbook=14_09.xlsx&amp;sheet=U0&amp;row=3002&amp;col=6&amp;number=4.8&amp;sourceID=14","4.8")</f>
        <v>4.8</v>
      </c>
      <c r="G3002" s="4" t="str">
        <f>HYPERLINK("http://141.218.60.56/~jnz1568/getInfo.php?workbook=14_09.xlsx&amp;sheet=U0&amp;row=3002&amp;col=7&amp;number=0.00263&amp;sourceID=14","0.00263")</f>
        <v>0.00263</v>
      </c>
    </row>
    <row r="3003" spans="1:7">
      <c r="A3003" s="3"/>
      <c r="B3003" s="3"/>
      <c r="C3003" s="3"/>
      <c r="D3003" s="3"/>
      <c r="E3003" s="3">
        <v>20</v>
      </c>
      <c r="F3003" s="4" t="str">
        <f>HYPERLINK("http://141.218.60.56/~jnz1568/getInfo.php?workbook=14_09.xlsx&amp;sheet=U0&amp;row=3003&amp;col=6&amp;number=4.9&amp;sourceID=14","4.9")</f>
        <v>4.9</v>
      </c>
      <c r="G3003" s="4" t="str">
        <f>HYPERLINK("http://141.218.60.56/~jnz1568/getInfo.php?workbook=14_09.xlsx&amp;sheet=U0&amp;row=3003&amp;col=7&amp;number=0.00242&amp;sourceID=14","0.00242")</f>
        <v>0.00242</v>
      </c>
    </row>
    <row r="3004" spans="1:7">
      <c r="A3004" s="3">
        <v>14</v>
      </c>
      <c r="B3004" s="3">
        <v>9</v>
      </c>
      <c r="C3004" s="3">
        <v>1</v>
      </c>
      <c r="D3004" s="3">
        <v>152</v>
      </c>
      <c r="E3004" s="3">
        <v>1</v>
      </c>
      <c r="F3004" s="4" t="str">
        <f>HYPERLINK("http://141.218.60.56/~jnz1568/getInfo.php?workbook=14_09.xlsx&amp;sheet=U0&amp;row=3004&amp;col=6&amp;number=3&amp;sourceID=14","3")</f>
        <v>3</v>
      </c>
      <c r="G3004" s="4" t="str">
        <f>HYPERLINK("http://141.218.60.56/~jnz1568/getInfo.php?workbook=14_09.xlsx&amp;sheet=U0&amp;row=3004&amp;col=7&amp;number=0.0195&amp;sourceID=14","0.0195")</f>
        <v>0.0195</v>
      </c>
    </row>
    <row r="3005" spans="1:7">
      <c r="A3005" s="3"/>
      <c r="B3005" s="3"/>
      <c r="C3005" s="3"/>
      <c r="D3005" s="3"/>
      <c r="E3005" s="3">
        <v>2</v>
      </c>
      <c r="F3005" s="4" t="str">
        <f>HYPERLINK("http://141.218.60.56/~jnz1568/getInfo.php?workbook=14_09.xlsx&amp;sheet=U0&amp;row=3005&amp;col=6&amp;number=3.1&amp;sourceID=14","3.1")</f>
        <v>3.1</v>
      </c>
      <c r="G3005" s="4" t="str">
        <f>HYPERLINK("http://141.218.60.56/~jnz1568/getInfo.php?workbook=14_09.xlsx&amp;sheet=U0&amp;row=3005&amp;col=7&amp;number=0.0195&amp;sourceID=14","0.0195")</f>
        <v>0.0195</v>
      </c>
    </row>
    <row r="3006" spans="1:7">
      <c r="A3006" s="3"/>
      <c r="B3006" s="3"/>
      <c r="C3006" s="3"/>
      <c r="D3006" s="3"/>
      <c r="E3006" s="3">
        <v>3</v>
      </c>
      <c r="F3006" s="4" t="str">
        <f>HYPERLINK("http://141.218.60.56/~jnz1568/getInfo.php?workbook=14_09.xlsx&amp;sheet=U0&amp;row=3006&amp;col=6&amp;number=3.2&amp;sourceID=14","3.2")</f>
        <v>3.2</v>
      </c>
      <c r="G3006" s="4" t="str">
        <f>HYPERLINK("http://141.218.60.56/~jnz1568/getInfo.php?workbook=14_09.xlsx&amp;sheet=U0&amp;row=3006&amp;col=7&amp;number=0.0195&amp;sourceID=14","0.0195")</f>
        <v>0.0195</v>
      </c>
    </row>
    <row r="3007" spans="1:7">
      <c r="A3007" s="3"/>
      <c r="B3007" s="3"/>
      <c r="C3007" s="3"/>
      <c r="D3007" s="3"/>
      <c r="E3007" s="3">
        <v>4</v>
      </c>
      <c r="F3007" s="4" t="str">
        <f>HYPERLINK("http://141.218.60.56/~jnz1568/getInfo.php?workbook=14_09.xlsx&amp;sheet=U0&amp;row=3007&amp;col=6&amp;number=3.3&amp;sourceID=14","3.3")</f>
        <v>3.3</v>
      </c>
      <c r="G3007" s="4" t="str">
        <f>HYPERLINK("http://141.218.60.56/~jnz1568/getInfo.php?workbook=14_09.xlsx&amp;sheet=U0&amp;row=3007&amp;col=7&amp;number=0.0195&amp;sourceID=14","0.0195")</f>
        <v>0.0195</v>
      </c>
    </row>
    <row r="3008" spans="1:7">
      <c r="A3008" s="3"/>
      <c r="B3008" s="3"/>
      <c r="C3008" s="3"/>
      <c r="D3008" s="3"/>
      <c r="E3008" s="3">
        <v>5</v>
      </c>
      <c r="F3008" s="4" t="str">
        <f>HYPERLINK("http://141.218.60.56/~jnz1568/getInfo.php?workbook=14_09.xlsx&amp;sheet=U0&amp;row=3008&amp;col=6&amp;number=3.4&amp;sourceID=14","3.4")</f>
        <v>3.4</v>
      </c>
      <c r="G3008" s="4" t="str">
        <f>HYPERLINK("http://141.218.60.56/~jnz1568/getInfo.php?workbook=14_09.xlsx&amp;sheet=U0&amp;row=3008&amp;col=7&amp;number=0.0195&amp;sourceID=14","0.0195")</f>
        <v>0.0195</v>
      </c>
    </row>
    <row r="3009" spans="1:7">
      <c r="A3009" s="3"/>
      <c r="B3009" s="3"/>
      <c r="C3009" s="3"/>
      <c r="D3009" s="3"/>
      <c r="E3009" s="3">
        <v>6</v>
      </c>
      <c r="F3009" s="4" t="str">
        <f>HYPERLINK("http://141.218.60.56/~jnz1568/getInfo.php?workbook=14_09.xlsx&amp;sheet=U0&amp;row=3009&amp;col=6&amp;number=3.5&amp;sourceID=14","3.5")</f>
        <v>3.5</v>
      </c>
      <c r="G3009" s="4" t="str">
        <f>HYPERLINK("http://141.218.60.56/~jnz1568/getInfo.php?workbook=14_09.xlsx&amp;sheet=U0&amp;row=3009&amp;col=7&amp;number=0.0195&amp;sourceID=14","0.0195")</f>
        <v>0.0195</v>
      </c>
    </row>
    <row r="3010" spans="1:7">
      <c r="A3010" s="3"/>
      <c r="B3010" s="3"/>
      <c r="C3010" s="3"/>
      <c r="D3010" s="3"/>
      <c r="E3010" s="3">
        <v>7</v>
      </c>
      <c r="F3010" s="4" t="str">
        <f>HYPERLINK("http://141.218.60.56/~jnz1568/getInfo.php?workbook=14_09.xlsx&amp;sheet=U0&amp;row=3010&amp;col=6&amp;number=3.6&amp;sourceID=14","3.6")</f>
        <v>3.6</v>
      </c>
      <c r="G3010" s="4" t="str">
        <f>HYPERLINK("http://141.218.60.56/~jnz1568/getInfo.php?workbook=14_09.xlsx&amp;sheet=U0&amp;row=3010&amp;col=7&amp;number=0.0195&amp;sourceID=14","0.0195")</f>
        <v>0.0195</v>
      </c>
    </row>
    <row r="3011" spans="1:7">
      <c r="A3011" s="3"/>
      <c r="B3011" s="3"/>
      <c r="C3011" s="3"/>
      <c r="D3011" s="3"/>
      <c r="E3011" s="3">
        <v>8</v>
      </c>
      <c r="F3011" s="4" t="str">
        <f>HYPERLINK("http://141.218.60.56/~jnz1568/getInfo.php?workbook=14_09.xlsx&amp;sheet=U0&amp;row=3011&amp;col=6&amp;number=3.7&amp;sourceID=14","3.7")</f>
        <v>3.7</v>
      </c>
      <c r="G3011" s="4" t="str">
        <f>HYPERLINK("http://141.218.60.56/~jnz1568/getInfo.php?workbook=14_09.xlsx&amp;sheet=U0&amp;row=3011&amp;col=7&amp;number=0.0194&amp;sourceID=14","0.0194")</f>
        <v>0.0194</v>
      </c>
    </row>
    <row r="3012" spans="1:7">
      <c r="A3012" s="3"/>
      <c r="B3012" s="3"/>
      <c r="C3012" s="3"/>
      <c r="D3012" s="3"/>
      <c r="E3012" s="3">
        <v>9</v>
      </c>
      <c r="F3012" s="4" t="str">
        <f>HYPERLINK("http://141.218.60.56/~jnz1568/getInfo.php?workbook=14_09.xlsx&amp;sheet=U0&amp;row=3012&amp;col=6&amp;number=3.8&amp;sourceID=14","3.8")</f>
        <v>3.8</v>
      </c>
      <c r="G3012" s="4" t="str">
        <f>HYPERLINK("http://141.218.60.56/~jnz1568/getInfo.php?workbook=14_09.xlsx&amp;sheet=U0&amp;row=3012&amp;col=7&amp;number=0.0194&amp;sourceID=14","0.0194")</f>
        <v>0.0194</v>
      </c>
    </row>
    <row r="3013" spans="1:7">
      <c r="A3013" s="3"/>
      <c r="B3013" s="3"/>
      <c r="C3013" s="3"/>
      <c r="D3013" s="3"/>
      <c r="E3013" s="3">
        <v>10</v>
      </c>
      <c r="F3013" s="4" t="str">
        <f>HYPERLINK("http://141.218.60.56/~jnz1568/getInfo.php?workbook=14_09.xlsx&amp;sheet=U0&amp;row=3013&amp;col=6&amp;number=3.9&amp;sourceID=14","3.9")</f>
        <v>3.9</v>
      </c>
      <c r="G3013" s="4" t="str">
        <f>HYPERLINK("http://141.218.60.56/~jnz1568/getInfo.php?workbook=14_09.xlsx&amp;sheet=U0&amp;row=3013&amp;col=7&amp;number=0.0194&amp;sourceID=14","0.0194")</f>
        <v>0.0194</v>
      </c>
    </row>
    <row r="3014" spans="1:7">
      <c r="A3014" s="3"/>
      <c r="B3014" s="3"/>
      <c r="C3014" s="3"/>
      <c r="D3014" s="3"/>
      <c r="E3014" s="3">
        <v>11</v>
      </c>
      <c r="F3014" s="4" t="str">
        <f>HYPERLINK("http://141.218.60.56/~jnz1568/getInfo.php?workbook=14_09.xlsx&amp;sheet=U0&amp;row=3014&amp;col=6&amp;number=4&amp;sourceID=14","4")</f>
        <v>4</v>
      </c>
      <c r="G3014" s="4" t="str">
        <f>HYPERLINK("http://141.218.60.56/~jnz1568/getInfo.php?workbook=14_09.xlsx&amp;sheet=U0&amp;row=3014&amp;col=7&amp;number=0.0193&amp;sourceID=14","0.0193")</f>
        <v>0.0193</v>
      </c>
    </row>
    <row r="3015" spans="1:7">
      <c r="A3015" s="3"/>
      <c r="B3015" s="3"/>
      <c r="C3015" s="3"/>
      <c r="D3015" s="3"/>
      <c r="E3015" s="3">
        <v>12</v>
      </c>
      <c r="F3015" s="4" t="str">
        <f>HYPERLINK("http://141.218.60.56/~jnz1568/getInfo.php?workbook=14_09.xlsx&amp;sheet=U0&amp;row=3015&amp;col=6&amp;number=4.1&amp;sourceID=14","4.1")</f>
        <v>4.1</v>
      </c>
      <c r="G3015" s="4" t="str">
        <f>HYPERLINK("http://141.218.60.56/~jnz1568/getInfo.php?workbook=14_09.xlsx&amp;sheet=U0&amp;row=3015&amp;col=7&amp;number=0.0192&amp;sourceID=14","0.0192")</f>
        <v>0.0192</v>
      </c>
    </row>
    <row r="3016" spans="1:7">
      <c r="A3016" s="3"/>
      <c r="B3016" s="3"/>
      <c r="C3016" s="3"/>
      <c r="D3016" s="3"/>
      <c r="E3016" s="3">
        <v>13</v>
      </c>
      <c r="F3016" s="4" t="str">
        <f>HYPERLINK("http://141.218.60.56/~jnz1568/getInfo.php?workbook=14_09.xlsx&amp;sheet=U0&amp;row=3016&amp;col=6&amp;number=4.2&amp;sourceID=14","4.2")</f>
        <v>4.2</v>
      </c>
      <c r="G3016" s="4" t="str">
        <f>HYPERLINK("http://141.218.60.56/~jnz1568/getInfo.php?workbook=14_09.xlsx&amp;sheet=U0&amp;row=3016&amp;col=7&amp;number=0.0191&amp;sourceID=14","0.0191")</f>
        <v>0.0191</v>
      </c>
    </row>
    <row r="3017" spans="1:7">
      <c r="A3017" s="3"/>
      <c r="B3017" s="3"/>
      <c r="C3017" s="3"/>
      <c r="D3017" s="3"/>
      <c r="E3017" s="3">
        <v>14</v>
      </c>
      <c r="F3017" s="4" t="str">
        <f>HYPERLINK("http://141.218.60.56/~jnz1568/getInfo.php?workbook=14_09.xlsx&amp;sheet=U0&amp;row=3017&amp;col=6&amp;number=4.3&amp;sourceID=14","4.3")</f>
        <v>4.3</v>
      </c>
      <c r="G3017" s="4" t="str">
        <f>HYPERLINK("http://141.218.60.56/~jnz1568/getInfo.php?workbook=14_09.xlsx&amp;sheet=U0&amp;row=3017&amp;col=7&amp;number=0.019&amp;sourceID=14","0.019")</f>
        <v>0.019</v>
      </c>
    </row>
    <row r="3018" spans="1:7">
      <c r="A3018" s="3"/>
      <c r="B3018" s="3"/>
      <c r="C3018" s="3"/>
      <c r="D3018" s="3"/>
      <c r="E3018" s="3">
        <v>15</v>
      </c>
      <c r="F3018" s="4" t="str">
        <f>HYPERLINK("http://141.218.60.56/~jnz1568/getInfo.php?workbook=14_09.xlsx&amp;sheet=U0&amp;row=3018&amp;col=6&amp;number=4.4&amp;sourceID=14","4.4")</f>
        <v>4.4</v>
      </c>
      <c r="G3018" s="4" t="str">
        <f>HYPERLINK("http://141.218.60.56/~jnz1568/getInfo.php?workbook=14_09.xlsx&amp;sheet=U0&amp;row=3018&amp;col=7&amp;number=0.0189&amp;sourceID=14","0.0189")</f>
        <v>0.0189</v>
      </c>
    </row>
    <row r="3019" spans="1:7">
      <c r="A3019" s="3"/>
      <c r="B3019" s="3"/>
      <c r="C3019" s="3"/>
      <c r="D3019" s="3"/>
      <c r="E3019" s="3">
        <v>16</v>
      </c>
      <c r="F3019" s="4" t="str">
        <f>HYPERLINK("http://141.218.60.56/~jnz1568/getInfo.php?workbook=14_09.xlsx&amp;sheet=U0&amp;row=3019&amp;col=6&amp;number=4.5&amp;sourceID=14","4.5")</f>
        <v>4.5</v>
      </c>
      <c r="G3019" s="4" t="str">
        <f>HYPERLINK("http://141.218.60.56/~jnz1568/getInfo.php?workbook=14_09.xlsx&amp;sheet=U0&amp;row=3019&amp;col=7&amp;number=0.0187&amp;sourceID=14","0.0187")</f>
        <v>0.0187</v>
      </c>
    </row>
    <row r="3020" spans="1:7">
      <c r="A3020" s="3"/>
      <c r="B3020" s="3"/>
      <c r="C3020" s="3"/>
      <c r="D3020" s="3"/>
      <c r="E3020" s="3">
        <v>17</v>
      </c>
      <c r="F3020" s="4" t="str">
        <f>HYPERLINK("http://141.218.60.56/~jnz1568/getInfo.php?workbook=14_09.xlsx&amp;sheet=U0&amp;row=3020&amp;col=6&amp;number=4.6&amp;sourceID=14","4.6")</f>
        <v>4.6</v>
      </c>
      <c r="G3020" s="4" t="str">
        <f>HYPERLINK("http://141.218.60.56/~jnz1568/getInfo.php?workbook=14_09.xlsx&amp;sheet=U0&amp;row=3020&amp;col=7&amp;number=0.0185&amp;sourceID=14","0.0185")</f>
        <v>0.0185</v>
      </c>
    </row>
    <row r="3021" spans="1:7">
      <c r="A3021" s="3"/>
      <c r="B3021" s="3"/>
      <c r="C3021" s="3"/>
      <c r="D3021" s="3"/>
      <c r="E3021" s="3">
        <v>18</v>
      </c>
      <c r="F3021" s="4" t="str">
        <f>HYPERLINK("http://141.218.60.56/~jnz1568/getInfo.php?workbook=14_09.xlsx&amp;sheet=U0&amp;row=3021&amp;col=6&amp;number=4.7&amp;sourceID=14","4.7")</f>
        <v>4.7</v>
      </c>
      <c r="G3021" s="4" t="str">
        <f>HYPERLINK("http://141.218.60.56/~jnz1568/getInfo.php?workbook=14_09.xlsx&amp;sheet=U0&amp;row=3021&amp;col=7&amp;number=0.0182&amp;sourceID=14","0.0182")</f>
        <v>0.0182</v>
      </c>
    </row>
    <row r="3022" spans="1:7">
      <c r="A3022" s="3"/>
      <c r="B3022" s="3"/>
      <c r="C3022" s="3"/>
      <c r="D3022" s="3"/>
      <c r="E3022" s="3">
        <v>19</v>
      </c>
      <c r="F3022" s="4" t="str">
        <f>HYPERLINK("http://141.218.60.56/~jnz1568/getInfo.php?workbook=14_09.xlsx&amp;sheet=U0&amp;row=3022&amp;col=6&amp;number=4.8&amp;sourceID=14","4.8")</f>
        <v>4.8</v>
      </c>
      <c r="G3022" s="4" t="str">
        <f>HYPERLINK("http://141.218.60.56/~jnz1568/getInfo.php?workbook=14_09.xlsx&amp;sheet=U0&amp;row=3022&amp;col=7&amp;number=0.0179&amp;sourceID=14","0.0179")</f>
        <v>0.0179</v>
      </c>
    </row>
    <row r="3023" spans="1:7">
      <c r="A3023" s="3"/>
      <c r="B3023" s="3"/>
      <c r="C3023" s="3"/>
      <c r="D3023" s="3"/>
      <c r="E3023" s="3">
        <v>20</v>
      </c>
      <c r="F3023" s="4" t="str">
        <f>HYPERLINK("http://141.218.60.56/~jnz1568/getInfo.php?workbook=14_09.xlsx&amp;sheet=U0&amp;row=3023&amp;col=6&amp;number=4.9&amp;sourceID=14","4.9")</f>
        <v>4.9</v>
      </c>
      <c r="G3023" s="4" t="str">
        <f>HYPERLINK("http://141.218.60.56/~jnz1568/getInfo.php?workbook=14_09.xlsx&amp;sheet=U0&amp;row=3023&amp;col=7&amp;number=0.0175&amp;sourceID=14","0.0175")</f>
        <v>0.0175</v>
      </c>
    </row>
    <row r="3024" spans="1:7">
      <c r="A3024" s="3">
        <v>14</v>
      </c>
      <c r="B3024" s="3">
        <v>9</v>
      </c>
      <c r="C3024" s="3">
        <v>1</v>
      </c>
      <c r="D3024" s="3">
        <v>153</v>
      </c>
      <c r="E3024" s="3">
        <v>1</v>
      </c>
      <c r="F3024" s="4" t="str">
        <f>HYPERLINK("http://141.218.60.56/~jnz1568/getInfo.php?workbook=14_09.xlsx&amp;sheet=U0&amp;row=3024&amp;col=6&amp;number=3&amp;sourceID=14","3")</f>
        <v>3</v>
      </c>
      <c r="G3024" s="4" t="str">
        <f>HYPERLINK("http://141.218.60.56/~jnz1568/getInfo.php?workbook=14_09.xlsx&amp;sheet=U0&amp;row=3024&amp;col=7&amp;number=0.0188&amp;sourceID=14","0.0188")</f>
        <v>0.0188</v>
      </c>
    </row>
    <row r="3025" spans="1:7">
      <c r="A3025" s="3"/>
      <c r="B3025" s="3"/>
      <c r="C3025" s="3"/>
      <c r="D3025" s="3"/>
      <c r="E3025" s="3">
        <v>2</v>
      </c>
      <c r="F3025" s="4" t="str">
        <f>HYPERLINK("http://141.218.60.56/~jnz1568/getInfo.php?workbook=14_09.xlsx&amp;sheet=U0&amp;row=3025&amp;col=6&amp;number=3.1&amp;sourceID=14","3.1")</f>
        <v>3.1</v>
      </c>
      <c r="G3025" s="4" t="str">
        <f>HYPERLINK("http://141.218.60.56/~jnz1568/getInfo.php?workbook=14_09.xlsx&amp;sheet=U0&amp;row=3025&amp;col=7&amp;number=0.0187&amp;sourceID=14","0.0187")</f>
        <v>0.0187</v>
      </c>
    </row>
    <row r="3026" spans="1:7">
      <c r="A3026" s="3"/>
      <c r="B3026" s="3"/>
      <c r="C3026" s="3"/>
      <c r="D3026" s="3"/>
      <c r="E3026" s="3">
        <v>3</v>
      </c>
      <c r="F3026" s="4" t="str">
        <f>HYPERLINK("http://141.218.60.56/~jnz1568/getInfo.php?workbook=14_09.xlsx&amp;sheet=U0&amp;row=3026&amp;col=6&amp;number=3.2&amp;sourceID=14","3.2")</f>
        <v>3.2</v>
      </c>
      <c r="G3026" s="4" t="str">
        <f>HYPERLINK("http://141.218.60.56/~jnz1568/getInfo.php?workbook=14_09.xlsx&amp;sheet=U0&amp;row=3026&amp;col=7&amp;number=0.0187&amp;sourceID=14","0.0187")</f>
        <v>0.0187</v>
      </c>
    </row>
    <row r="3027" spans="1:7">
      <c r="A3027" s="3"/>
      <c r="B3027" s="3"/>
      <c r="C3027" s="3"/>
      <c r="D3027" s="3"/>
      <c r="E3027" s="3">
        <v>4</v>
      </c>
      <c r="F3027" s="4" t="str">
        <f>HYPERLINK("http://141.218.60.56/~jnz1568/getInfo.php?workbook=14_09.xlsx&amp;sheet=U0&amp;row=3027&amp;col=6&amp;number=3.3&amp;sourceID=14","3.3")</f>
        <v>3.3</v>
      </c>
      <c r="G3027" s="4" t="str">
        <f>HYPERLINK("http://141.218.60.56/~jnz1568/getInfo.php?workbook=14_09.xlsx&amp;sheet=U0&amp;row=3027&amp;col=7&amp;number=0.0187&amp;sourceID=14","0.0187")</f>
        <v>0.0187</v>
      </c>
    </row>
    <row r="3028" spans="1:7">
      <c r="A3028" s="3"/>
      <c r="B3028" s="3"/>
      <c r="C3028" s="3"/>
      <c r="D3028" s="3"/>
      <c r="E3028" s="3">
        <v>5</v>
      </c>
      <c r="F3028" s="4" t="str">
        <f>HYPERLINK("http://141.218.60.56/~jnz1568/getInfo.php?workbook=14_09.xlsx&amp;sheet=U0&amp;row=3028&amp;col=6&amp;number=3.4&amp;sourceID=14","3.4")</f>
        <v>3.4</v>
      </c>
      <c r="G3028" s="4" t="str">
        <f>HYPERLINK("http://141.218.60.56/~jnz1568/getInfo.php?workbook=14_09.xlsx&amp;sheet=U0&amp;row=3028&amp;col=7&amp;number=0.0187&amp;sourceID=14","0.0187")</f>
        <v>0.0187</v>
      </c>
    </row>
    <row r="3029" spans="1:7">
      <c r="A3029" s="3"/>
      <c r="B3029" s="3"/>
      <c r="C3029" s="3"/>
      <c r="D3029" s="3"/>
      <c r="E3029" s="3">
        <v>6</v>
      </c>
      <c r="F3029" s="4" t="str">
        <f>HYPERLINK("http://141.218.60.56/~jnz1568/getInfo.php?workbook=14_09.xlsx&amp;sheet=U0&amp;row=3029&amp;col=6&amp;number=3.5&amp;sourceID=14","3.5")</f>
        <v>3.5</v>
      </c>
      <c r="G3029" s="4" t="str">
        <f>HYPERLINK("http://141.218.60.56/~jnz1568/getInfo.php?workbook=14_09.xlsx&amp;sheet=U0&amp;row=3029&amp;col=7&amp;number=0.0187&amp;sourceID=14","0.0187")</f>
        <v>0.0187</v>
      </c>
    </row>
    <row r="3030" spans="1:7">
      <c r="A3030" s="3"/>
      <c r="B3030" s="3"/>
      <c r="C3030" s="3"/>
      <c r="D3030" s="3"/>
      <c r="E3030" s="3">
        <v>7</v>
      </c>
      <c r="F3030" s="4" t="str">
        <f>HYPERLINK("http://141.218.60.56/~jnz1568/getInfo.php?workbook=14_09.xlsx&amp;sheet=U0&amp;row=3030&amp;col=6&amp;number=3.6&amp;sourceID=14","3.6")</f>
        <v>3.6</v>
      </c>
      <c r="G3030" s="4" t="str">
        <f>HYPERLINK("http://141.218.60.56/~jnz1568/getInfo.php?workbook=14_09.xlsx&amp;sheet=U0&amp;row=3030&amp;col=7&amp;number=0.0187&amp;sourceID=14","0.0187")</f>
        <v>0.0187</v>
      </c>
    </row>
    <row r="3031" spans="1:7">
      <c r="A3031" s="3"/>
      <c r="B3031" s="3"/>
      <c r="C3031" s="3"/>
      <c r="D3031" s="3"/>
      <c r="E3031" s="3">
        <v>8</v>
      </c>
      <c r="F3031" s="4" t="str">
        <f>HYPERLINK("http://141.218.60.56/~jnz1568/getInfo.php?workbook=14_09.xlsx&amp;sheet=U0&amp;row=3031&amp;col=6&amp;number=3.7&amp;sourceID=14","3.7")</f>
        <v>3.7</v>
      </c>
      <c r="G3031" s="4" t="str">
        <f>HYPERLINK("http://141.218.60.56/~jnz1568/getInfo.php?workbook=14_09.xlsx&amp;sheet=U0&amp;row=3031&amp;col=7&amp;number=0.0186&amp;sourceID=14","0.0186")</f>
        <v>0.0186</v>
      </c>
    </row>
    <row r="3032" spans="1:7">
      <c r="A3032" s="3"/>
      <c r="B3032" s="3"/>
      <c r="C3032" s="3"/>
      <c r="D3032" s="3"/>
      <c r="E3032" s="3">
        <v>9</v>
      </c>
      <c r="F3032" s="4" t="str">
        <f>HYPERLINK("http://141.218.60.56/~jnz1568/getInfo.php?workbook=14_09.xlsx&amp;sheet=U0&amp;row=3032&amp;col=6&amp;number=3.8&amp;sourceID=14","3.8")</f>
        <v>3.8</v>
      </c>
      <c r="G3032" s="4" t="str">
        <f>HYPERLINK("http://141.218.60.56/~jnz1568/getInfo.php?workbook=14_09.xlsx&amp;sheet=U0&amp;row=3032&amp;col=7&amp;number=0.0186&amp;sourceID=14","0.0186")</f>
        <v>0.0186</v>
      </c>
    </row>
    <row r="3033" spans="1:7">
      <c r="A3033" s="3"/>
      <c r="B3033" s="3"/>
      <c r="C3033" s="3"/>
      <c r="D3033" s="3"/>
      <c r="E3033" s="3">
        <v>10</v>
      </c>
      <c r="F3033" s="4" t="str">
        <f>HYPERLINK("http://141.218.60.56/~jnz1568/getInfo.php?workbook=14_09.xlsx&amp;sheet=U0&amp;row=3033&amp;col=6&amp;number=3.9&amp;sourceID=14","3.9")</f>
        <v>3.9</v>
      </c>
      <c r="G3033" s="4" t="str">
        <f>HYPERLINK("http://141.218.60.56/~jnz1568/getInfo.php?workbook=14_09.xlsx&amp;sheet=U0&amp;row=3033&amp;col=7&amp;number=0.0186&amp;sourceID=14","0.0186")</f>
        <v>0.0186</v>
      </c>
    </row>
    <row r="3034" spans="1:7">
      <c r="A3034" s="3"/>
      <c r="B3034" s="3"/>
      <c r="C3034" s="3"/>
      <c r="D3034" s="3"/>
      <c r="E3034" s="3">
        <v>11</v>
      </c>
      <c r="F3034" s="4" t="str">
        <f>HYPERLINK("http://141.218.60.56/~jnz1568/getInfo.php?workbook=14_09.xlsx&amp;sheet=U0&amp;row=3034&amp;col=6&amp;number=4&amp;sourceID=14","4")</f>
        <v>4</v>
      </c>
      <c r="G3034" s="4" t="str">
        <f>HYPERLINK("http://141.218.60.56/~jnz1568/getInfo.php?workbook=14_09.xlsx&amp;sheet=U0&amp;row=3034&amp;col=7&amp;number=0.0185&amp;sourceID=14","0.0185")</f>
        <v>0.0185</v>
      </c>
    </row>
    <row r="3035" spans="1:7">
      <c r="A3035" s="3"/>
      <c r="B3035" s="3"/>
      <c r="C3035" s="3"/>
      <c r="D3035" s="3"/>
      <c r="E3035" s="3">
        <v>12</v>
      </c>
      <c r="F3035" s="4" t="str">
        <f>HYPERLINK("http://141.218.60.56/~jnz1568/getInfo.php?workbook=14_09.xlsx&amp;sheet=U0&amp;row=3035&amp;col=6&amp;number=4.1&amp;sourceID=14","4.1")</f>
        <v>4.1</v>
      </c>
      <c r="G3035" s="4" t="str">
        <f>HYPERLINK("http://141.218.60.56/~jnz1568/getInfo.php?workbook=14_09.xlsx&amp;sheet=U0&amp;row=3035&amp;col=7&amp;number=0.0184&amp;sourceID=14","0.0184")</f>
        <v>0.0184</v>
      </c>
    </row>
    <row r="3036" spans="1:7">
      <c r="A3036" s="3"/>
      <c r="B3036" s="3"/>
      <c r="C3036" s="3"/>
      <c r="D3036" s="3"/>
      <c r="E3036" s="3">
        <v>13</v>
      </c>
      <c r="F3036" s="4" t="str">
        <f>HYPERLINK("http://141.218.60.56/~jnz1568/getInfo.php?workbook=14_09.xlsx&amp;sheet=U0&amp;row=3036&amp;col=6&amp;number=4.2&amp;sourceID=14","4.2")</f>
        <v>4.2</v>
      </c>
      <c r="G3036" s="4" t="str">
        <f>HYPERLINK("http://141.218.60.56/~jnz1568/getInfo.php?workbook=14_09.xlsx&amp;sheet=U0&amp;row=3036&amp;col=7&amp;number=0.0183&amp;sourceID=14","0.0183")</f>
        <v>0.0183</v>
      </c>
    </row>
    <row r="3037" spans="1:7">
      <c r="A3037" s="3"/>
      <c r="B3037" s="3"/>
      <c r="C3037" s="3"/>
      <c r="D3037" s="3"/>
      <c r="E3037" s="3">
        <v>14</v>
      </c>
      <c r="F3037" s="4" t="str">
        <f>HYPERLINK("http://141.218.60.56/~jnz1568/getInfo.php?workbook=14_09.xlsx&amp;sheet=U0&amp;row=3037&amp;col=6&amp;number=4.3&amp;sourceID=14","4.3")</f>
        <v>4.3</v>
      </c>
      <c r="G3037" s="4" t="str">
        <f>HYPERLINK("http://141.218.60.56/~jnz1568/getInfo.php?workbook=14_09.xlsx&amp;sheet=U0&amp;row=3037&amp;col=7&amp;number=0.0182&amp;sourceID=14","0.0182")</f>
        <v>0.0182</v>
      </c>
    </row>
    <row r="3038" spans="1:7">
      <c r="A3038" s="3"/>
      <c r="B3038" s="3"/>
      <c r="C3038" s="3"/>
      <c r="D3038" s="3"/>
      <c r="E3038" s="3">
        <v>15</v>
      </c>
      <c r="F3038" s="4" t="str">
        <f>HYPERLINK("http://141.218.60.56/~jnz1568/getInfo.php?workbook=14_09.xlsx&amp;sheet=U0&amp;row=3038&amp;col=6&amp;number=4.4&amp;sourceID=14","4.4")</f>
        <v>4.4</v>
      </c>
      <c r="G3038" s="4" t="str">
        <f>HYPERLINK("http://141.218.60.56/~jnz1568/getInfo.php?workbook=14_09.xlsx&amp;sheet=U0&amp;row=3038&amp;col=7&amp;number=0.0181&amp;sourceID=14","0.0181")</f>
        <v>0.0181</v>
      </c>
    </row>
    <row r="3039" spans="1:7">
      <c r="A3039" s="3"/>
      <c r="B3039" s="3"/>
      <c r="C3039" s="3"/>
      <c r="D3039" s="3"/>
      <c r="E3039" s="3">
        <v>16</v>
      </c>
      <c r="F3039" s="4" t="str">
        <f>HYPERLINK("http://141.218.60.56/~jnz1568/getInfo.php?workbook=14_09.xlsx&amp;sheet=U0&amp;row=3039&amp;col=6&amp;number=4.5&amp;sourceID=14","4.5")</f>
        <v>4.5</v>
      </c>
      <c r="G3039" s="4" t="str">
        <f>HYPERLINK("http://141.218.60.56/~jnz1568/getInfo.php?workbook=14_09.xlsx&amp;sheet=U0&amp;row=3039&amp;col=7&amp;number=0.0179&amp;sourceID=14","0.0179")</f>
        <v>0.0179</v>
      </c>
    </row>
    <row r="3040" spans="1:7">
      <c r="A3040" s="3"/>
      <c r="B3040" s="3"/>
      <c r="C3040" s="3"/>
      <c r="D3040" s="3"/>
      <c r="E3040" s="3">
        <v>17</v>
      </c>
      <c r="F3040" s="4" t="str">
        <f>HYPERLINK("http://141.218.60.56/~jnz1568/getInfo.php?workbook=14_09.xlsx&amp;sheet=U0&amp;row=3040&amp;col=6&amp;number=4.6&amp;sourceID=14","4.6")</f>
        <v>4.6</v>
      </c>
      <c r="G3040" s="4" t="str">
        <f>HYPERLINK("http://141.218.60.56/~jnz1568/getInfo.php?workbook=14_09.xlsx&amp;sheet=U0&amp;row=3040&amp;col=7&amp;number=0.0177&amp;sourceID=14","0.0177")</f>
        <v>0.0177</v>
      </c>
    </row>
    <row r="3041" spans="1:7">
      <c r="A3041" s="3"/>
      <c r="B3041" s="3"/>
      <c r="C3041" s="3"/>
      <c r="D3041" s="3"/>
      <c r="E3041" s="3">
        <v>18</v>
      </c>
      <c r="F3041" s="4" t="str">
        <f>HYPERLINK("http://141.218.60.56/~jnz1568/getInfo.php?workbook=14_09.xlsx&amp;sheet=U0&amp;row=3041&amp;col=6&amp;number=4.7&amp;sourceID=14","4.7")</f>
        <v>4.7</v>
      </c>
      <c r="G3041" s="4" t="str">
        <f>HYPERLINK("http://141.218.60.56/~jnz1568/getInfo.php?workbook=14_09.xlsx&amp;sheet=U0&amp;row=3041&amp;col=7&amp;number=0.0174&amp;sourceID=14","0.0174")</f>
        <v>0.0174</v>
      </c>
    </row>
    <row r="3042" spans="1:7">
      <c r="A3042" s="3"/>
      <c r="B3042" s="3"/>
      <c r="C3042" s="3"/>
      <c r="D3042" s="3"/>
      <c r="E3042" s="3">
        <v>19</v>
      </c>
      <c r="F3042" s="4" t="str">
        <f>HYPERLINK("http://141.218.60.56/~jnz1568/getInfo.php?workbook=14_09.xlsx&amp;sheet=U0&amp;row=3042&amp;col=6&amp;number=4.8&amp;sourceID=14","4.8")</f>
        <v>4.8</v>
      </c>
      <c r="G3042" s="4" t="str">
        <f>HYPERLINK("http://141.218.60.56/~jnz1568/getInfo.php?workbook=14_09.xlsx&amp;sheet=U0&amp;row=3042&amp;col=7&amp;number=0.0171&amp;sourceID=14","0.0171")</f>
        <v>0.0171</v>
      </c>
    </row>
    <row r="3043" spans="1:7">
      <c r="A3043" s="3"/>
      <c r="B3043" s="3"/>
      <c r="C3043" s="3"/>
      <c r="D3043" s="3"/>
      <c r="E3043" s="3">
        <v>20</v>
      </c>
      <c r="F3043" s="4" t="str">
        <f>HYPERLINK("http://141.218.60.56/~jnz1568/getInfo.php?workbook=14_09.xlsx&amp;sheet=U0&amp;row=3043&amp;col=6&amp;number=4.9&amp;sourceID=14","4.9")</f>
        <v>4.9</v>
      </c>
      <c r="G3043" s="4" t="str">
        <f>HYPERLINK("http://141.218.60.56/~jnz1568/getInfo.php?workbook=14_09.xlsx&amp;sheet=U0&amp;row=3043&amp;col=7&amp;number=0.0167&amp;sourceID=14","0.0167")</f>
        <v>0.0167</v>
      </c>
    </row>
    <row r="3044" spans="1:7">
      <c r="A3044" s="3">
        <v>14</v>
      </c>
      <c r="B3044" s="3">
        <v>9</v>
      </c>
      <c r="C3044" s="3">
        <v>1</v>
      </c>
      <c r="D3044" s="3">
        <v>154</v>
      </c>
      <c r="E3044" s="3">
        <v>1</v>
      </c>
      <c r="F3044" s="4" t="str">
        <f>HYPERLINK("http://141.218.60.56/~jnz1568/getInfo.php?workbook=14_09.xlsx&amp;sheet=U0&amp;row=3044&amp;col=6&amp;number=3&amp;sourceID=14","3")</f>
        <v>3</v>
      </c>
      <c r="G3044" s="4" t="str">
        <f>HYPERLINK("http://141.218.60.56/~jnz1568/getInfo.php?workbook=14_09.xlsx&amp;sheet=U0&amp;row=3044&amp;col=7&amp;number=0.0077&amp;sourceID=14","0.0077")</f>
        <v>0.0077</v>
      </c>
    </row>
    <row r="3045" spans="1:7">
      <c r="A3045" s="3"/>
      <c r="B3045" s="3"/>
      <c r="C3045" s="3"/>
      <c r="D3045" s="3"/>
      <c r="E3045" s="3">
        <v>2</v>
      </c>
      <c r="F3045" s="4" t="str">
        <f>HYPERLINK("http://141.218.60.56/~jnz1568/getInfo.php?workbook=14_09.xlsx&amp;sheet=U0&amp;row=3045&amp;col=6&amp;number=3.1&amp;sourceID=14","3.1")</f>
        <v>3.1</v>
      </c>
      <c r="G3045" s="4" t="str">
        <f>HYPERLINK("http://141.218.60.56/~jnz1568/getInfo.php?workbook=14_09.xlsx&amp;sheet=U0&amp;row=3045&amp;col=7&amp;number=0.0077&amp;sourceID=14","0.0077")</f>
        <v>0.0077</v>
      </c>
    </row>
    <row r="3046" spans="1:7">
      <c r="A3046" s="3"/>
      <c r="B3046" s="3"/>
      <c r="C3046" s="3"/>
      <c r="D3046" s="3"/>
      <c r="E3046" s="3">
        <v>3</v>
      </c>
      <c r="F3046" s="4" t="str">
        <f>HYPERLINK("http://141.218.60.56/~jnz1568/getInfo.php?workbook=14_09.xlsx&amp;sheet=U0&amp;row=3046&amp;col=6&amp;number=3.2&amp;sourceID=14","3.2")</f>
        <v>3.2</v>
      </c>
      <c r="G3046" s="4" t="str">
        <f>HYPERLINK("http://141.218.60.56/~jnz1568/getInfo.php?workbook=14_09.xlsx&amp;sheet=U0&amp;row=3046&amp;col=7&amp;number=0.00769&amp;sourceID=14","0.00769")</f>
        <v>0.00769</v>
      </c>
    </row>
    <row r="3047" spans="1:7">
      <c r="A3047" s="3"/>
      <c r="B3047" s="3"/>
      <c r="C3047" s="3"/>
      <c r="D3047" s="3"/>
      <c r="E3047" s="3">
        <v>4</v>
      </c>
      <c r="F3047" s="4" t="str">
        <f>HYPERLINK("http://141.218.60.56/~jnz1568/getInfo.php?workbook=14_09.xlsx&amp;sheet=U0&amp;row=3047&amp;col=6&amp;number=3.3&amp;sourceID=14","3.3")</f>
        <v>3.3</v>
      </c>
      <c r="G3047" s="4" t="str">
        <f>HYPERLINK("http://141.218.60.56/~jnz1568/getInfo.php?workbook=14_09.xlsx&amp;sheet=U0&amp;row=3047&amp;col=7&amp;number=0.00768&amp;sourceID=14","0.00768")</f>
        <v>0.00768</v>
      </c>
    </row>
    <row r="3048" spans="1:7">
      <c r="A3048" s="3"/>
      <c r="B3048" s="3"/>
      <c r="C3048" s="3"/>
      <c r="D3048" s="3"/>
      <c r="E3048" s="3">
        <v>5</v>
      </c>
      <c r="F3048" s="4" t="str">
        <f>HYPERLINK("http://141.218.60.56/~jnz1568/getInfo.php?workbook=14_09.xlsx&amp;sheet=U0&amp;row=3048&amp;col=6&amp;number=3.4&amp;sourceID=14","3.4")</f>
        <v>3.4</v>
      </c>
      <c r="G3048" s="4" t="str">
        <f>HYPERLINK("http://141.218.60.56/~jnz1568/getInfo.php?workbook=14_09.xlsx&amp;sheet=U0&amp;row=3048&amp;col=7&amp;number=0.00768&amp;sourceID=14","0.00768")</f>
        <v>0.00768</v>
      </c>
    </row>
    <row r="3049" spans="1:7">
      <c r="A3049" s="3"/>
      <c r="B3049" s="3"/>
      <c r="C3049" s="3"/>
      <c r="D3049" s="3"/>
      <c r="E3049" s="3">
        <v>6</v>
      </c>
      <c r="F3049" s="4" t="str">
        <f>HYPERLINK("http://141.218.60.56/~jnz1568/getInfo.php?workbook=14_09.xlsx&amp;sheet=U0&amp;row=3049&amp;col=6&amp;number=3.5&amp;sourceID=14","3.5")</f>
        <v>3.5</v>
      </c>
      <c r="G3049" s="4" t="str">
        <f>HYPERLINK("http://141.218.60.56/~jnz1568/getInfo.php?workbook=14_09.xlsx&amp;sheet=U0&amp;row=3049&amp;col=7&amp;number=0.00766&amp;sourceID=14","0.00766")</f>
        <v>0.00766</v>
      </c>
    </row>
    <row r="3050" spans="1:7">
      <c r="A3050" s="3"/>
      <c r="B3050" s="3"/>
      <c r="C3050" s="3"/>
      <c r="D3050" s="3"/>
      <c r="E3050" s="3">
        <v>7</v>
      </c>
      <c r="F3050" s="4" t="str">
        <f>HYPERLINK("http://141.218.60.56/~jnz1568/getInfo.php?workbook=14_09.xlsx&amp;sheet=U0&amp;row=3050&amp;col=6&amp;number=3.6&amp;sourceID=14","3.6")</f>
        <v>3.6</v>
      </c>
      <c r="G3050" s="4" t="str">
        <f>HYPERLINK("http://141.218.60.56/~jnz1568/getInfo.php?workbook=14_09.xlsx&amp;sheet=U0&amp;row=3050&amp;col=7&amp;number=0.00765&amp;sourceID=14","0.00765")</f>
        <v>0.00765</v>
      </c>
    </row>
    <row r="3051" spans="1:7">
      <c r="A3051" s="3"/>
      <c r="B3051" s="3"/>
      <c r="C3051" s="3"/>
      <c r="D3051" s="3"/>
      <c r="E3051" s="3">
        <v>8</v>
      </c>
      <c r="F3051" s="4" t="str">
        <f>HYPERLINK("http://141.218.60.56/~jnz1568/getInfo.php?workbook=14_09.xlsx&amp;sheet=U0&amp;row=3051&amp;col=6&amp;number=3.7&amp;sourceID=14","3.7")</f>
        <v>3.7</v>
      </c>
      <c r="G3051" s="4" t="str">
        <f>HYPERLINK("http://141.218.60.56/~jnz1568/getInfo.php?workbook=14_09.xlsx&amp;sheet=U0&amp;row=3051&amp;col=7&amp;number=0.00763&amp;sourceID=14","0.00763")</f>
        <v>0.00763</v>
      </c>
    </row>
    <row r="3052" spans="1:7">
      <c r="A3052" s="3"/>
      <c r="B3052" s="3"/>
      <c r="C3052" s="3"/>
      <c r="D3052" s="3"/>
      <c r="E3052" s="3">
        <v>9</v>
      </c>
      <c r="F3052" s="4" t="str">
        <f>HYPERLINK("http://141.218.60.56/~jnz1568/getInfo.php?workbook=14_09.xlsx&amp;sheet=U0&amp;row=3052&amp;col=6&amp;number=3.8&amp;sourceID=14","3.8")</f>
        <v>3.8</v>
      </c>
      <c r="G3052" s="4" t="str">
        <f>HYPERLINK("http://141.218.60.56/~jnz1568/getInfo.php?workbook=14_09.xlsx&amp;sheet=U0&amp;row=3052&amp;col=7&amp;number=0.00761&amp;sourceID=14","0.00761")</f>
        <v>0.00761</v>
      </c>
    </row>
    <row r="3053" spans="1:7">
      <c r="A3053" s="3"/>
      <c r="B3053" s="3"/>
      <c r="C3053" s="3"/>
      <c r="D3053" s="3"/>
      <c r="E3053" s="3">
        <v>10</v>
      </c>
      <c r="F3053" s="4" t="str">
        <f>HYPERLINK("http://141.218.60.56/~jnz1568/getInfo.php?workbook=14_09.xlsx&amp;sheet=U0&amp;row=3053&amp;col=6&amp;number=3.9&amp;sourceID=14","3.9")</f>
        <v>3.9</v>
      </c>
      <c r="G3053" s="4" t="str">
        <f>HYPERLINK("http://141.218.60.56/~jnz1568/getInfo.php?workbook=14_09.xlsx&amp;sheet=U0&amp;row=3053&amp;col=7&amp;number=0.00758&amp;sourceID=14","0.00758")</f>
        <v>0.00758</v>
      </c>
    </row>
    <row r="3054" spans="1:7">
      <c r="A3054" s="3"/>
      <c r="B3054" s="3"/>
      <c r="C3054" s="3"/>
      <c r="D3054" s="3"/>
      <c r="E3054" s="3">
        <v>11</v>
      </c>
      <c r="F3054" s="4" t="str">
        <f>HYPERLINK("http://141.218.60.56/~jnz1568/getInfo.php?workbook=14_09.xlsx&amp;sheet=U0&amp;row=3054&amp;col=6&amp;number=4&amp;sourceID=14","4")</f>
        <v>4</v>
      </c>
      <c r="G3054" s="4" t="str">
        <f>HYPERLINK("http://141.218.60.56/~jnz1568/getInfo.php?workbook=14_09.xlsx&amp;sheet=U0&amp;row=3054&amp;col=7&amp;number=0.00754&amp;sourceID=14","0.00754")</f>
        <v>0.00754</v>
      </c>
    </row>
    <row r="3055" spans="1:7">
      <c r="A3055" s="3"/>
      <c r="B3055" s="3"/>
      <c r="C3055" s="3"/>
      <c r="D3055" s="3"/>
      <c r="E3055" s="3">
        <v>12</v>
      </c>
      <c r="F3055" s="4" t="str">
        <f>HYPERLINK("http://141.218.60.56/~jnz1568/getInfo.php?workbook=14_09.xlsx&amp;sheet=U0&amp;row=3055&amp;col=6&amp;number=4.1&amp;sourceID=14","4.1")</f>
        <v>4.1</v>
      </c>
      <c r="G3055" s="4" t="str">
        <f>HYPERLINK("http://141.218.60.56/~jnz1568/getInfo.php?workbook=14_09.xlsx&amp;sheet=U0&amp;row=3055&amp;col=7&amp;number=0.00749&amp;sourceID=14","0.00749")</f>
        <v>0.00749</v>
      </c>
    </row>
    <row r="3056" spans="1:7">
      <c r="A3056" s="3"/>
      <c r="B3056" s="3"/>
      <c r="C3056" s="3"/>
      <c r="D3056" s="3"/>
      <c r="E3056" s="3">
        <v>13</v>
      </c>
      <c r="F3056" s="4" t="str">
        <f>HYPERLINK("http://141.218.60.56/~jnz1568/getInfo.php?workbook=14_09.xlsx&amp;sheet=U0&amp;row=3056&amp;col=6&amp;number=4.2&amp;sourceID=14","4.2")</f>
        <v>4.2</v>
      </c>
      <c r="G3056" s="4" t="str">
        <f>HYPERLINK("http://141.218.60.56/~jnz1568/getInfo.php?workbook=14_09.xlsx&amp;sheet=U0&amp;row=3056&amp;col=7&amp;number=0.00744&amp;sourceID=14","0.00744")</f>
        <v>0.00744</v>
      </c>
    </row>
    <row r="3057" spans="1:7">
      <c r="A3057" s="3"/>
      <c r="B3057" s="3"/>
      <c r="C3057" s="3"/>
      <c r="D3057" s="3"/>
      <c r="E3057" s="3">
        <v>14</v>
      </c>
      <c r="F3057" s="4" t="str">
        <f>HYPERLINK("http://141.218.60.56/~jnz1568/getInfo.php?workbook=14_09.xlsx&amp;sheet=U0&amp;row=3057&amp;col=6&amp;number=4.3&amp;sourceID=14","4.3")</f>
        <v>4.3</v>
      </c>
      <c r="G3057" s="4" t="str">
        <f>HYPERLINK("http://141.218.60.56/~jnz1568/getInfo.php?workbook=14_09.xlsx&amp;sheet=U0&amp;row=3057&amp;col=7&amp;number=0.00737&amp;sourceID=14","0.00737")</f>
        <v>0.00737</v>
      </c>
    </row>
    <row r="3058" spans="1:7">
      <c r="A3058" s="3"/>
      <c r="B3058" s="3"/>
      <c r="C3058" s="3"/>
      <c r="D3058" s="3"/>
      <c r="E3058" s="3">
        <v>15</v>
      </c>
      <c r="F3058" s="4" t="str">
        <f>HYPERLINK("http://141.218.60.56/~jnz1568/getInfo.php?workbook=14_09.xlsx&amp;sheet=U0&amp;row=3058&amp;col=6&amp;number=4.4&amp;sourceID=14","4.4")</f>
        <v>4.4</v>
      </c>
      <c r="G3058" s="4" t="str">
        <f>HYPERLINK("http://141.218.60.56/~jnz1568/getInfo.php?workbook=14_09.xlsx&amp;sheet=U0&amp;row=3058&amp;col=7&amp;number=0.00728&amp;sourceID=14","0.00728")</f>
        <v>0.00728</v>
      </c>
    </row>
    <row r="3059" spans="1:7">
      <c r="A3059" s="3"/>
      <c r="B3059" s="3"/>
      <c r="C3059" s="3"/>
      <c r="D3059" s="3"/>
      <c r="E3059" s="3">
        <v>16</v>
      </c>
      <c r="F3059" s="4" t="str">
        <f>HYPERLINK("http://141.218.60.56/~jnz1568/getInfo.php?workbook=14_09.xlsx&amp;sheet=U0&amp;row=3059&amp;col=6&amp;number=4.5&amp;sourceID=14","4.5")</f>
        <v>4.5</v>
      </c>
      <c r="G3059" s="4" t="str">
        <f>HYPERLINK("http://141.218.60.56/~jnz1568/getInfo.php?workbook=14_09.xlsx&amp;sheet=U0&amp;row=3059&amp;col=7&amp;number=0.00717&amp;sourceID=14","0.00717")</f>
        <v>0.00717</v>
      </c>
    </row>
    <row r="3060" spans="1:7">
      <c r="A3060" s="3"/>
      <c r="B3060" s="3"/>
      <c r="C3060" s="3"/>
      <c r="D3060" s="3"/>
      <c r="E3060" s="3">
        <v>17</v>
      </c>
      <c r="F3060" s="4" t="str">
        <f>HYPERLINK("http://141.218.60.56/~jnz1568/getInfo.php?workbook=14_09.xlsx&amp;sheet=U0&amp;row=3060&amp;col=6&amp;number=4.6&amp;sourceID=14","4.6")</f>
        <v>4.6</v>
      </c>
      <c r="G3060" s="4" t="str">
        <f>HYPERLINK("http://141.218.60.56/~jnz1568/getInfo.php?workbook=14_09.xlsx&amp;sheet=U0&amp;row=3060&amp;col=7&amp;number=0.00703&amp;sourceID=14","0.00703")</f>
        <v>0.00703</v>
      </c>
    </row>
    <row r="3061" spans="1:7">
      <c r="A3061" s="3"/>
      <c r="B3061" s="3"/>
      <c r="C3061" s="3"/>
      <c r="D3061" s="3"/>
      <c r="E3061" s="3">
        <v>18</v>
      </c>
      <c r="F3061" s="4" t="str">
        <f>HYPERLINK("http://141.218.60.56/~jnz1568/getInfo.php?workbook=14_09.xlsx&amp;sheet=U0&amp;row=3061&amp;col=6&amp;number=4.7&amp;sourceID=14","4.7")</f>
        <v>4.7</v>
      </c>
      <c r="G3061" s="4" t="str">
        <f>HYPERLINK("http://141.218.60.56/~jnz1568/getInfo.php?workbook=14_09.xlsx&amp;sheet=U0&amp;row=3061&amp;col=7&amp;number=0.00686&amp;sourceID=14","0.00686")</f>
        <v>0.00686</v>
      </c>
    </row>
    <row r="3062" spans="1:7">
      <c r="A3062" s="3"/>
      <c r="B3062" s="3"/>
      <c r="C3062" s="3"/>
      <c r="D3062" s="3"/>
      <c r="E3062" s="3">
        <v>19</v>
      </c>
      <c r="F3062" s="4" t="str">
        <f>HYPERLINK("http://141.218.60.56/~jnz1568/getInfo.php?workbook=14_09.xlsx&amp;sheet=U0&amp;row=3062&amp;col=6&amp;number=4.8&amp;sourceID=14","4.8")</f>
        <v>4.8</v>
      </c>
      <c r="G3062" s="4" t="str">
        <f>HYPERLINK("http://141.218.60.56/~jnz1568/getInfo.php?workbook=14_09.xlsx&amp;sheet=U0&amp;row=3062&amp;col=7&amp;number=0.00666&amp;sourceID=14","0.00666")</f>
        <v>0.00666</v>
      </c>
    </row>
    <row r="3063" spans="1:7">
      <c r="A3063" s="3"/>
      <c r="B3063" s="3"/>
      <c r="C3063" s="3"/>
      <c r="D3063" s="3"/>
      <c r="E3063" s="3">
        <v>20</v>
      </c>
      <c r="F3063" s="4" t="str">
        <f>HYPERLINK("http://141.218.60.56/~jnz1568/getInfo.php?workbook=14_09.xlsx&amp;sheet=U0&amp;row=3063&amp;col=6&amp;number=4.9&amp;sourceID=14","4.9")</f>
        <v>4.9</v>
      </c>
      <c r="G3063" s="4" t="str">
        <f>HYPERLINK("http://141.218.60.56/~jnz1568/getInfo.php?workbook=14_09.xlsx&amp;sheet=U0&amp;row=3063&amp;col=7&amp;number=0.00642&amp;sourceID=14","0.00642")</f>
        <v>0.00642</v>
      </c>
    </row>
    <row r="3064" spans="1:7">
      <c r="A3064" s="3">
        <v>14</v>
      </c>
      <c r="B3064" s="3">
        <v>9</v>
      </c>
      <c r="C3064" s="3">
        <v>1</v>
      </c>
      <c r="D3064" s="3">
        <v>155</v>
      </c>
      <c r="E3064" s="3">
        <v>1</v>
      </c>
      <c r="F3064" s="4" t="str">
        <f>HYPERLINK("http://141.218.60.56/~jnz1568/getInfo.php?workbook=14_09.xlsx&amp;sheet=U0&amp;row=3064&amp;col=6&amp;number=3&amp;sourceID=14","3")</f>
        <v>3</v>
      </c>
      <c r="G3064" s="4" t="str">
        <f>HYPERLINK("http://141.218.60.56/~jnz1568/getInfo.php?workbook=14_09.xlsx&amp;sheet=U0&amp;row=3064&amp;col=7&amp;number=0.00348&amp;sourceID=14","0.00348")</f>
        <v>0.00348</v>
      </c>
    </row>
    <row r="3065" spans="1:7">
      <c r="A3065" s="3"/>
      <c r="B3065" s="3"/>
      <c r="C3065" s="3"/>
      <c r="D3065" s="3"/>
      <c r="E3065" s="3">
        <v>2</v>
      </c>
      <c r="F3065" s="4" t="str">
        <f>HYPERLINK("http://141.218.60.56/~jnz1568/getInfo.php?workbook=14_09.xlsx&amp;sheet=U0&amp;row=3065&amp;col=6&amp;number=3.1&amp;sourceID=14","3.1")</f>
        <v>3.1</v>
      </c>
      <c r="G3065" s="4" t="str">
        <f>HYPERLINK("http://141.218.60.56/~jnz1568/getInfo.php?workbook=14_09.xlsx&amp;sheet=U0&amp;row=3065&amp;col=7&amp;number=0.00348&amp;sourceID=14","0.00348")</f>
        <v>0.00348</v>
      </c>
    </row>
    <row r="3066" spans="1:7">
      <c r="A3066" s="3"/>
      <c r="B3066" s="3"/>
      <c r="C3066" s="3"/>
      <c r="D3066" s="3"/>
      <c r="E3066" s="3">
        <v>3</v>
      </c>
      <c r="F3066" s="4" t="str">
        <f>HYPERLINK("http://141.218.60.56/~jnz1568/getInfo.php?workbook=14_09.xlsx&amp;sheet=U0&amp;row=3066&amp;col=6&amp;number=3.2&amp;sourceID=14","3.2")</f>
        <v>3.2</v>
      </c>
      <c r="G3066" s="4" t="str">
        <f>HYPERLINK("http://141.218.60.56/~jnz1568/getInfo.php?workbook=14_09.xlsx&amp;sheet=U0&amp;row=3066&amp;col=7&amp;number=0.00347&amp;sourceID=14","0.00347")</f>
        <v>0.00347</v>
      </c>
    </row>
    <row r="3067" spans="1:7">
      <c r="A3067" s="3"/>
      <c r="B3067" s="3"/>
      <c r="C3067" s="3"/>
      <c r="D3067" s="3"/>
      <c r="E3067" s="3">
        <v>4</v>
      </c>
      <c r="F3067" s="4" t="str">
        <f>HYPERLINK("http://141.218.60.56/~jnz1568/getInfo.php?workbook=14_09.xlsx&amp;sheet=U0&amp;row=3067&amp;col=6&amp;number=3.3&amp;sourceID=14","3.3")</f>
        <v>3.3</v>
      </c>
      <c r="G3067" s="4" t="str">
        <f>HYPERLINK("http://141.218.60.56/~jnz1568/getInfo.php?workbook=14_09.xlsx&amp;sheet=U0&amp;row=3067&amp;col=7&amp;number=0.00346&amp;sourceID=14","0.00346")</f>
        <v>0.00346</v>
      </c>
    </row>
    <row r="3068" spans="1:7">
      <c r="A3068" s="3"/>
      <c r="B3068" s="3"/>
      <c r="C3068" s="3"/>
      <c r="D3068" s="3"/>
      <c r="E3068" s="3">
        <v>5</v>
      </c>
      <c r="F3068" s="4" t="str">
        <f>HYPERLINK("http://141.218.60.56/~jnz1568/getInfo.php?workbook=14_09.xlsx&amp;sheet=U0&amp;row=3068&amp;col=6&amp;number=3.4&amp;sourceID=14","3.4")</f>
        <v>3.4</v>
      </c>
      <c r="G3068" s="4" t="str">
        <f>HYPERLINK("http://141.218.60.56/~jnz1568/getInfo.php?workbook=14_09.xlsx&amp;sheet=U0&amp;row=3068&amp;col=7&amp;number=0.00346&amp;sourceID=14","0.00346")</f>
        <v>0.00346</v>
      </c>
    </row>
    <row r="3069" spans="1:7">
      <c r="A3069" s="3"/>
      <c r="B3069" s="3"/>
      <c r="C3069" s="3"/>
      <c r="D3069" s="3"/>
      <c r="E3069" s="3">
        <v>6</v>
      </c>
      <c r="F3069" s="4" t="str">
        <f>HYPERLINK("http://141.218.60.56/~jnz1568/getInfo.php?workbook=14_09.xlsx&amp;sheet=U0&amp;row=3069&amp;col=6&amp;number=3.5&amp;sourceID=14","3.5")</f>
        <v>3.5</v>
      </c>
      <c r="G3069" s="4" t="str">
        <f>HYPERLINK("http://141.218.60.56/~jnz1568/getInfo.php?workbook=14_09.xlsx&amp;sheet=U0&amp;row=3069&amp;col=7&amp;number=0.00345&amp;sourceID=14","0.00345")</f>
        <v>0.00345</v>
      </c>
    </row>
    <row r="3070" spans="1:7">
      <c r="A3070" s="3"/>
      <c r="B3070" s="3"/>
      <c r="C3070" s="3"/>
      <c r="D3070" s="3"/>
      <c r="E3070" s="3">
        <v>7</v>
      </c>
      <c r="F3070" s="4" t="str">
        <f>HYPERLINK("http://141.218.60.56/~jnz1568/getInfo.php?workbook=14_09.xlsx&amp;sheet=U0&amp;row=3070&amp;col=6&amp;number=3.6&amp;sourceID=14","3.6")</f>
        <v>3.6</v>
      </c>
      <c r="G3070" s="4" t="str">
        <f>HYPERLINK("http://141.218.60.56/~jnz1568/getInfo.php?workbook=14_09.xlsx&amp;sheet=U0&amp;row=3070&amp;col=7&amp;number=0.00343&amp;sourceID=14","0.00343")</f>
        <v>0.00343</v>
      </c>
    </row>
    <row r="3071" spans="1:7">
      <c r="A3071" s="3"/>
      <c r="B3071" s="3"/>
      <c r="C3071" s="3"/>
      <c r="D3071" s="3"/>
      <c r="E3071" s="3">
        <v>8</v>
      </c>
      <c r="F3071" s="4" t="str">
        <f>HYPERLINK("http://141.218.60.56/~jnz1568/getInfo.php?workbook=14_09.xlsx&amp;sheet=U0&amp;row=3071&amp;col=6&amp;number=3.7&amp;sourceID=14","3.7")</f>
        <v>3.7</v>
      </c>
      <c r="G3071" s="4" t="str">
        <f>HYPERLINK("http://141.218.60.56/~jnz1568/getInfo.php?workbook=14_09.xlsx&amp;sheet=U0&amp;row=3071&amp;col=7&amp;number=0.00342&amp;sourceID=14","0.00342")</f>
        <v>0.00342</v>
      </c>
    </row>
    <row r="3072" spans="1:7">
      <c r="A3072" s="3"/>
      <c r="B3072" s="3"/>
      <c r="C3072" s="3"/>
      <c r="D3072" s="3"/>
      <c r="E3072" s="3">
        <v>9</v>
      </c>
      <c r="F3072" s="4" t="str">
        <f>HYPERLINK("http://141.218.60.56/~jnz1568/getInfo.php?workbook=14_09.xlsx&amp;sheet=U0&amp;row=3072&amp;col=6&amp;number=3.8&amp;sourceID=14","3.8")</f>
        <v>3.8</v>
      </c>
      <c r="G3072" s="4" t="str">
        <f>HYPERLINK("http://141.218.60.56/~jnz1568/getInfo.php?workbook=14_09.xlsx&amp;sheet=U0&amp;row=3072&amp;col=7&amp;number=0.0034&amp;sourceID=14","0.0034")</f>
        <v>0.0034</v>
      </c>
    </row>
    <row r="3073" spans="1:7">
      <c r="A3073" s="3"/>
      <c r="B3073" s="3"/>
      <c r="C3073" s="3"/>
      <c r="D3073" s="3"/>
      <c r="E3073" s="3">
        <v>10</v>
      </c>
      <c r="F3073" s="4" t="str">
        <f>HYPERLINK("http://141.218.60.56/~jnz1568/getInfo.php?workbook=14_09.xlsx&amp;sheet=U0&amp;row=3073&amp;col=6&amp;number=3.9&amp;sourceID=14","3.9")</f>
        <v>3.9</v>
      </c>
      <c r="G3073" s="4" t="str">
        <f>HYPERLINK("http://141.218.60.56/~jnz1568/getInfo.php?workbook=14_09.xlsx&amp;sheet=U0&amp;row=3073&amp;col=7&amp;number=0.00337&amp;sourceID=14","0.00337")</f>
        <v>0.00337</v>
      </c>
    </row>
    <row r="3074" spans="1:7">
      <c r="A3074" s="3"/>
      <c r="B3074" s="3"/>
      <c r="C3074" s="3"/>
      <c r="D3074" s="3"/>
      <c r="E3074" s="3">
        <v>11</v>
      </c>
      <c r="F3074" s="4" t="str">
        <f>HYPERLINK("http://141.218.60.56/~jnz1568/getInfo.php?workbook=14_09.xlsx&amp;sheet=U0&amp;row=3074&amp;col=6&amp;number=4&amp;sourceID=14","4")</f>
        <v>4</v>
      </c>
      <c r="G3074" s="4" t="str">
        <f>HYPERLINK("http://141.218.60.56/~jnz1568/getInfo.php?workbook=14_09.xlsx&amp;sheet=U0&amp;row=3074&amp;col=7&amp;number=0.00334&amp;sourceID=14","0.00334")</f>
        <v>0.00334</v>
      </c>
    </row>
    <row r="3075" spans="1:7">
      <c r="A3075" s="3"/>
      <c r="B3075" s="3"/>
      <c r="C3075" s="3"/>
      <c r="D3075" s="3"/>
      <c r="E3075" s="3">
        <v>12</v>
      </c>
      <c r="F3075" s="4" t="str">
        <f>HYPERLINK("http://141.218.60.56/~jnz1568/getInfo.php?workbook=14_09.xlsx&amp;sheet=U0&amp;row=3075&amp;col=6&amp;number=4.1&amp;sourceID=14","4.1")</f>
        <v>4.1</v>
      </c>
      <c r="G3075" s="4" t="str">
        <f>HYPERLINK("http://141.218.60.56/~jnz1568/getInfo.php?workbook=14_09.xlsx&amp;sheet=U0&amp;row=3075&amp;col=7&amp;number=0.0033&amp;sourceID=14","0.0033")</f>
        <v>0.0033</v>
      </c>
    </row>
    <row r="3076" spans="1:7">
      <c r="A3076" s="3"/>
      <c r="B3076" s="3"/>
      <c r="C3076" s="3"/>
      <c r="D3076" s="3"/>
      <c r="E3076" s="3">
        <v>13</v>
      </c>
      <c r="F3076" s="4" t="str">
        <f>HYPERLINK("http://141.218.60.56/~jnz1568/getInfo.php?workbook=14_09.xlsx&amp;sheet=U0&amp;row=3076&amp;col=6&amp;number=4.2&amp;sourceID=14","4.2")</f>
        <v>4.2</v>
      </c>
      <c r="G3076" s="4" t="str">
        <f>HYPERLINK("http://141.218.60.56/~jnz1568/getInfo.php?workbook=14_09.xlsx&amp;sheet=U0&amp;row=3076&amp;col=7&amp;number=0.00326&amp;sourceID=14","0.00326")</f>
        <v>0.00326</v>
      </c>
    </row>
    <row r="3077" spans="1:7">
      <c r="A3077" s="3"/>
      <c r="B3077" s="3"/>
      <c r="C3077" s="3"/>
      <c r="D3077" s="3"/>
      <c r="E3077" s="3">
        <v>14</v>
      </c>
      <c r="F3077" s="4" t="str">
        <f>HYPERLINK("http://141.218.60.56/~jnz1568/getInfo.php?workbook=14_09.xlsx&amp;sheet=U0&amp;row=3077&amp;col=6&amp;number=4.3&amp;sourceID=14","4.3")</f>
        <v>4.3</v>
      </c>
      <c r="G3077" s="4" t="str">
        <f>HYPERLINK("http://141.218.60.56/~jnz1568/getInfo.php?workbook=14_09.xlsx&amp;sheet=U0&amp;row=3077&amp;col=7&amp;number=0.00321&amp;sourceID=14","0.00321")</f>
        <v>0.00321</v>
      </c>
    </row>
    <row r="3078" spans="1:7">
      <c r="A3078" s="3"/>
      <c r="B3078" s="3"/>
      <c r="C3078" s="3"/>
      <c r="D3078" s="3"/>
      <c r="E3078" s="3">
        <v>15</v>
      </c>
      <c r="F3078" s="4" t="str">
        <f>HYPERLINK("http://141.218.60.56/~jnz1568/getInfo.php?workbook=14_09.xlsx&amp;sheet=U0&amp;row=3078&amp;col=6&amp;number=4.4&amp;sourceID=14","4.4")</f>
        <v>4.4</v>
      </c>
      <c r="G3078" s="4" t="str">
        <f>HYPERLINK("http://141.218.60.56/~jnz1568/getInfo.php?workbook=14_09.xlsx&amp;sheet=U0&amp;row=3078&amp;col=7&amp;number=0.00315&amp;sourceID=14","0.00315")</f>
        <v>0.00315</v>
      </c>
    </row>
    <row r="3079" spans="1:7">
      <c r="A3079" s="3"/>
      <c r="B3079" s="3"/>
      <c r="C3079" s="3"/>
      <c r="D3079" s="3"/>
      <c r="E3079" s="3">
        <v>16</v>
      </c>
      <c r="F3079" s="4" t="str">
        <f>HYPERLINK("http://141.218.60.56/~jnz1568/getInfo.php?workbook=14_09.xlsx&amp;sheet=U0&amp;row=3079&amp;col=6&amp;number=4.5&amp;sourceID=14","4.5")</f>
        <v>4.5</v>
      </c>
      <c r="G3079" s="4" t="str">
        <f>HYPERLINK("http://141.218.60.56/~jnz1568/getInfo.php?workbook=14_09.xlsx&amp;sheet=U0&amp;row=3079&amp;col=7&amp;number=0.00309&amp;sourceID=14","0.00309")</f>
        <v>0.00309</v>
      </c>
    </row>
    <row r="3080" spans="1:7">
      <c r="A3080" s="3"/>
      <c r="B3080" s="3"/>
      <c r="C3080" s="3"/>
      <c r="D3080" s="3"/>
      <c r="E3080" s="3">
        <v>17</v>
      </c>
      <c r="F3080" s="4" t="str">
        <f>HYPERLINK("http://141.218.60.56/~jnz1568/getInfo.php?workbook=14_09.xlsx&amp;sheet=U0&amp;row=3080&amp;col=6&amp;number=4.6&amp;sourceID=14","4.6")</f>
        <v>4.6</v>
      </c>
      <c r="G3080" s="4" t="str">
        <f>HYPERLINK("http://141.218.60.56/~jnz1568/getInfo.php?workbook=14_09.xlsx&amp;sheet=U0&amp;row=3080&amp;col=7&amp;number=0.00303&amp;sourceID=14","0.00303")</f>
        <v>0.00303</v>
      </c>
    </row>
    <row r="3081" spans="1:7">
      <c r="A3081" s="3"/>
      <c r="B3081" s="3"/>
      <c r="C3081" s="3"/>
      <c r="D3081" s="3"/>
      <c r="E3081" s="3">
        <v>18</v>
      </c>
      <c r="F3081" s="4" t="str">
        <f>HYPERLINK("http://141.218.60.56/~jnz1568/getInfo.php?workbook=14_09.xlsx&amp;sheet=U0&amp;row=3081&amp;col=6&amp;number=4.7&amp;sourceID=14","4.7")</f>
        <v>4.7</v>
      </c>
      <c r="G3081" s="4" t="str">
        <f>HYPERLINK("http://141.218.60.56/~jnz1568/getInfo.php?workbook=14_09.xlsx&amp;sheet=U0&amp;row=3081&amp;col=7&amp;number=0.00296&amp;sourceID=14","0.00296")</f>
        <v>0.00296</v>
      </c>
    </row>
    <row r="3082" spans="1:7">
      <c r="A3082" s="3"/>
      <c r="B3082" s="3"/>
      <c r="C3082" s="3"/>
      <c r="D3082" s="3"/>
      <c r="E3082" s="3">
        <v>19</v>
      </c>
      <c r="F3082" s="4" t="str">
        <f>HYPERLINK("http://141.218.60.56/~jnz1568/getInfo.php?workbook=14_09.xlsx&amp;sheet=U0&amp;row=3082&amp;col=6&amp;number=4.8&amp;sourceID=14","4.8")</f>
        <v>4.8</v>
      </c>
      <c r="G3082" s="4" t="str">
        <f>HYPERLINK("http://141.218.60.56/~jnz1568/getInfo.php?workbook=14_09.xlsx&amp;sheet=U0&amp;row=3082&amp;col=7&amp;number=0.00288&amp;sourceID=14","0.00288")</f>
        <v>0.00288</v>
      </c>
    </row>
    <row r="3083" spans="1:7">
      <c r="A3083" s="3"/>
      <c r="B3083" s="3"/>
      <c r="C3083" s="3"/>
      <c r="D3083" s="3"/>
      <c r="E3083" s="3">
        <v>20</v>
      </c>
      <c r="F3083" s="4" t="str">
        <f>HYPERLINK("http://141.218.60.56/~jnz1568/getInfo.php?workbook=14_09.xlsx&amp;sheet=U0&amp;row=3083&amp;col=6&amp;number=4.9&amp;sourceID=14","4.9")</f>
        <v>4.9</v>
      </c>
      <c r="G3083" s="4" t="str">
        <f>HYPERLINK("http://141.218.60.56/~jnz1568/getInfo.php?workbook=14_09.xlsx&amp;sheet=U0&amp;row=3083&amp;col=7&amp;number=0.00276&amp;sourceID=14","0.00276")</f>
        <v>0.00276</v>
      </c>
    </row>
    <row r="3084" spans="1:7">
      <c r="A3084" s="3">
        <v>14</v>
      </c>
      <c r="B3084" s="3">
        <v>9</v>
      </c>
      <c r="C3084" s="3">
        <v>1</v>
      </c>
      <c r="D3084" s="3">
        <v>156</v>
      </c>
      <c r="E3084" s="3">
        <v>1</v>
      </c>
      <c r="F3084" s="4" t="str">
        <f>HYPERLINK("http://141.218.60.56/~jnz1568/getInfo.php?workbook=14_09.xlsx&amp;sheet=U0&amp;row=3084&amp;col=6&amp;number=3&amp;sourceID=14","3")</f>
        <v>3</v>
      </c>
      <c r="G3084" s="4" t="str">
        <f>HYPERLINK("http://141.218.60.56/~jnz1568/getInfo.php?workbook=14_09.xlsx&amp;sheet=U0&amp;row=3084&amp;col=7&amp;number=0.012&amp;sourceID=14","0.012")</f>
        <v>0.012</v>
      </c>
    </row>
    <row r="3085" spans="1:7">
      <c r="A3085" s="3"/>
      <c r="B3085" s="3"/>
      <c r="C3085" s="3"/>
      <c r="D3085" s="3"/>
      <c r="E3085" s="3">
        <v>2</v>
      </c>
      <c r="F3085" s="4" t="str">
        <f>HYPERLINK("http://141.218.60.56/~jnz1568/getInfo.php?workbook=14_09.xlsx&amp;sheet=U0&amp;row=3085&amp;col=6&amp;number=3.1&amp;sourceID=14","3.1")</f>
        <v>3.1</v>
      </c>
      <c r="G3085" s="4" t="str">
        <f>HYPERLINK("http://141.218.60.56/~jnz1568/getInfo.php?workbook=14_09.xlsx&amp;sheet=U0&amp;row=3085&amp;col=7&amp;number=0.012&amp;sourceID=14","0.012")</f>
        <v>0.012</v>
      </c>
    </row>
    <row r="3086" spans="1:7">
      <c r="A3086" s="3"/>
      <c r="B3086" s="3"/>
      <c r="C3086" s="3"/>
      <c r="D3086" s="3"/>
      <c r="E3086" s="3">
        <v>3</v>
      </c>
      <c r="F3086" s="4" t="str">
        <f>HYPERLINK("http://141.218.60.56/~jnz1568/getInfo.php?workbook=14_09.xlsx&amp;sheet=U0&amp;row=3086&amp;col=6&amp;number=3.2&amp;sourceID=14","3.2")</f>
        <v>3.2</v>
      </c>
      <c r="G3086" s="4" t="str">
        <f>HYPERLINK("http://141.218.60.56/~jnz1568/getInfo.php?workbook=14_09.xlsx&amp;sheet=U0&amp;row=3086&amp;col=7&amp;number=0.012&amp;sourceID=14","0.012")</f>
        <v>0.012</v>
      </c>
    </row>
    <row r="3087" spans="1:7">
      <c r="A3087" s="3"/>
      <c r="B3087" s="3"/>
      <c r="C3087" s="3"/>
      <c r="D3087" s="3"/>
      <c r="E3087" s="3">
        <v>4</v>
      </c>
      <c r="F3087" s="4" t="str">
        <f>HYPERLINK("http://141.218.60.56/~jnz1568/getInfo.php?workbook=14_09.xlsx&amp;sheet=U0&amp;row=3087&amp;col=6&amp;number=3.3&amp;sourceID=14","3.3")</f>
        <v>3.3</v>
      </c>
      <c r="G3087" s="4" t="str">
        <f>HYPERLINK("http://141.218.60.56/~jnz1568/getInfo.php?workbook=14_09.xlsx&amp;sheet=U0&amp;row=3087&amp;col=7&amp;number=0.012&amp;sourceID=14","0.012")</f>
        <v>0.012</v>
      </c>
    </row>
    <row r="3088" spans="1:7">
      <c r="A3088" s="3"/>
      <c r="B3088" s="3"/>
      <c r="C3088" s="3"/>
      <c r="D3088" s="3"/>
      <c r="E3088" s="3">
        <v>5</v>
      </c>
      <c r="F3088" s="4" t="str">
        <f>HYPERLINK("http://141.218.60.56/~jnz1568/getInfo.php?workbook=14_09.xlsx&amp;sheet=U0&amp;row=3088&amp;col=6&amp;number=3.4&amp;sourceID=14","3.4")</f>
        <v>3.4</v>
      </c>
      <c r="G3088" s="4" t="str">
        <f>HYPERLINK("http://141.218.60.56/~jnz1568/getInfo.php?workbook=14_09.xlsx&amp;sheet=U0&amp;row=3088&amp;col=7&amp;number=0.012&amp;sourceID=14","0.012")</f>
        <v>0.012</v>
      </c>
    </row>
    <row r="3089" spans="1:7">
      <c r="A3089" s="3"/>
      <c r="B3089" s="3"/>
      <c r="C3089" s="3"/>
      <c r="D3089" s="3"/>
      <c r="E3089" s="3">
        <v>6</v>
      </c>
      <c r="F3089" s="4" t="str">
        <f>HYPERLINK("http://141.218.60.56/~jnz1568/getInfo.php?workbook=14_09.xlsx&amp;sheet=U0&amp;row=3089&amp;col=6&amp;number=3.5&amp;sourceID=14","3.5")</f>
        <v>3.5</v>
      </c>
      <c r="G3089" s="4" t="str">
        <f>HYPERLINK("http://141.218.60.56/~jnz1568/getInfo.php?workbook=14_09.xlsx&amp;sheet=U0&amp;row=3089&amp;col=7&amp;number=0.012&amp;sourceID=14","0.012")</f>
        <v>0.012</v>
      </c>
    </row>
    <row r="3090" spans="1:7">
      <c r="A3090" s="3"/>
      <c r="B3090" s="3"/>
      <c r="C3090" s="3"/>
      <c r="D3090" s="3"/>
      <c r="E3090" s="3">
        <v>7</v>
      </c>
      <c r="F3090" s="4" t="str">
        <f>HYPERLINK("http://141.218.60.56/~jnz1568/getInfo.php?workbook=14_09.xlsx&amp;sheet=U0&amp;row=3090&amp;col=6&amp;number=3.6&amp;sourceID=14","3.6")</f>
        <v>3.6</v>
      </c>
      <c r="G3090" s="4" t="str">
        <f>HYPERLINK("http://141.218.60.56/~jnz1568/getInfo.php?workbook=14_09.xlsx&amp;sheet=U0&amp;row=3090&amp;col=7&amp;number=0.012&amp;sourceID=14","0.012")</f>
        <v>0.012</v>
      </c>
    </row>
    <row r="3091" spans="1:7">
      <c r="A3091" s="3"/>
      <c r="B3091" s="3"/>
      <c r="C3091" s="3"/>
      <c r="D3091" s="3"/>
      <c r="E3091" s="3">
        <v>8</v>
      </c>
      <c r="F3091" s="4" t="str">
        <f>HYPERLINK("http://141.218.60.56/~jnz1568/getInfo.php?workbook=14_09.xlsx&amp;sheet=U0&amp;row=3091&amp;col=6&amp;number=3.7&amp;sourceID=14","3.7")</f>
        <v>3.7</v>
      </c>
      <c r="G3091" s="4" t="str">
        <f>HYPERLINK("http://141.218.60.56/~jnz1568/getInfo.php?workbook=14_09.xlsx&amp;sheet=U0&amp;row=3091&amp;col=7&amp;number=0.012&amp;sourceID=14","0.012")</f>
        <v>0.012</v>
      </c>
    </row>
    <row r="3092" spans="1:7">
      <c r="A3092" s="3"/>
      <c r="B3092" s="3"/>
      <c r="C3092" s="3"/>
      <c r="D3092" s="3"/>
      <c r="E3092" s="3">
        <v>9</v>
      </c>
      <c r="F3092" s="4" t="str">
        <f>HYPERLINK("http://141.218.60.56/~jnz1568/getInfo.php?workbook=14_09.xlsx&amp;sheet=U0&amp;row=3092&amp;col=6&amp;number=3.8&amp;sourceID=14","3.8")</f>
        <v>3.8</v>
      </c>
      <c r="G3092" s="4" t="str">
        <f>HYPERLINK("http://141.218.60.56/~jnz1568/getInfo.php?workbook=14_09.xlsx&amp;sheet=U0&amp;row=3092&amp;col=7&amp;number=0.0119&amp;sourceID=14","0.0119")</f>
        <v>0.0119</v>
      </c>
    </row>
    <row r="3093" spans="1:7">
      <c r="A3093" s="3"/>
      <c r="B3093" s="3"/>
      <c r="C3093" s="3"/>
      <c r="D3093" s="3"/>
      <c r="E3093" s="3">
        <v>10</v>
      </c>
      <c r="F3093" s="4" t="str">
        <f>HYPERLINK("http://141.218.60.56/~jnz1568/getInfo.php?workbook=14_09.xlsx&amp;sheet=U0&amp;row=3093&amp;col=6&amp;number=3.9&amp;sourceID=14","3.9")</f>
        <v>3.9</v>
      </c>
      <c r="G3093" s="4" t="str">
        <f>HYPERLINK("http://141.218.60.56/~jnz1568/getInfo.php?workbook=14_09.xlsx&amp;sheet=U0&amp;row=3093&amp;col=7&amp;number=0.0119&amp;sourceID=14","0.0119")</f>
        <v>0.0119</v>
      </c>
    </row>
    <row r="3094" spans="1:7">
      <c r="A3094" s="3"/>
      <c r="B3094" s="3"/>
      <c r="C3094" s="3"/>
      <c r="D3094" s="3"/>
      <c r="E3094" s="3">
        <v>11</v>
      </c>
      <c r="F3094" s="4" t="str">
        <f>HYPERLINK("http://141.218.60.56/~jnz1568/getInfo.php?workbook=14_09.xlsx&amp;sheet=U0&amp;row=3094&amp;col=6&amp;number=4&amp;sourceID=14","4")</f>
        <v>4</v>
      </c>
      <c r="G3094" s="4" t="str">
        <f>HYPERLINK("http://141.218.60.56/~jnz1568/getInfo.php?workbook=14_09.xlsx&amp;sheet=U0&amp;row=3094&amp;col=7&amp;number=0.0119&amp;sourceID=14","0.0119")</f>
        <v>0.0119</v>
      </c>
    </row>
    <row r="3095" spans="1:7">
      <c r="A3095" s="3"/>
      <c r="B3095" s="3"/>
      <c r="C3095" s="3"/>
      <c r="D3095" s="3"/>
      <c r="E3095" s="3">
        <v>12</v>
      </c>
      <c r="F3095" s="4" t="str">
        <f>HYPERLINK("http://141.218.60.56/~jnz1568/getInfo.php?workbook=14_09.xlsx&amp;sheet=U0&amp;row=3095&amp;col=6&amp;number=4.1&amp;sourceID=14","4.1")</f>
        <v>4.1</v>
      </c>
      <c r="G3095" s="4" t="str">
        <f>HYPERLINK("http://141.218.60.56/~jnz1568/getInfo.php?workbook=14_09.xlsx&amp;sheet=U0&amp;row=3095&amp;col=7&amp;number=0.0119&amp;sourceID=14","0.0119")</f>
        <v>0.0119</v>
      </c>
    </row>
    <row r="3096" spans="1:7">
      <c r="A3096" s="3"/>
      <c r="B3096" s="3"/>
      <c r="C3096" s="3"/>
      <c r="D3096" s="3"/>
      <c r="E3096" s="3">
        <v>13</v>
      </c>
      <c r="F3096" s="4" t="str">
        <f>HYPERLINK("http://141.218.60.56/~jnz1568/getInfo.php?workbook=14_09.xlsx&amp;sheet=U0&amp;row=3096&amp;col=6&amp;number=4.2&amp;sourceID=14","4.2")</f>
        <v>4.2</v>
      </c>
      <c r="G3096" s="4" t="str">
        <f>HYPERLINK("http://141.218.60.56/~jnz1568/getInfo.php?workbook=14_09.xlsx&amp;sheet=U0&amp;row=3096&amp;col=7&amp;number=0.0118&amp;sourceID=14","0.0118")</f>
        <v>0.0118</v>
      </c>
    </row>
    <row r="3097" spans="1:7">
      <c r="A3097" s="3"/>
      <c r="B3097" s="3"/>
      <c r="C3097" s="3"/>
      <c r="D3097" s="3"/>
      <c r="E3097" s="3">
        <v>14</v>
      </c>
      <c r="F3097" s="4" t="str">
        <f>HYPERLINK("http://141.218.60.56/~jnz1568/getInfo.php?workbook=14_09.xlsx&amp;sheet=U0&amp;row=3097&amp;col=6&amp;number=4.3&amp;sourceID=14","4.3")</f>
        <v>4.3</v>
      </c>
      <c r="G3097" s="4" t="str">
        <f>HYPERLINK("http://141.218.60.56/~jnz1568/getInfo.php?workbook=14_09.xlsx&amp;sheet=U0&amp;row=3097&amp;col=7&amp;number=0.0118&amp;sourceID=14","0.0118")</f>
        <v>0.0118</v>
      </c>
    </row>
    <row r="3098" spans="1:7">
      <c r="A3098" s="3"/>
      <c r="B3098" s="3"/>
      <c r="C3098" s="3"/>
      <c r="D3098" s="3"/>
      <c r="E3098" s="3">
        <v>15</v>
      </c>
      <c r="F3098" s="4" t="str">
        <f>HYPERLINK("http://141.218.60.56/~jnz1568/getInfo.php?workbook=14_09.xlsx&amp;sheet=U0&amp;row=3098&amp;col=6&amp;number=4.4&amp;sourceID=14","4.4")</f>
        <v>4.4</v>
      </c>
      <c r="G3098" s="4" t="str">
        <f>HYPERLINK("http://141.218.60.56/~jnz1568/getInfo.php?workbook=14_09.xlsx&amp;sheet=U0&amp;row=3098&amp;col=7&amp;number=0.0117&amp;sourceID=14","0.0117")</f>
        <v>0.0117</v>
      </c>
    </row>
    <row r="3099" spans="1:7">
      <c r="A3099" s="3"/>
      <c r="B3099" s="3"/>
      <c r="C3099" s="3"/>
      <c r="D3099" s="3"/>
      <c r="E3099" s="3">
        <v>16</v>
      </c>
      <c r="F3099" s="4" t="str">
        <f>HYPERLINK("http://141.218.60.56/~jnz1568/getInfo.php?workbook=14_09.xlsx&amp;sheet=U0&amp;row=3099&amp;col=6&amp;number=4.5&amp;sourceID=14","4.5")</f>
        <v>4.5</v>
      </c>
      <c r="G3099" s="4" t="str">
        <f>HYPERLINK("http://141.218.60.56/~jnz1568/getInfo.php?workbook=14_09.xlsx&amp;sheet=U0&amp;row=3099&amp;col=7&amp;number=0.0116&amp;sourceID=14","0.0116")</f>
        <v>0.0116</v>
      </c>
    </row>
    <row r="3100" spans="1:7">
      <c r="A3100" s="3"/>
      <c r="B3100" s="3"/>
      <c r="C3100" s="3"/>
      <c r="D3100" s="3"/>
      <c r="E3100" s="3">
        <v>17</v>
      </c>
      <c r="F3100" s="4" t="str">
        <f>HYPERLINK("http://141.218.60.56/~jnz1568/getInfo.php?workbook=14_09.xlsx&amp;sheet=U0&amp;row=3100&amp;col=6&amp;number=4.6&amp;sourceID=14","4.6")</f>
        <v>4.6</v>
      </c>
      <c r="G3100" s="4" t="str">
        <f>HYPERLINK("http://141.218.60.56/~jnz1568/getInfo.php?workbook=14_09.xlsx&amp;sheet=U0&amp;row=3100&amp;col=7&amp;number=0.0115&amp;sourceID=14","0.0115")</f>
        <v>0.0115</v>
      </c>
    </row>
    <row r="3101" spans="1:7">
      <c r="A3101" s="3"/>
      <c r="B3101" s="3"/>
      <c r="C3101" s="3"/>
      <c r="D3101" s="3"/>
      <c r="E3101" s="3">
        <v>18</v>
      </c>
      <c r="F3101" s="4" t="str">
        <f>HYPERLINK("http://141.218.60.56/~jnz1568/getInfo.php?workbook=14_09.xlsx&amp;sheet=U0&amp;row=3101&amp;col=6&amp;number=4.7&amp;sourceID=14","4.7")</f>
        <v>4.7</v>
      </c>
      <c r="G3101" s="4" t="str">
        <f>HYPERLINK("http://141.218.60.56/~jnz1568/getInfo.php?workbook=14_09.xlsx&amp;sheet=U0&amp;row=3101&amp;col=7&amp;number=0.0113&amp;sourceID=14","0.0113")</f>
        <v>0.0113</v>
      </c>
    </row>
    <row r="3102" spans="1:7">
      <c r="A3102" s="3"/>
      <c r="B3102" s="3"/>
      <c r="C3102" s="3"/>
      <c r="D3102" s="3"/>
      <c r="E3102" s="3">
        <v>19</v>
      </c>
      <c r="F3102" s="4" t="str">
        <f>HYPERLINK("http://141.218.60.56/~jnz1568/getInfo.php?workbook=14_09.xlsx&amp;sheet=U0&amp;row=3102&amp;col=6&amp;number=4.8&amp;sourceID=14","4.8")</f>
        <v>4.8</v>
      </c>
      <c r="G3102" s="4" t="str">
        <f>HYPERLINK("http://141.218.60.56/~jnz1568/getInfo.php?workbook=14_09.xlsx&amp;sheet=U0&amp;row=3102&amp;col=7&amp;number=0.0112&amp;sourceID=14","0.0112")</f>
        <v>0.0112</v>
      </c>
    </row>
    <row r="3103" spans="1:7">
      <c r="A3103" s="3"/>
      <c r="B3103" s="3"/>
      <c r="C3103" s="3"/>
      <c r="D3103" s="3"/>
      <c r="E3103" s="3">
        <v>20</v>
      </c>
      <c r="F3103" s="4" t="str">
        <f>HYPERLINK("http://141.218.60.56/~jnz1568/getInfo.php?workbook=14_09.xlsx&amp;sheet=U0&amp;row=3103&amp;col=6&amp;number=4.9&amp;sourceID=14","4.9")</f>
        <v>4.9</v>
      </c>
      <c r="G3103" s="4" t="str">
        <f>HYPERLINK("http://141.218.60.56/~jnz1568/getInfo.php?workbook=14_09.xlsx&amp;sheet=U0&amp;row=3103&amp;col=7&amp;number=0.011&amp;sourceID=14","0.011")</f>
        <v>0.011</v>
      </c>
    </row>
    <row r="3104" spans="1:7">
      <c r="A3104" s="3">
        <v>14</v>
      </c>
      <c r="B3104" s="3">
        <v>9</v>
      </c>
      <c r="C3104" s="3">
        <v>1</v>
      </c>
      <c r="D3104" s="3">
        <v>157</v>
      </c>
      <c r="E3104" s="3">
        <v>1</v>
      </c>
      <c r="F3104" s="4" t="str">
        <f>HYPERLINK("http://141.218.60.56/~jnz1568/getInfo.php?workbook=14_09.xlsx&amp;sheet=U0&amp;row=3104&amp;col=6&amp;number=3&amp;sourceID=14","3")</f>
        <v>3</v>
      </c>
      <c r="G3104" s="4" t="str">
        <f>HYPERLINK("http://141.218.60.56/~jnz1568/getInfo.php?workbook=14_09.xlsx&amp;sheet=U0&amp;row=3104&amp;col=7&amp;number=0.00762&amp;sourceID=14","0.00762")</f>
        <v>0.00762</v>
      </c>
    </row>
    <row r="3105" spans="1:7">
      <c r="A3105" s="3"/>
      <c r="B3105" s="3"/>
      <c r="C3105" s="3"/>
      <c r="D3105" s="3"/>
      <c r="E3105" s="3">
        <v>2</v>
      </c>
      <c r="F3105" s="4" t="str">
        <f>HYPERLINK("http://141.218.60.56/~jnz1568/getInfo.php?workbook=14_09.xlsx&amp;sheet=U0&amp;row=3105&amp;col=6&amp;number=3.1&amp;sourceID=14","3.1")</f>
        <v>3.1</v>
      </c>
      <c r="G3105" s="4" t="str">
        <f>HYPERLINK("http://141.218.60.56/~jnz1568/getInfo.php?workbook=14_09.xlsx&amp;sheet=U0&amp;row=3105&amp;col=7&amp;number=0.00761&amp;sourceID=14","0.00761")</f>
        <v>0.00761</v>
      </c>
    </row>
    <row r="3106" spans="1:7">
      <c r="A3106" s="3"/>
      <c r="B3106" s="3"/>
      <c r="C3106" s="3"/>
      <c r="D3106" s="3"/>
      <c r="E3106" s="3">
        <v>3</v>
      </c>
      <c r="F3106" s="4" t="str">
        <f>HYPERLINK("http://141.218.60.56/~jnz1568/getInfo.php?workbook=14_09.xlsx&amp;sheet=U0&amp;row=3106&amp;col=6&amp;number=3.2&amp;sourceID=14","3.2")</f>
        <v>3.2</v>
      </c>
      <c r="G3106" s="4" t="str">
        <f>HYPERLINK("http://141.218.60.56/~jnz1568/getInfo.php?workbook=14_09.xlsx&amp;sheet=U0&amp;row=3106&amp;col=7&amp;number=0.00761&amp;sourceID=14","0.00761")</f>
        <v>0.00761</v>
      </c>
    </row>
    <row r="3107" spans="1:7">
      <c r="A3107" s="3"/>
      <c r="B3107" s="3"/>
      <c r="C3107" s="3"/>
      <c r="D3107" s="3"/>
      <c r="E3107" s="3">
        <v>4</v>
      </c>
      <c r="F3107" s="4" t="str">
        <f>HYPERLINK("http://141.218.60.56/~jnz1568/getInfo.php?workbook=14_09.xlsx&amp;sheet=U0&amp;row=3107&amp;col=6&amp;number=3.3&amp;sourceID=14","3.3")</f>
        <v>3.3</v>
      </c>
      <c r="G3107" s="4" t="str">
        <f>HYPERLINK("http://141.218.60.56/~jnz1568/getInfo.php?workbook=14_09.xlsx&amp;sheet=U0&amp;row=3107&amp;col=7&amp;number=0.0076&amp;sourceID=14","0.0076")</f>
        <v>0.0076</v>
      </c>
    </row>
    <row r="3108" spans="1:7">
      <c r="A3108" s="3"/>
      <c r="B3108" s="3"/>
      <c r="C3108" s="3"/>
      <c r="D3108" s="3"/>
      <c r="E3108" s="3">
        <v>5</v>
      </c>
      <c r="F3108" s="4" t="str">
        <f>HYPERLINK("http://141.218.60.56/~jnz1568/getInfo.php?workbook=14_09.xlsx&amp;sheet=U0&amp;row=3108&amp;col=6&amp;number=3.4&amp;sourceID=14","3.4")</f>
        <v>3.4</v>
      </c>
      <c r="G3108" s="4" t="str">
        <f>HYPERLINK("http://141.218.60.56/~jnz1568/getInfo.php?workbook=14_09.xlsx&amp;sheet=U0&amp;row=3108&amp;col=7&amp;number=0.00759&amp;sourceID=14","0.00759")</f>
        <v>0.00759</v>
      </c>
    </row>
    <row r="3109" spans="1:7">
      <c r="A3109" s="3"/>
      <c r="B3109" s="3"/>
      <c r="C3109" s="3"/>
      <c r="D3109" s="3"/>
      <c r="E3109" s="3">
        <v>6</v>
      </c>
      <c r="F3109" s="4" t="str">
        <f>HYPERLINK("http://141.218.60.56/~jnz1568/getInfo.php?workbook=14_09.xlsx&amp;sheet=U0&amp;row=3109&amp;col=6&amp;number=3.5&amp;sourceID=14","3.5")</f>
        <v>3.5</v>
      </c>
      <c r="G3109" s="4" t="str">
        <f>HYPERLINK("http://141.218.60.56/~jnz1568/getInfo.php?workbook=14_09.xlsx&amp;sheet=U0&amp;row=3109&amp;col=7&amp;number=0.00758&amp;sourceID=14","0.00758")</f>
        <v>0.00758</v>
      </c>
    </row>
    <row r="3110" spans="1:7">
      <c r="A3110" s="3"/>
      <c r="B3110" s="3"/>
      <c r="C3110" s="3"/>
      <c r="D3110" s="3"/>
      <c r="E3110" s="3">
        <v>7</v>
      </c>
      <c r="F3110" s="4" t="str">
        <f>HYPERLINK("http://141.218.60.56/~jnz1568/getInfo.php?workbook=14_09.xlsx&amp;sheet=U0&amp;row=3110&amp;col=6&amp;number=3.6&amp;sourceID=14","3.6")</f>
        <v>3.6</v>
      </c>
      <c r="G3110" s="4" t="str">
        <f>HYPERLINK("http://141.218.60.56/~jnz1568/getInfo.php?workbook=14_09.xlsx&amp;sheet=U0&amp;row=3110&amp;col=7&amp;number=0.00757&amp;sourceID=14","0.00757")</f>
        <v>0.00757</v>
      </c>
    </row>
    <row r="3111" spans="1:7">
      <c r="A3111" s="3"/>
      <c r="B3111" s="3"/>
      <c r="C3111" s="3"/>
      <c r="D3111" s="3"/>
      <c r="E3111" s="3">
        <v>8</v>
      </c>
      <c r="F3111" s="4" t="str">
        <f>HYPERLINK("http://141.218.60.56/~jnz1568/getInfo.php?workbook=14_09.xlsx&amp;sheet=U0&amp;row=3111&amp;col=6&amp;number=3.7&amp;sourceID=14","3.7")</f>
        <v>3.7</v>
      </c>
      <c r="G3111" s="4" t="str">
        <f>HYPERLINK("http://141.218.60.56/~jnz1568/getInfo.php?workbook=14_09.xlsx&amp;sheet=U0&amp;row=3111&amp;col=7&amp;number=0.00755&amp;sourceID=14","0.00755")</f>
        <v>0.00755</v>
      </c>
    </row>
    <row r="3112" spans="1:7">
      <c r="A3112" s="3"/>
      <c r="B3112" s="3"/>
      <c r="C3112" s="3"/>
      <c r="D3112" s="3"/>
      <c r="E3112" s="3">
        <v>9</v>
      </c>
      <c r="F3112" s="4" t="str">
        <f>HYPERLINK("http://141.218.60.56/~jnz1568/getInfo.php?workbook=14_09.xlsx&amp;sheet=U0&amp;row=3112&amp;col=6&amp;number=3.8&amp;sourceID=14","3.8")</f>
        <v>3.8</v>
      </c>
      <c r="G3112" s="4" t="str">
        <f>HYPERLINK("http://141.218.60.56/~jnz1568/getInfo.php?workbook=14_09.xlsx&amp;sheet=U0&amp;row=3112&amp;col=7&amp;number=0.00753&amp;sourceID=14","0.00753")</f>
        <v>0.00753</v>
      </c>
    </row>
    <row r="3113" spans="1:7">
      <c r="A3113" s="3"/>
      <c r="B3113" s="3"/>
      <c r="C3113" s="3"/>
      <c r="D3113" s="3"/>
      <c r="E3113" s="3">
        <v>10</v>
      </c>
      <c r="F3113" s="4" t="str">
        <f>HYPERLINK("http://141.218.60.56/~jnz1568/getInfo.php?workbook=14_09.xlsx&amp;sheet=U0&amp;row=3113&amp;col=6&amp;number=3.9&amp;sourceID=14","3.9")</f>
        <v>3.9</v>
      </c>
      <c r="G3113" s="4" t="str">
        <f>HYPERLINK("http://141.218.60.56/~jnz1568/getInfo.php?workbook=14_09.xlsx&amp;sheet=U0&amp;row=3113&amp;col=7&amp;number=0.00751&amp;sourceID=14","0.00751")</f>
        <v>0.00751</v>
      </c>
    </row>
    <row r="3114" spans="1:7">
      <c r="A3114" s="3"/>
      <c r="B3114" s="3"/>
      <c r="C3114" s="3"/>
      <c r="D3114" s="3"/>
      <c r="E3114" s="3">
        <v>11</v>
      </c>
      <c r="F3114" s="4" t="str">
        <f>HYPERLINK("http://141.218.60.56/~jnz1568/getInfo.php?workbook=14_09.xlsx&amp;sheet=U0&amp;row=3114&amp;col=6&amp;number=4&amp;sourceID=14","4")</f>
        <v>4</v>
      </c>
      <c r="G3114" s="4" t="str">
        <f>HYPERLINK("http://141.218.60.56/~jnz1568/getInfo.php?workbook=14_09.xlsx&amp;sheet=U0&amp;row=3114&amp;col=7&amp;number=0.00747&amp;sourceID=14","0.00747")</f>
        <v>0.00747</v>
      </c>
    </row>
    <row r="3115" spans="1:7">
      <c r="A3115" s="3"/>
      <c r="B3115" s="3"/>
      <c r="C3115" s="3"/>
      <c r="D3115" s="3"/>
      <c r="E3115" s="3">
        <v>12</v>
      </c>
      <c r="F3115" s="4" t="str">
        <f>HYPERLINK("http://141.218.60.56/~jnz1568/getInfo.php?workbook=14_09.xlsx&amp;sheet=U0&amp;row=3115&amp;col=6&amp;number=4.1&amp;sourceID=14","4.1")</f>
        <v>4.1</v>
      </c>
      <c r="G3115" s="4" t="str">
        <f>HYPERLINK("http://141.218.60.56/~jnz1568/getInfo.php?workbook=14_09.xlsx&amp;sheet=U0&amp;row=3115&amp;col=7&amp;number=0.00743&amp;sourceID=14","0.00743")</f>
        <v>0.00743</v>
      </c>
    </row>
    <row r="3116" spans="1:7">
      <c r="A3116" s="3"/>
      <c r="B3116" s="3"/>
      <c r="C3116" s="3"/>
      <c r="D3116" s="3"/>
      <c r="E3116" s="3">
        <v>13</v>
      </c>
      <c r="F3116" s="4" t="str">
        <f>HYPERLINK("http://141.218.60.56/~jnz1568/getInfo.php?workbook=14_09.xlsx&amp;sheet=U0&amp;row=3116&amp;col=6&amp;number=4.2&amp;sourceID=14","4.2")</f>
        <v>4.2</v>
      </c>
      <c r="G3116" s="4" t="str">
        <f>HYPERLINK("http://141.218.60.56/~jnz1568/getInfo.php?workbook=14_09.xlsx&amp;sheet=U0&amp;row=3116&amp;col=7&amp;number=0.00738&amp;sourceID=14","0.00738")</f>
        <v>0.00738</v>
      </c>
    </row>
    <row r="3117" spans="1:7">
      <c r="A3117" s="3"/>
      <c r="B3117" s="3"/>
      <c r="C3117" s="3"/>
      <c r="D3117" s="3"/>
      <c r="E3117" s="3">
        <v>14</v>
      </c>
      <c r="F3117" s="4" t="str">
        <f>HYPERLINK("http://141.218.60.56/~jnz1568/getInfo.php?workbook=14_09.xlsx&amp;sheet=U0&amp;row=3117&amp;col=6&amp;number=4.3&amp;sourceID=14","4.3")</f>
        <v>4.3</v>
      </c>
      <c r="G3117" s="4" t="str">
        <f>HYPERLINK("http://141.218.60.56/~jnz1568/getInfo.php?workbook=14_09.xlsx&amp;sheet=U0&amp;row=3117&amp;col=7&amp;number=0.00732&amp;sourceID=14","0.00732")</f>
        <v>0.00732</v>
      </c>
    </row>
    <row r="3118" spans="1:7">
      <c r="A3118" s="3"/>
      <c r="B3118" s="3"/>
      <c r="C3118" s="3"/>
      <c r="D3118" s="3"/>
      <c r="E3118" s="3">
        <v>15</v>
      </c>
      <c r="F3118" s="4" t="str">
        <f>HYPERLINK("http://141.218.60.56/~jnz1568/getInfo.php?workbook=14_09.xlsx&amp;sheet=U0&amp;row=3118&amp;col=6&amp;number=4.4&amp;sourceID=14","4.4")</f>
        <v>4.4</v>
      </c>
      <c r="G3118" s="4" t="str">
        <f>HYPERLINK("http://141.218.60.56/~jnz1568/getInfo.php?workbook=14_09.xlsx&amp;sheet=U0&amp;row=3118&amp;col=7&amp;number=0.00724&amp;sourceID=14","0.00724")</f>
        <v>0.00724</v>
      </c>
    </row>
    <row r="3119" spans="1:7">
      <c r="A3119" s="3"/>
      <c r="B3119" s="3"/>
      <c r="C3119" s="3"/>
      <c r="D3119" s="3"/>
      <c r="E3119" s="3">
        <v>16</v>
      </c>
      <c r="F3119" s="4" t="str">
        <f>HYPERLINK("http://141.218.60.56/~jnz1568/getInfo.php?workbook=14_09.xlsx&amp;sheet=U0&amp;row=3119&amp;col=6&amp;number=4.5&amp;sourceID=14","4.5")</f>
        <v>4.5</v>
      </c>
      <c r="G3119" s="4" t="str">
        <f>HYPERLINK("http://141.218.60.56/~jnz1568/getInfo.php?workbook=14_09.xlsx&amp;sheet=U0&amp;row=3119&amp;col=7&amp;number=0.00714&amp;sourceID=14","0.00714")</f>
        <v>0.00714</v>
      </c>
    </row>
    <row r="3120" spans="1:7">
      <c r="A3120" s="3"/>
      <c r="B3120" s="3"/>
      <c r="C3120" s="3"/>
      <c r="D3120" s="3"/>
      <c r="E3120" s="3">
        <v>17</v>
      </c>
      <c r="F3120" s="4" t="str">
        <f>HYPERLINK("http://141.218.60.56/~jnz1568/getInfo.php?workbook=14_09.xlsx&amp;sheet=U0&amp;row=3120&amp;col=6&amp;number=4.6&amp;sourceID=14","4.6")</f>
        <v>4.6</v>
      </c>
      <c r="G3120" s="4" t="str">
        <f>HYPERLINK("http://141.218.60.56/~jnz1568/getInfo.php?workbook=14_09.xlsx&amp;sheet=U0&amp;row=3120&amp;col=7&amp;number=0.00701&amp;sourceID=14","0.00701")</f>
        <v>0.00701</v>
      </c>
    </row>
    <row r="3121" spans="1:7">
      <c r="A3121" s="3"/>
      <c r="B3121" s="3"/>
      <c r="C3121" s="3"/>
      <c r="D3121" s="3"/>
      <c r="E3121" s="3">
        <v>18</v>
      </c>
      <c r="F3121" s="4" t="str">
        <f>HYPERLINK("http://141.218.60.56/~jnz1568/getInfo.php?workbook=14_09.xlsx&amp;sheet=U0&amp;row=3121&amp;col=6&amp;number=4.7&amp;sourceID=14","4.7")</f>
        <v>4.7</v>
      </c>
      <c r="G3121" s="4" t="str">
        <f>HYPERLINK("http://141.218.60.56/~jnz1568/getInfo.php?workbook=14_09.xlsx&amp;sheet=U0&amp;row=3121&amp;col=7&amp;number=0.00686&amp;sourceID=14","0.00686")</f>
        <v>0.00686</v>
      </c>
    </row>
    <row r="3122" spans="1:7">
      <c r="A3122" s="3"/>
      <c r="B3122" s="3"/>
      <c r="C3122" s="3"/>
      <c r="D3122" s="3"/>
      <c r="E3122" s="3">
        <v>19</v>
      </c>
      <c r="F3122" s="4" t="str">
        <f>HYPERLINK("http://141.218.60.56/~jnz1568/getInfo.php?workbook=14_09.xlsx&amp;sheet=U0&amp;row=3122&amp;col=6&amp;number=4.8&amp;sourceID=14","4.8")</f>
        <v>4.8</v>
      </c>
      <c r="G3122" s="4" t="str">
        <f>HYPERLINK("http://141.218.60.56/~jnz1568/getInfo.php?workbook=14_09.xlsx&amp;sheet=U0&amp;row=3122&amp;col=7&amp;number=0.00667&amp;sourceID=14","0.00667")</f>
        <v>0.00667</v>
      </c>
    </row>
    <row r="3123" spans="1:7">
      <c r="A3123" s="3"/>
      <c r="B3123" s="3"/>
      <c r="C3123" s="3"/>
      <c r="D3123" s="3"/>
      <c r="E3123" s="3">
        <v>20</v>
      </c>
      <c r="F3123" s="4" t="str">
        <f>HYPERLINK("http://141.218.60.56/~jnz1568/getInfo.php?workbook=14_09.xlsx&amp;sheet=U0&amp;row=3123&amp;col=6&amp;number=4.9&amp;sourceID=14","4.9")</f>
        <v>4.9</v>
      </c>
      <c r="G3123" s="4" t="str">
        <f>HYPERLINK("http://141.218.60.56/~jnz1568/getInfo.php?workbook=14_09.xlsx&amp;sheet=U0&amp;row=3123&amp;col=7&amp;number=0.00645&amp;sourceID=14","0.00645")</f>
        <v>0.00645</v>
      </c>
    </row>
    <row r="3124" spans="1:7">
      <c r="A3124" s="3">
        <v>14</v>
      </c>
      <c r="B3124" s="3">
        <v>9</v>
      </c>
      <c r="C3124" s="3">
        <v>1</v>
      </c>
      <c r="D3124" s="3">
        <v>158</v>
      </c>
      <c r="E3124" s="3">
        <v>1</v>
      </c>
      <c r="F3124" s="4" t="str">
        <f>HYPERLINK("http://141.218.60.56/~jnz1568/getInfo.php?workbook=14_09.xlsx&amp;sheet=U0&amp;row=3124&amp;col=6&amp;number=3&amp;sourceID=14","3")</f>
        <v>3</v>
      </c>
      <c r="G3124" s="4" t="str">
        <f>HYPERLINK("http://141.218.60.56/~jnz1568/getInfo.php?workbook=14_09.xlsx&amp;sheet=U0&amp;row=3124&amp;col=7&amp;number=0.00666&amp;sourceID=14","0.00666")</f>
        <v>0.00666</v>
      </c>
    </row>
    <row r="3125" spans="1:7">
      <c r="A3125" s="3"/>
      <c r="B3125" s="3"/>
      <c r="C3125" s="3"/>
      <c r="D3125" s="3"/>
      <c r="E3125" s="3">
        <v>2</v>
      </c>
      <c r="F3125" s="4" t="str">
        <f>HYPERLINK("http://141.218.60.56/~jnz1568/getInfo.php?workbook=14_09.xlsx&amp;sheet=U0&amp;row=3125&amp;col=6&amp;number=3.1&amp;sourceID=14","3.1")</f>
        <v>3.1</v>
      </c>
      <c r="G3125" s="4" t="str">
        <f>HYPERLINK("http://141.218.60.56/~jnz1568/getInfo.php?workbook=14_09.xlsx&amp;sheet=U0&amp;row=3125&amp;col=7&amp;number=0.00665&amp;sourceID=14","0.00665")</f>
        <v>0.00665</v>
      </c>
    </row>
    <row r="3126" spans="1:7">
      <c r="A3126" s="3"/>
      <c r="B3126" s="3"/>
      <c r="C3126" s="3"/>
      <c r="D3126" s="3"/>
      <c r="E3126" s="3">
        <v>3</v>
      </c>
      <c r="F3126" s="4" t="str">
        <f>HYPERLINK("http://141.218.60.56/~jnz1568/getInfo.php?workbook=14_09.xlsx&amp;sheet=U0&amp;row=3126&amp;col=6&amp;number=3.2&amp;sourceID=14","3.2")</f>
        <v>3.2</v>
      </c>
      <c r="G3126" s="4" t="str">
        <f>HYPERLINK("http://141.218.60.56/~jnz1568/getInfo.php?workbook=14_09.xlsx&amp;sheet=U0&amp;row=3126&amp;col=7&amp;number=0.00665&amp;sourceID=14","0.00665")</f>
        <v>0.00665</v>
      </c>
    </row>
    <row r="3127" spans="1:7">
      <c r="A3127" s="3"/>
      <c r="B3127" s="3"/>
      <c r="C3127" s="3"/>
      <c r="D3127" s="3"/>
      <c r="E3127" s="3">
        <v>4</v>
      </c>
      <c r="F3127" s="4" t="str">
        <f>HYPERLINK("http://141.218.60.56/~jnz1568/getInfo.php?workbook=14_09.xlsx&amp;sheet=U0&amp;row=3127&amp;col=6&amp;number=3.3&amp;sourceID=14","3.3")</f>
        <v>3.3</v>
      </c>
      <c r="G3127" s="4" t="str">
        <f>HYPERLINK("http://141.218.60.56/~jnz1568/getInfo.php?workbook=14_09.xlsx&amp;sheet=U0&amp;row=3127&amp;col=7&amp;number=0.00664&amp;sourceID=14","0.00664")</f>
        <v>0.00664</v>
      </c>
    </row>
    <row r="3128" spans="1:7">
      <c r="A3128" s="3"/>
      <c r="B3128" s="3"/>
      <c r="C3128" s="3"/>
      <c r="D3128" s="3"/>
      <c r="E3128" s="3">
        <v>5</v>
      </c>
      <c r="F3128" s="4" t="str">
        <f>HYPERLINK("http://141.218.60.56/~jnz1568/getInfo.php?workbook=14_09.xlsx&amp;sheet=U0&amp;row=3128&amp;col=6&amp;number=3.4&amp;sourceID=14","3.4")</f>
        <v>3.4</v>
      </c>
      <c r="G3128" s="4" t="str">
        <f>HYPERLINK("http://141.218.60.56/~jnz1568/getInfo.php?workbook=14_09.xlsx&amp;sheet=U0&amp;row=3128&amp;col=7&amp;number=0.00663&amp;sourceID=14","0.00663")</f>
        <v>0.00663</v>
      </c>
    </row>
    <row r="3129" spans="1:7">
      <c r="A3129" s="3"/>
      <c r="B3129" s="3"/>
      <c r="C3129" s="3"/>
      <c r="D3129" s="3"/>
      <c r="E3129" s="3">
        <v>6</v>
      </c>
      <c r="F3129" s="4" t="str">
        <f>HYPERLINK("http://141.218.60.56/~jnz1568/getInfo.php?workbook=14_09.xlsx&amp;sheet=U0&amp;row=3129&amp;col=6&amp;number=3.5&amp;sourceID=14","3.5")</f>
        <v>3.5</v>
      </c>
      <c r="G3129" s="4" t="str">
        <f>HYPERLINK("http://141.218.60.56/~jnz1568/getInfo.php?workbook=14_09.xlsx&amp;sheet=U0&amp;row=3129&amp;col=7&amp;number=0.00662&amp;sourceID=14","0.00662")</f>
        <v>0.00662</v>
      </c>
    </row>
    <row r="3130" spans="1:7">
      <c r="A3130" s="3"/>
      <c r="B3130" s="3"/>
      <c r="C3130" s="3"/>
      <c r="D3130" s="3"/>
      <c r="E3130" s="3">
        <v>7</v>
      </c>
      <c r="F3130" s="4" t="str">
        <f>HYPERLINK("http://141.218.60.56/~jnz1568/getInfo.php?workbook=14_09.xlsx&amp;sheet=U0&amp;row=3130&amp;col=6&amp;number=3.6&amp;sourceID=14","3.6")</f>
        <v>3.6</v>
      </c>
      <c r="G3130" s="4" t="str">
        <f>HYPERLINK("http://141.218.60.56/~jnz1568/getInfo.php?workbook=14_09.xlsx&amp;sheet=U0&amp;row=3130&amp;col=7&amp;number=0.0066&amp;sourceID=14","0.0066")</f>
        <v>0.0066</v>
      </c>
    </row>
    <row r="3131" spans="1:7">
      <c r="A3131" s="3"/>
      <c r="B3131" s="3"/>
      <c r="C3131" s="3"/>
      <c r="D3131" s="3"/>
      <c r="E3131" s="3">
        <v>8</v>
      </c>
      <c r="F3131" s="4" t="str">
        <f>HYPERLINK("http://141.218.60.56/~jnz1568/getInfo.php?workbook=14_09.xlsx&amp;sheet=U0&amp;row=3131&amp;col=6&amp;number=3.7&amp;sourceID=14","3.7")</f>
        <v>3.7</v>
      </c>
      <c r="G3131" s="4" t="str">
        <f>HYPERLINK("http://141.218.60.56/~jnz1568/getInfo.php?workbook=14_09.xlsx&amp;sheet=U0&amp;row=3131&amp;col=7&amp;number=0.00658&amp;sourceID=14","0.00658")</f>
        <v>0.00658</v>
      </c>
    </row>
    <row r="3132" spans="1:7">
      <c r="A3132" s="3"/>
      <c r="B3132" s="3"/>
      <c r="C3132" s="3"/>
      <c r="D3132" s="3"/>
      <c r="E3132" s="3">
        <v>9</v>
      </c>
      <c r="F3132" s="4" t="str">
        <f>HYPERLINK("http://141.218.60.56/~jnz1568/getInfo.php?workbook=14_09.xlsx&amp;sheet=U0&amp;row=3132&amp;col=6&amp;number=3.8&amp;sourceID=14","3.8")</f>
        <v>3.8</v>
      </c>
      <c r="G3132" s="4" t="str">
        <f>HYPERLINK("http://141.218.60.56/~jnz1568/getInfo.php?workbook=14_09.xlsx&amp;sheet=U0&amp;row=3132&amp;col=7&amp;number=0.00656&amp;sourceID=14","0.00656")</f>
        <v>0.00656</v>
      </c>
    </row>
    <row r="3133" spans="1:7">
      <c r="A3133" s="3"/>
      <c r="B3133" s="3"/>
      <c r="C3133" s="3"/>
      <c r="D3133" s="3"/>
      <c r="E3133" s="3">
        <v>10</v>
      </c>
      <c r="F3133" s="4" t="str">
        <f>HYPERLINK("http://141.218.60.56/~jnz1568/getInfo.php?workbook=14_09.xlsx&amp;sheet=U0&amp;row=3133&amp;col=6&amp;number=3.9&amp;sourceID=14","3.9")</f>
        <v>3.9</v>
      </c>
      <c r="G3133" s="4" t="str">
        <f>HYPERLINK("http://141.218.60.56/~jnz1568/getInfo.php?workbook=14_09.xlsx&amp;sheet=U0&amp;row=3133&amp;col=7&amp;number=0.00653&amp;sourceID=14","0.00653")</f>
        <v>0.00653</v>
      </c>
    </row>
    <row r="3134" spans="1:7">
      <c r="A3134" s="3"/>
      <c r="B3134" s="3"/>
      <c r="C3134" s="3"/>
      <c r="D3134" s="3"/>
      <c r="E3134" s="3">
        <v>11</v>
      </c>
      <c r="F3134" s="4" t="str">
        <f>HYPERLINK("http://141.218.60.56/~jnz1568/getInfo.php?workbook=14_09.xlsx&amp;sheet=U0&amp;row=3134&amp;col=6&amp;number=4&amp;sourceID=14","4")</f>
        <v>4</v>
      </c>
      <c r="G3134" s="4" t="str">
        <f>HYPERLINK("http://141.218.60.56/~jnz1568/getInfo.php?workbook=14_09.xlsx&amp;sheet=U0&amp;row=3134&amp;col=7&amp;number=0.00649&amp;sourceID=14","0.00649")</f>
        <v>0.00649</v>
      </c>
    </row>
    <row r="3135" spans="1:7">
      <c r="A3135" s="3"/>
      <c r="B3135" s="3"/>
      <c r="C3135" s="3"/>
      <c r="D3135" s="3"/>
      <c r="E3135" s="3">
        <v>12</v>
      </c>
      <c r="F3135" s="4" t="str">
        <f>HYPERLINK("http://141.218.60.56/~jnz1568/getInfo.php?workbook=14_09.xlsx&amp;sheet=U0&amp;row=3135&amp;col=6&amp;number=4.1&amp;sourceID=14","4.1")</f>
        <v>4.1</v>
      </c>
      <c r="G3135" s="4" t="str">
        <f>HYPERLINK("http://141.218.60.56/~jnz1568/getInfo.php?workbook=14_09.xlsx&amp;sheet=U0&amp;row=3135&amp;col=7&amp;number=0.00644&amp;sourceID=14","0.00644")</f>
        <v>0.00644</v>
      </c>
    </row>
    <row r="3136" spans="1:7">
      <c r="A3136" s="3"/>
      <c r="B3136" s="3"/>
      <c r="C3136" s="3"/>
      <c r="D3136" s="3"/>
      <c r="E3136" s="3">
        <v>13</v>
      </c>
      <c r="F3136" s="4" t="str">
        <f>HYPERLINK("http://141.218.60.56/~jnz1568/getInfo.php?workbook=14_09.xlsx&amp;sheet=U0&amp;row=3136&amp;col=6&amp;number=4.2&amp;sourceID=14","4.2")</f>
        <v>4.2</v>
      </c>
      <c r="G3136" s="4" t="str">
        <f>HYPERLINK("http://141.218.60.56/~jnz1568/getInfo.php?workbook=14_09.xlsx&amp;sheet=U0&amp;row=3136&amp;col=7&amp;number=0.00638&amp;sourceID=14","0.00638")</f>
        <v>0.00638</v>
      </c>
    </row>
    <row r="3137" spans="1:7">
      <c r="A3137" s="3"/>
      <c r="B3137" s="3"/>
      <c r="C3137" s="3"/>
      <c r="D3137" s="3"/>
      <c r="E3137" s="3">
        <v>14</v>
      </c>
      <c r="F3137" s="4" t="str">
        <f>HYPERLINK("http://141.218.60.56/~jnz1568/getInfo.php?workbook=14_09.xlsx&amp;sheet=U0&amp;row=3137&amp;col=6&amp;number=4.3&amp;sourceID=14","4.3")</f>
        <v>4.3</v>
      </c>
      <c r="G3137" s="4" t="str">
        <f>HYPERLINK("http://141.218.60.56/~jnz1568/getInfo.php?workbook=14_09.xlsx&amp;sheet=U0&amp;row=3137&amp;col=7&amp;number=0.00631&amp;sourceID=14","0.00631")</f>
        <v>0.00631</v>
      </c>
    </row>
    <row r="3138" spans="1:7">
      <c r="A3138" s="3"/>
      <c r="B3138" s="3"/>
      <c r="C3138" s="3"/>
      <c r="D3138" s="3"/>
      <c r="E3138" s="3">
        <v>15</v>
      </c>
      <c r="F3138" s="4" t="str">
        <f>HYPERLINK("http://141.218.60.56/~jnz1568/getInfo.php?workbook=14_09.xlsx&amp;sheet=U0&amp;row=3138&amp;col=6&amp;number=4.4&amp;sourceID=14","4.4")</f>
        <v>4.4</v>
      </c>
      <c r="G3138" s="4" t="str">
        <f>HYPERLINK("http://141.218.60.56/~jnz1568/getInfo.php?workbook=14_09.xlsx&amp;sheet=U0&amp;row=3138&amp;col=7&amp;number=0.00621&amp;sourceID=14","0.00621")</f>
        <v>0.00621</v>
      </c>
    </row>
    <row r="3139" spans="1:7">
      <c r="A3139" s="3"/>
      <c r="B3139" s="3"/>
      <c r="C3139" s="3"/>
      <c r="D3139" s="3"/>
      <c r="E3139" s="3">
        <v>16</v>
      </c>
      <c r="F3139" s="4" t="str">
        <f>HYPERLINK("http://141.218.60.56/~jnz1568/getInfo.php?workbook=14_09.xlsx&amp;sheet=U0&amp;row=3139&amp;col=6&amp;number=4.5&amp;sourceID=14","4.5")</f>
        <v>4.5</v>
      </c>
      <c r="G3139" s="4" t="str">
        <f>HYPERLINK("http://141.218.60.56/~jnz1568/getInfo.php?workbook=14_09.xlsx&amp;sheet=U0&amp;row=3139&amp;col=7&amp;number=0.0061&amp;sourceID=14","0.0061")</f>
        <v>0.0061</v>
      </c>
    </row>
    <row r="3140" spans="1:7">
      <c r="A3140" s="3"/>
      <c r="B3140" s="3"/>
      <c r="C3140" s="3"/>
      <c r="D3140" s="3"/>
      <c r="E3140" s="3">
        <v>17</v>
      </c>
      <c r="F3140" s="4" t="str">
        <f>HYPERLINK("http://141.218.60.56/~jnz1568/getInfo.php?workbook=14_09.xlsx&amp;sheet=U0&amp;row=3140&amp;col=6&amp;number=4.6&amp;sourceID=14","4.6")</f>
        <v>4.6</v>
      </c>
      <c r="G3140" s="4" t="str">
        <f>HYPERLINK("http://141.218.60.56/~jnz1568/getInfo.php?workbook=14_09.xlsx&amp;sheet=U0&amp;row=3140&amp;col=7&amp;number=0.00596&amp;sourceID=14","0.00596")</f>
        <v>0.00596</v>
      </c>
    </row>
    <row r="3141" spans="1:7">
      <c r="A3141" s="3"/>
      <c r="B3141" s="3"/>
      <c r="C3141" s="3"/>
      <c r="D3141" s="3"/>
      <c r="E3141" s="3">
        <v>18</v>
      </c>
      <c r="F3141" s="4" t="str">
        <f>HYPERLINK("http://141.218.60.56/~jnz1568/getInfo.php?workbook=14_09.xlsx&amp;sheet=U0&amp;row=3141&amp;col=6&amp;number=4.7&amp;sourceID=14","4.7")</f>
        <v>4.7</v>
      </c>
      <c r="G3141" s="4" t="str">
        <f>HYPERLINK("http://141.218.60.56/~jnz1568/getInfo.php?workbook=14_09.xlsx&amp;sheet=U0&amp;row=3141&amp;col=7&amp;number=0.00578&amp;sourceID=14","0.00578")</f>
        <v>0.00578</v>
      </c>
    </row>
    <row r="3142" spans="1:7">
      <c r="A3142" s="3"/>
      <c r="B3142" s="3"/>
      <c r="C3142" s="3"/>
      <c r="D3142" s="3"/>
      <c r="E3142" s="3">
        <v>19</v>
      </c>
      <c r="F3142" s="4" t="str">
        <f>HYPERLINK("http://141.218.60.56/~jnz1568/getInfo.php?workbook=14_09.xlsx&amp;sheet=U0&amp;row=3142&amp;col=6&amp;number=4.8&amp;sourceID=14","4.8")</f>
        <v>4.8</v>
      </c>
      <c r="G3142" s="4" t="str">
        <f>HYPERLINK("http://141.218.60.56/~jnz1568/getInfo.php?workbook=14_09.xlsx&amp;sheet=U0&amp;row=3142&amp;col=7&amp;number=0.00557&amp;sourceID=14","0.00557")</f>
        <v>0.00557</v>
      </c>
    </row>
    <row r="3143" spans="1:7">
      <c r="A3143" s="3"/>
      <c r="B3143" s="3"/>
      <c r="C3143" s="3"/>
      <c r="D3143" s="3"/>
      <c r="E3143" s="3">
        <v>20</v>
      </c>
      <c r="F3143" s="4" t="str">
        <f>HYPERLINK("http://141.218.60.56/~jnz1568/getInfo.php?workbook=14_09.xlsx&amp;sheet=U0&amp;row=3143&amp;col=6&amp;number=4.9&amp;sourceID=14","4.9")</f>
        <v>4.9</v>
      </c>
      <c r="G3143" s="4" t="str">
        <f>HYPERLINK("http://141.218.60.56/~jnz1568/getInfo.php?workbook=14_09.xlsx&amp;sheet=U0&amp;row=3143&amp;col=7&amp;number=0.00531&amp;sourceID=14","0.00531")</f>
        <v>0.00531</v>
      </c>
    </row>
    <row r="3144" spans="1:7">
      <c r="A3144" s="3">
        <v>14</v>
      </c>
      <c r="B3144" s="3">
        <v>9</v>
      </c>
      <c r="C3144" s="3">
        <v>1</v>
      </c>
      <c r="D3144" s="3">
        <v>159</v>
      </c>
      <c r="E3144" s="3">
        <v>1</v>
      </c>
      <c r="F3144" s="4" t="str">
        <f>HYPERLINK("http://141.218.60.56/~jnz1568/getInfo.php?workbook=14_09.xlsx&amp;sheet=U0&amp;row=3144&amp;col=6&amp;number=3&amp;sourceID=14","3")</f>
        <v>3</v>
      </c>
      <c r="G3144" s="4" t="str">
        <f>HYPERLINK("http://141.218.60.56/~jnz1568/getInfo.php?workbook=14_09.xlsx&amp;sheet=U0&amp;row=3144&amp;col=7&amp;number=0.0425&amp;sourceID=14","0.0425")</f>
        <v>0.0425</v>
      </c>
    </row>
    <row r="3145" spans="1:7">
      <c r="A3145" s="3"/>
      <c r="B3145" s="3"/>
      <c r="C3145" s="3"/>
      <c r="D3145" s="3"/>
      <c r="E3145" s="3">
        <v>2</v>
      </c>
      <c r="F3145" s="4" t="str">
        <f>HYPERLINK("http://141.218.60.56/~jnz1568/getInfo.php?workbook=14_09.xlsx&amp;sheet=U0&amp;row=3145&amp;col=6&amp;number=3.1&amp;sourceID=14","3.1")</f>
        <v>3.1</v>
      </c>
      <c r="G3145" s="4" t="str">
        <f>HYPERLINK("http://141.218.60.56/~jnz1568/getInfo.php?workbook=14_09.xlsx&amp;sheet=U0&amp;row=3145&amp;col=7&amp;number=0.0424&amp;sourceID=14","0.0424")</f>
        <v>0.0424</v>
      </c>
    </row>
    <row r="3146" spans="1:7">
      <c r="A3146" s="3"/>
      <c r="B3146" s="3"/>
      <c r="C3146" s="3"/>
      <c r="D3146" s="3"/>
      <c r="E3146" s="3">
        <v>3</v>
      </c>
      <c r="F3146" s="4" t="str">
        <f>HYPERLINK("http://141.218.60.56/~jnz1568/getInfo.php?workbook=14_09.xlsx&amp;sheet=U0&amp;row=3146&amp;col=6&amp;number=3.2&amp;sourceID=14","3.2")</f>
        <v>3.2</v>
      </c>
      <c r="G3146" s="4" t="str">
        <f>HYPERLINK("http://141.218.60.56/~jnz1568/getInfo.php?workbook=14_09.xlsx&amp;sheet=U0&amp;row=3146&amp;col=7&amp;number=0.0424&amp;sourceID=14","0.0424")</f>
        <v>0.0424</v>
      </c>
    </row>
    <row r="3147" spans="1:7">
      <c r="A3147" s="3"/>
      <c r="B3147" s="3"/>
      <c r="C3147" s="3"/>
      <c r="D3147" s="3"/>
      <c r="E3147" s="3">
        <v>4</v>
      </c>
      <c r="F3147" s="4" t="str">
        <f>HYPERLINK("http://141.218.60.56/~jnz1568/getInfo.php?workbook=14_09.xlsx&amp;sheet=U0&amp;row=3147&amp;col=6&amp;number=3.3&amp;sourceID=14","3.3")</f>
        <v>3.3</v>
      </c>
      <c r="G3147" s="4" t="str">
        <f>HYPERLINK("http://141.218.60.56/~jnz1568/getInfo.php?workbook=14_09.xlsx&amp;sheet=U0&amp;row=3147&amp;col=7&amp;number=0.0424&amp;sourceID=14","0.0424")</f>
        <v>0.0424</v>
      </c>
    </row>
    <row r="3148" spans="1:7">
      <c r="A3148" s="3"/>
      <c r="B3148" s="3"/>
      <c r="C3148" s="3"/>
      <c r="D3148" s="3"/>
      <c r="E3148" s="3">
        <v>5</v>
      </c>
      <c r="F3148" s="4" t="str">
        <f>HYPERLINK("http://141.218.60.56/~jnz1568/getInfo.php?workbook=14_09.xlsx&amp;sheet=U0&amp;row=3148&amp;col=6&amp;number=3.4&amp;sourceID=14","3.4")</f>
        <v>3.4</v>
      </c>
      <c r="G3148" s="4" t="str">
        <f>HYPERLINK("http://141.218.60.56/~jnz1568/getInfo.php?workbook=14_09.xlsx&amp;sheet=U0&amp;row=3148&amp;col=7&amp;number=0.0423&amp;sourceID=14","0.0423")</f>
        <v>0.0423</v>
      </c>
    </row>
    <row r="3149" spans="1:7">
      <c r="A3149" s="3"/>
      <c r="B3149" s="3"/>
      <c r="C3149" s="3"/>
      <c r="D3149" s="3"/>
      <c r="E3149" s="3">
        <v>6</v>
      </c>
      <c r="F3149" s="4" t="str">
        <f>HYPERLINK("http://141.218.60.56/~jnz1568/getInfo.php?workbook=14_09.xlsx&amp;sheet=U0&amp;row=3149&amp;col=6&amp;number=3.5&amp;sourceID=14","3.5")</f>
        <v>3.5</v>
      </c>
      <c r="G3149" s="4" t="str">
        <f>HYPERLINK("http://141.218.60.56/~jnz1568/getInfo.php?workbook=14_09.xlsx&amp;sheet=U0&amp;row=3149&amp;col=7&amp;number=0.0423&amp;sourceID=14","0.0423")</f>
        <v>0.0423</v>
      </c>
    </row>
    <row r="3150" spans="1:7">
      <c r="A3150" s="3"/>
      <c r="B3150" s="3"/>
      <c r="C3150" s="3"/>
      <c r="D3150" s="3"/>
      <c r="E3150" s="3">
        <v>7</v>
      </c>
      <c r="F3150" s="4" t="str">
        <f>HYPERLINK("http://141.218.60.56/~jnz1568/getInfo.php?workbook=14_09.xlsx&amp;sheet=U0&amp;row=3150&amp;col=6&amp;number=3.6&amp;sourceID=14","3.6")</f>
        <v>3.6</v>
      </c>
      <c r="G3150" s="4" t="str">
        <f>HYPERLINK("http://141.218.60.56/~jnz1568/getInfo.php?workbook=14_09.xlsx&amp;sheet=U0&amp;row=3150&amp;col=7&amp;number=0.0422&amp;sourceID=14","0.0422")</f>
        <v>0.0422</v>
      </c>
    </row>
    <row r="3151" spans="1:7">
      <c r="A3151" s="3"/>
      <c r="B3151" s="3"/>
      <c r="C3151" s="3"/>
      <c r="D3151" s="3"/>
      <c r="E3151" s="3">
        <v>8</v>
      </c>
      <c r="F3151" s="4" t="str">
        <f>HYPERLINK("http://141.218.60.56/~jnz1568/getInfo.php?workbook=14_09.xlsx&amp;sheet=U0&amp;row=3151&amp;col=6&amp;number=3.7&amp;sourceID=14","3.7")</f>
        <v>3.7</v>
      </c>
      <c r="G3151" s="4" t="str">
        <f>HYPERLINK("http://141.218.60.56/~jnz1568/getInfo.php?workbook=14_09.xlsx&amp;sheet=U0&amp;row=3151&amp;col=7&amp;number=0.0421&amp;sourceID=14","0.0421")</f>
        <v>0.0421</v>
      </c>
    </row>
    <row r="3152" spans="1:7">
      <c r="A3152" s="3"/>
      <c r="B3152" s="3"/>
      <c r="C3152" s="3"/>
      <c r="D3152" s="3"/>
      <c r="E3152" s="3">
        <v>9</v>
      </c>
      <c r="F3152" s="4" t="str">
        <f>HYPERLINK("http://141.218.60.56/~jnz1568/getInfo.php?workbook=14_09.xlsx&amp;sheet=U0&amp;row=3152&amp;col=6&amp;number=3.8&amp;sourceID=14","3.8")</f>
        <v>3.8</v>
      </c>
      <c r="G3152" s="4" t="str">
        <f>HYPERLINK("http://141.218.60.56/~jnz1568/getInfo.php?workbook=14_09.xlsx&amp;sheet=U0&amp;row=3152&amp;col=7&amp;number=0.042&amp;sourceID=14","0.042")</f>
        <v>0.042</v>
      </c>
    </row>
    <row r="3153" spans="1:7">
      <c r="A3153" s="3"/>
      <c r="B3153" s="3"/>
      <c r="C3153" s="3"/>
      <c r="D3153" s="3"/>
      <c r="E3153" s="3">
        <v>10</v>
      </c>
      <c r="F3153" s="4" t="str">
        <f>HYPERLINK("http://141.218.60.56/~jnz1568/getInfo.php?workbook=14_09.xlsx&amp;sheet=U0&amp;row=3153&amp;col=6&amp;number=3.9&amp;sourceID=14","3.9")</f>
        <v>3.9</v>
      </c>
      <c r="G3153" s="4" t="str">
        <f>HYPERLINK("http://141.218.60.56/~jnz1568/getInfo.php?workbook=14_09.xlsx&amp;sheet=U0&amp;row=3153&amp;col=7&amp;number=0.0419&amp;sourceID=14","0.0419")</f>
        <v>0.0419</v>
      </c>
    </row>
    <row r="3154" spans="1:7">
      <c r="A3154" s="3"/>
      <c r="B3154" s="3"/>
      <c r="C3154" s="3"/>
      <c r="D3154" s="3"/>
      <c r="E3154" s="3">
        <v>11</v>
      </c>
      <c r="F3154" s="4" t="str">
        <f>HYPERLINK("http://141.218.60.56/~jnz1568/getInfo.php?workbook=14_09.xlsx&amp;sheet=U0&amp;row=3154&amp;col=6&amp;number=4&amp;sourceID=14","4")</f>
        <v>4</v>
      </c>
      <c r="G3154" s="4" t="str">
        <f>HYPERLINK("http://141.218.60.56/~jnz1568/getInfo.php?workbook=14_09.xlsx&amp;sheet=U0&amp;row=3154&amp;col=7&amp;number=0.0417&amp;sourceID=14","0.0417")</f>
        <v>0.0417</v>
      </c>
    </row>
    <row r="3155" spans="1:7">
      <c r="A3155" s="3"/>
      <c r="B3155" s="3"/>
      <c r="C3155" s="3"/>
      <c r="D3155" s="3"/>
      <c r="E3155" s="3">
        <v>12</v>
      </c>
      <c r="F3155" s="4" t="str">
        <f>HYPERLINK("http://141.218.60.56/~jnz1568/getInfo.php?workbook=14_09.xlsx&amp;sheet=U0&amp;row=3155&amp;col=6&amp;number=4.1&amp;sourceID=14","4.1")</f>
        <v>4.1</v>
      </c>
      <c r="G3155" s="4" t="str">
        <f>HYPERLINK("http://141.218.60.56/~jnz1568/getInfo.php?workbook=14_09.xlsx&amp;sheet=U0&amp;row=3155&amp;col=7&amp;number=0.0415&amp;sourceID=14","0.0415")</f>
        <v>0.0415</v>
      </c>
    </row>
    <row r="3156" spans="1:7">
      <c r="A3156" s="3"/>
      <c r="B3156" s="3"/>
      <c r="C3156" s="3"/>
      <c r="D3156" s="3"/>
      <c r="E3156" s="3">
        <v>13</v>
      </c>
      <c r="F3156" s="4" t="str">
        <f>HYPERLINK("http://141.218.60.56/~jnz1568/getInfo.php?workbook=14_09.xlsx&amp;sheet=U0&amp;row=3156&amp;col=6&amp;number=4.2&amp;sourceID=14","4.2")</f>
        <v>4.2</v>
      </c>
      <c r="G3156" s="4" t="str">
        <f>HYPERLINK("http://141.218.60.56/~jnz1568/getInfo.php?workbook=14_09.xlsx&amp;sheet=U0&amp;row=3156&amp;col=7&amp;number=0.0412&amp;sourceID=14","0.0412")</f>
        <v>0.0412</v>
      </c>
    </row>
    <row r="3157" spans="1:7">
      <c r="A3157" s="3"/>
      <c r="B3157" s="3"/>
      <c r="C3157" s="3"/>
      <c r="D3157" s="3"/>
      <c r="E3157" s="3">
        <v>14</v>
      </c>
      <c r="F3157" s="4" t="str">
        <f>HYPERLINK("http://141.218.60.56/~jnz1568/getInfo.php?workbook=14_09.xlsx&amp;sheet=U0&amp;row=3157&amp;col=6&amp;number=4.3&amp;sourceID=14","4.3")</f>
        <v>4.3</v>
      </c>
      <c r="G3157" s="4" t="str">
        <f>HYPERLINK("http://141.218.60.56/~jnz1568/getInfo.php?workbook=14_09.xlsx&amp;sheet=U0&amp;row=3157&amp;col=7&amp;number=0.0408&amp;sourceID=14","0.0408")</f>
        <v>0.0408</v>
      </c>
    </row>
    <row r="3158" spans="1:7">
      <c r="A3158" s="3"/>
      <c r="B3158" s="3"/>
      <c r="C3158" s="3"/>
      <c r="D3158" s="3"/>
      <c r="E3158" s="3">
        <v>15</v>
      </c>
      <c r="F3158" s="4" t="str">
        <f>HYPERLINK("http://141.218.60.56/~jnz1568/getInfo.php?workbook=14_09.xlsx&amp;sheet=U0&amp;row=3158&amp;col=6&amp;number=4.4&amp;sourceID=14","4.4")</f>
        <v>4.4</v>
      </c>
      <c r="G3158" s="4" t="str">
        <f>HYPERLINK("http://141.218.60.56/~jnz1568/getInfo.php?workbook=14_09.xlsx&amp;sheet=U0&amp;row=3158&amp;col=7&amp;number=0.0404&amp;sourceID=14","0.0404")</f>
        <v>0.0404</v>
      </c>
    </row>
    <row r="3159" spans="1:7">
      <c r="A3159" s="3"/>
      <c r="B3159" s="3"/>
      <c r="C3159" s="3"/>
      <c r="D3159" s="3"/>
      <c r="E3159" s="3">
        <v>16</v>
      </c>
      <c r="F3159" s="4" t="str">
        <f>HYPERLINK("http://141.218.60.56/~jnz1568/getInfo.php?workbook=14_09.xlsx&amp;sheet=U0&amp;row=3159&amp;col=6&amp;number=4.5&amp;sourceID=14","4.5")</f>
        <v>4.5</v>
      </c>
      <c r="G3159" s="4" t="str">
        <f>HYPERLINK("http://141.218.60.56/~jnz1568/getInfo.php?workbook=14_09.xlsx&amp;sheet=U0&amp;row=3159&amp;col=7&amp;number=0.0399&amp;sourceID=14","0.0399")</f>
        <v>0.0399</v>
      </c>
    </row>
    <row r="3160" spans="1:7">
      <c r="A3160" s="3"/>
      <c r="B3160" s="3"/>
      <c r="C3160" s="3"/>
      <c r="D3160" s="3"/>
      <c r="E3160" s="3">
        <v>17</v>
      </c>
      <c r="F3160" s="4" t="str">
        <f>HYPERLINK("http://141.218.60.56/~jnz1568/getInfo.php?workbook=14_09.xlsx&amp;sheet=U0&amp;row=3160&amp;col=6&amp;number=4.6&amp;sourceID=14","4.6")</f>
        <v>4.6</v>
      </c>
      <c r="G3160" s="4" t="str">
        <f>HYPERLINK("http://141.218.60.56/~jnz1568/getInfo.php?workbook=14_09.xlsx&amp;sheet=U0&amp;row=3160&amp;col=7&amp;number=0.0393&amp;sourceID=14","0.0393")</f>
        <v>0.0393</v>
      </c>
    </row>
    <row r="3161" spans="1:7">
      <c r="A3161" s="3"/>
      <c r="B3161" s="3"/>
      <c r="C3161" s="3"/>
      <c r="D3161" s="3"/>
      <c r="E3161" s="3">
        <v>18</v>
      </c>
      <c r="F3161" s="4" t="str">
        <f>HYPERLINK("http://141.218.60.56/~jnz1568/getInfo.php?workbook=14_09.xlsx&amp;sheet=U0&amp;row=3161&amp;col=6&amp;number=4.7&amp;sourceID=14","4.7")</f>
        <v>4.7</v>
      </c>
      <c r="G3161" s="4" t="str">
        <f>HYPERLINK("http://141.218.60.56/~jnz1568/getInfo.php?workbook=14_09.xlsx&amp;sheet=U0&amp;row=3161&amp;col=7&amp;number=0.0386&amp;sourceID=14","0.0386")</f>
        <v>0.0386</v>
      </c>
    </row>
    <row r="3162" spans="1:7">
      <c r="A3162" s="3"/>
      <c r="B3162" s="3"/>
      <c r="C3162" s="3"/>
      <c r="D3162" s="3"/>
      <c r="E3162" s="3">
        <v>19</v>
      </c>
      <c r="F3162" s="4" t="str">
        <f>HYPERLINK("http://141.218.60.56/~jnz1568/getInfo.php?workbook=14_09.xlsx&amp;sheet=U0&amp;row=3162&amp;col=6&amp;number=4.8&amp;sourceID=14","4.8")</f>
        <v>4.8</v>
      </c>
      <c r="G3162" s="4" t="str">
        <f>HYPERLINK("http://141.218.60.56/~jnz1568/getInfo.php?workbook=14_09.xlsx&amp;sheet=U0&amp;row=3162&amp;col=7&amp;number=0.0378&amp;sourceID=14","0.0378")</f>
        <v>0.0378</v>
      </c>
    </row>
    <row r="3163" spans="1:7">
      <c r="A3163" s="3"/>
      <c r="B3163" s="3"/>
      <c r="C3163" s="3"/>
      <c r="D3163" s="3"/>
      <c r="E3163" s="3">
        <v>20</v>
      </c>
      <c r="F3163" s="4" t="str">
        <f>HYPERLINK("http://141.218.60.56/~jnz1568/getInfo.php?workbook=14_09.xlsx&amp;sheet=U0&amp;row=3163&amp;col=6&amp;number=4.9&amp;sourceID=14","4.9")</f>
        <v>4.9</v>
      </c>
      <c r="G3163" s="4" t="str">
        <f>HYPERLINK("http://141.218.60.56/~jnz1568/getInfo.php?workbook=14_09.xlsx&amp;sheet=U0&amp;row=3163&amp;col=7&amp;number=0.037&amp;sourceID=14","0.037")</f>
        <v>0.037</v>
      </c>
    </row>
    <row r="3164" spans="1:7">
      <c r="A3164" s="3">
        <v>14</v>
      </c>
      <c r="B3164" s="3">
        <v>9</v>
      </c>
      <c r="C3164" s="3">
        <v>1</v>
      </c>
      <c r="D3164" s="3">
        <v>160</v>
      </c>
      <c r="E3164" s="3">
        <v>1</v>
      </c>
      <c r="F3164" s="4" t="str">
        <f>HYPERLINK("http://141.218.60.56/~jnz1568/getInfo.php?workbook=14_09.xlsx&amp;sheet=U0&amp;row=3164&amp;col=6&amp;number=3&amp;sourceID=14","3")</f>
        <v>3</v>
      </c>
      <c r="G3164" s="4" t="str">
        <f>HYPERLINK("http://141.218.60.56/~jnz1568/getInfo.php?workbook=14_09.xlsx&amp;sheet=U0&amp;row=3164&amp;col=7&amp;number=0.00881&amp;sourceID=14","0.00881")</f>
        <v>0.00881</v>
      </c>
    </row>
    <row r="3165" spans="1:7">
      <c r="A3165" s="3"/>
      <c r="B3165" s="3"/>
      <c r="C3165" s="3"/>
      <c r="D3165" s="3"/>
      <c r="E3165" s="3">
        <v>2</v>
      </c>
      <c r="F3165" s="4" t="str">
        <f>HYPERLINK("http://141.218.60.56/~jnz1568/getInfo.php?workbook=14_09.xlsx&amp;sheet=U0&amp;row=3165&amp;col=6&amp;number=3.1&amp;sourceID=14","3.1")</f>
        <v>3.1</v>
      </c>
      <c r="G3165" s="4" t="str">
        <f>HYPERLINK("http://141.218.60.56/~jnz1568/getInfo.php?workbook=14_09.xlsx&amp;sheet=U0&amp;row=3165&amp;col=7&amp;number=0.0088&amp;sourceID=14","0.0088")</f>
        <v>0.0088</v>
      </c>
    </row>
    <row r="3166" spans="1:7">
      <c r="A3166" s="3"/>
      <c r="B3166" s="3"/>
      <c r="C3166" s="3"/>
      <c r="D3166" s="3"/>
      <c r="E3166" s="3">
        <v>3</v>
      </c>
      <c r="F3166" s="4" t="str">
        <f>HYPERLINK("http://141.218.60.56/~jnz1568/getInfo.php?workbook=14_09.xlsx&amp;sheet=U0&amp;row=3166&amp;col=6&amp;number=3.2&amp;sourceID=14","3.2")</f>
        <v>3.2</v>
      </c>
      <c r="G3166" s="4" t="str">
        <f>HYPERLINK("http://141.218.60.56/~jnz1568/getInfo.php?workbook=14_09.xlsx&amp;sheet=U0&amp;row=3166&amp;col=7&amp;number=0.00878&amp;sourceID=14","0.00878")</f>
        <v>0.00878</v>
      </c>
    </row>
    <row r="3167" spans="1:7">
      <c r="A3167" s="3"/>
      <c r="B3167" s="3"/>
      <c r="C3167" s="3"/>
      <c r="D3167" s="3"/>
      <c r="E3167" s="3">
        <v>4</v>
      </c>
      <c r="F3167" s="4" t="str">
        <f>HYPERLINK("http://141.218.60.56/~jnz1568/getInfo.php?workbook=14_09.xlsx&amp;sheet=U0&amp;row=3167&amp;col=6&amp;number=3.3&amp;sourceID=14","3.3")</f>
        <v>3.3</v>
      </c>
      <c r="G3167" s="4" t="str">
        <f>HYPERLINK("http://141.218.60.56/~jnz1568/getInfo.php?workbook=14_09.xlsx&amp;sheet=U0&amp;row=3167&amp;col=7&amp;number=0.00876&amp;sourceID=14","0.00876")</f>
        <v>0.00876</v>
      </c>
    </row>
    <row r="3168" spans="1:7">
      <c r="A3168" s="3"/>
      <c r="B3168" s="3"/>
      <c r="C3168" s="3"/>
      <c r="D3168" s="3"/>
      <c r="E3168" s="3">
        <v>5</v>
      </c>
      <c r="F3168" s="4" t="str">
        <f>HYPERLINK("http://141.218.60.56/~jnz1568/getInfo.php?workbook=14_09.xlsx&amp;sheet=U0&amp;row=3168&amp;col=6&amp;number=3.4&amp;sourceID=14","3.4")</f>
        <v>3.4</v>
      </c>
      <c r="G3168" s="4" t="str">
        <f>HYPERLINK("http://141.218.60.56/~jnz1568/getInfo.php?workbook=14_09.xlsx&amp;sheet=U0&amp;row=3168&amp;col=7&amp;number=0.00873&amp;sourceID=14","0.00873")</f>
        <v>0.00873</v>
      </c>
    </row>
    <row r="3169" spans="1:7">
      <c r="A3169" s="3"/>
      <c r="B3169" s="3"/>
      <c r="C3169" s="3"/>
      <c r="D3169" s="3"/>
      <c r="E3169" s="3">
        <v>6</v>
      </c>
      <c r="F3169" s="4" t="str">
        <f>HYPERLINK("http://141.218.60.56/~jnz1568/getInfo.php?workbook=14_09.xlsx&amp;sheet=U0&amp;row=3169&amp;col=6&amp;number=3.5&amp;sourceID=14","3.5")</f>
        <v>3.5</v>
      </c>
      <c r="G3169" s="4" t="str">
        <f>HYPERLINK("http://141.218.60.56/~jnz1568/getInfo.php?workbook=14_09.xlsx&amp;sheet=U0&amp;row=3169&amp;col=7&amp;number=0.0087&amp;sourceID=14","0.0087")</f>
        <v>0.0087</v>
      </c>
    </row>
    <row r="3170" spans="1:7">
      <c r="A3170" s="3"/>
      <c r="B3170" s="3"/>
      <c r="C3170" s="3"/>
      <c r="D3170" s="3"/>
      <c r="E3170" s="3">
        <v>7</v>
      </c>
      <c r="F3170" s="4" t="str">
        <f>HYPERLINK("http://141.218.60.56/~jnz1568/getInfo.php?workbook=14_09.xlsx&amp;sheet=U0&amp;row=3170&amp;col=6&amp;number=3.6&amp;sourceID=14","3.6")</f>
        <v>3.6</v>
      </c>
      <c r="G3170" s="4" t="str">
        <f>HYPERLINK("http://141.218.60.56/~jnz1568/getInfo.php?workbook=14_09.xlsx&amp;sheet=U0&amp;row=3170&amp;col=7&amp;number=0.00866&amp;sourceID=14","0.00866")</f>
        <v>0.00866</v>
      </c>
    </row>
    <row r="3171" spans="1:7">
      <c r="A3171" s="3"/>
      <c r="B3171" s="3"/>
      <c r="C3171" s="3"/>
      <c r="D3171" s="3"/>
      <c r="E3171" s="3">
        <v>8</v>
      </c>
      <c r="F3171" s="4" t="str">
        <f>HYPERLINK("http://141.218.60.56/~jnz1568/getInfo.php?workbook=14_09.xlsx&amp;sheet=U0&amp;row=3171&amp;col=6&amp;number=3.7&amp;sourceID=14","3.7")</f>
        <v>3.7</v>
      </c>
      <c r="G3171" s="4" t="str">
        <f>HYPERLINK("http://141.218.60.56/~jnz1568/getInfo.php?workbook=14_09.xlsx&amp;sheet=U0&amp;row=3171&amp;col=7&amp;number=0.00861&amp;sourceID=14","0.00861")</f>
        <v>0.00861</v>
      </c>
    </row>
    <row r="3172" spans="1:7">
      <c r="A3172" s="3"/>
      <c r="B3172" s="3"/>
      <c r="C3172" s="3"/>
      <c r="D3172" s="3"/>
      <c r="E3172" s="3">
        <v>9</v>
      </c>
      <c r="F3172" s="4" t="str">
        <f>HYPERLINK("http://141.218.60.56/~jnz1568/getInfo.php?workbook=14_09.xlsx&amp;sheet=U0&amp;row=3172&amp;col=6&amp;number=3.8&amp;sourceID=14","3.8")</f>
        <v>3.8</v>
      </c>
      <c r="G3172" s="4" t="str">
        <f>HYPERLINK("http://141.218.60.56/~jnz1568/getInfo.php?workbook=14_09.xlsx&amp;sheet=U0&amp;row=3172&amp;col=7&amp;number=0.00855&amp;sourceID=14","0.00855")</f>
        <v>0.00855</v>
      </c>
    </row>
    <row r="3173" spans="1:7">
      <c r="A3173" s="3"/>
      <c r="B3173" s="3"/>
      <c r="C3173" s="3"/>
      <c r="D3173" s="3"/>
      <c r="E3173" s="3">
        <v>10</v>
      </c>
      <c r="F3173" s="4" t="str">
        <f>HYPERLINK("http://141.218.60.56/~jnz1568/getInfo.php?workbook=14_09.xlsx&amp;sheet=U0&amp;row=3173&amp;col=6&amp;number=3.9&amp;sourceID=14","3.9")</f>
        <v>3.9</v>
      </c>
      <c r="G3173" s="4" t="str">
        <f>HYPERLINK("http://141.218.60.56/~jnz1568/getInfo.php?workbook=14_09.xlsx&amp;sheet=U0&amp;row=3173&amp;col=7&amp;number=0.00847&amp;sourceID=14","0.00847")</f>
        <v>0.00847</v>
      </c>
    </row>
    <row r="3174" spans="1:7">
      <c r="A3174" s="3"/>
      <c r="B3174" s="3"/>
      <c r="C3174" s="3"/>
      <c r="D3174" s="3"/>
      <c r="E3174" s="3">
        <v>11</v>
      </c>
      <c r="F3174" s="4" t="str">
        <f>HYPERLINK("http://141.218.60.56/~jnz1568/getInfo.php?workbook=14_09.xlsx&amp;sheet=U0&amp;row=3174&amp;col=6&amp;number=4&amp;sourceID=14","4")</f>
        <v>4</v>
      </c>
      <c r="G3174" s="4" t="str">
        <f>HYPERLINK("http://141.218.60.56/~jnz1568/getInfo.php?workbook=14_09.xlsx&amp;sheet=U0&amp;row=3174&amp;col=7&amp;number=0.00838&amp;sourceID=14","0.00838")</f>
        <v>0.00838</v>
      </c>
    </row>
    <row r="3175" spans="1:7">
      <c r="A3175" s="3"/>
      <c r="B3175" s="3"/>
      <c r="C3175" s="3"/>
      <c r="D3175" s="3"/>
      <c r="E3175" s="3">
        <v>12</v>
      </c>
      <c r="F3175" s="4" t="str">
        <f>HYPERLINK("http://141.218.60.56/~jnz1568/getInfo.php?workbook=14_09.xlsx&amp;sheet=U0&amp;row=3175&amp;col=6&amp;number=4.1&amp;sourceID=14","4.1")</f>
        <v>4.1</v>
      </c>
      <c r="G3175" s="4" t="str">
        <f>HYPERLINK("http://141.218.60.56/~jnz1568/getInfo.php?workbook=14_09.xlsx&amp;sheet=U0&amp;row=3175&amp;col=7&amp;number=0.00826&amp;sourceID=14","0.00826")</f>
        <v>0.00826</v>
      </c>
    </row>
    <row r="3176" spans="1:7">
      <c r="A3176" s="3"/>
      <c r="B3176" s="3"/>
      <c r="C3176" s="3"/>
      <c r="D3176" s="3"/>
      <c r="E3176" s="3">
        <v>13</v>
      </c>
      <c r="F3176" s="4" t="str">
        <f>HYPERLINK("http://141.218.60.56/~jnz1568/getInfo.php?workbook=14_09.xlsx&amp;sheet=U0&amp;row=3176&amp;col=6&amp;number=4.2&amp;sourceID=14","4.2")</f>
        <v>4.2</v>
      </c>
      <c r="G3176" s="4" t="str">
        <f>HYPERLINK("http://141.218.60.56/~jnz1568/getInfo.php?workbook=14_09.xlsx&amp;sheet=U0&amp;row=3176&amp;col=7&amp;number=0.00811&amp;sourceID=14","0.00811")</f>
        <v>0.00811</v>
      </c>
    </row>
    <row r="3177" spans="1:7">
      <c r="A3177" s="3"/>
      <c r="B3177" s="3"/>
      <c r="C3177" s="3"/>
      <c r="D3177" s="3"/>
      <c r="E3177" s="3">
        <v>14</v>
      </c>
      <c r="F3177" s="4" t="str">
        <f>HYPERLINK("http://141.218.60.56/~jnz1568/getInfo.php?workbook=14_09.xlsx&amp;sheet=U0&amp;row=3177&amp;col=6&amp;number=4.3&amp;sourceID=14","4.3")</f>
        <v>4.3</v>
      </c>
      <c r="G3177" s="4" t="str">
        <f>HYPERLINK("http://141.218.60.56/~jnz1568/getInfo.php?workbook=14_09.xlsx&amp;sheet=U0&amp;row=3177&amp;col=7&amp;number=0.00792&amp;sourceID=14","0.00792")</f>
        <v>0.00792</v>
      </c>
    </row>
    <row r="3178" spans="1:7">
      <c r="A3178" s="3"/>
      <c r="B3178" s="3"/>
      <c r="C3178" s="3"/>
      <c r="D3178" s="3"/>
      <c r="E3178" s="3">
        <v>15</v>
      </c>
      <c r="F3178" s="4" t="str">
        <f>HYPERLINK("http://141.218.60.56/~jnz1568/getInfo.php?workbook=14_09.xlsx&amp;sheet=U0&amp;row=3178&amp;col=6&amp;number=4.4&amp;sourceID=14","4.4")</f>
        <v>4.4</v>
      </c>
      <c r="G3178" s="4" t="str">
        <f>HYPERLINK("http://141.218.60.56/~jnz1568/getInfo.php?workbook=14_09.xlsx&amp;sheet=U0&amp;row=3178&amp;col=7&amp;number=0.00769&amp;sourceID=14","0.00769")</f>
        <v>0.00769</v>
      </c>
    </row>
    <row r="3179" spans="1:7">
      <c r="A3179" s="3"/>
      <c r="B3179" s="3"/>
      <c r="C3179" s="3"/>
      <c r="D3179" s="3"/>
      <c r="E3179" s="3">
        <v>16</v>
      </c>
      <c r="F3179" s="4" t="str">
        <f>HYPERLINK("http://141.218.60.56/~jnz1568/getInfo.php?workbook=14_09.xlsx&amp;sheet=U0&amp;row=3179&amp;col=6&amp;number=4.5&amp;sourceID=14","4.5")</f>
        <v>4.5</v>
      </c>
      <c r="G3179" s="4" t="str">
        <f>HYPERLINK("http://141.218.60.56/~jnz1568/getInfo.php?workbook=14_09.xlsx&amp;sheet=U0&amp;row=3179&amp;col=7&amp;number=0.00742&amp;sourceID=14","0.00742")</f>
        <v>0.00742</v>
      </c>
    </row>
    <row r="3180" spans="1:7">
      <c r="A3180" s="3"/>
      <c r="B3180" s="3"/>
      <c r="C3180" s="3"/>
      <c r="D3180" s="3"/>
      <c r="E3180" s="3">
        <v>17</v>
      </c>
      <c r="F3180" s="4" t="str">
        <f>HYPERLINK("http://141.218.60.56/~jnz1568/getInfo.php?workbook=14_09.xlsx&amp;sheet=U0&amp;row=3180&amp;col=6&amp;number=4.6&amp;sourceID=14","4.6")</f>
        <v>4.6</v>
      </c>
      <c r="G3180" s="4" t="str">
        <f>HYPERLINK("http://141.218.60.56/~jnz1568/getInfo.php?workbook=14_09.xlsx&amp;sheet=U0&amp;row=3180&amp;col=7&amp;number=0.00709&amp;sourceID=14","0.00709")</f>
        <v>0.00709</v>
      </c>
    </row>
    <row r="3181" spans="1:7">
      <c r="A3181" s="3"/>
      <c r="B3181" s="3"/>
      <c r="C3181" s="3"/>
      <c r="D3181" s="3"/>
      <c r="E3181" s="3">
        <v>18</v>
      </c>
      <c r="F3181" s="4" t="str">
        <f>HYPERLINK("http://141.218.60.56/~jnz1568/getInfo.php?workbook=14_09.xlsx&amp;sheet=U0&amp;row=3181&amp;col=6&amp;number=4.7&amp;sourceID=14","4.7")</f>
        <v>4.7</v>
      </c>
      <c r="G3181" s="4" t="str">
        <f>HYPERLINK("http://141.218.60.56/~jnz1568/getInfo.php?workbook=14_09.xlsx&amp;sheet=U0&amp;row=3181&amp;col=7&amp;number=0.0067&amp;sourceID=14","0.0067")</f>
        <v>0.0067</v>
      </c>
    </row>
    <row r="3182" spans="1:7">
      <c r="A3182" s="3"/>
      <c r="B3182" s="3"/>
      <c r="C3182" s="3"/>
      <c r="D3182" s="3"/>
      <c r="E3182" s="3">
        <v>19</v>
      </c>
      <c r="F3182" s="4" t="str">
        <f>HYPERLINK("http://141.218.60.56/~jnz1568/getInfo.php?workbook=14_09.xlsx&amp;sheet=U0&amp;row=3182&amp;col=6&amp;number=4.8&amp;sourceID=14","4.8")</f>
        <v>4.8</v>
      </c>
      <c r="G3182" s="4" t="str">
        <f>HYPERLINK("http://141.218.60.56/~jnz1568/getInfo.php?workbook=14_09.xlsx&amp;sheet=U0&amp;row=3182&amp;col=7&amp;number=0.00627&amp;sourceID=14","0.00627")</f>
        <v>0.00627</v>
      </c>
    </row>
    <row r="3183" spans="1:7">
      <c r="A3183" s="3"/>
      <c r="B3183" s="3"/>
      <c r="C3183" s="3"/>
      <c r="D3183" s="3"/>
      <c r="E3183" s="3">
        <v>20</v>
      </c>
      <c r="F3183" s="4" t="str">
        <f>HYPERLINK("http://141.218.60.56/~jnz1568/getInfo.php?workbook=14_09.xlsx&amp;sheet=U0&amp;row=3183&amp;col=6&amp;number=4.9&amp;sourceID=14","4.9")</f>
        <v>4.9</v>
      </c>
      <c r="G3183" s="4" t="str">
        <f>HYPERLINK("http://141.218.60.56/~jnz1568/getInfo.php?workbook=14_09.xlsx&amp;sheet=U0&amp;row=3183&amp;col=7&amp;number=0.0058&amp;sourceID=14","0.0058")</f>
        <v>0.0058</v>
      </c>
    </row>
    <row r="3184" spans="1:7">
      <c r="A3184" s="3">
        <v>14</v>
      </c>
      <c r="B3184" s="3">
        <v>9</v>
      </c>
      <c r="C3184" s="3">
        <v>1</v>
      </c>
      <c r="D3184" s="3">
        <v>161</v>
      </c>
      <c r="E3184" s="3">
        <v>1</v>
      </c>
      <c r="F3184" s="4" t="str">
        <f>HYPERLINK("http://141.218.60.56/~jnz1568/getInfo.php?workbook=14_09.xlsx&amp;sheet=U0&amp;row=3184&amp;col=6&amp;number=3&amp;sourceID=14","3")</f>
        <v>3</v>
      </c>
      <c r="G3184" s="4" t="str">
        <f>HYPERLINK("http://141.218.60.56/~jnz1568/getInfo.php?workbook=14_09.xlsx&amp;sheet=U0&amp;row=3184&amp;col=7&amp;number=0.0133&amp;sourceID=14","0.0133")</f>
        <v>0.0133</v>
      </c>
    </row>
    <row r="3185" spans="1:7">
      <c r="A3185" s="3"/>
      <c r="B3185" s="3"/>
      <c r="C3185" s="3"/>
      <c r="D3185" s="3"/>
      <c r="E3185" s="3">
        <v>2</v>
      </c>
      <c r="F3185" s="4" t="str">
        <f>HYPERLINK("http://141.218.60.56/~jnz1568/getInfo.php?workbook=14_09.xlsx&amp;sheet=U0&amp;row=3185&amp;col=6&amp;number=3.1&amp;sourceID=14","3.1")</f>
        <v>3.1</v>
      </c>
      <c r="G3185" s="4" t="str">
        <f>HYPERLINK("http://141.218.60.56/~jnz1568/getInfo.php?workbook=14_09.xlsx&amp;sheet=U0&amp;row=3185&amp;col=7&amp;number=0.0133&amp;sourceID=14","0.0133")</f>
        <v>0.0133</v>
      </c>
    </row>
    <row r="3186" spans="1:7">
      <c r="A3186" s="3"/>
      <c r="B3186" s="3"/>
      <c r="C3186" s="3"/>
      <c r="D3186" s="3"/>
      <c r="E3186" s="3">
        <v>3</v>
      </c>
      <c r="F3186" s="4" t="str">
        <f>HYPERLINK("http://141.218.60.56/~jnz1568/getInfo.php?workbook=14_09.xlsx&amp;sheet=U0&amp;row=3186&amp;col=6&amp;number=3.2&amp;sourceID=14","3.2")</f>
        <v>3.2</v>
      </c>
      <c r="G3186" s="4" t="str">
        <f>HYPERLINK("http://141.218.60.56/~jnz1568/getInfo.php?workbook=14_09.xlsx&amp;sheet=U0&amp;row=3186&amp;col=7&amp;number=0.0133&amp;sourceID=14","0.0133")</f>
        <v>0.0133</v>
      </c>
    </row>
    <row r="3187" spans="1:7">
      <c r="A3187" s="3"/>
      <c r="B3187" s="3"/>
      <c r="C3187" s="3"/>
      <c r="D3187" s="3"/>
      <c r="E3187" s="3">
        <v>4</v>
      </c>
      <c r="F3187" s="4" t="str">
        <f>HYPERLINK("http://141.218.60.56/~jnz1568/getInfo.php?workbook=14_09.xlsx&amp;sheet=U0&amp;row=3187&amp;col=6&amp;number=3.3&amp;sourceID=14","3.3")</f>
        <v>3.3</v>
      </c>
      <c r="G3187" s="4" t="str">
        <f>HYPERLINK("http://141.218.60.56/~jnz1568/getInfo.php?workbook=14_09.xlsx&amp;sheet=U0&amp;row=3187&amp;col=7&amp;number=0.0133&amp;sourceID=14","0.0133")</f>
        <v>0.0133</v>
      </c>
    </row>
    <row r="3188" spans="1:7">
      <c r="A3188" s="3"/>
      <c r="B3188" s="3"/>
      <c r="C3188" s="3"/>
      <c r="D3188" s="3"/>
      <c r="E3188" s="3">
        <v>5</v>
      </c>
      <c r="F3188" s="4" t="str">
        <f>HYPERLINK("http://141.218.60.56/~jnz1568/getInfo.php?workbook=14_09.xlsx&amp;sheet=U0&amp;row=3188&amp;col=6&amp;number=3.4&amp;sourceID=14","3.4")</f>
        <v>3.4</v>
      </c>
      <c r="G3188" s="4" t="str">
        <f>HYPERLINK("http://141.218.60.56/~jnz1568/getInfo.php?workbook=14_09.xlsx&amp;sheet=U0&amp;row=3188&amp;col=7&amp;number=0.0133&amp;sourceID=14","0.0133")</f>
        <v>0.0133</v>
      </c>
    </row>
    <row r="3189" spans="1:7">
      <c r="A3189" s="3"/>
      <c r="B3189" s="3"/>
      <c r="C3189" s="3"/>
      <c r="D3189" s="3"/>
      <c r="E3189" s="3">
        <v>6</v>
      </c>
      <c r="F3189" s="4" t="str">
        <f>HYPERLINK("http://141.218.60.56/~jnz1568/getInfo.php?workbook=14_09.xlsx&amp;sheet=U0&amp;row=3189&amp;col=6&amp;number=3.5&amp;sourceID=14","3.5")</f>
        <v>3.5</v>
      </c>
      <c r="G3189" s="4" t="str">
        <f>HYPERLINK("http://141.218.60.56/~jnz1568/getInfo.php?workbook=14_09.xlsx&amp;sheet=U0&amp;row=3189&amp;col=7&amp;number=0.0133&amp;sourceID=14","0.0133")</f>
        <v>0.0133</v>
      </c>
    </row>
    <row r="3190" spans="1:7">
      <c r="A3190" s="3"/>
      <c r="B3190" s="3"/>
      <c r="C3190" s="3"/>
      <c r="D3190" s="3"/>
      <c r="E3190" s="3">
        <v>7</v>
      </c>
      <c r="F3190" s="4" t="str">
        <f>HYPERLINK("http://141.218.60.56/~jnz1568/getInfo.php?workbook=14_09.xlsx&amp;sheet=U0&amp;row=3190&amp;col=6&amp;number=3.6&amp;sourceID=14","3.6")</f>
        <v>3.6</v>
      </c>
      <c r="G3190" s="4" t="str">
        <f>HYPERLINK("http://141.218.60.56/~jnz1568/getInfo.php?workbook=14_09.xlsx&amp;sheet=U0&amp;row=3190&amp;col=7&amp;number=0.0132&amp;sourceID=14","0.0132")</f>
        <v>0.0132</v>
      </c>
    </row>
    <row r="3191" spans="1:7">
      <c r="A3191" s="3"/>
      <c r="B3191" s="3"/>
      <c r="C3191" s="3"/>
      <c r="D3191" s="3"/>
      <c r="E3191" s="3">
        <v>8</v>
      </c>
      <c r="F3191" s="4" t="str">
        <f>HYPERLINK("http://141.218.60.56/~jnz1568/getInfo.php?workbook=14_09.xlsx&amp;sheet=U0&amp;row=3191&amp;col=6&amp;number=3.7&amp;sourceID=14","3.7")</f>
        <v>3.7</v>
      </c>
      <c r="G3191" s="4" t="str">
        <f>HYPERLINK("http://141.218.60.56/~jnz1568/getInfo.php?workbook=14_09.xlsx&amp;sheet=U0&amp;row=3191&amp;col=7&amp;number=0.0132&amp;sourceID=14","0.0132")</f>
        <v>0.0132</v>
      </c>
    </row>
    <row r="3192" spans="1:7">
      <c r="A3192" s="3"/>
      <c r="B3192" s="3"/>
      <c r="C3192" s="3"/>
      <c r="D3192" s="3"/>
      <c r="E3192" s="3">
        <v>9</v>
      </c>
      <c r="F3192" s="4" t="str">
        <f>HYPERLINK("http://141.218.60.56/~jnz1568/getInfo.php?workbook=14_09.xlsx&amp;sheet=U0&amp;row=3192&amp;col=6&amp;number=3.8&amp;sourceID=14","3.8")</f>
        <v>3.8</v>
      </c>
      <c r="G3192" s="4" t="str">
        <f>HYPERLINK("http://141.218.60.56/~jnz1568/getInfo.php?workbook=14_09.xlsx&amp;sheet=U0&amp;row=3192&amp;col=7&amp;number=0.0132&amp;sourceID=14","0.0132")</f>
        <v>0.0132</v>
      </c>
    </row>
    <row r="3193" spans="1:7">
      <c r="A3193" s="3"/>
      <c r="B3193" s="3"/>
      <c r="C3193" s="3"/>
      <c r="D3193" s="3"/>
      <c r="E3193" s="3">
        <v>10</v>
      </c>
      <c r="F3193" s="4" t="str">
        <f>HYPERLINK("http://141.218.60.56/~jnz1568/getInfo.php?workbook=14_09.xlsx&amp;sheet=U0&amp;row=3193&amp;col=6&amp;number=3.9&amp;sourceID=14","3.9")</f>
        <v>3.9</v>
      </c>
      <c r="G3193" s="4" t="str">
        <f>HYPERLINK("http://141.218.60.56/~jnz1568/getInfo.php?workbook=14_09.xlsx&amp;sheet=U0&amp;row=3193&amp;col=7&amp;number=0.0131&amp;sourceID=14","0.0131")</f>
        <v>0.0131</v>
      </c>
    </row>
    <row r="3194" spans="1:7">
      <c r="A3194" s="3"/>
      <c r="B3194" s="3"/>
      <c r="C3194" s="3"/>
      <c r="D3194" s="3"/>
      <c r="E3194" s="3">
        <v>11</v>
      </c>
      <c r="F3194" s="4" t="str">
        <f>HYPERLINK("http://141.218.60.56/~jnz1568/getInfo.php?workbook=14_09.xlsx&amp;sheet=U0&amp;row=3194&amp;col=6&amp;number=4&amp;sourceID=14","4")</f>
        <v>4</v>
      </c>
      <c r="G3194" s="4" t="str">
        <f>HYPERLINK("http://141.218.60.56/~jnz1568/getInfo.php?workbook=14_09.xlsx&amp;sheet=U0&amp;row=3194&amp;col=7&amp;number=0.013&amp;sourceID=14","0.013")</f>
        <v>0.013</v>
      </c>
    </row>
    <row r="3195" spans="1:7">
      <c r="A3195" s="3"/>
      <c r="B3195" s="3"/>
      <c r="C3195" s="3"/>
      <c r="D3195" s="3"/>
      <c r="E3195" s="3">
        <v>12</v>
      </c>
      <c r="F3195" s="4" t="str">
        <f>HYPERLINK("http://141.218.60.56/~jnz1568/getInfo.php?workbook=14_09.xlsx&amp;sheet=U0&amp;row=3195&amp;col=6&amp;number=4.1&amp;sourceID=14","4.1")</f>
        <v>4.1</v>
      </c>
      <c r="G3195" s="4" t="str">
        <f>HYPERLINK("http://141.218.60.56/~jnz1568/getInfo.php?workbook=14_09.xlsx&amp;sheet=U0&amp;row=3195&amp;col=7&amp;number=0.013&amp;sourceID=14","0.013")</f>
        <v>0.013</v>
      </c>
    </row>
    <row r="3196" spans="1:7">
      <c r="A3196" s="3"/>
      <c r="B3196" s="3"/>
      <c r="C3196" s="3"/>
      <c r="D3196" s="3"/>
      <c r="E3196" s="3">
        <v>13</v>
      </c>
      <c r="F3196" s="4" t="str">
        <f>HYPERLINK("http://141.218.60.56/~jnz1568/getInfo.php?workbook=14_09.xlsx&amp;sheet=U0&amp;row=3196&amp;col=6&amp;number=4.2&amp;sourceID=14","4.2")</f>
        <v>4.2</v>
      </c>
      <c r="G3196" s="4" t="str">
        <f>HYPERLINK("http://141.218.60.56/~jnz1568/getInfo.php?workbook=14_09.xlsx&amp;sheet=U0&amp;row=3196&amp;col=7&amp;number=0.0129&amp;sourceID=14","0.0129")</f>
        <v>0.0129</v>
      </c>
    </row>
    <row r="3197" spans="1:7">
      <c r="A3197" s="3"/>
      <c r="B3197" s="3"/>
      <c r="C3197" s="3"/>
      <c r="D3197" s="3"/>
      <c r="E3197" s="3">
        <v>14</v>
      </c>
      <c r="F3197" s="4" t="str">
        <f>HYPERLINK("http://141.218.60.56/~jnz1568/getInfo.php?workbook=14_09.xlsx&amp;sheet=U0&amp;row=3197&amp;col=6&amp;number=4.3&amp;sourceID=14","4.3")</f>
        <v>4.3</v>
      </c>
      <c r="G3197" s="4" t="str">
        <f>HYPERLINK("http://141.218.60.56/~jnz1568/getInfo.php?workbook=14_09.xlsx&amp;sheet=U0&amp;row=3197&amp;col=7&amp;number=0.0127&amp;sourceID=14","0.0127")</f>
        <v>0.0127</v>
      </c>
    </row>
    <row r="3198" spans="1:7">
      <c r="A3198" s="3"/>
      <c r="B3198" s="3"/>
      <c r="C3198" s="3"/>
      <c r="D3198" s="3"/>
      <c r="E3198" s="3">
        <v>15</v>
      </c>
      <c r="F3198" s="4" t="str">
        <f>HYPERLINK("http://141.218.60.56/~jnz1568/getInfo.php?workbook=14_09.xlsx&amp;sheet=U0&amp;row=3198&amp;col=6&amp;number=4.4&amp;sourceID=14","4.4")</f>
        <v>4.4</v>
      </c>
      <c r="G3198" s="4" t="str">
        <f>HYPERLINK("http://141.218.60.56/~jnz1568/getInfo.php?workbook=14_09.xlsx&amp;sheet=U0&amp;row=3198&amp;col=7&amp;number=0.0126&amp;sourceID=14","0.0126")</f>
        <v>0.0126</v>
      </c>
    </row>
    <row r="3199" spans="1:7">
      <c r="A3199" s="3"/>
      <c r="B3199" s="3"/>
      <c r="C3199" s="3"/>
      <c r="D3199" s="3"/>
      <c r="E3199" s="3">
        <v>16</v>
      </c>
      <c r="F3199" s="4" t="str">
        <f>HYPERLINK("http://141.218.60.56/~jnz1568/getInfo.php?workbook=14_09.xlsx&amp;sheet=U0&amp;row=3199&amp;col=6&amp;number=4.5&amp;sourceID=14","4.5")</f>
        <v>4.5</v>
      </c>
      <c r="G3199" s="4" t="str">
        <f>HYPERLINK("http://141.218.60.56/~jnz1568/getInfo.php?workbook=14_09.xlsx&amp;sheet=U0&amp;row=3199&amp;col=7&amp;number=0.0124&amp;sourceID=14","0.0124")</f>
        <v>0.0124</v>
      </c>
    </row>
    <row r="3200" spans="1:7">
      <c r="A3200" s="3"/>
      <c r="B3200" s="3"/>
      <c r="C3200" s="3"/>
      <c r="D3200" s="3"/>
      <c r="E3200" s="3">
        <v>17</v>
      </c>
      <c r="F3200" s="4" t="str">
        <f>HYPERLINK("http://141.218.60.56/~jnz1568/getInfo.php?workbook=14_09.xlsx&amp;sheet=U0&amp;row=3200&amp;col=6&amp;number=4.6&amp;sourceID=14","4.6")</f>
        <v>4.6</v>
      </c>
      <c r="G3200" s="4" t="str">
        <f>HYPERLINK("http://141.218.60.56/~jnz1568/getInfo.php?workbook=14_09.xlsx&amp;sheet=U0&amp;row=3200&amp;col=7&amp;number=0.0122&amp;sourceID=14","0.0122")</f>
        <v>0.0122</v>
      </c>
    </row>
    <row r="3201" spans="1:7">
      <c r="A3201" s="3"/>
      <c r="B3201" s="3"/>
      <c r="C3201" s="3"/>
      <c r="D3201" s="3"/>
      <c r="E3201" s="3">
        <v>18</v>
      </c>
      <c r="F3201" s="4" t="str">
        <f>HYPERLINK("http://141.218.60.56/~jnz1568/getInfo.php?workbook=14_09.xlsx&amp;sheet=U0&amp;row=3201&amp;col=6&amp;number=4.7&amp;sourceID=14","4.7")</f>
        <v>4.7</v>
      </c>
      <c r="G3201" s="4" t="str">
        <f>HYPERLINK("http://141.218.60.56/~jnz1568/getInfo.php?workbook=14_09.xlsx&amp;sheet=U0&amp;row=3201&amp;col=7&amp;number=0.0119&amp;sourceID=14","0.0119")</f>
        <v>0.0119</v>
      </c>
    </row>
    <row r="3202" spans="1:7">
      <c r="A3202" s="3"/>
      <c r="B3202" s="3"/>
      <c r="C3202" s="3"/>
      <c r="D3202" s="3"/>
      <c r="E3202" s="3">
        <v>19</v>
      </c>
      <c r="F3202" s="4" t="str">
        <f>HYPERLINK("http://141.218.60.56/~jnz1568/getInfo.php?workbook=14_09.xlsx&amp;sheet=U0&amp;row=3202&amp;col=6&amp;number=4.8&amp;sourceID=14","4.8")</f>
        <v>4.8</v>
      </c>
      <c r="G3202" s="4" t="str">
        <f>HYPERLINK("http://141.218.60.56/~jnz1568/getInfo.php?workbook=14_09.xlsx&amp;sheet=U0&amp;row=3202&amp;col=7&amp;number=0.0116&amp;sourceID=14","0.0116")</f>
        <v>0.0116</v>
      </c>
    </row>
    <row r="3203" spans="1:7">
      <c r="A3203" s="3"/>
      <c r="B3203" s="3"/>
      <c r="C3203" s="3"/>
      <c r="D3203" s="3"/>
      <c r="E3203" s="3">
        <v>20</v>
      </c>
      <c r="F3203" s="4" t="str">
        <f>HYPERLINK("http://141.218.60.56/~jnz1568/getInfo.php?workbook=14_09.xlsx&amp;sheet=U0&amp;row=3203&amp;col=6&amp;number=4.9&amp;sourceID=14","4.9")</f>
        <v>4.9</v>
      </c>
      <c r="G3203" s="4" t="str">
        <f>HYPERLINK("http://141.218.60.56/~jnz1568/getInfo.php?workbook=14_09.xlsx&amp;sheet=U0&amp;row=3203&amp;col=7&amp;number=0.0112&amp;sourceID=14","0.0112")</f>
        <v>0.0112</v>
      </c>
    </row>
    <row r="3204" spans="1:7">
      <c r="A3204" s="3">
        <v>14</v>
      </c>
      <c r="B3204" s="3">
        <v>9</v>
      </c>
      <c r="C3204" s="3">
        <v>1</v>
      </c>
      <c r="D3204" s="3">
        <v>162</v>
      </c>
      <c r="E3204" s="3">
        <v>1</v>
      </c>
      <c r="F3204" s="4" t="str">
        <f>HYPERLINK("http://141.218.60.56/~jnz1568/getInfo.php?workbook=14_09.xlsx&amp;sheet=U0&amp;row=3204&amp;col=6&amp;number=3&amp;sourceID=14","3")</f>
        <v>3</v>
      </c>
      <c r="G3204" s="4" t="str">
        <f>HYPERLINK("http://141.218.60.56/~jnz1568/getInfo.php?workbook=14_09.xlsx&amp;sheet=U0&amp;row=3204&amp;col=7&amp;number=0.0271&amp;sourceID=14","0.0271")</f>
        <v>0.0271</v>
      </c>
    </row>
    <row r="3205" spans="1:7">
      <c r="A3205" s="3"/>
      <c r="B3205" s="3"/>
      <c r="C3205" s="3"/>
      <c r="D3205" s="3"/>
      <c r="E3205" s="3">
        <v>2</v>
      </c>
      <c r="F3205" s="4" t="str">
        <f>HYPERLINK("http://141.218.60.56/~jnz1568/getInfo.php?workbook=14_09.xlsx&amp;sheet=U0&amp;row=3205&amp;col=6&amp;number=3.1&amp;sourceID=14","3.1")</f>
        <v>3.1</v>
      </c>
      <c r="G3205" s="4" t="str">
        <f>HYPERLINK("http://141.218.60.56/~jnz1568/getInfo.php?workbook=14_09.xlsx&amp;sheet=U0&amp;row=3205&amp;col=7&amp;number=0.0271&amp;sourceID=14","0.0271")</f>
        <v>0.0271</v>
      </c>
    </row>
    <row r="3206" spans="1:7">
      <c r="A3206" s="3"/>
      <c r="B3206" s="3"/>
      <c r="C3206" s="3"/>
      <c r="D3206" s="3"/>
      <c r="E3206" s="3">
        <v>3</v>
      </c>
      <c r="F3206" s="4" t="str">
        <f>HYPERLINK("http://141.218.60.56/~jnz1568/getInfo.php?workbook=14_09.xlsx&amp;sheet=U0&amp;row=3206&amp;col=6&amp;number=3.2&amp;sourceID=14","3.2")</f>
        <v>3.2</v>
      </c>
      <c r="G3206" s="4" t="str">
        <f>HYPERLINK("http://141.218.60.56/~jnz1568/getInfo.php?workbook=14_09.xlsx&amp;sheet=U0&amp;row=3206&amp;col=7&amp;number=0.0271&amp;sourceID=14","0.0271")</f>
        <v>0.0271</v>
      </c>
    </row>
    <row r="3207" spans="1:7">
      <c r="A3207" s="3"/>
      <c r="B3207" s="3"/>
      <c r="C3207" s="3"/>
      <c r="D3207" s="3"/>
      <c r="E3207" s="3">
        <v>4</v>
      </c>
      <c r="F3207" s="4" t="str">
        <f>HYPERLINK("http://141.218.60.56/~jnz1568/getInfo.php?workbook=14_09.xlsx&amp;sheet=U0&amp;row=3207&amp;col=6&amp;number=3.3&amp;sourceID=14","3.3")</f>
        <v>3.3</v>
      </c>
      <c r="G3207" s="4" t="str">
        <f>HYPERLINK("http://141.218.60.56/~jnz1568/getInfo.php?workbook=14_09.xlsx&amp;sheet=U0&amp;row=3207&amp;col=7&amp;number=0.027&amp;sourceID=14","0.027")</f>
        <v>0.027</v>
      </c>
    </row>
    <row r="3208" spans="1:7">
      <c r="A3208" s="3"/>
      <c r="B3208" s="3"/>
      <c r="C3208" s="3"/>
      <c r="D3208" s="3"/>
      <c r="E3208" s="3">
        <v>5</v>
      </c>
      <c r="F3208" s="4" t="str">
        <f>HYPERLINK("http://141.218.60.56/~jnz1568/getInfo.php?workbook=14_09.xlsx&amp;sheet=U0&amp;row=3208&amp;col=6&amp;number=3.4&amp;sourceID=14","3.4")</f>
        <v>3.4</v>
      </c>
      <c r="G3208" s="4" t="str">
        <f>HYPERLINK("http://141.218.60.56/~jnz1568/getInfo.php?workbook=14_09.xlsx&amp;sheet=U0&amp;row=3208&amp;col=7&amp;number=0.027&amp;sourceID=14","0.027")</f>
        <v>0.027</v>
      </c>
    </row>
    <row r="3209" spans="1:7">
      <c r="A3209" s="3"/>
      <c r="B3209" s="3"/>
      <c r="C3209" s="3"/>
      <c r="D3209" s="3"/>
      <c r="E3209" s="3">
        <v>6</v>
      </c>
      <c r="F3209" s="4" t="str">
        <f>HYPERLINK("http://141.218.60.56/~jnz1568/getInfo.php?workbook=14_09.xlsx&amp;sheet=U0&amp;row=3209&amp;col=6&amp;number=3.5&amp;sourceID=14","3.5")</f>
        <v>3.5</v>
      </c>
      <c r="G3209" s="4" t="str">
        <f>HYPERLINK("http://141.218.60.56/~jnz1568/getInfo.php?workbook=14_09.xlsx&amp;sheet=U0&amp;row=3209&amp;col=7&amp;number=0.027&amp;sourceID=14","0.027")</f>
        <v>0.027</v>
      </c>
    </row>
    <row r="3210" spans="1:7">
      <c r="A3210" s="3"/>
      <c r="B3210" s="3"/>
      <c r="C3210" s="3"/>
      <c r="D3210" s="3"/>
      <c r="E3210" s="3">
        <v>7</v>
      </c>
      <c r="F3210" s="4" t="str">
        <f>HYPERLINK("http://141.218.60.56/~jnz1568/getInfo.php?workbook=14_09.xlsx&amp;sheet=U0&amp;row=3210&amp;col=6&amp;number=3.6&amp;sourceID=14","3.6")</f>
        <v>3.6</v>
      </c>
      <c r="G3210" s="4" t="str">
        <f>HYPERLINK("http://141.218.60.56/~jnz1568/getInfo.php?workbook=14_09.xlsx&amp;sheet=U0&amp;row=3210&amp;col=7&amp;number=0.027&amp;sourceID=14","0.027")</f>
        <v>0.027</v>
      </c>
    </row>
    <row r="3211" spans="1:7">
      <c r="A3211" s="3"/>
      <c r="B3211" s="3"/>
      <c r="C3211" s="3"/>
      <c r="D3211" s="3"/>
      <c r="E3211" s="3">
        <v>8</v>
      </c>
      <c r="F3211" s="4" t="str">
        <f>HYPERLINK("http://141.218.60.56/~jnz1568/getInfo.php?workbook=14_09.xlsx&amp;sheet=U0&amp;row=3211&amp;col=6&amp;number=3.7&amp;sourceID=14","3.7")</f>
        <v>3.7</v>
      </c>
      <c r="G3211" s="4" t="str">
        <f>HYPERLINK("http://141.218.60.56/~jnz1568/getInfo.php?workbook=14_09.xlsx&amp;sheet=U0&amp;row=3211&amp;col=7&amp;number=0.027&amp;sourceID=14","0.027")</f>
        <v>0.027</v>
      </c>
    </row>
    <row r="3212" spans="1:7">
      <c r="A3212" s="3"/>
      <c r="B3212" s="3"/>
      <c r="C3212" s="3"/>
      <c r="D3212" s="3"/>
      <c r="E3212" s="3">
        <v>9</v>
      </c>
      <c r="F3212" s="4" t="str">
        <f>HYPERLINK("http://141.218.60.56/~jnz1568/getInfo.php?workbook=14_09.xlsx&amp;sheet=U0&amp;row=3212&amp;col=6&amp;number=3.8&amp;sourceID=14","3.8")</f>
        <v>3.8</v>
      </c>
      <c r="G3212" s="4" t="str">
        <f>HYPERLINK("http://141.218.60.56/~jnz1568/getInfo.php?workbook=14_09.xlsx&amp;sheet=U0&amp;row=3212&amp;col=7&amp;number=0.027&amp;sourceID=14","0.027")</f>
        <v>0.027</v>
      </c>
    </row>
    <row r="3213" spans="1:7">
      <c r="A3213" s="3"/>
      <c r="B3213" s="3"/>
      <c r="C3213" s="3"/>
      <c r="D3213" s="3"/>
      <c r="E3213" s="3">
        <v>10</v>
      </c>
      <c r="F3213" s="4" t="str">
        <f>HYPERLINK("http://141.218.60.56/~jnz1568/getInfo.php?workbook=14_09.xlsx&amp;sheet=U0&amp;row=3213&amp;col=6&amp;number=3.9&amp;sourceID=14","3.9")</f>
        <v>3.9</v>
      </c>
      <c r="G3213" s="4" t="str">
        <f>HYPERLINK("http://141.218.60.56/~jnz1568/getInfo.php?workbook=14_09.xlsx&amp;sheet=U0&amp;row=3213&amp;col=7&amp;number=0.0269&amp;sourceID=14","0.0269")</f>
        <v>0.0269</v>
      </c>
    </row>
    <row r="3214" spans="1:7">
      <c r="A3214" s="3"/>
      <c r="B3214" s="3"/>
      <c r="C3214" s="3"/>
      <c r="D3214" s="3"/>
      <c r="E3214" s="3">
        <v>11</v>
      </c>
      <c r="F3214" s="4" t="str">
        <f>HYPERLINK("http://141.218.60.56/~jnz1568/getInfo.php?workbook=14_09.xlsx&amp;sheet=U0&amp;row=3214&amp;col=6&amp;number=4&amp;sourceID=14","4")</f>
        <v>4</v>
      </c>
      <c r="G3214" s="4" t="str">
        <f>HYPERLINK("http://141.218.60.56/~jnz1568/getInfo.php?workbook=14_09.xlsx&amp;sheet=U0&amp;row=3214&amp;col=7&amp;number=0.0269&amp;sourceID=14","0.0269")</f>
        <v>0.0269</v>
      </c>
    </row>
    <row r="3215" spans="1:7">
      <c r="A3215" s="3"/>
      <c r="B3215" s="3"/>
      <c r="C3215" s="3"/>
      <c r="D3215" s="3"/>
      <c r="E3215" s="3">
        <v>12</v>
      </c>
      <c r="F3215" s="4" t="str">
        <f>HYPERLINK("http://141.218.60.56/~jnz1568/getInfo.php?workbook=14_09.xlsx&amp;sheet=U0&amp;row=3215&amp;col=6&amp;number=4.1&amp;sourceID=14","4.1")</f>
        <v>4.1</v>
      </c>
      <c r="G3215" s="4" t="str">
        <f>HYPERLINK("http://141.218.60.56/~jnz1568/getInfo.php?workbook=14_09.xlsx&amp;sheet=U0&amp;row=3215&amp;col=7&amp;number=0.0268&amp;sourceID=14","0.0268")</f>
        <v>0.0268</v>
      </c>
    </row>
    <row r="3216" spans="1:7">
      <c r="A3216" s="3"/>
      <c r="B3216" s="3"/>
      <c r="C3216" s="3"/>
      <c r="D3216" s="3"/>
      <c r="E3216" s="3">
        <v>13</v>
      </c>
      <c r="F3216" s="4" t="str">
        <f>HYPERLINK("http://141.218.60.56/~jnz1568/getInfo.php?workbook=14_09.xlsx&amp;sheet=U0&amp;row=3216&amp;col=6&amp;number=4.2&amp;sourceID=14","4.2")</f>
        <v>4.2</v>
      </c>
      <c r="G3216" s="4" t="str">
        <f>HYPERLINK("http://141.218.60.56/~jnz1568/getInfo.php?workbook=14_09.xlsx&amp;sheet=U0&amp;row=3216&amp;col=7&amp;number=0.0268&amp;sourceID=14","0.0268")</f>
        <v>0.0268</v>
      </c>
    </row>
    <row r="3217" spans="1:7">
      <c r="A3217" s="3"/>
      <c r="B3217" s="3"/>
      <c r="C3217" s="3"/>
      <c r="D3217" s="3"/>
      <c r="E3217" s="3">
        <v>14</v>
      </c>
      <c r="F3217" s="4" t="str">
        <f>HYPERLINK("http://141.218.60.56/~jnz1568/getInfo.php?workbook=14_09.xlsx&amp;sheet=U0&amp;row=3217&amp;col=6&amp;number=4.3&amp;sourceID=14","4.3")</f>
        <v>4.3</v>
      </c>
      <c r="G3217" s="4" t="str">
        <f>HYPERLINK("http://141.218.60.56/~jnz1568/getInfo.php?workbook=14_09.xlsx&amp;sheet=U0&amp;row=3217&amp;col=7&amp;number=0.0267&amp;sourceID=14","0.0267")</f>
        <v>0.0267</v>
      </c>
    </row>
    <row r="3218" spans="1:7">
      <c r="A3218" s="3"/>
      <c r="B3218" s="3"/>
      <c r="C3218" s="3"/>
      <c r="D3218" s="3"/>
      <c r="E3218" s="3">
        <v>15</v>
      </c>
      <c r="F3218" s="4" t="str">
        <f>HYPERLINK("http://141.218.60.56/~jnz1568/getInfo.php?workbook=14_09.xlsx&amp;sheet=U0&amp;row=3218&amp;col=6&amp;number=4.4&amp;sourceID=14","4.4")</f>
        <v>4.4</v>
      </c>
      <c r="G3218" s="4" t="str">
        <f>HYPERLINK("http://141.218.60.56/~jnz1568/getInfo.php?workbook=14_09.xlsx&amp;sheet=U0&amp;row=3218&amp;col=7&amp;number=0.0266&amp;sourceID=14","0.0266")</f>
        <v>0.0266</v>
      </c>
    </row>
    <row r="3219" spans="1:7">
      <c r="A3219" s="3"/>
      <c r="B3219" s="3"/>
      <c r="C3219" s="3"/>
      <c r="D3219" s="3"/>
      <c r="E3219" s="3">
        <v>16</v>
      </c>
      <c r="F3219" s="4" t="str">
        <f>HYPERLINK("http://141.218.60.56/~jnz1568/getInfo.php?workbook=14_09.xlsx&amp;sheet=U0&amp;row=3219&amp;col=6&amp;number=4.5&amp;sourceID=14","4.5")</f>
        <v>4.5</v>
      </c>
      <c r="G3219" s="4" t="str">
        <f>HYPERLINK("http://141.218.60.56/~jnz1568/getInfo.php?workbook=14_09.xlsx&amp;sheet=U0&amp;row=3219&amp;col=7&amp;number=0.0265&amp;sourceID=14","0.0265")</f>
        <v>0.0265</v>
      </c>
    </row>
    <row r="3220" spans="1:7">
      <c r="A3220" s="3"/>
      <c r="B3220" s="3"/>
      <c r="C3220" s="3"/>
      <c r="D3220" s="3"/>
      <c r="E3220" s="3">
        <v>17</v>
      </c>
      <c r="F3220" s="4" t="str">
        <f>HYPERLINK("http://141.218.60.56/~jnz1568/getInfo.php?workbook=14_09.xlsx&amp;sheet=U0&amp;row=3220&amp;col=6&amp;number=4.6&amp;sourceID=14","4.6")</f>
        <v>4.6</v>
      </c>
      <c r="G3220" s="4" t="str">
        <f>HYPERLINK("http://141.218.60.56/~jnz1568/getInfo.php?workbook=14_09.xlsx&amp;sheet=U0&amp;row=3220&amp;col=7&amp;number=0.0263&amp;sourceID=14","0.0263")</f>
        <v>0.0263</v>
      </c>
    </row>
    <row r="3221" spans="1:7">
      <c r="A3221" s="3"/>
      <c r="B3221" s="3"/>
      <c r="C3221" s="3"/>
      <c r="D3221" s="3"/>
      <c r="E3221" s="3">
        <v>18</v>
      </c>
      <c r="F3221" s="4" t="str">
        <f>HYPERLINK("http://141.218.60.56/~jnz1568/getInfo.php?workbook=14_09.xlsx&amp;sheet=U0&amp;row=3221&amp;col=6&amp;number=4.7&amp;sourceID=14","4.7")</f>
        <v>4.7</v>
      </c>
      <c r="G3221" s="4" t="str">
        <f>HYPERLINK("http://141.218.60.56/~jnz1568/getInfo.php?workbook=14_09.xlsx&amp;sheet=U0&amp;row=3221&amp;col=7&amp;number=0.0261&amp;sourceID=14","0.0261")</f>
        <v>0.0261</v>
      </c>
    </row>
    <row r="3222" spans="1:7">
      <c r="A3222" s="3"/>
      <c r="B3222" s="3"/>
      <c r="C3222" s="3"/>
      <c r="D3222" s="3"/>
      <c r="E3222" s="3">
        <v>19</v>
      </c>
      <c r="F3222" s="4" t="str">
        <f>HYPERLINK("http://141.218.60.56/~jnz1568/getInfo.php?workbook=14_09.xlsx&amp;sheet=U0&amp;row=3222&amp;col=6&amp;number=4.8&amp;sourceID=14","4.8")</f>
        <v>4.8</v>
      </c>
      <c r="G3222" s="4" t="str">
        <f>HYPERLINK("http://141.218.60.56/~jnz1568/getInfo.php?workbook=14_09.xlsx&amp;sheet=U0&amp;row=3222&amp;col=7&amp;number=0.0259&amp;sourceID=14","0.0259")</f>
        <v>0.0259</v>
      </c>
    </row>
    <row r="3223" spans="1:7">
      <c r="A3223" s="3"/>
      <c r="B3223" s="3"/>
      <c r="C3223" s="3"/>
      <c r="D3223" s="3"/>
      <c r="E3223" s="3">
        <v>20</v>
      </c>
      <c r="F3223" s="4" t="str">
        <f>HYPERLINK("http://141.218.60.56/~jnz1568/getInfo.php?workbook=14_09.xlsx&amp;sheet=U0&amp;row=3223&amp;col=6&amp;number=4.9&amp;sourceID=14","4.9")</f>
        <v>4.9</v>
      </c>
      <c r="G3223" s="4" t="str">
        <f>HYPERLINK("http://141.218.60.56/~jnz1568/getInfo.php?workbook=14_09.xlsx&amp;sheet=U0&amp;row=3223&amp;col=7&amp;number=0.0256&amp;sourceID=14","0.0256")</f>
        <v>0.0256</v>
      </c>
    </row>
    <row r="3224" spans="1:7">
      <c r="A3224" s="3">
        <v>14</v>
      </c>
      <c r="B3224" s="3">
        <v>9</v>
      </c>
      <c r="C3224" s="3">
        <v>1</v>
      </c>
      <c r="D3224" s="3">
        <v>163</v>
      </c>
      <c r="E3224" s="3">
        <v>1</v>
      </c>
      <c r="F3224" s="4" t="str">
        <f>HYPERLINK("http://141.218.60.56/~jnz1568/getInfo.php?workbook=14_09.xlsx&amp;sheet=U0&amp;row=3224&amp;col=6&amp;number=3&amp;sourceID=14","3")</f>
        <v>3</v>
      </c>
      <c r="G3224" s="4" t="str">
        <f>HYPERLINK("http://141.218.60.56/~jnz1568/getInfo.php?workbook=14_09.xlsx&amp;sheet=U0&amp;row=3224&amp;col=7&amp;number=0.011&amp;sourceID=14","0.011")</f>
        <v>0.011</v>
      </c>
    </row>
    <row r="3225" spans="1:7">
      <c r="A3225" s="3"/>
      <c r="B3225" s="3"/>
      <c r="C3225" s="3"/>
      <c r="D3225" s="3"/>
      <c r="E3225" s="3">
        <v>2</v>
      </c>
      <c r="F3225" s="4" t="str">
        <f>HYPERLINK("http://141.218.60.56/~jnz1568/getInfo.php?workbook=14_09.xlsx&amp;sheet=U0&amp;row=3225&amp;col=6&amp;number=3.1&amp;sourceID=14","3.1")</f>
        <v>3.1</v>
      </c>
      <c r="G3225" s="4" t="str">
        <f>HYPERLINK("http://141.218.60.56/~jnz1568/getInfo.php?workbook=14_09.xlsx&amp;sheet=U0&amp;row=3225&amp;col=7&amp;number=0.011&amp;sourceID=14","0.011")</f>
        <v>0.011</v>
      </c>
    </row>
    <row r="3226" spans="1:7">
      <c r="A3226" s="3"/>
      <c r="B3226" s="3"/>
      <c r="C3226" s="3"/>
      <c r="D3226" s="3"/>
      <c r="E3226" s="3">
        <v>3</v>
      </c>
      <c r="F3226" s="4" t="str">
        <f>HYPERLINK("http://141.218.60.56/~jnz1568/getInfo.php?workbook=14_09.xlsx&amp;sheet=U0&amp;row=3226&amp;col=6&amp;number=3.2&amp;sourceID=14","3.2")</f>
        <v>3.2</v>
      </c>
      <c r="G3226" s="4" t="str">
        <f>HYPERLINK("http://141.218.60.56/~jnz1568/getInfo.php?workbook=14_09.xlsx&amp;sheet=U0&amp;row=3226&amp;col=7&amp;number=0.011&amp;sourceID=14","0.011")</f>
        <v>0.011</v>
      </c>
    </row>
    <row r="3227" spans="1:7">
      <c r="A3227" s="3"/>
      <c r="B3227" s="3"/>
      <c r="C3227" s="3"/>
      <c r="D3227" s="3"/>
      <c r="E3227" s="3">
        <v>4</v>
      </c>
      <c r="F3227" s="4" t="str">
        <f>HYPERLINK("http://141.218.60.56/~jnz1568/getInfo.php?workbook=14_09.xlsx&amp;sheet=U0&amp;row=3227&amp;col=6&amp;number=3.3&amp;sourceID=14","3.3")</f>
        <v>3.3</v>
      </c>
      <c r="G3227" s="4" t="str">
        <f>HYPERLINK("http://141.218.60.56/~jnz1568/getInfo.php?workbook=14_09.xlsx&amp;sheet=U0&amp;row=3227&amp;col=7&amp;number=0.011&amp;sourceID=14","0.011")</f>
        <v>0.011</v>
      </c>
    </row>
    <row r="3228" spans="1:7">
      <c r="A3228" s="3"/>
      <c r="B3228" s="3"/>
      <c r="C3228" s="3"/>
      <c r="D3228" s="3"/>
      <c r="E3228" s="3">
        <v>5</v>
      </c>
      <c r="F3228" s="4" t="str">
        <f>HYPERLINK("http://141.218.60.56/~jnz1568/getInfo.php?workbook=14_09.xlsx&amp;sheet=U0&amp;row=3228&amp;col=6&amp;number=3.4&amp;sourceID=14","3.4")</f>
        <v>3.4</v>
      </c>
      <c r="G3228" s="4" t="str">
        <f>HYPERLINK("http://141.218.60.56/~jnz1568/getInfo.php?workbook=14_09.xlsx&amp;sheet=U0&amp;row=3228&amp;col=7&amp;number=0.011&amp;sourceID=14","0.011")</f>
        <v>0.011</v>
      </c>
    </row>
    <row r="3229" spans="1:7">
      <c r="A3229" s="3"/>
      <c r="B3229" s="3"/>
      <c r="C3229" s="3"/>
      <c r="D3229" s="3"/>
      <c r="E3229" s="3">
        <v>6</v>
      </c>
      <c r="F3229" s="4" t="str">
        <f>HYPERLINK("http://141.218.60.56/~jnz1568/getInfo.php?workbook=14_09.xlsx&amp;sheet=U0&amp;row=3229&amp;col=6&amp;number=3.5&amp;sourceID=14","3.5")</f>
        <v>3.5</v>
      </c>
      <c r="G3229" s="4" t="str">
        <f>HYPERLINK("http://141.218.60.56/~jnz1568/getInfo.php?workbook=14_09.xlsx&amp;sheet=U0&amp;row=3229&amp;col=7&amp;number=0.011&amp;sourceID=14","0.011")</f>
        <v>0.011</v>
      </c>
    </row>
    <row r="3230" spans="1:7">
      <c r="A3230" s="3"/>
      <c r="B3230" s="3"/>
      <c r="C3230" s="3"/>
      <c r="D3230" s="3"/>
      <c r="E3230" s="3">
        <v>7</v>
      </c>
      <c r="F3230" s="4" t="str">
        <f>HYPERLINK("http://141.218.60.56/~jnz1568/getInfo.php?workbook=14_09.xlsx&amp;sheet=U0&amp;row=3230&amp;col=6&amp;number=3.6&amp;sourceID=14","3.6")</f>
        <v>3.6</v>
      </c>
      <c r="G3230" s="4" t="str">
        <f>HYPERLINK("http://141.218.60.56/~jnz1568/getInfo.php?workbook=14_09.xlsx&amp;sheet=U0&amp;row=3230&amp;col=7&amp;number=0.0109&amp;sourceID=14","0.0109")</f>
        <v>0.0109</v>
      </c>
    </row>
    <row r="3231" spans="1:7">
      <c r="A3231" s="3"/>
      <c r="B3231" s="3"/>
      <c r="C3231" s="3"/>
      <c r="D3231" s="3"/>
      <c r="E3231" s="3">
        <v>8</v>
      </c>
      <c r="F3231" s="4" t="str">
        <f>HYPERLINK("http://141.218.60.56/~jnz1568/getInfo.php?workbook=14_09.xlsx&amp;sheet=U0&amp;row=3231&amp;col=6&amp;number=3.7&amp;sourceID=14","3.7")</f>
        <v>3.7</v>
      </c>
      <c r="G3231" s="4" t="str">
        <f>HYPERLINK("http://141.218.60.56/~jnz1568/getInfo.php?workbook=14_09.xlsx&amp;sheet=U0&amp;row=3231&amp;col=7&amp;number=0.0109&amp;sourceID=14","0.0109")</f>
        <v>0.0109</v>
      </c>
    </row>
    <row r="3232" spans="1:7">
      <c r="A3232" s="3"/>
      <c r="B3232" s="3"/>
      <c r="C3232" s="3"/>
      <c r="D3232" s="3"/>
      <c r="E3232" s="3">
        <v>9</v>
      </c>
      <c r="F3232" s="4" t="str">
        <f>HYPERLINK("http://141.218.60.56/~jnz1568/getInfo.php?workbook=14_09.xlsx&amp;sheet=U0&amp;row=3232&amp;col=6&amp;number=3.8&amp;sourceID=14","3.8")</f>
        <v>3.8</v>
      </c>
      <c r="G3232" s="4" t="str">
        <f>HYPERLINK("http://141.218.60.56/~jnz1568/getInfo.php?workbook=14_09.xlsx&amp;sheet=U0&amp;row=3232&amp;col=7&amp;number=0.0109&amp;sourceID=14","0.0109")</f>
        <v>0.0109</v>
      </c>
    </row>
    <row r="3233" spans="1:7">
      <c r="A3233" s="3"/>
      <c r="B3233" s="3"/>
      <c r="C3233" s="3"/>
      <c r="D3233" s="3"/>
      <c r="E3233" s="3">
        <v>10</v>
      </c>
      <c r="F3233" s="4" t="str">
        <f>HYPERLINK("http://141.218.60.56/~jnz1568/getInfo.php?workbook=14_09.xlsx&amp;sheet=U0&amp;row=3233&amp;col=6&amp;number=3.9&amp;sourceID=14","3.9")</f>
        <v>3.9</v>
      </c>
      <c r="G3233" s="4" t="str">
        <f>HYPERLINK("http://141.218.60.56/~jnz1568/getInfo.php?workbook=14_09.xlsx&amp;sheet=U0&amp;row=3233&amp;col=7&amp;number=0.0108&amp;sourceID=14","0.0108")</f>
        <v>0.0108</v>
      </c>
    </row>
    <row r="3234" spans="1:7">
      <c r="A3234" s="3"/>
      <c r="B3234" s="3"/>
      <c r="C3234" s="3"/>
      <c r="D3234" s="3"/>
      <c r="E3234" s="3">
        <v>11</v>
      </c>
      <c r="F3234" s="4" t="str">
        <f>HYPERLINK("http://141.218.60.56/~jnz1568/getInfo.php?workbook=14_09.xlsx&amp;sheet=U0&amp;row=3234&amp;col=6&amp;number=4&amp;sourceID=14","4")</f>
        <v>4</v>
      </c>
      <c r="G3234" s="4" t="str">
        <f>HYPERLINK("http://141.218.60.56/~jnz1568/getInfo.php?workbook=14_09.xlsx&amp;sheet=U0&amp;row=3234&amp;col=7&amp;number=0.0108&amp;sourceID=14","0.0108")</f>
        <v>0.0108</v>
      </c>
    </row>
    <row r="3235" spans="1:7">
      <c r="A3235" s="3"/>
      <c r="B3235" s="3"/>
      <c r="C3235" s="3"/>
      <c r="D3235" s="3"/>
      <c r="E3235" s="3">
        <v>12</v>
      </c>
      <c r="F3235" s="4" t="str">
        <f>HYPERLINK("http://141.218.60.56/~jnz1568/getInfo.php?workbook=14_09.xlsx&amp;sheet=U0&amp;row=3235&amp;col=6&amp;number=4.1&amp;sourceID=14","4.1")</f>
        <v>4.1</v>
      </c>
      <c r="G3235" s="4" t="str">
        <f>HYPERLINK("http://141.218.60.56/~jnz1568/getInfo.php?workbook=14_09.xlsx&amp;sheet=U0&amp;row=3235&amp;col=7&amp;number=0.0107&amp;sourceID=14","0.0107")</f>
        <v>0.0107</v>
      </c>
    </row>
    <row r="3236" spans="1:7">
      <c r="A3236" s="3"/>
      <c r="B3236" s="3"/>
      <c r="C3236" s="3"/>
      <c r="D3236" s="3"/>
      <c r="E3236" s="3">
        <v>13</v>
      </c>
      <c r="F3236" s="4" t="str">
        <f>HYPERLINK("http://141.218.60.56/~jnz1568/getInfo.php?workbook=14_09.xlsx&amp;sheet=U0&amp;row=3236&amp;col=6&amp;number=4.2&amp;sourceID=14","4.2")</f>
        <v>4.2</v>
      </c>
      <c r="G3236" s="4" t="str">
        <f>HYPERLINK("http://141.218.60.56/~jnz1568/getInfo.php?workbook=14_09.xlsx&amp;sheet=U0&amp;row=3236&amp;col=7&amp;number=0.0107&amp;sourceID=14","0.0107")</f>
        <v>0.0107</v>
      </c>
    </row>
    <row r="3237" spans="1:7">
      <c r="A3237" s="3"/>
      <c r="B3237" s="3"/>
      <c r="C3237" s="3"/>
      <c r="D3237" s="3"/>
      <c r="E3237" s="3">
        <v>14</v>
      </c>
      <c r="F3237" s="4" t="str">
        <f>HYPERLINK("http://141.218.60.56/~jnz1568/getInfo.php?workbook=14_09.xlsx&amp;sheet=U0&amp;row=3237&amp;col=6&amp;number=4.3&amp;sourceID=14","4.3")</f>
        <v>4.3</v>
      </c>
      <c r="G3237" s="4" t="str">
        <f>HYPERLINK("http://141.218.60.56/~jnz1568/getInfo.php?workbook=14_09.xlsx&amp;sheet=U0&amp;row=3237&amp;col=7&amp;number=0.0106&amp;sourceID=14","0.0106")</f>
        <v>0.0106</v>
      </c>
    </row>
    <row r="3238" spans="1:7">
      <c r="A3238" s="3"/>
      <c r="B3238" s="3"/>
      <c r="C3238" s="3"/>
      <c r="D3238" s="3"/>
      <c r="E3238" s="3">
        <v>15</v>
      </c>
      <c r="F3238" s="4" t="str">
        <f>HYPERLINK("http://141.218.60.56/~jnz1568/getInfo.php?workbook=14_09.xlsx&amp;sheet=U0&amp;row=3238&amp;col=6&amp;number=4.4&amp;sourceID=14","4.4")</f>
        <v>4.4</v>
      </c>
      <c r="G3238" s="4" t="str">
        <f>HYPERLINK("http://141.218.60.56/~jnz1568/getInfo.php?workbook=14_09.xlsx&amp;sheet=U0&amp;row=3238&amp;col=7&amp;number=0.0104&amp;sourceID=14","0.0104")</f>
        <v>0.0104</v>
      </c>
    </row>
    <row r="3239" spans="1:7">
      <c r="A3239" s="3"/>
      <c r="B3239" s="3"/>
      <c r="C3239" s="3"/>
      <c r="D3239" s="3"/>
      <c r="E3239" s="3">
        <v>16</v>
      </c>
      <c r="F3239" s="4" t="str">
        <f>HYPERLINK("http://141.218.60.56/~jnz1568/getInfo.php?workbook=14_09.xlsx&amp;sheet=U0&amp;row=3239&amp;col=6&amp;number=4.5&amp;sourceID=14","4.5")</f>
        <v>4.5</v>
      </c>
      <c r="G3239" s="4" t="str">
        <f>HYPERLINK("http://141.218.60.56/~jnz1568/getInfo.php?workbook=14_09.xlsx&amp;sheet=U0&amp;row=3239&amp;col=7&amp;number=0.0103&amp;sourceID=14","0.0103")</f>
        <v>0.0103</v>
      </c>
    </row>
    <row r="3240" spans="1:7">
      <c r="A3240" s="3"/>
      <c r="B3240" s="3"/>
      <c r="C3240" s="3"/>
      <c r="D3240" s="3"/>
      <c r="E3240" s="3">
        <v>17</v>
      </c>
      <c r="F3240" s="4" t="str">
        <f>HYPERLINK("http://141.218.60.56/~jnz1568/getInfo.php?workbook=14_09.xlsx&amp;sheet=U0&amp;row=3240&amp;col=6&amp;number=4.6&amp;sourceID=14","4.6")</f>
        <v>4.6</v>
      </c>
      <c r="G3240" s="4" t="str">
        <f>HYPERLINK("http://141.218.60.56/~jnz1568/getInfo.php?workbook=14_09.xlsx&amp;sheet=U0&amp;row=3240&amp;col=7&amp;number=0.0101&amp;sourceID=14","0.0101")</f>
        <v>0.0101</v>
      </c>
    </row>
    <row r="3241" spans="1:7">
      <c r="A3241" s="3"/>
      <c r="B3241" s="3"/>
      <c r="C3241" s="3"/>
      <c r="D3241" s="3"/>
      <c r="E3241" s="3">
        <v>18</v>
      </c>
      <c r="F3241" s="4" t="str">
        <f>HYPERLINK("http://141.218.60.56/~jnz1568/getInfo.php?workbook=14_09.xlsx&amp;sheet=U0&amp;row=3241&amp;col=6&amp;number=4.7&amp;sourceID=14","4.7")</f>
        <v>4.7</v>
      </c>
      <c r="G3241" s="4" t="str">
        <f>HYPERLINK("http://141.218.60.56/~jnz1568/getInfo.php?workbook=14_09.xlsx&amp;sheet=U0&amp;row=3241&amp;col=7&amp;number=0.0099&amp;sourceID=14","0.0099")</f>
        <v>0.0099</v>
      </c>
    </row>
    <row r="3242" spans="1:7">
      <c r="A3242" s="3"/>
      <c r="B3242" s="3"/>
      <c r="C3242" s="3"/>
      <c r="D3242" s="3"/>
      <c r="E3242" s="3">
        <v>19</v>
      </c>
      <c r="F3242" s="4" t="str">
        <f>HYPERLINK("http://141.218.60.56/~jnz1568/getInfo.php?workbook=14_09.xlsx&amp;sheet=U0&amp;row=3242&amp;col=6&amp;number=4.8&amp;sourceID=14","4.8")</f>
        <v>4.8</v>
      </c>
      <c r="G3242" s="4" t="str">
        <f>HYPERLINK("http://141.218.60.56/~jnz1568/getInfo.php?workbook=14_09.xlsx&amp;sheet=U0&amp;row=3242&amp;col=7&amp;number=0.00964&amp;sourceID=14","0.00964")</f>
        <v>0.00964</v>
      </c>
    </row>
    <row r="3243" spans="1:7">
      <c r="A3243" s="3"/>
      <c r="B3243" s="3"/>
      <c r="C3243" s="3"/>
      <c r="D3243" s="3"/>
      <c r="E3243" s="3">
        <v>20</v>
      </c>
      <c r="F3243" s="4" t="str">
        <f>HYPERLINK("http://141.218.60.56/~jnz1568/getInfo.php?workbook=14_09.xlsx&amp;sheet=U0&amp;row=3243&amp;col=6&amp;number=4.9&amp;sourceID=14","4.9")</f>
        <v>4.9</v>
      </c>
      <c r="G3243" s="4" t="str">
        <f>HYPERLINK("http://141.218.60.56/~jnz1568/getInfo.php?workbook=14_09.xlsx&amp;sheet=U0&amp;row=3243&amp;col=7&amp;number=0.00934&amp;sourceID=14","0.00934")</f>
        <v>0.00934</v>
      </c>
    </row>
    <row r="3244" spans="1:7">
      <c r="A3244" s="3">
        <v>14</v>
      </c>
      <c r="B3244" s="3">
        <v>9</v>
      </c>
      <c r="C3244" s="3">
        <v>1</v>
      </c>
      <c r="D3244" s="3">
        <v>164</v>
      </c>
      <c r="E3244" s="3">
        <v>1</v>
      </c>
      <c r="F3244" s="4" t="str">
        <f>HYPERLINK("http://141.218.60.56/~jnz1568/getInfo.php?workbook=14_09.xlsx&amp;sheet=U0&amp;row=3244&amp;col=6&amp;number=3&amp;sourceID=14","3")</f>
        <v>3</v>
      </c>
      <c r="G3244" s="4" t="str">
        <f>HYPERLINK("http://141.218.60.56/~jnz1568/getInfo.php?workbook=14_09.xlsx&amp;sheet=U0&amp;row=3244&amp;col=7&amp;number=0.00324&amp;sourceID=14","0.00324")</f>
        <v>0.00324</v>
      </c>
    </row>
    <row r="3245" spans="1:7">
      <c r="A3245" s="3"/>
      <c r="B3245" s="3"/>
      <c r="C3245" s="3"/>
      <c r="D3245" s="3"/>
      <c r="E3245" s="3">
        <v>2</v>
      </c>
      <c r="F3245" s="4" t="str">
        <f>HYPERLINK("http://141.218.60.56/~jnz1568/getInfo.php?workbook=14_09.xlsx&amp;sheet=U0&amp;row=3245&amp;col=6&amp;number=3.1&amp;sourceID=14","3.1")</f>
        <v>3.1</v>
      </c>
      <c r="G3245" s="4" t="str">
        <f>HYPERLINK("http://141.218.60.56/~jnz1568/getInfo.php?workbook=14_09.xlsx&amp;sheet=U0&amp;row=3245&amp;col=7&amp;number=0.00323&amp;sourceID=14","0.00323")</f>
        <v>0.00323</v>
      </c>
    </row>
    <row r="3246" spans="1:7">
      <c r="A3246" s="3"/>
      <c r="B3246" s="3"/>
      <c r="C3246" s="3"/>
      <c r="D3246" s="3"/>
      <c r="E3246" s="3">
        <v>3</v>
      </c>
      <c r="F3246" s="4" t="str">
        <f>HYPERLINK("http://141.218.60.56/~jnz1568/getInfo.php?workbook=14_09.xlsx&amp;sheet=U0&amp;row=3246&amp;col=6&amp;number=3.2&amp;sourceID=14","3.2")</f>
        <v>3.2</v>
      </c>
      <c r="G3246" s="4" t="str">
        <f>HYPERLINK("http://141.218.60.56/~jnz1568/getInfo.php?workbook=14_09.xlsx&amp;sheet=U0&amp;row=3246&amp;col=7&amp;number=0.00323&amp;sourceID=14","0.00323")</f>
        <v>0.00323</v>
      </c>
    </row>
    <row r="3247" spans="1:7">
      <c r="A3247" s="3"/>
      <c r="B3247" s="3"/>
      <c r="C3247" s="3"/>
      <c r="D3247" s="3"/>
      <c r="E3247" s="3">
        <v>4</v>
      </c>
      <c r="F3247" s="4" t="str">
        <f>HYPERLINK("http://141.218.60.56/~jnz1568/getInfo.php?workbook=14_09.xlsx&amp;sheet=U0&amp;row=3247&amp;col=6&amp;number=3.3&amp;sourceID=14","3.3")</f>
        <v>3.3</v>
      </c>
      <c r="G3247" s="4" t="str">
        <f>HYPERLINK("http://141.218.60.56/~jnz1568/getInfo.php?workbook=14_09.xlsx&amp;sheet=U0&amp;row=3247&amp;col=7&amp;number=0.00322&amp;sourceID=14","0.00322")</f>
        <v>0.00322</v>
      </c>
    </row>
    <row r="3248" spans="1:7">
      <c r="A3248" s="3"/>
      <c r="B3248" s="3"/>
      <c r="C3248" s="3"/>
      <c r="D3248" s="3"/>
      <c r="E3248" s="3">
        <v>5</v>
      </c>
      <c r="F3248" s="4" t="str">
        <f>HYPERLINK("http://141.218.60.56/~jnz1568/getInfo.php?workbook=14_09.xlsx&amp;sheet=U0&amp;row=3248&amp;col=6&amp;number=3.4&amp;sourceID=14","3.4")</f>
        <v>3.4</v>
      </c>
      <c r="G3248" s="4" t="str">
        <f>HYPERLINK("http://141.218.60.56/~jnz1568/getInfo.php?workbook=14_09.xlsx&amp;sheet=U0&amp;row=3248&amp;col=7&amp;number=0.0032&amp;sourceID=14","0.0032")</f>
        <v>0.0032</v>
      </c>
    </row>
    <row r="3249" spans="1:7">
      <c r="A3249" s="3"/>
      <c r="B3249" s="3"/>
      <c r="C3249" s="3"/>
      <c r="D3249" s="3"/>
      <c r="E3249" s="3">
        <v>6</v>
      </c>
      <c r="F3249" s="4" t="str">
        <f>HYPERLINK("http://141.218.60.56/~jnz1568/getInfo.php?workbook=14_09.xlsx&amp;sheet=U0&amp;row=3249&amp;col=6&amp;number=3.5&amp;sourceID=14","3.5")</f>
        <v>3.5</v>
      </c>
      <c r="G3249" s="4" t="str">
        <f>HYPERLINK("http://141.218.60.56/~jnz1568/getInfo.php?workbook=14_09.xlsx&amp;sheet=U0&amp;row=3249&amp;col=7&amp;number=0.00319&amp;sourceID=14","0.00319")</f>
        <v>0.00319</v>
      </c>
    </row>
    <row r="3250" spans="1:7">
      <c r="A3250" s="3"/>
      <c r="B3250" s="3"/>
      <c r="C3250" s="3"/>
      <c r="D3250" s="3"/>
      <c r="E3250" s="3">
        <v>7</v>
      </c>
      <c r="F3250" s="4" t="str">
        <f>HYPERLINK("http://141.218.60.56/~jnz1568/getInfo.php?workbook=14_09.xlsx&amp;sheet=U0&amp;row=3250&amp;col=6&amp;number=3.6&amp;sourceID=14","3.6")</f>
        <v>3.6</v>
      </c>
      <c r="G3250" s="4" t="str">
        <f>HYPERLINK("http://141.218.60.56/~jnz1568/getInfo.php?workbook=14_09.xlsx&amp;sheet=U0&amp;row=3250&amp;col=7&amp;number=0.00317&amp;sourceID=14","0.00317")</f>
        <v>0.00317</v>
      </c>
    </row>
    <row r="3251" spans="1:7">
      <c r="A3251" s="3"/>
      <c r="B3251" s="3"/>
      <c r="C3251" s="3"/>
      <c r="D3251" s="3"/>
      <c r="E3251" s="3">
        <v>8</v>
      </c>
      <c r="F3251" s="4" t="str">
        <f>HYPERLINK("http://141.218.60.56/~jnz1568/getInfo.php?workbook=14_09.xlsx&amp;sheet=U0&amp;row=3251&amp;col=6&amp;number=3.7&amp;sourceID=14","3.7")</f>
        <v>3.7</v>
      </c>
      <c r="G3251" s="4" t="str">
        <f>HYPERLINK("http://141.218.60.56/~jnz1568/getInfo.php?workbook=14_09.xlsx&amp;sheet=U0&amp;row=3251&amp;col=7&amp;number=0.00315&amp;sourceID=14","0.00315")</f>
        <v>0.00315</v>
      </c>
    </row>
    <row r="3252" spans="1:7">
      <c r="A3252" s="3"/>
      <c r="B3252" s="3"/>
      <c r="C3252" s="3"/>
      <c r="D3252" s="3"/>
      <c r="E3252" s="3">
        <v>9</v>
      </c>
      <c r="F3252" s="4" t="str">
        <f>HYPERLINK("http://141.218.60.56/~jnz1568/getInfo.php?workbook=14_09.xlsx&amp;sheet=U0&amp;row=3252&amp;col=6&amp;number=3.8&amp;sourceID=14","3.8")</f>
        <v>3.8</v>
      </c>
      <c r="G3252" s="4" t="str">
        <f>HYPERLINK("http://141.218.60.56/~jnz1568/getInfo.php?workbook=14_09.xlsx&amp;sheet=U0&amp;row=3252&amp;col=7&amp;number=0.00312&amp;sourceID=14","0.00312")</f>
        <v>0.00312</v>
      </c>
    </row>
    <row r="3253" spans="1:7">
      <c r="A3253" s="3"/>
      <c r="B3253" s="3"/>
      <c r="C3253" s="3"/>
      <c r="D3253" s="3"/>
      <c r="E3253" s="3">
        <v>10</v>
      </c>
      <c r="F3253" s="4" t="str">
        <f>HYPERLINK("http://141.218.60.56/~jnz1568/getInfo.php?workbook=14_09.xlsx&amp;sheet=U0&amp;row=3253&amp;col=6&amp;number=3.9&amp;sourceID=14","3.9")</f>
        <v>3.9</v>
      </c>
      <c r="G3253" s="4" t="str">
        <f>HYPERLINK("http://141.218.60.56/~jnz1568/getInfo.php?workbook=14_09.xlsx&amp;sheet=U0&amp;row=3253&amp;col=7&amp;number=0.00308&amp;sourceID=14","0.00308")</f>
        <v>0.00308</v>
      </c>
    </row>
    <row r="3254" spans="1:7">
      <c r="A3254" s="3"/>
      <c r="B3254" s="3"/>
      <c r="C3254" s="3"/>
      <c r="D3254" s="3"/>
      <c r="E3254" s="3">
        <v>11</v>
      </c>
      <c r="F3254" s="4" t="str">
        <f>HYPERLINK("http://141.218.60.56/~jnz1568/getInfo.php?workbook=14_09.xlsx&amp;sheet=U0&amp;row=3254&amp;col=6&amp;number=4&amp;sourceID=14","4")</f>
        <v>4</v>
      </c>
      <c r="G3254" s="4" t="str">
        <f>HYPERLINK("http://141.218.60.56/~jnz1568/getInfo.php?workbook=14_09.xlsx&amp;sheet=U0&amp;row=3254&amp;col=7&amp;number=0.00303&amp;sourceID=14","0.00303")</f>
        <v>0.00303</v>
      </c>
    </row>
    <row r="3255" spans="1:7">
      <c r="A3255" s="3"/>
      <c r="B3255" s="3"/>
      <c r="C3255" s="3"/>
      <c r="D3255" s="3"/>
      <c r="E3255" s="3">
        <v>12</v>
      </c>
      <c r="F3255" s="4" t="str">
        <f>HYPERLINK("http://141.218.60.56/~jnz1568/getInfo.php?workbook=14_09.xlsx&amp;sheet=U0&amp;row=3255&amp;col=6&amp;number=4.1&amp;sourceID=14","4.1")</f>
        <v>4.1</v>
      </c>
      <c r="G3255" s="4" t="str">
        <f>HYPERLINK("http://141.218.60.56/~jnz1568/getInfo.php?workbook=14_09.xlsx&amp;sheet=U0&amp;row=3255&amp;col=7&amp;number=0.00298&amp;sourceID=14","0.00298")</f>
        <v>0.00298</v>
      </c>
    </row>
    <row r="3256" spans="1:7">
      <c r="A3256" s="3"/>
      <c r="B3256" s="3"/>
      <c r="C3256" s="3"/>
      <c r="D3256" s="3"/>
      <c r="E3256" s="3">
        <v>13</v>
      </c>
      <c r="F3256" s="4" t="str">
        <f>HYPERLINK("http://141.218.60.56/~jnz1568/getInfo.php?workbook=14_09.xlsx&amp;sheet=U0&amp;row=3256&amp;col=6&amp;number=4.2&amp;sourceID=14","4.2")</f>
        <v>4.2</v>
      </c>
      <c r="G3256" s="4" t="str">
        <f>HYPERLINK("http://141.218.60.56/~jnz1568/getInfo.php?workbook=14_09.xlsx&amp;sheet=U0&amp;row=3256&amp;col=7&amp;number=0.00291&amp;sourceID=14","0.00291")</f>
        <v>0.00291</v>
      </c>
    </row>
    <row r="3257" spans="1:7">
      <c r="A3257" s="3"/>
      <c r="B3257" s="3"/>
      <c r="C3257" s="3"/>
      <c r="D3257" s="3"/>
      <c r="E3257" s="3">
        <v>14</v>
      </c>
      <c r="F3257" s="4" t="str">
        <f>HYPERLINK("http://141.218.60.56/~jnz1568/getInfo.php?workbook=14_09.xlsx&amp;sheet=U0&amp;row=3257&amp;col=6&amp;number=4.3&amp;sourceID=14","4.3")</f>
        <v>4.3</v>
      </c>
      <c r="G3257" s="4" t="str">
        <f>HYPERLINK("http://141.218.60.56/~jnz1568/getInfo.php?workbook=14_09.xlsx&amp;sheet=U0&amp;row=3257&amp;col=7&amp;number=0.00282&amp;sourceID=14","0.00282")</f>
        <v>0.00282</v>
      </c>
    </row>
    <row r="3258" spans="1:7">
      <c r="A3258" s="3"/>
      <c r="B3258" s="3"/>
      <c r="C3258" s="3"/>
      <c r="D3258" s="3"/>
      <c r="E3258" s="3">
        <v>15</v>
      </c>
      <c r="F3258" s="4" t="str">
        <f>HYPERLINK("http://141.218.60.56/~jnz1568/getInfo.php?workbook=14_09.xlsx&amp;sheet=U0&amp;row=3258&amp;col=6&amp;number=4.4&amp;sourceID=14","4.4")</f>
        <v>4.4</v>
      </c>
      <c r="G3258" s="4" t="str">
        <f>HYPERLINK("http://141.218.60.56/~jnz1568/getInfo.php?workbook=14_09.xlsx&amp;sheet=U0&amp;row=3258&amp;col=7&amp;number=0.00272&amp;sourceID=14","0.00272")</f>
        <v>0.00272</v>
      </c>
    </row>
    <row r="3259" spans="1:7">
      <c r="A3259" s="3"/>
      <c r="B3259" s="3"/>
      <c r="C3259" s="3"/>
      <c r="D3259" s="3"/>
      <c r="E3259" s="3">
        <v>16</v>
      </c>
      <c r="F3259" s="4" t="str">
        <f>HYPERLINK("http://141.218.60.56/~jnz1568/getInfo.php?workbook=14_09.xlsx&amp;sheet=U0&amp;row=3259&amp;col=6&amp;number=4.5&amp;sourceID=14","4.5")</f>
        <v>4.5</v>
      </c>
      <c r="G3259" s="4" t="str">
        <f>HYPERLINK("http://141.218.60.56/~jnz1568/getInfo.php?workbook=14_09.xlsx&amp;sheet=U0&amp;row=3259&amp;col=7&amp;number=0.0026&amp;sourceID=14","0.0026")</f>
        <v>0.0026</v>
      </c>
    </row>
    <row r="3260" spans="1:7">
      <c r="A3260" s="3"/>
      <c r="B3260" s="3"/>
      <c r="C3260" s="3"/>
      <c r="D3260" s="3"/>
      <c r="E3260" s="3">
        <v>17</v>
      </c>
      <c r="F3260" s="4" t="str">
        <f>HYPERLINK("http://141.218.60.56/~jnz1568/getInfo.php?workbook=14_09.xlsx&amp;sheet=U0&amp;row=3260&amp;col=6&amp;number=4.6&amp;sourceID=14","4.6")</f>
        <v>4.6</v>
      </c>
      <c r="G3260" s="4" t="str">
        <f>HYPERLINK("http://141.218.60.56/~jnz1568/getInfo.php?workbook=14_09.xlsx&amp;sheet=U0&amp;row=3260&amp;col=7&amp;number=0.00246&amp;sourceID=14","0.00246")</f>
        <v>0.00246</v>
      </c>
    </row>
    <row r="3261" spans="1:7">
      <c r="A3261" s="3"/>
      <c r="B3261" s="3"/>
      <c r="C3261" s="3"/>
      <c r="D3261" s="3"/>
      <c r="E3261" s="3">
        <v>18</v>
      </c>
      <c r="F3261" s="4" t="str">
        <f>HYPERLINK("http://141.218.60.56/~jnz1568/getInfo.php?workbook=14_09.xlsx&amp;sheet=U0&amp;row=3261&amp;col=6&amp;number=4.7&amp;sourceID=14","4.7")</f>
        <v>4.7</v>
      </c>
      <c r="G3261" s="4" t="str">
        <f>HYPERLINK("http://141.218.60.56/~jnz1568/getInfo.php?workbook=14_09.xlsx&amp;sheet=U0&amp;row=3261&amp;col=7&amp;number=0.0023&amp;sourceID=14","0.0023")</f>
        <v>0.0023</v>
      </c>
    </row>
    <row r="3262" spans="1:7">
      <c r="A3262" s="3"/>
      <c r="B3262" s="3"/>
      <c r="C3262" s="3"/>
      <c r="D3262" s="3"/>
      <c r="E3262" s="3">
        <v>19</v>
      </c>
      <c r="F3262" s="4" t="str">
        <f>HYPERLINK("http://141.218.60.56/~jnz1568/getInfo.php?workbook=14_09.xlsx&amp;sheet=U0&amp;row=3262&amp;col=6&amp;number=4.8&amp;sourceID=14","4.8")</f>
        <v>4.8</v>
      </c>
      <c r="G3262" s="4" t="str">
        <f>HYPERLINK("http://141.218.60.56/~jnz1568/getInfo.php?workbook=14_09.xlsx&amp;sheet=U0&amp;row=3262&amp;col=7&amp;number=0.00214&amp;sourceID=14","0.00214")</f>
        <v>0.00214</v>
      </c>
    </row>
    <row r="3263" spans="1:7">
      <c r="A3263" s="3"/>
      <c r="B3263" s="3"/>
      <c r="C3263" s="3"/>
      <c r="D3263" s="3"/>
      <c r="E3263" s="3">
        <v>20</v>
      </c>
      <c r="F3263" s="4" t="str">
        <f>HYPERLINK("http://141.218.60.56/~jnz1568/getInfo.php?workbook=14_09.xlsx&amp;sheet=U0&amp;row=3263&amp;col=6&amp;number=4.9&amp;sourceID=14","4.9")</f>
        <v>4.9</v>
      </c>
      <c r="G3263" s="4" t="str">
        <f>HYPERLINK("http://141.218.60.56/~jnz1568/getInfo.php?workbook=14_09.xlsx&amp;sheet=U0&amp;row=3263&amp;col=7&amp;number=0.00199&amp;sourceID=14","0.00199")</f>
        <v>0.00199</v>
      </c>
    </row>
    <row r="3264" spans="1:7">
      <c r="A3264" s="3">
        <v>14</v>
      </c>
      <c r="B3264" s="3">
        <v>9</v>
      </c>
      <c r="C3264" s="3">
        <v>1</v>
      </c>
      <c r="D3264" s="3">
        <v>165</v>
      </c>
      <c r="E3264" s="3">
        <v>1</v>
      </c>
      <c r="F3264" s="4" t="str">
        <f>HYPERLINK("http://141.218.60.56/~jnz1568/getInfo.php?workbook=14_09.xlsx&amp;sheet=U0&amp;row=3264&amp;col=6&amp;number=3&amp;sourceID=14","3")</f>
        <v>3</v>
      </c>
      <c r="G3264" s="4" t="str">
        <f>HYPERLINK("http://141.218.60.56/~jnz1568/getInfo.php?workbook=14_09.xlsx&amp;sheet=U0&amp;row=3264&amp;col=7&amp;number=0.00521&amp;sourceID=14","0.00521")</f>
        <v>0.00521</v>
      </c>
    </row>
    <row r="3265" spans="1:7">
      <c r="A3265" s="3"/>
      <c r="B3265" s="3"/>
      <c r="C3265" s="3"/>
      <c r="D3265" s="3"/>
      <c r="E3265" s="3">
        <v>2</v>
      </c>
      <c r="F3265" s="4" t="str">
        <f>HYPERLINK("http://141.218.60.56/~jnz1568/getInfo.php?workbook=14_09.xlsx&amp;sheet=U0&amp;row=3265&amp;col=6&amp;number=3.1&amp;sourceID=14","3.1")</f>
        <v>3.1</v>
      </c>
      <c r="G3265" s="4" t="str">
        <f>HYPERLINK("http://141.218.60.56/~jnz1568/getInfo.php?workbook=14_09.xlsx&amp;sheet=U0&amp;row=3265&amp;col=7&amp;number=0.0052&amp;sourceID=14","0.0052")</f>
        <v>0.0052</v>
      </c>
    </row>
    <row r="3266" spans="1:7">
      <c r="A3266" s="3"/>
      <c r="B3266" s="3"/>
      <c r="C3266" s="3"/>
      <c r="D3266" s="3"/>
      <c r="E3266" s="3">
        <v>3</v>
      </c>
      <c r="F3266" s="4" t="str">
        <f>HYPERLINK("http://141.218.60.56/~jnz1568/getInfo.php?workbook=14_09.xlsx&amp;sheet=U0&amp;row=3266&amp;col=6&amp;number=3.2&amp;sourceID=14","3.2")</f>
        <v>3.2</v>
      </c>
      <c r="G3266" s="4" t="str">
        <f>HYPERLINK("http://141.218.60.56/~jnz1568/getInfo.php?workbook=14_09.xlsx&amp;sheet=U0&amp;row=3266&amp;col=7&amp;number=0.0052&amp;sourceID=14","0.0052")</f>
        <v>0.0052</v>
      </c>
    </row>
    <row r="3267" spans="1:7">
      <c r="A3267" s="3"/>
      <c r="B3267" s="3"/>
      <c r="C3267" s="3"/>
      <c r="D3267" s="3"/>
      <c r="E3267" s="3">
        <v>4</v>
      </c>
      <c r="F3267" s="4" t="str">
        <f>HYPERLINK("http://141.218.60.56/~jnz1568/getInfo.php?workbook=14_09.xlsx&amp;sheet=U0&amp;row=3267&amp;col=6&amp;number=3.3&amp;sourceID=14","3.3")</f>
        <v>3.3</v>
      </c>
      <c r="G3267" s="4" t="str">
        <f>HYPERLINK("http://141.218.60.56/~jnz1568/getInfo.php?workbook=14_09.xlsx&amp;sheet=U0&amp;row=3267&amp;col=7&amp;number=0.00518&amp;sourceID=14","0.00518")</f>
        <v>0.00518</v>
      </c>
    </row>
    <row r="3268" spans="1:7">
      <c r="A3268" s="3"/>
      <c r="B3268" s="3"/>
      <c r="C3268" s="3"/>
      <c r="D3268" s="3"/>
      <c r="E3268" s="3">
        <v>5</v>
      </c>
      <c r="F3268" s="4" t="str">
        <f>HYPERLINK("http://141.218.60.56/~jnz1568/getInfo.php?workbook=14_09.xlsx&amp;sheet=U0&amp;row=3268&amp;col=6&amp;number=3.4&amp;sourceID=14","3.4")</f>
        <v>3.4</v>
      </c>
      <c r="G3268" s="4" t="str">
        <f>HYPERLINK("http://141.218.60.56/~jnz1568/getInfo.php?workbook=14_09.xlsx&amp;sheet=U0&amp;row=3268&amp;col=7&amp;number=0.00517&amp;sourceID=14","0.00517")</f>
        <v>0.00517</v>
      </c>
    </row>
    <row r="3269" spans="1:7">
      <c r="A3269" s="3"/>
      <c r="B3269" s="3"/>
      <c r="C3269" s="3"/>
      <c r="D3269" s="3"/>
      <c r="E3269" s="3">
        <v>6</v>
      </c>
      <c r="F3269" s="4" t="str">
        <f>HYPERLINK("http://141.218.60.56/~jnz1568/getInfo.php?workbook=14_09.xlsx&amp;sheet=U0&amp;row=3269&amp;col=6&amp;number=3.5&amp;sourceID=14","3.5")</f>
        <v>3.5</v>
      </c>
      <c r="G3269" s="4" t="str">
        <f>HYPERLINK("http://141.218.60.56/~jnz1568/getInfo.php?workbook=14_09.xlsx&amp;sheet=U0&amp;row=3269&amp;col=7&amp;number=0.00515&amp;sourceID=14","0.00515")</f>
        <v>0.00515</v>
      </c>
    </row>
    <row r="3270" spans="1:7">
      <c r="A3270" s="3"/>
      <c r="B3270" s="3"/>
      <c r="C3270" s="3"/>
      <c r="D3270" s="3"/>
      <c r="E3270" s="3">
        <v>7</v>
      </c>
      <c r="F3270" s="4" t="str">
        <f>HYPERLINK("http://141.218.60.56/~jnz1568/getInfo.php?workbook=14_09.xlsx&amp;sheet=U0&amp;row=3270&amp;col=6&amp;number=3.6&amp;sourceID=14","3.6")</f>
        <v>3.6</v>
      </c>
      <c r="G3270" s="4" t="str">
        <f>HYPERLINK("http://141.218.60.56/~jnz1568/getInfo.php?workbook=14_09.xlsx&amp;sheet=U0&amp;row=3270&amp;col=7&amp;number=0.00513&amp;sourceID=14","0.00513")</f>
        <v>0.00513</v>
      </c>
    </row>
    <row r="3271" spans="1:7">
      <c r="A3271" s="3"/>
      <c r="B3271" s="3"/>
      <c r="C3271" s="3"/>
      <c r="D3271" s="3"/>
      <c r="E3271" s="3">
        <v>8</v>
      </c>
      <c r="F3271" s="4" t="str">
        <f>HYPERLINK("http://141.218.60.56/~jnz1568/getInfo.php?workbook=14_09.xlsx&amp;sheet=U0&amp;row=3271&amp;col=6&amp;number=3.7&amp;sourceID=14","3.7")</f>
        <v>3.7</v>
      </c>
      <c r="G3271" s="4" t="str">
        <f>HYPERLINK("http://141.218.60.56/~jnz1568/getInfo.php?workbook=14_09.xlsx&amp;sheet=U0&amp;row=3271&amp;col=7&amp;number=0.00511&amp;sourceID=14","0.00511")</f>
        <v>0.00511</v>
      </c>
    </row>
    <row r="3272" spans="1:7">
      <c r="A3272" s="3"/>
      <c r="B3272" s="3"/>
      <c r="C3272" s="3"/>
      <c r="D3272" s="3"/>
      <c r="E3272" s="3">
        <v>9</v>
      </c>
      <c r="F3272" s="4" t="str">
        <f>HYPERLINK("http://141.218.60.56/~jnz1568/getInfo.php?workbook=14_09.xlsx&amp;sheet=U0&amp;row=3272&amp;col=6&amp;number=3.8&amp;sourceID=14","3.8")</f>
        <v>3.8</v>
      </c>
      <c r="G3272" s="4" t="str">
        <f>HYPERLINK("http://141.218.60.56/~jnz1568/getInfo.php?workbook=14_09.xlsx&amp;sheet=U0&amp;row=3272&amp;col=7&amp;number=0.00507&amp;sourceID=14","0.00507")</f>
        <v>0.00507</v>
      </c>
    </row>
    <row r="3273" spans="1:7">
      <c r="A3273" s="3"/>
      <c r="B3273" s="3"/>
      <c r="C3273" s="3"/>
      <c r="D3273" s="3"/>
      <c r="E3273" s="3">
        <v>10</v>
      </c>
      <c r="F3273" s="4" t="str">
        <f>HYPERLINK("http://141.218.60.56/~jnz1568/getInfo.php?workbook=14_09.xlsx&amp;sheet=U0&amp;row=3273&amp;col=6&amp;number=3.9&amp;sourceID=14","3.9")</f>
        <v>3.9</v>
      </c>
      <c r="G3273" s="4" t="str">
        <f>HYPERLINK("http://141.218.60.56/~jnz1568/getInfo.php?workbook=14_09.xlsx&amp;sheet=U0&amp;row=3273&amp;col=7&amp;number=0.00503&amp;sourceID=14","0.00503")</f>
        <v>0.00503</v>
      </c>
    </row>
    <row r="3274" spans="1:7">
      <c r="A3274" s="3"/>
      <c r="B3274" s="3"/>
      <c r="C3274" s="3"/>
      <c r="D3274" s="3"/>
      <c r="E3274" s="3">
        <v>11</v>
      </c>
      <c r="F3274" s="4" t="str">
        <f>HYPERLINK("http://141.218.60.56/~jnz1568/getInfo.php?workbook=14_09.xlsx&amp;sheet=U0&amp;row=3274&amp;col=6&amp;number=4&amp;sourceID=14","4")</f>
        <v>4</v>
      </c>
      <c r="G3274" s="4" t="str">
        <f>HYPERLINK("http://141.218.60.56/~jnz1568/getInfo.php?workbook=14_09.xlsx&amp;sheet=U0&amp;row=3274&amp;col=7&amp;number=0.00498&amp;sourceID=14","0.00498")</f>
        <v>0.00498</v>
      </c>
    </row>
    <row r="3275" spans="1:7">
      <c r="A3275" s="3"/>
      <c r="B3275" s="3"/>
      <c r="C3275" s="3"/>
      <c r="D3275" s="3"/>
      <c r="E3275" s="3">
        <v>12</v>
      </c>
      <c r="F3275" s="4" t="str">
        <f>HYPERLINK("http://141.218.60.56/~jnz1568/getInfo.php?workbook=14_09.xlsx&amp;sheet=U0&amp;row=3275&amp;col=6&amp;number=4.1&amp;sourceID=14","4.1")</f>
        <v>4.1</v>
      </c>
      <c r="G3275" s="4" t="str">
        <f>HYPERLINK("http://141.218.60.56/~jnz1568/getInfo.php?workbook=14_09.xlsx&amp;sheet=U0&amp;row=3275&amp;col=7&amp;number=0.00491&amp;sourceID=14","0.00491")</f>
        <v>0.00491</v>
      </c>
    </row>
    <row r="3276" spans="1:7">
      <c r="A3276" s="3"/>
      <c r="B3276" s="3"/>
      <c r="C3276" s="3"/>
      <c r="D3276" s="3"/>
      <c r="E3276" s="3">
        <v>13</v>
      </c>
      <c r="F3276" s="4" t="str">
        <f>HYPERLINK("http://141.218.60.56/~jnz1568/getInfo.php?workbook=14_09.xlsx&amp;sheet=U0&amp;row=3276&amp;col=6&amp;number=4.2&amp;sourceID=14","4.2")</f>
        <v>4.2</v>
      </c>
      <c r="G3276" s="4" t="str">
        <f>HYPERLINK("http://141.218.60.56/~jnz1568/getInfo.php?workbook=14_09.xlsx&amp;sheet=U0&amp;row=3276&amp;col=7&amp;number=0.00483&amp;sourceID=14","0.00483")</f>
        <v>0.00483</v>
      </c>
    </row>
    <row r="3277" spans="1:7">
      <c r="A3277" s="3"/>
      <c r="B3277" s="3"/>
      <c r="C3277" s="3"/>
      <c r="D3277" s="3"/>
      <c r="E3277" s="3">
        <v>14</v>
      </c>
      <c r="F3277" s="4" t="str">
        <f>HYPERLINK("http://141.218.60.56/~jnz1568/getInfo.php?workbook=14_09.xlsx&amp;sheet=U0&amp;row=3277&amp;col=6&amp;number=4.3&amp;sourceID=14","4.3")</f>
        <v>4.3</v>
      </c>
      <c r="G3277" s="4" t="str">
        <f>HYPERLINK("http://141.218.60.56/~jnz1568/getInfo.php?workbook=14_09.xlsx&amp;sheet=U0&amp;row=3277&amp;col=7&amp;number=0.00473&amp;sourceID=14","0.00473")</f>
        <v>0.00473</v>
      </c>
    </row>
    <row r="3278" spans="1:7">
      <c r="A3278" s="3"/>
      <c r="B3278" s="3"/>
      <c r="C3278" s="3"/>
      <c r="D3278" s="3"/>
      <c r="E3278" s="3">
        <v>15</v>
      </c>
      <c r="F3278" s="4" t="str">
        <f>HYPERLINK("http://141.218.60.56/~jnz1568/getInfo.php?workbook=14_09.xlsx&amp;sheet=U0&amp;row=3278&amp;col=6&amp;number=4.4&amp;sourceID=14","4.4")</f>
        <v>4.4</v>
      </c>
      <c r="G3278" s="4" t="str">
        <f>HYPERLINK("http://141.218.60.56/~jnz1568/getInfo.php?workbook=14_09.xlsx&amp;sheet=U0&amp;row=3278&amp;col=7&amp;number=0.00461&amp;sourceID=14","0.00461")</f>
        <v>0.00461</v>
      </c>
    </row>
    <row r="3279" spans="1:7">
      <c r="A3279" s="3"/>
      <c r="B3279" s="3"/>
      <c r="C3279" s="3"/>
      <c r="D3279" s="3"/>
      <c r="E3279" s="3">
        <v>16</v>
      </c>
      <c r="F3279" s="4" t="str">
        <f>HYPERLINK("http://141.218.60.56/~jnz1568/getInfo.php?workbook=14_09.xlsx&amp;sheet=U0&amp;row=3279&amp;col=6&amp;number=4.5&amp;sourceID=14","4.5")</f>
        <v>4.5</v>
      </c>
      <c r="G3279" s="4" t="str">
        <f>HYPERLINK("http://141.218.60.56/~jnz1568/getInfo.php?workbook=14_09.xlsx&amp;sheet=U0&amp;row=3279&amp;col=7&amp;number=0.00446&amp;sourceID=14","0.00446")</f>
        <v>0.00446</v>
      </c>
    </row>
    <row r="3280" spans="1:7">
      <c r="A3280" s="3"/>
      <c r="B3280" s="3"/>
      <c r="C3280" s="3"/>
      <c r="D3280" s="3"/>
      <c r="E3280" s="3">
        <v>17</v>
      </c>
      <c r="F3280" s="4" t="str">
        <f>HYPERLINK("http://141.218.60.56/~jnz1568/getInfo.php?workbook=14_09.xlsx&amp;sheet=U0&amp;row=3280&amp;col=6&amp;number=4.6&amp;sourceID=14","4.6")</f>
        <v>4.6</v>
      </c>
      <c r="G3280" s="4" t="str">
        <f>HYPERLINK("http://141.218.60.56/~jnz1568/getInfo.php?workbook=14_09.xlsx&amp;sheet=U0&amp;row=3280&amp;col=7&amp;number=0.00428&amp;sourceID=14","0.00428")</f>
        <v>0.00428</v>
      </c>
    </row>
    <row r="3281" spans="1:7">
      <c r="A3281" s="3"/>
      <c r="B3281" s="3"/>
      <c r="C3281" s="3"/>
      <c r="D3281" s="3"/>
      <c r="E3281" s="3">
        <v>18</v>
      </c>
      <c r="F3281" s="4" t="str">
        <f>HYPERLINK("http://141.218.60.56/~jnz1568/getInfo.php?workbook=14_09.xlsx&amp;sheet=U0&amp;row=3281&amp;col=6&amp;number=4.7&amp;sourceID=14","4.7")</f>
        <v>4.7</v>
      </c>
      <c r="G3281" s="4" t="str">
        <f>HYPERLINK("http://141.218.60.56/~jnz1568/getInfo.php?workbook=14_09.xlsx&amp;sheet=U0&amp;row=3281&amp;col=7&amp;number=0.00407&amp;sourceID=14","0.00407")</f>
        <v>0.00407</v>
      </c>
    </row>
    <row r="3282" spans="1:7">
      <c r="A3282" s="3"/>
      <c r="B3282" s="3"/>
      <c r="C3282" s="3"/>
      <c r="D3282" s="3"/>
      <c r="E3282" s="3">
        <v>19</v>
      </c>
      <c r="F3282" s="4" t="str">
        <f>HYPERLINK("http://141.218.60.56/~jnz1568/getInfo.php?workbook=14_09.xlsx&amp;sheet=U0&amp;row=3282&amp;col=6&amp;number=4.8&amp;sourceID=14","4.8")</f>
        <v>4.8</v>
      </c>
      <c r="G3282" s="4" t="str">
        <f>HYPERLINK("http://141.218.60.56/~jnz1568/getInfo.php?workbook=14_09.xlsx&amp;sheet=U0&amp;row=3282&amp;col=7&amp;number=0.00384&amp;sourceID=14","0.00384")</f>
        <v>0.00384</v>
      </c>
    </row>
    <row r="3283" spans="1:7">
      <c r="A3283" s="3"/>
      <c r="B3283" s="3"/>
      <c r="C3283" s="3"/>
      <c r="D3283" s="3"/>
      <c r="E3283" s="3">
        <v>20</v>
      </c>
      <c r="F3283" s="4" t="str">
        <f>HYPERLINK("http://141.218.60.56/~jnz1568/getInfo.php?workbook=14_09.xlsx&amp;sheet=U0&amp;row=3283&amp;col=6&amp;number=4.9&amp;sourceID=14","4.9")</f>
        <v>4.9</v>
      </c>
      <c r="G3283" s="4" t="str">
        <f>HYPERLINK("http://141.218.60.56/~jnz1568/getInfo.php?workbook=14_09.xlsx&amp;sheet=U0&amp;row=3283&amp;col=7&amp;number=0.00359&amp;sourceID=14","0.00359")</f>
        <v>0.00359</v>
      </c>
    </row>
    <row r="3284" spans="1:7">
      <c r="A3284" s="3">
        <v>14</v>
      </c>
      <c r="B3284" s="3">
        <v>9</v>
      </c>
      <c r="C3284" s="3">
        <v>1</v>
      </c>
      <c r="D3284" s="3">
        <v>166</v>
      </c>
      <c r="E3284" s="3">
        <v>1</v>
      </c>
      <c r="F3284" s="4" t="str">
        <f>HYPERLINK("http://141.218.60.56/~jnz1568/getInfo.php?workbook=14_09.xlsx&amp;sheet=U0&amp;row=3284&amp;col=6&amp;number=3&amp;sourceID=14","3")</f>
        <v>3</v>
      </c>
      <c r="G3284" s="4" t="str">
        <f>HYPERLINK("http://141.218.60.56/~jnz1568/getInfo.php?workbook=14_09.xlsx&amp;sheet=U0&amp;row=3284&amp;col=7&amp;number=0.059&amp;sourceID=14","0.059")</f>
        <v>0.059</v>
      </c>
    </row>
    <row r="3285" spans="1:7">
      <c r="A3285" s="3"/>
      <c r="B3285" s="3"/>
      <c r="C3285" s="3"/>
      <c r="D3285" s="3"/>
      <c r="E3285" s="3">
        <v>2</v>
      </c>
      <c r="F3285" s="4" t="str">
        <f>HYPERLINK("http://141.218.60.56/~jnz1568/getInfo.php?workbook=14_09.xlsx&amp;sheet=U0&amp;row=3285&amp;col=6&amp;number=3.1&amp;sourceID=14","3.1")</f>
        <v>3.1</v>
      </c>
      <c r="G3285" s="4" t="str">
        <f>HYPERLINK("http://141.218.60.56/~jnz1568/getInfo.php?workbook=14_09.xlsx&amp;sheet=U0&amp;row=3285&amp;col=7&amp;number=0.059&amp;sourceID=14","0.059")</f>
        <v>0.059</v>
      </c>
    </row>
    <row r="3286" spans="1:7">
      <c r="A3286" s="3"/>
      <c r="B3286" s="3"/>
      <c r="C3286" s="3"/>
      <c r="D3286" s="3"/>
      <c r="E3286" s="3">
        <v>3</v>
      </c>
      <c r="F3286" s="4" t="str">
        <f>HYPERLINK("http://141.218.60.56/~jnz1568/getInfo.php?workbook=14_09.xlsx&amp;sheet=U0&amp;row=3286&amp;col=6&amp;number=3.2&amp;sourceID=14","3.2")</f>
        <v>3.2</v>
      </c>
      <c r="G3286" s="4" t="str">
        <f>HYPERLINK("http://141.218.60.56/~jnz1568/getInfo.php?workbook=14_09.xlsx&amp;sheet=U0&amp;row=3286&amp;col=7&amp;number=0.0589&amp;sourceID=14","0.0589")</f>
        <v>0.0589</v>
      </c>
    </row>
    <row r="3287" spans="1:7">
      <c r="A3287" s="3"/>
      <c r="B3287" s="3"/>
      <c r="C3287" s="3"/>
      <c r="D3287" s="3"/>
      <c r="E3287" s="3">
        <v>4</v>
      </c>
      <c r="F3287" s="4" t="str">
        <f>HYPERLINK("http://141.218.60.56/~jnz1568/getInfo.php?workbook=14_09.xlsx&amp;sheet=U0&amp;row=3287&amp;col=6&amp;number=3.3&amp;sourceID=14","3.3")</f>
        <v>3.3</v>
      </c>
      <c r="G3287" s="4" t="str">
        <f>HYPERLINK("http://141.218.60.56/~jnz1568/getInfo.php?workbook=14_09.xlsx&amp;sheet=U0&amp;row=3287&amp;col=7&amp;number=0.0589&amp;sourceID=14","0.0589")</f>
        <v>0.0589</v>
      </c>
    </row>
    <row r="3288" spans="1:7">
      <c r="A3288" s="3"/>
      <c r="B3288" s="3"/>
      <c r="C3288" s="3"/>
      <c r="D3288" s="3"/>
      <c r="E3288" s="3">
        <v>5</v>
      </c>
      <c r="F3288" s="4" t="str">
        <f>HYPERLINK("http://141.218.60.56/~jnz1568/getInfo.php?workbook=14_09.xlsx&amp;sheet=U0&amp;row=3288&amp;col=6&amp;number=3.4&amp;sourceID=14","3.4")</f>
        <v>3.4</v>
      </c>
      <c r="G3288" s="4" t="str">
        <f>HYPERLINK("http://141.218.60.56/~jnz1568/getInfo.php?workbook=14_09.xlsx&amp;sheet=U0&amp;row=3288&amp;col=7&amp;number=0.0588&amp;sourceID=14","0.0588")</f>
        <v>0.0588</v>
      </c>
    </row>
    <row r="3289" spans="1:7">
      <c r="A3289" s="3"/>
      <c r="B3289" s="3"/>
      <c r="C3289" s="3"/>
      <c r="D3289" s="3"/>
      <c r="E3289" s="3">
        <v>6</v>
      </c>
      <c r="F3289" s="4" t="str">
        <f>HYPERLINK("http://141.218.60.56/~jnz1568/getInfo.php?workbook=14_09.xlsx&amp;sheet=U0&amp;row=3289&amp;col=6&amp;number=3.5&amp;sourceID=14","3.5")</f>
        <v>3.5</v>
      </c>
      <c r="G3289" s="4" t="str">
        <f>HYPERLINK("http://141.218.60.56/~jnz1568/getInfo.php?workbook=14_09.xlsx&amp;sheet=U0&amp;row=3289&amp;col=7&amp;number=0.0588&amp;sourceID=14","0.0588")</f>
        <v>0.0588</v>
      </c>
    </row>
    <row r="3290" spans="1:7">
      <c r="A3290" s="3"/>
      <c r="B3290" s="3"/>
      <c r="C3290" s="3"/>
      <c r="D3290" s="3"/>
      <c r="E3290" s="3">
        <v>7</v>
      </c>
      <c r="F3290" s="4" t="str">
        <f>HYPERLINK("http://141.218.60.56/~jnz1568/getInfo.php?workbook=14_09.xlsx&amp;sheet=U0&amp;row=3290&amp;col=6&amp;number=3.6&amp;sourceID=14","3.6")</f>
        <v>3.6</v>
      </c>
      <c r="G3290" s="4" t="str">
        <f>HYPERLINK("http://141.218.60.56/~jnz1568/getInfo.php?workbook=14_09.xlsx&amp;sheet=U0&amp;row=3290&amp;col=7&amp;number=0.0587&amp;sourceID=14","0.0587")</f>
        <v>0.0587</v>
      </c>
    </row>
    <row r="3291" spans="1:7">
      <c r="A3291" s="3"/>
      <c r="B3291" s="3"/>
      <c r="C3291" s="3"/>
      <c r="D3291" s="3"/>
      <c r="E3291" s="3">
        <v>8</v>
      </c>
      <c r="F3291" s="4" t="str">
        <f>HYPERLINK("http://141.218.60.56/~jnz1568/getInfo.php?workbook=14_09.xlsx&amp;sheet=U0&amp;row=3291&amp;col=6&amp;number=3.7&amp;sourceID=14","3.7")</f>
        <v>3.7</v>
      </c>
      <c r="G3291" s="4" t="str">
        <f>HYPERLINK("http://141.218.60.56/~jnz1568/getInfo.php?workbook=14_09.xlsx&amp;sheet=U0&amp;row=3291&amp;col=7&amp;number=0.0586&amp;sourceID=14","0.0586")</f>
        <v>0.0586</v>
      </c>
    </row>
    <row r="3292" spans="1:7">
      <c r="A3292" s="3"/>
      <c r="B3292" s="3"/>
      <c r="C3292" s="3"/>
      <c r="D3292" s="3"/>
      <c r="E3292" s="3">
        <v>9</v>
      </c>
      <c r="F3292" s="4" t="str">
        <f>HYPERLINK("http://141.218.60.56/~jnz1568/getInfo.php?workbook=14_09.xlsx&amp;sheet=U0&amp;row=3292&amp;col=6&amp;number=3.8&amp;sourceID=14","3.8")</f>
        <v>3.8</v>
      </c>
      <c r="G3292" s="4" t="str">
        <f>HYPERLINK("http://141.218.60.56/~jnz1568/getInfo.php?workbook=14_09.xlsx&amp;sheet=U0&amp;row=3292&amp;col=7&amp;number=0.0584&amp;sourceID=14","0.0584")</f>
        <v>0.0584</v>
      </c>
    </row>
    <row r="3293" spans="1:7">
      <c r="A3293" s="3"/>
      <c r="B3293" s="3"/>
      <c r="C3293" s="3"/>
      <c r="D3293" s="3"/>
      <c r="E3293" s="3">
        <v>10</v>
      </c>
      <c r="F3293" s="4" t="str">
        <f>HYPERLINK("http://141.218.60.56/~jnz1568/getInfo.php?workbook=14_09.xlsx&amp;sheet=U0&amp;row=3293&amp;col=6&amp;number=3.9&amp;sourceID=14","3.9")</f>
        <v>3.9</v>
      </c>
      <c r="G3293" s="4" t="str">
        <f>HYPERLINK("http://141.218.60.56/~jnz1568/getInfo.php?workbook=14_09.xlsx&amp;sheet=U0&amp;row=3293&amp;col=7&amp;number=0.0583&amp;sourceID=14","0.0583")</f>
        <v>0.0583</v>
      </c>
    </row>
    <row r="3294" spans="1:7">
      <c r="A3294" s="3"/>
      <c r="B3294" s="3"/>
      <c r="C3294" s="3"/>
      <c r="D3294" s="3"/>
      <c r="E3294" s="3">
        <v>11</v>
      </c>
      <c r="F3294" s="4" t="str">
        <f>HYPERLINK("http://141.218.60.56/~jnz1568/getInfo.php?workbook=14_09.xlsx&amp;sheet=U0&amp;row=3294&amp;col=6&amp;number=4&amp;sourceID=14","4")</f>
        <v>4</v>
      </c>
      <c r="G3294" s="4" t="str">
        <f>HYPERLINK("http://141.218.60.56/~jnz1568/getInfo.php?workbook=14_09.xlsx&amp;sheet=U0&amp;row=3294&amp;col=7&amp;number=0.058&amp;sourceID=14","0.058")</f>
        <v>0.058</v>
      </c>
    </row>
    <row r="3295" spans="1:7">
      <c r="A3295" s="3"/>
      <c r="B3295" s="3"/>
      <c r="C3295" s="3"/>
      <c r="D3295" s="3"/>
      <c r="E3295" s="3">
        <v>12</v>
      </c>
      <c r="F3295" s="4" t="str">
        <f>HYPERLINK("http://141.218.60.56/~jnz1568/getInfo.php?workbook=14_09.xlsx&amp;sheet=U0&amp;row=3295&amp;col=6&amp;number=4.1&amp;sourceID=14","4.1")</f>
        <v>4.1</v>
      </c>
      <c r="G3295" s="4" t="str">
        <f>HYPERLINK("http://141.218.60.56/~jnz1568/getInfo.php?workbook=14_09.xlsx&amp;sheet=U0&amp;row=3295&amp;col=7&amp;number=0.0578&amp;sourceID=14","0.0578")</f>
        <v>0.0578</v>
      </c>
    </row>
    <row r="3296" spans="1:7">
      <c r="A3296" s="3"/>
      <c r="B3296" s="3"/>
      <c r="C3296" s="3"/>
      <c r="D3296" s="3"/>
      <c r="E3296" s="3">
        <v>13</v>
      </c>
      <c r="F3296" s="4" t="str">
        <f>HYPERLINK("http://141.218.60.56/~jnz1568/getInfo.php?workbook=14_09.xlsx&amp;sheet=U0&amp;row=3296&amp;col=6&amp;number=4.2&amp;sourceID=14","4.2")</f>
        <v>4.2</v>
      </c>
      <c r="G3296" s="4" t="str">
        <f>HYPERLINK("http://141.218.60.56/~jnz1568/getInfo.php?workbook=14_09.xlsx&amp;sheet=U0&amp;row=3296&amp;col=7&amp;number=0.0574&amp;sourceID=14","0.0574")</f>
        <v>0.0574</v>
      </c>
    </row>
    <row r="3297" spans="1:7">
      <c r="A3297" s="3"/>
      <c r="B3297" s="3"/>
      <c r="C3297" s="3"/>
      <c r="D3297" s="3"/>
      <c r="E3297" s="3">
        <v>14</v>
      </c>
      <c r="F3297" s="4" t="str">
        <f>HYPERLINK("http://141.218.60.56/~jnz1568/getInfo.php?workbook=14_09.xlsx&amp;sheet=U0&amp;row=3297&amp;col=6&amp;number=4.3&amp;sourceID=14","4.3")</f>
        <v>4.3</v>
      </c>
      <c r="G3297" s="4" t="str">
        <f>HYPERLINK("http://141.218.60.56/~jnz1568/getInfo.php?workbook=14_09.xlsx&amp;sheet=U0&amp;row=3297&amp;col=7&amp;number=0.057&amp;sourceID=14","0.057")</f>
        <v>0.057</v>
      </c>
    </row>
    <row r="3298" spans="1:7">
      <c r="A3298" s="3"/>
      <c r="B3298" s="3"/>
      <c r="C3298" s="3"/>
      <c r="D3298" s="3"/>
      <c r="E3298" s="3">
        <v>15</v>
      </c>
      <c r="F3298" s="4" t="str">
        <f>HYPERLINK("http://141.218.60.56/~jnz1568/getInfo.php?workbook=14_09.xlsx&amp;sheet=U0&amp;row=3298&amp;col=6&amp;number=4.4&amp;sourceID=14","4.4")</f>
        <v>4.4</v>
      </c>
      <c r="G3298" s="4" t="str">
        <f>HYPERLINK("http://141.218.60.56/~jnz1568/getInfo.php?workbook=14_09.xlsx&amp;sheet=U0&amp;row=3298&amp;col=7&amp;number=0.0565&amp;sourceID=14","0.0565")</f>
        <v>0.0565</v>
      </c>
    </row>
    <row r="3299" spans="1:7">
      <c r="A3299" s="3"/>
      <c r="B3299" s="3"/>
      <c r="C3299" s="3"/>
      <c r="D3299" s="3"/>
      <c r="E3299" s="3">
        <v>16</v>
      </c>
      <c r="F3299" s="4" t="str">
        <f>HYPERLINK("http://141.218.60.56/~jnz1568/getInfo.php?workbook=14_09.xlsx&amp;sheet=U0&amp;row=3299&amp;col=6&amp;number=4.5&amp;sourceID=14","4.5")</f>
        <v>4.5</v>
      </c>
      <c r="G3299" s="4" t="str">
        <f>HYPERLINK("http://141.218.60.56/~jnz1568/getInfo.php?workbook=14_09.xlsx&amp;sheet=U0&amp;row=3299&amp;col=7&amp;number=0.0558&amp;sourceID=14","0.0558")</f>
        <v>0.0558</v>
      </c>
    </row>
    <row r="3300" spans="1:7">
      <c r="A3300" s="3"/>
      <c r="B3300" s="3"/>
      <c r="C3300" s="3"/>
      <c r="D3300" s="3"/>
      <c r="E3300" s="3">
        <v>17</v>
      </c>
      <c r="F3300" s="4" t="str">
        <f>HYPERLINK("http://141.218.60.56/~jnz1568/getInfo.php?workbook=14_09.xlsx&amp;sheet=U0&amp;row=3300&amp;col=6&amp;number=4.6&amp;sourceID=14","4.6")</f>
        <v>4.6</v>
      </c>
      <c r="G3300" s="4" t="str">
        <f>HYPERLINK("http://141.218.60.56/~jnz1568/getInfo.php?workbook=14_09.xlsx&amp;sheet=U0&amp;row=3300&amp;col=7&amp;number=0.0551&amp;sourceID=14","0.0551")</f>
        <v>0.0551</v>
      </c>
    </row>
    <row r="3301" spans="1:7">
      <c r="A3301" s="3"/>
      <c r="B3301" s="3"/>
      <c r="C3301" s="3"/>
      <c r="D3301" s="3"/>
      <c r="E3301" s="3">
        <v>18</v>
      </c>
      <c r="F3301" s="4" t="str">
        <f>HYPERLINK("http://141.218.60.56/~jnz1568/getInfo.php?workbook=14_09.xlsx&amp;sheet=U0&amp;row=3301&amp;col=6&amp;number=4.7&amp;sourceID=14","4.7")</f>
        <v>4.7</v>
      </c>
      <c r="G3301" s="4" t="str">
        <f>HYPERLINK("http://141.218.60.56/~jnz1568/getInfo.php?workbook=14_09.xlsx&amp;sheet=U0&amp;row=3301&amp;col=7&amp;number=0.0542&amp;sourceID=14","0.0542")</f>
        <v>0.0542</v>
      </c>
    </row>
    <row r="3302" spans="1:7">
      <c r="A3302" s="3"/>
      <c r="B3302" s="3"/>
      <c r="C3302" s="3"/>
      <c r="D3302" s="3"/>
      <c r="E3302" s="3">
        <v>19</v>
      </c>
      <c r="F3302" s="4" t="str">
        <f>HYPERLINK("http://141.218.60.56/~jnz1568/getInfo.php?workbook=14_09.xlsx&amp;sheet=U0&amp;row=3302&amp;col=6&amp;number=4.8&amp;sourceID=14","4.8")</f>
        <v>4.8</v>
      </c>
      <c r="G3302" s="4" t="str">
        <f>HYPERLINK("http://141.218.60.56/~jnz1568/getInfo.php?workbook=14_09.xlsx&amp;sheet=U0&amp;row=3302&amp;col=7&amp;number=0.0532&amp;sourceID=14","0.0532")</f>
        <v>0.0532</v>
      </c>
    </row>
    <row r="3303" spans="1:7">
      <c r="A3303" s="3"/>
      <c r="B3303" s="3"/>
      <c r="C3303" s="3"/>
      <c r="D3303" s="3"/>
      <c r="E3303" s="3">
        <v>20</v>
      </c>
      <c r="F3303" s="4" t="str">
        <f>HYPERLINK("http://141.218.60.56/~jnz1568/getInfo.php?workbook=14_09.xlsx&amp;sheet=U0&amp;row=3303&amp;col=6&amp;number=4.9&amp;sourceID=14","4.9")</f>
        <v>4.9</v>
      </c>
      <c r="G3303" s="4" t="str">
        <f>HYPERLINK("http://141.218.60.56/~jnz1568/getInfo.php?workbook=14_09.xlsx&amp;sheet=U0&amp;row=3303&amp;col=7&amp;number=0.0521&amp;sourceID=14","0.0521")</f>
        <v>0.0521</v>
      </c>
    </row>
    <row r="3304" spans="1:7">
      <c r="A3304" s="3">
        <v>14</v>
      </c>
      <c r="B3304" s="3">
        <v>9</v>
      </c>
      <c r="C3304" s="3">
        <v>1</v>
      </c>
      <c r="D3304" s="3">
        <v>167</v>
      </c>
      <c r="E3304" s="3">
        <v>1</v>
      </c>
      <c r="F3304" s="4" t="str">
        <f>HYPERLINK("http://141.218.60.56/~jnz1568/getInfo.php?workbook=14_09.xlsx&amp;sheet=U0&amp;row=3304&amp;col=6&amp;number=3&amp;sourceID=14","3")</f>
        <v>3</v>
      </c>
      <c r="G3304" s="4" t="str">
        <f>HYPERLINK("http://141.218.60.56/~jnz1568/getInfo.php?workbook=14_09.xlsx&amp;sheet=U0&amp;row=3304&amp;col=7&amp;number=0.0111&amp;sourceID=14","0.0111")</f>
        <v>0.0111</v>
      </c>
    </row>
    <row r="3305" spans="1:7">
      <c r="A3305" s="3"/>
      <c r="B3305" s="3"/>
      <c r="C3305" s="3"/>
      <c r="D3305" s="3"/>
      <c r="E3305" s="3">
        <v>2</v>
      </c>
      <c r="F3305" s="4" t="str">
        <f>HYPERLINK("http://141.218.60.56/~jnz1568/getInfo.php?workbook=14_09.xlsx&amp;sheet=U0&amp;row=3305&amp;col=6&amp;number=3.1&amp;sourceID=14","3.1")</f>
        <v>3.1</v>
      </c>
      <c r="G3305" s="4" t="str">
        <f>HYPERLINK("http://141.218.60.56/~jnz1568/getInfo.php?workbook=14_09.xlsx&amp;sheet=U0&amp;row=3305&amp;col=7&amp;number=0.0111&amp;sourceID=14","0.0111")</f>
        <v>0.0111</v>
      </c>
    </row>
    <row r="3306" spans="1:7">
      <c r="A3306" s="3"/>
      <c r="B3306" s="3"/>
      <c r="C3306" s="3"/>
      <c r="D3306" s="3"/>
      <c r="E3306" s="3">
        <v>3</v>
      </c>
      <c r="F3306" s="4" t="str">
        <f>HYPERLINK("http://141.218.60.56/~jnz1568/getInfo.php?workbook=14_09.xlsx&amp;sheet=U0&amp;row=3306&amp;col=6&amp;number=3.2&amp;sourceID=14","3.2")</f>
        <v>3.2</v>
      </c>
      <c r="G3306" s="4" t="str">
        <f>HYPERLINK("http://141.218.60.56/~jnz1568/getInfo.php?workbook=14_09.xlsx&amp;sheet=U0&amp;row=3306&amp;col=7&amp;number=0.0111&amp;sourceID=14","0.0111")</f>
        <v>0.0111</v>
      </c>
    </row>
    <row r="3307" spans="1:7">
      <c r="A3307" s="3"/>
      <c r="B3307" s="3"/>
      <c r="C3307" s="3"/>
      <c r="D3307" s="3"/>
      <c r="E3307" s="3">
        <v>4</v>
      </c>
      <c r="F3307" s="4" t="str">
        <f>HYPERLINK("http://141.218.60.56/~jnz1568/getInfo.php?workbook=14_09.xlsx&amp;sheet=U0&amp;row=3307&amp;col=6&amp;number=3.3&amp;sourceID=14","3.3")</f>
        <v>3.3</v>
      </c>
      <c r="G3307" s="4" t="str">
        <f>HYPERLINK("http://141.218.60.56/~jnz1568/getInfo.php?workbook=14_09.xlsx&amp;sheet=U0&amp;row=3307&amp;col=7&amp;number=0.0111&amp;sourceID=14","0.0111")</f>
        <v>0.0111</v>
      </c>
    </row>
    <row r="3308" spans="1:7">
      <c r="A3308" s="3"/>
      <c r="B3308" s="3"/>
      <c r="C3308" s="3"/>
      <c r="D3308" s="3"/>
      <c r="E3308" s="3">
        <v>5</v>
      </c>
      <c r="F3308" s="4" t="str">
        <f>HYPERLINK("http://141.218.60.56/~jnz1568/getInfo.php?workbook=14_09.xlsx&amp;sheet=U0&amp;row=3308&amp;col=6&amp;number=3.4&amp;sourceID=14","3.4")</f>
        <v>3.4</v>
      </c>
      <c r="G3308" s="4" t="str">
        <f>HYPERLINK("http://141.218.60.56/~jnz1568/getInfo.php?workbook=14_09.xlsx&amp;sheet=U0&amp;row=3308&amp;col=7&amp;number=0.011&amp;sourceID=14","0.011")</f>
        <v>0.011</v>
      </c>
    </row>
    <row r="3309" spans="1:7">
      <c r="A3309" s="3"/>
      <c r="B3309" s="3"/>
      <c r="C3309" s="3"/>
      <c r="D3309" s="3"/>
      <c r="E3309" s="3">
        <v>6</v>
      </c>
      <c r="F3309" s="4" t="str">
        <f>HYPERLINK("http://141.218.60.56/~jnz1568/getInfo.php?workbook=14_09.xlsx&amp;sheet=U0&amp;row=3309&amp;col=6&amp;number=3.5&amp;sourceID=14","3.5")</f>
        <v>3.5</v>
      </c>
      <c r="G3309" s="4" t="str">
        <f>HYPERLINK("http://141.218.60.56/~jnz1568/getInfo.php?workbook=14_09.xlsx&amp;sheet=U0&amp;row=3309&amp;col=7&amp;number=0.011&amp;sourceID=14","0.011")</f>
        <v>0.011</v>
      </c>
    </row>
    <row r="3310" spans="1:7">
      <c r="A3310" s="3"/>
      <c r="B3310" s="3"/>
      <c r="C3310" s="3"/>
      <c r="D3310" s="3"/>
      <c r="E3310" s="3">
        <v>7</v>
      </c>
      <c r="F3310" s="4" t="str">
        <f>HYPERLINK("http://141.218.60.56/~jnz1568/getInfo.php?workbook=14_09.xlsx&amp;sheet=U0&amp;row=3310&amp;col=6&amp;number=3.6&amp;sourceID=14","3.6")</f>
        <v>3.6</v>
      </c>
      <c r="G3310" s="4" t="str">
        <f>HYPERLINK("http://141.218.60.56/~jnz1568/getInfo.php?workbook=14_09.xlsx&amp;sheet=U0&amp;row=3310&amp;col=7&amp;number=0.0109&amp;sourceID=14","0.0109")</f>
        <v>0.0109</v>
      </c>
    </row>
    <row r="3311" spans="1:7">
      <c r="A3311" s="3"/>
      <c r="B3311" s="3"/>
      <c r="C3311" s="3"/>
      <c r="D3311" s="3"/>
      <c r="E3311" s="3">
        <v>8</v>
      </c>
      <c r="F3311" s="4" t="str">
        <f>HYPERLINK("http://141.218.60.56/~jnz1568/getInfo.php?workbook=14_09.xlsx&amp;sheet=U0&amp;row=3311&amp;col=6&amp;number=3.7&amp;sourceID=14","3.7")</f>
        <v>3.7</v>
      </c>
      <c r="G3311" s="4" t="str">
        <f>HYPERLINK("http://141.218.60.56/~jnz1568/getInfo.php?workbook=14_09.xlsx&amp;sheet=U0&amp;row=3311&amp;col=7&amp;number=0.0109&amp;sourceID=14","0.0109")</f>
        <v>0.0109</v>
      </c>
    </row>
    <row r="3312" spans="1:7">
      <c r="A3312" s="3"/>
      <c r="B3312" s="3"/>
      <c r="C3312" s="3"/>
      <c r="D3312" s="3"/>
      <c r="E3312" s="3">
        <v>9</v>
      </c>
      <c r="F3312" s="4" t="str">
        <f>HYPERLINK("http://141.218.60.56/~jnz1568/getInfo.php?workbook=14_09.xlsx&amp;sheet=U0&amp;row=3312&amp;col=6&amp;number=3.8&amp;sourceID=14","3.8")</f>
        <v>3.8</v>
      </c>
      <c r="G3312" s="4" t="str">
        <f>HYPERLINK("http://141.218.60.56/~jnz1568/getInfo.php?workbook=14_09.xlsx&amp;sheet=U0&amp;row=3312&amp;col=7&amp;number=0.0108&amp;sourceID=14","0.0108")</f>
        <v>0.0108</v>
      </c>
    </row>
    <row r="3313" spans="1:7">
      <c r="A3313" s="3"/>
      <c r="B3313" s="3"/>
      <c r="C3313" s="3"/>
      <c r="D3313" s="3"/>
      <c r="E3313" s="3">
        <v>10</v>
      </c>
      <c r="F3313" s="4" t="str">
        <f>HYPERLINK("http://141.218.60.56/~jnz1568/getInfo.php?workbook=14_09.xlsx&amp;sheet=U0&amp;row=3313&amp;col=6&amp;number=3.9&amp;sourceID=14","3.9")</f>
        <v>3.9</v>
      </c>
      <c r="G3313" s="4" t="str">
        <f>HYPERLINK("http://141.218.60.56/~jnz1568/getInfo.php?workbook=14_09.xlsx&amp;sheet=U0&amp;row=3313&amp;col=7&amp;number=0.0107&amp;sourceID=14","0.0107")</f>
        <v>0.0107</v>
      </c>
    </row>
    <row r="3314" spans="1:7">
      <c r="A3314" s="3"/>
      <c r="B3314" s="3"/>
      <c r="C3314" s="3"/>
      <c r="D3314" s="3"/>
      <c r="E3314" s="3">
        <v>11</v>
      </c>
      <c r="F3314" s="4" t="str">
        <f>HYPERLINK("http://141.218.60.56/~jnz1568/getInfo.php?workbook=14_09.xlsx&amp;sheet=U0&amp;row=3314&amp;col=6&amp;number=4&amp;sourceID=14","4")</f>
        <v>4</v>
      </c>
      <c r="G3314" s="4" t="str">
        <f>HYPERLINK("http://141.218.60.56/~jnz1568/getInfo.php?workbook=14_09.xlsx&amp;sheet=U0&amp;row=3314&amp;col=7&amp;number=0.0106&amp;sourceID=14","0.0106")</f>
        <v>0.0106</v>
      </c>
    </row>
    <row r="3315" spans="1:7">
      <c r="A3315" s="3"/>
      <c r="B3315" s="3"/>
      <c r="C3315" s="3"/>
      <c r="D3315" s="3"/>
      <c r="E3315" s="3">
        <v>12</v>
      </c>
      <c r="F3315" s="4" t="str">
        <f>HYPERLINK("http://141.218.60.56/~jnz1568/getInfo.php?workbook=14_09.xlsx&amp;sheet=U0&amp;row=3315&amp;col=6&amp;number=4.1&amp;sourceID=14","4.1")</f>
        <v>4.1</v>
      </c>
      <c r="G3315" s="4" t="str">
        <f>HYPERLINK("http://141.218.60.56/~jnz1568/getInfo.php?workbook=14_09.xlsx&amp;sheet=U0&amp;row=3315&amp;col=7&amp;number=0.0104&amp;sourceID=14","0.0104")</f>
        <v>0.0104</v>
      </c>
    </row>
    <row r="3316" spans="1:7">
      <c r="A3316" s="3"/>
      <c r="B3316" s="3"/>
      <c r="C3316" s="3"/>
      <c r="D3316" s="3"/>
      <c r="E3316" s="3">
        <v>13</v>
      </c>
      <c r="F3316" s="4" t="str">
        <f>HYPERLINK("http://141.218.60.56/~jnz1568/getInfo.php?workbook=14_09.xlsx&amp;sheet=U0&amp;row=3316&amp;col=6&amp;number=4.2&amp;sourceID=14","4.2")</f>
        <v>4.2</v>
      </c>
      <c r="G3316" s="4" t="str">
        <f>HYPERLINK("http://141.218.60.56/~jnz1568/getInfo.php?workbook=14_09.xlsx&amp;sheet=U0&amp;row=3316&amp;col=7&amp;number=0.0102&amp;sourceID=14","0.0102")</f>
        <v>0.0102</v>
      </c>
    </row>
    <row r="3317" spans="1:7">
      <c r="A3317" s="3"/>
      <c r="B3317" s="3"/>
      <c r="C3317" s="3"/>
      <c r="D3317" s="3"/>
      <c r="E3317" s="3">
        <v>14</v>
      </c>
      <c r="F3317" s="4" t="str">
        <f>HYPERLINK("http://141.218.60.56/~jnz1568/getInfo.php?workbook=14_09.xlsx&amp;sheet=U0&amp;row=3317&amp;col=6&amp;number=4.3&amp;sourceID=14","4.3")</f>
        <v>4.3</v>
      </c>
      <c r="G3317" s="4" t="str">
        <f>HYPERLINK("http://141.218.60.56/~jnz1568/getInfo.php?workbook=14_09.xlsx&amp;sheet=U0&amp;row=3317&amp;col=7&amp;number=0.00998&amp;sourceID=14","0.00998")</f>
        <v>0.00998</v>
      </c>
    </row>
    <row r="3318" spans="1:7">
      <c r="A3318" s="3"/>
      <c r="B3318" s="3"/>
      <c r="C3318" s="3"/>
      <c r="D3318" s="3"/>
      <c r="E3318" s="3">
        <v>15</v>
      </c>
      <c r="F3318" s="4" t="str">
        <f>HYPERLINK("http://141.218.60.56/~jnz1568/getInfo.php?workbook=14_09.xlsx&amp;sheet=U0&amp;row=3318&amp;col=6&amp;number=4.4&amp;sourceID=14","4.4")</f>
        <v>4.4</v>
      </c>
      <c r="G3318" s="4" t="str">
        <f>HYPERLINK("http://141.218.60.56/~jnz1568/getInfo.php?workbook=14_09.xlsx&amp;sheet=U0&amp;row=3318&amp;col=7&amp;number=0.00968&amp;sourceID=14","0.00968")</f>
        <v>0.00968</v>
      </c>
    </row>
    <row r="3319" spans="1:7">
      <c r="A3319" s="3"/>
      <c r="B3319" s="3"/>
      <c r="C3319" s="3"/>
      <c r="D3319" s="3"/>
      <c r="E3319" s="3">
        <v>16</v>
      </c>
      <c r="F3319" s="4" t="str">
        <f>HYPERLINK("http://141.218.60.56/~jnz1568/getInfo.php?workbook=14_09.xlsx&amp;sheet=U0&amp;row=3319&amp;col=6&amp;number=4.5&amp;sourceID=14","4.5")</f>
        <v>4.5</v>
      </c>
      <c r="G3319" s="4" t="str">
        <f>HYPERLINK("http://141.218.60.56/~jnz1568/getInfo.php?workbook=14_09.xlsx&amp;sheet=U0&amp;row=3319&amp;col=7&amp;number=0.00932&amp;sourceID=14","0.00932")</f>
        <v>0.00932</v>
      </c>
    </row>
    <row r="3320" spans="1:7">
      <c r="A3320" s="3"/>
      <c r="B3320" s="3"/>
      <c r="C3320" s="3"/>
      <c r="D3320" s="3"/>
      <c r="E3320" s="3">
        <v>17</v>
      </c>
      <c r="F3320" s="4" t="str">
        <f>HYPERLINK("http://141.218.60.56/~jnz1568/getInfo.php?workbook=14_09.xlsx&amp;sheet=U0&amp;row=3320&amp;col=6&amp;number=4.6&amp;sourceID=14","4.6")</f>
        <v>4.6</v>
      </c>
      <c r="G3320" s="4" t="str">
        <f>HYPERLINK("http://141.218.60.56/~jnz1568/getInfo.php?workbook=14_09.xlsx&amp;sheet=U0&amp;row=3320&amp;col=7&amp;number=0.00889&amp;sourceID=14","0.00889")</f>
        <v>0.00889</v>
      </c>
    </row>
    <row r="3321" spans="1:7">
      <c r="A3321" s="3"/>
      <c r="B3321" s="3"/>
      <c r="C3321" s="3"/>
      <c r="D3321" s="3"/>
      <c r="E3321" s="3">
        <v>18</v>
      </c>
      <c r="F3321" s="4" t="str">
        <f>HYPERLINK("http://141.218.60.56/~jnz1568/getInfo.php?workbook=14_09.xlsx&amp;sheet=U0&amp;row=3321&amp;col=6&amp;number=4.7&amp;sourceID=14","4.7")</f>
        <v>4.7</v>
      </c>
      <c r="G3321" s="4" t="str">
        <f>HYPERLINK("http://141.218.60.56/~jnz1568/getInfo.php?workbook=14_09.xlsx&amp;sheet=U0&amp;row=3321&amp;col=7&amp;number=0.00838&amp;sourceID=14","0.00838")</f>
        <v>0.00838</v>
      </c>
    </row>
    <row r="3322" spans="1:7">
      <c r="A3322" s="3"/>
      <c r="B3322" s="3"/>
      <c r="C3322" s="3"/>
      <c r="D3322" s="3"/>
      <c r="E3322" s="3">
        <v>19</v>
      </c>
      <c r="F3322" s="4" t="str">
        <f>HYPERLINK("http://141.218.60.56/~jnz1568/getInfo.php?workbook=14_09.xlsx&amp;sheet=U0&amp;row=3322&amp;col=6&amp;number=4.8&amp;sourceID=14","4.8")</f>
        <v>4.8</v>
      </c>
      <c r="G3322" s="4" t="str">
        <f>HYPERLINK("http://141.218.60.56/~jnz1568/getInfo.php?workbook=14_09.xlsx&amp;sheet=U0&amp;row=3322&amp;col=7&amp;number=0.00779&amp;sourceID=14","0.00779")</f>
        <v>0.00779</v>
      </c>
    </row>
    <row r="3323" spans="1:7">
      <c r="A3323" s="3"/>
      <c r="B3323" s="3"/>
      <c r="C3323" s="3"/>
      <c r="D3323" s="3"/>
      <c r="E3323" s="3">
        <v>20</v>
      </c>
      <c r="F3323" s="4" t="str">
        <f>HYPERLINK("http://141.218.60.56/~jnz1568/getInfo.php?workbook=14_09.xlsx&amp;sheet=U0&amp;row=3323&amp;col=6&amp;number=4.9&amp;sourceID=14","4.9")</f>
        <v>4.9</v>
      </c>
      <c r="G3323" s="4" t="str">
        <f>HYPERLINK("http://141.218.60.56/~jnz1568/getInfo.php?workbook=14_09.xlsx&amp;sheet=U0&amp;row=3323&amp;col=7&amp;number=0.00715&amp;sourceID=14","0.00715")</f>
        <v>0.00715</v>
      </c>
    </row>
    <row r="3324" spans="1:7">
      <c r="A3324" s="3">
        <v>14</v>
      </c>
      <c r="B3324" s="3">
        <v>9</v>
      </c>
      <c r="C3324" s="3">
        <v>1</v>
      </c>
      <c r="D3324" s="3">
        <v>168</v>
      </c>
      <c r="E3324" s="3">
        <v>1</v>
      </c>
      <c r="F3324" s="4" t="str">
        <f>HYPERLINK("http://141.218.60.56/~jnz1568/getInfo.php?workbook=14_09.xlsx&amp;sheet=U0&amp;row=3324&amp;col=6&amp;number=3&amp;sourceID=14","3")</f>
        <v>3</v>
      </c>
      <c r="G3324" s="4" t="str">
        <f>HYPERLINK("http://141.218.60.56/~jnz1568/getInfo.php?workbook=14_09.xlsx&amp;sheet=U0&amp;row=3324&amp;col=7&amp;number=0.0039&amp;sourceID=14","0.0039")</f>
        <v>0.0039</v>
      </c>
    </row>
    <row r="3325" spans="1:7">
      <c r="A3325" s="3"/>
      <c r="B3325" s="3"/>
      <c r="C3325" s="3"/>
      <c r="D3325" s="3"/>
      <c r="E3325" s="3">
        <v>2</v>
      </c>
      <c r="F3325" s="4" t="str">
        <f>HYPERLINK("http://141.218.60.56/~jnz1568/getInfo.php?workbook=14_09.xlsx&amp;sheet=U0&amp;row=3325&amp;col=6&amp;number=3.1&amp;sourceID=14","3.1")</f>
        <v>3.1</v>
      </c>
      <c r="G3325" s="4" t="str">
        <f>HYPERLINK("http://141.218.60.56/~jnz1568/getInfo.php?workbook=14_09.xlsx&amp;sheet=U0&amp;row=3325&amp;col=7&amp;number=0.0039&amp;sourceID=14","0.0039")</f>
        <v>0.0039</v>
      </c>
    </row>
    <row r="3326" spans="1:7">
      <c r="A3326" s="3"/>
      <c r="B3326" s="3"/>
      <c r="C3326" s="3"/>
      <c r="D3326" s="3"/>
      <c r="E3326" s="3">
        <v>3</v>
      </c>
      <c r="F3326" s="4" t="str">
        <f>HYPERLINK("http://141.218.60.56/~jnz1568/getInfo.php?workbook=14_09.xlsx&amp;sheet=U0&amp;row=3326&amp;col=6&amp;number=3.2&amp;sourceID=14","3.2")</f>
        <v>3.2</v>
      </c>
      <c r="G3326" s="4" t="str">
        <f>HYPERLINK("http://141.218.60.56/~jnz1568/getInfo.php?workbook=14_09.xlsx&amp;sheet=U0&amp;row=3326&amp;col=7&amp;number=0.0039&amp;sourceID=14","0.0039")</f>
        <v>0.0039</v>
      </c>
    </row>
    <row r="3327" spans="1:7">
      <c r="A3327" s="3"/>
      <c r="B3327" s="3"/>
      <c r="C3327" s="3"/>
      <c r="D3327" s="3"/>
      <c r="E3327" s="3">
        <v>4</v>
      </c>
      <c r="F3327" s="4" t="str">
        <f>HYPERLINK("http://141.218.60.56/~jnz1568/getInfo.php?workbook=14_09.xlsx&amp;sheet=U0&amp;row=3327&amp;col=6&amp;number=3.3&amp;sourceID=14","3.3")</f>
        <v>3.3</v>
      </c>
      <c r="G3327" s="4" t="str">
        <f>HYPERLINK("http://141.218.60.56/~jnz1568/getInfo.php?workbook=14_09.xlsx&amp;sheet=U0&amp;row=3327&amp;col=7&amp;number=0.0039&amp;sourceID=14","0.0039")</f>
        <v>0.0039</v>
      </c>
    </row>
    <row r="3328" spans="1:7">
      <c r="A3328" s="3"/>
      <c r="B3328" s="3"/>
      <c r="C3328" s="3"/>
      <c r="D3328" s="3"/>
      <c r="E3328" s="3">
        <v>5</v>
      </c>
      <c r="F3328" s="4" t="str">
        <f>HYPERLINK("http://141.218.60.56/~jnz1568/getInfo.php?workbook=14_09.xlsx&amp;sheet=U0&amp;row=3328&amp;col=6&amp;number=3.4&amp;sourceID=14","3.4")</f>
        <v>3.4</v>
      </c>
      <c r="G3328" s="4" t="str">
        <f>HYPERLINK("http://141.218.60.56/~jnz1568/getInfo.php?workbook=14_09.xlsx&amp;sheet=U0&amp;row=3328&amp;col=7&amp;number=0.00389&amp;sourceID=14","0.00389")</f>
        <v>0.00389</v>
      </c>
    </row>
    <row r="3329" spans="1:7">
      <c r="A3329" s="3"/>
      <c r="B3329" s="3"/>
      <c r="C3329" s="3"/>
      <c r="D3329" s="3"/>
      <c r="E3329" s="3">
        <v>6</v>
      </c>
      <c r="F3329" s="4" t="str">
        <f>HYPERLINK("http://141.218.60.56/~jnz1568/getInfo.php?workbook=14_09.xlsx&amp;sheet=U0&amp;row=3329&amp;col=6&amp;number=3.5&amp;sourceID=14","3.5")</f>
        <v>3.5</v>
      </c>
      <c r="G3329" s="4" t="str">
        <f>HYPERLINK("http://141.218.60.56/~jnz1568/getInfo.php?workbook=14_09.xlsx&amp;sheet=U0&amp;row=3329&amp;col=7&amp;number=0.00389&amp;sourceID=14","0.00389")</f>
        <v>0.00389</v>
      </c>
    </row>
    <row r="3330" spans="1:7">
      <c r="A3330" s="3"/>
      <c r="B3330" s="3"/>
      <c r="C3330" s="3"/>
      <c r="D3330" s="3"/>
      <c r="E3330" s="3">
        <v>7</v>
      </c>
      <c r="F3330" s="4" t="str">
        <f>HYPERLINK("http://141.218.60.56/~jnz1568/getInfo.php?workbook=14_09.xlsx&amp;sheet=U0&amp;row=3330&amp;col=6&amp;number=3.6&amp;sourceID=14","3.6")</f>
        <v>3.6</v>
      </c>
      <c r="G3330" s="4" t="str">
        <f>HYPERLINK("http://141.218.60.56/~jnz1568/getInfo.php?workbook=14_09.xlsx&amp;sheet=U0&amp;row=3330&amp;col=7&amp;number=0.00388&amp;sourceID=14","0.00388")</f>
        <v>0.00388</v>
      </c>
    </row>
    <row r="3331" spans="1:7">
      <c r="A3331" s="3"/>
      <c r="B3331" s="3"/>
      <c r="C3331" s="3"/>
      <c r="D3331" s="3"/>
      <c r="E3331" s="3">
        <v>8</v>
      </c>
      <c r="F3331" s="4" t="str">
        <f>HYPERLINK("http://141.218.60.56/~jnz1568/getInfo.php?workbook=14_09.xlsx&amp;sheet=U0&amp;row=3331&amp;col=6&amp;number=3.7&amp;sourceID=14","3.7")</f>
        <v>3.7</v>
      </c>
      <c r="G3331" s="4" t="str">
        <f>HYPERLINK("http://141.218.60.56/~jnz1568/getInfo.php?workbook=14_09.xlsx&amp;sheet=U0&amp;row=3331&amp;col=7&amp;number=0.00388&amp;sourceID=14","0.00388")</f>
        <v>0.00388</v>
      </c>
    </row>
    <row r="3332" spans="1:7">
      <c r="A3332" s="3"/>
      <c r="B3332" s="3"/>
      <c r="C3332" s="3"/>
      <c r="D3332" s="3"/>
      <c r="E3332" s="3">
        <v>9</v>
      </c>
      <c r="F3332" s="4" t="str">
        <f>HYPERLINK("http://141.218.60.56/~jnz1568/getInfo.php?workbook=14_09.xlsx&amp;sheet=U0&amp;row=3332&amp;col=6&amp;number=3.8&amp;sourceID=14","3.8")</f>
        <v>3.8</v>
      </c>
      <c r="G3332" s="4" t="str">
        <f>HYPERLINK("http://141.218.60.56/~jnz1568/getInfo.php?workbook=14_09.xlsx&amp;sheet=U0&amp;row=3332&amp;col=7&amp;number=0.00387&amp;sourceID=14","0.00387")</f>
        <v>0.00387</v>
      </c>
    </row>
    <row r="3333" spans="1:7">
      <c r="A3333" s="3"/>
      <c r="B3333" s="3"/>
      <c r="C3333" s="3"/>
      <c r="D3333" s="3"/>
      <c r="E3333" s="3">
        <v>10</v>
      </c>
      <c r="F3333" s="4" t="str">
        <f>HYPERLINK("http://141.218.60.56/~jnz1568/getInfo.php?workbook=14_09.xlsx&amp;sheet=U0&amp;row=3333&amp;col=6&amp;number=3.9&amp;sourceID=14","3.9")</f>
        <v>3.9</v>
      </c>
      <c r="G3333" s="4" t="str">
        <f>HYPERLINK("http://141.218.60.56/~jnz1568/getInfo.php?workbook=14_09.xlsx&amp;sheet=U0&amp;row=3333&amp;col=7&amp;number=0.00386&amp;sourceID=14","0.00386")</f>
        <v>0.00386</v>
      </c>
    </row>
    <row r="3334" spans="1:7">
      <c r="A3334" s="3"/>
      <c r="B3334" s="3"/>
      <c r="C3334" s="3"/>
      <c r="D3334" s="3"/>
      <c r="E3334" s="3">
        <v>11</v>
      </c>
      <c r="F3334" s="4" t="str">
        <f>HYPERLINK("http://141.218.60.56/~jnz1568/getInfo.php?workbook=14_09.xlsx&amp;sheet=U0&amp;row=3334&amp;col=6&amp;number=4&amp;sourceID=14","4")</f>
        <v>4</v>
      </c>
      <c r="G3334" s="4" t="str">
        <f>HYPERLINK("http://141.218.60.56/~jnz1568/getInfo.php?workbook=14_09.xlsx&amp;sheet=U0&amp;row=3334&amp;col=7&amp;number=0.00384&amp;sourceID=14","0.00384")</f>
        <v>0.00384</v>
      </c>
    </row>
    <row r="3335" spans="1:7">
      <c r="A3335" s="3"/>
      <c r="B3335" s="3"/>
      <c r="C3335" s="3"/>
      <c r="D3335" s="3"/>
      <c r="E3335" s="3">
        <v>12</v>
      </c>
      <c r="F3335" s="4" t="str">
        <f>HYPERLINK("http://141.218.60.56/~jnz1568/getInfo.php?workbook=14_09.xlsx&amp;sheet=U0&amp;row=3335&amp;col=6&amp;number=4.1&amp;sourceID=14","4.1")</f>
        <v>4.1</v>
      </c>
      <c r="G3335" s="4" t="str">
        <f>HYPERLINK("http://141.218.60.56/~jnz1568/getInfo.php?workbook=14_09.xlsx&amp;sheet=U0&amp;row=3335&amp;col=7&amp;number=0.00383&amp;sourceID=14","0.00383")</f>
        <v>0.00383</v>
      </c>
    </row>
    <row r="3336" spans="1:7">
      <c r="A3336" s="3"/>
      <c r="B3336" s="3"/>
      <c r="C3336" s="3"/>
      <c r="D3336" s="3"/>
      <c r="E3336" s="3">
        <v>13</v>
      </c>
      <c r="F3336" s="4" t="str">
        <f>HYPERLINK("http://141.218.60.56/~jnz1568/getInfo.php?workbook=14_09.xlsx&amp;sheet=U0&amp;row=3336&amp;col=6&amp;number=4.2&amp;sourceID=14","4.2")</f>
        <v>4.2</v>
      </c>
      <c r="G3336" s="4" t="str">
        <f>HYPERLINK("http://141.218.60.56/~jnz1568/getInfo.php?workbook=14_09.xlsx&amp;sheet=U0&amp;row=3336&amp;col=7&amp;number=0.00381&amp;sourceID=14","0.00381")</f>
        <v>0.00381</v>
      </c>
    </row>
    <row r="3337" spans="1:7">
      <c r="A3337" s="3"/>
      <c r="B3337" s="3"/>
      <c r="C3337" s="3"/>
      <c r="D3337" s="3"/>
      <c r="E3337" s="3">
        <v>14</v>
      </c>
      <c r="F3337" s="4" t="str">
        <f>HYPERLINK("http://141.218.60.56/~jnz1568/getInfo.php?workbook=14_09.xlsx&amp;sheet=U0&amp;row=3337&amp;col=6&amp;number=4.3&amp;sourceID=14","4.3")</f>
        <v>4.3</v>
      </c>
      <c r="G3337" s="4" t="str">
        <f>HYPERLINK("http://141.218.60.56/~jnz1568/getInfo.php?workbook=14_09.xlsx&amp;sheet=U0&amp;row=3337&amp;col=7&amp;number=0.00378&amp;sourceID=14","0.00378")</f>
        <v>0.00378</v>
      </c>
    </row>
    <row r="3338" spans="1:7">
      <c r="A3338" s="3"/>
      <c r="B3338" s="3"/>
      <c r="C3338" s="3"/>
      <c r="D3338" s="3"/>
      <c r="E3338" s="3">
        <v>15</v>
      </c>
      <c r="F3338" s="4" t="str">
        <f>HYPERLINK("http://141.218.60.56/~jnz1568/getInfo.php?workbook=14_09.xlsx&amp;sheet=U0&amp;row=3338&amp;col=6&amp;number=4.4&amp;sourceID=14","4.4")</f>
        <v>4.4</v>
      </c>
      <c r="G3338" s="4" t="str">
        <f>HYPERLINK("http://141.218.60.56/~jnz1568/getInfo.php?workbook=14_09.xlsx&amp;sheet=U0&amp;row=3338&amp;col=7&amp;number=0.00375&amp;sourceID=14","0.00375")</f>
        <v>0.00375</v>
      </c>
    </row>
    <row r="3339" spans="1:7">
      <c r="A3339" s="3"/>
      <c r="B3339" s="3"/>
      <c r="C3339" s="3"/>
      <c r="D3339" s="3"/>
      <c r="E3339" s="3">
        <v>16</v>
      </c>
      <c r="F3339" s="4" t="str">
        <f>HYPERLINK("http://141.218.60.56/~jnz1568/getInfo.php?workbook=14_09.xlsx&amp;sheet=U0&amp;row=3339&amp;col=6&amp;number=4.5&amp;sourceID=14","4.5")</f>
        <v>4.5</v>
      </c>
      <c r="G3339" s="4" t="str">
        <f>HYPERLINK("http://141.218.60.56/~jnz1568/getInfo.php?workbook=14_09.xlsx&amp;sheet=U0&amp;row=3339&amp;col=7&amp;number=0.00372&amp;sourceID=14","0.00372")</f>
        <v>0.00372</v>
      </c>
    </row>
    <row r="3340" spans="1:7">
      <c r="A3340" s="3"/>
      <c r="B3340" s="3"/>
      <c r="C3340" s="3"/>
      <c r="D3340" s="3"/>
      <c r="E3340" s="3">
        <v>17</v>
      </c>
      <c r="F3340" s="4" t="str">
        <f>HYPERLINK("http://141.218.60.56/~jnz1568/getInfo.php?workbook=14_09.xlsx&amp;sheet=U0&amp;row=3340&amp;col=6&amp;number=4.6&amp;sourceID=14","4.6")</f>
        <v>4.6</v>
      </c>
      <c r="G3340" s="4" t="str">
        <f>HYPERLINK("http://141.218.60.56/~jnz1568/getInfo.php?workbook=14_09.xlsx&amp;sheet=U0&amp;row=3340&amp;col=7&amp;number=0.00367&amp;sourceID=14","0.00367")</f>
        <v>0.00367</v>
      </c>
    </row>
    <row r="3341" spans="1:7">
      <c r="A3341" s="3"/>
      <c r="B3341" s="3"/>
      <c r="C3341" s="3"/>
      <c r="D3341" s="3"/>
      <c r="E3341" s="3">
        <v>18</v>
      </c>
      <c r="F3341" s="4" t="str">
        <f>HYPERLINK("http://141.218.60.56/~jnz1568/getInfo.php?workbook=14_09.xlsx&amp;sheet=U0&amp;row=3341&amp;col=6&amp;number=4.7&amp;sourceID=14","4.7")</f>
        <v>4.7</v>
      </c>
      <c r="G3341" s="4" t="str">
        <f>HYPERLINK("http://141.218.60.56/~jnz1568/getInfo.php?workbook=14_09.xlsx&amp;sheet=U0&amp;row=3341&amp;col=7&amp;number=0.00362&amp;sourceID=14","0.00362")</f>
        <v>0.00362</v>
      </c>
    </row>
    <row r="3342" spans="1:7">
      <c r="A3342" s="3"/>
      <c r="B3342" s="3"/>
      <c r="C3342" s="3"/>
      <c r="D3342" s="3"/>
      <c r="E3342" s="3">
        <v>19</v>
      </c>
      <c r="F3342" s="4" t="str">
        <f>HYPERLINK("http://141.218.60.56/~jnz1568/getInfo.php?workbook=14_09.xlsx&amp;sheet=U0&amp;row=3342&amp;col=6&amp;number=4.8&amp;sourceID=14","4.8")</f>
        <v>4.8</v>
      </c>
      <c r="G3342" s="4" t="str">
        <f>HYPERLINK("http://141.218.60.56/~jnz1568/getInfo.php?workbook=14_09.xlsx&amp;sheet=U0&amp;row=3342&amp;col=7&amp;number=0.00356&amp;sourceID=14","0.00356")</f>
        <v>0.00356</v>
      </c>
    </row>
    <row r="3343" spans="1:7">
      <c r="A3343" s="3"/>
      <c r="B3343" s="3"/>
      <c r="C3343" s="3"/>
      <c r="D3343" s="3"/>
      <c r="E3343" s="3">
        <v>20</v>
      </c>
      <c r="F3343" s="4" t="str">
        <f>HYPERLINK("http://141.218.60.56/~jnz1568/getInfo.php?workbook=14_09.xlsx&amp;sheet=U0&amp;row=3343&amp;col=6&amp;number=4.9&amp;sourceID=14","4.9")</f>
        <v>4.9</v>
      </c>
      <c r="G3343" s="4" t="str">
        <f>HYPERLINK("http://141.218.60.56/~jnz1568/getInfo.php?workbook=14_09.xlsx&amp;sheet=U0&amp;row=3343&amp;col=7&amp;number=0.0035&amp;sourceID=14","0.0035")</f>
        <v>0.0035</v>
      </c>
    </row>
    <row r="3344" spans="1:7">
      <c r="A3344" s="3">
        <v>14</v>
      </c>
      <c r="B3344" s="3">
        <v>9</v>
      </c>
      <c r="C3344" s="3">
        <v>1</v>
      </c>
      <c r="D3344" s="3">
        <v>169</v>
      </c>
      <c r="E3344" s="3">
        <v>1</v>
      </c>
      <c r="F3344" s="4" t="str">
        <f>HYPERLINK("http://141.218.60.56/~jnz1568/getInfo.php?workbook=14_09.xlsx&amp;sheet=U0&amp;row=3344&amp;col=6&amp;number=3&amp;sourceID=14","3")</f>
        <v>3</v>
      </c>
      <c r="G3344" s="4" t="str">
        <f>HYPERLINK("http://141.218.60.56/~jnz1568/getInfo.php?workbook=14_09.xlsx&amp;sheet=U0&amp;row=3344&amp;col=7&amp;number=0.00705&amp;sourceID=14","0.00705")</f>
        <v>0.00705</v>
      </c>
    </row>
    <row r="3345" spans="1:7">
      <c r="A3345" s="3"/>
      <c r="B3345" s="3"/>
      <c r="C3345" s="3"/>
      <c r="D3345" s="3"/>
      <c r="E3345" s="3">
        <v>2</v>
      </c>
      <c r="F3345" s="4" t="str">
        <f>HYPERLINK("http://141.218.60.56/~jnz1568/getInfo.php?workbook=14_09.xlsx&amp;sheet=U0&amp;row=3345&amp;col=6&amp;number=3.1&amp;sourceID=14","3.1")</f>
        <v>3.1</v>
      </c>
      <c r="G3345" s="4" t="str">
        <f>HYPERLINK("http://141.218.60.56/~jnz1568/getInfo.php?workbook=14_09.xlsx&amp;sheet=U0&amp;row=3345&amp;col=7&amp;number=0.00705&amp;sourceID=14","0.00705")</f>
        <v>0.00705</v>
      </c>
    </row>
    <row r="3346" spans="1:7">
      <c r="A3346" s="3"/>
      <c r="B3346" s="3"/>
      <c r="C3346" s="3"/>
      <c r="D3346" s="3"/>
      <c r="E3346" s="3">
        <v>3</v>
      </c>
      <c r="F3346" s="4" t="str">
        <f>HYPERLINK("http://141.218.60.56/~jnz1568/getInfo.php?workbook=14_09.xlsx&amp;sheet=U0&amp;row=3346&amp;col=6&amp;number=3.2&amp;sourceID=14","3.2")</f>
        <v>3.2</v>
      </c>
      <c r="G3346" s="4" t="str">
        <f>HYPERLINK("http://141.218.60.56/~jnz1568/getInfo.php?workbook=14_09.xlsx&amp;sheet=U0&amp;row=3346&amp;col=7&amp;number=0.00705&amp;sourceID=14","0.00705")</f>
        <v>0.00705</v>
      </c>
    </row>
    <row r="3347" spans="1:7">
      <c r="A3347" s="3"/>
      <c r="B3347" s="3"/>
      <c r="C3347" s="3"/>
      <c r="D3347" s="3"/>
      <c r="E3347" s="3">
        <v>4</v>
      </c>
      <c r="F3347" s="4" t="str">
        <f>HYPERLINK("http://141.218.60.56/~jnz1568/getInfo.php?workbook=14_09.xlsx&amp;sheet=U0&amp;row=3347&amp;col=6&amp;number=3.3&amp;sourceID=14","3.3")</f>
        <v>3.3</v>
      </c>
      <c r="G3347" s="4" t="str">
        <f>HYPERLINK("http://141.218.60.56/~jnz1568/getInfo.php?workbook=14_09.xlsx&amp;sheet=U0&amp;row=3347&amp;col=7&amp;number=0.00704&amp;sourceID=14","0.00704")</f>
        <v>0.00704</v>
      </c>
    </row>
    <row r="3348" spans="1:7">
      <c r="A3348" s="3"/>
      <c r="B3348" s="3"/>
      <c r="C3348" s="3"/>
      <c r="D3348" s="3"/>
      <c r="E3348" s="3">
        <v>5</v>
      </c>
      <c r="F3348" s="4" t="str">
        <f>HYPERLINK("http://141.218.60.56/~jnz1568/getInfo.php?workbook=14_09.xlsx&amp;sheet=U0&amp;row=3348&amp;col=6&amp;number=3.4&amp;sourceID=14","3.4")</f>
        <v>3.4</v>
      </c>
      <c r="G3348" s="4" t="str">
        <f>HYPERLINK("http://141.218.60.56/~jnz1568/getInfo.php?workbook=14_09.xlsx&amp;sheet=U0&amp;row=3348&amp;col=7&amp;number=0.00704&amp;sourceID=14","0.00704")</f>
        <v>0.00704</v>
      </c>
    </row>
    <row r="3349" spans="1:7">
      <c r="A3349" s="3"/>
      <c r="B3349" s="3"/>
      <c r="C3349" s="3"/>
      <c r="D3349" s="3"/>
      <c r="E3349" s="3">
        <v>6</v>
      </c>
      <c r="F3349" s="4" t="str">
        <f>HYPERLINK("http://141.218.60.56/~jnz1568/getInfo.php?workbook=14_09.xlsx&amp;sheet=U0&amp;row=3349&amp;col=6&amp;number=3.5&amp;sourceID=14","3.5")</f>
        <v>3.5</v>
      </c>
      <c r="G3349" s="4" t="str">
        <f>HYPERLINK("http://141.218.60.56/~jnz1568/getInfo.php?workbook=14_09.xlsx&amp;sheet=U0&amp;row=3349&amp;col=7&amp;number=0.00703&amp;sourceID=14","0.00703")</f>
        <v>0.00703</v>
      </c>
    </row>
    <row r="3350" spans="1:7">
      <c r="A3350" s="3"/>
      <c r="B3350" s="3"/>
      <c r="C3350" s="3"/>
      <c r="D3350" s="3"/>
      <c r="E3350" s="3">
        <v>7</v>
      </c>
      <c r="F3350" s="4" t="str">
        <f>HYPERLINK("http://141.218.60.56/~jnz1568/getInfo.php?workbook=14_09.xlsx&amp;sheet=U0&amp;row=3350&amp;col=6&amp;number=3.6&amp;sourceID=14","3.6")</f>
        <v>3.6</v>
      </c>
      <c r="G3350" s="4" t="str">
        <f>HYPERLINK("http://141.218.60.56/~jnz1568/getInfo.php?workbook=14_09.xlsx&amp;sheet=U0&amp;row=3350&amp;col=7&amp;number=0.00702&amp;sourceID=14","0.00702")</f>
        <v>0.00702</v>
      </c>
    </row>
    <row r="3351" spans="1:7">
      <c r="A3351" s="3"/>
      <c r="B3351" s="3"/>
      <c r="C3351" s="3"/>
      <c r="D3351" s="3"/>
      <c r="E3351" s="3">
        <v>8</v>
      </c>
      <c r="F3351" s="4" t="str">
        <f>HYPERLINK("http://141.218.60.56/~jnz1568/getInfo.php?workbook=14_09.xlsx&amp;sheet=U0&amp;row=3351&amp;col=6&amp;number=3.7&amp;sourceID=14","3.7")</f>
        <v>3.7</v>
      </c>
      <c r="G3351" s="4" t="str">
        <f>HYPERLINK("http://141.218.60.56/~jnz1568/getInfo.php?workbook=14_09.xlsx&amp;sheet=U0&amp;row=3351&amp;col=7&amp;number=0.00701&amp;sourceID=14","0.00701")</f>
        <v>0.00701</v>
      </c>
    </row>
    <row r="3352" spans="1:7">
      <c r="A3352" s="3"/>
      <c r="B3352" s="3"/>
      <c r="C3352" s="3"/>
      <c r="D3352" s="3"/>
      <c r="E3352" s="3">
        <v>9</v>
      </c>
      <c r="F3352" s="4" t="str">
        <f>HYPERLINK("http://141.218.60.56/~jnz1568/getInfo.php?workbook=14_09.xlsx&amp;sheet=U0&amp;row=3352&amp;col=6&amp;number=3.8&amp;sourceID=14","3.8")</f>
        <v>3.8</v>
      </c>
      <c r="G3352" s="4" t="str">
        <f>HYPERLINK("http://141.218.60.56/~jnz1568/getInfo.php?workbook=14_09.xlsx&amp;sheet=U0&amp;row=3352&amp;col=7&amp;number=0.00699&amp;sourceID=14","0.00699")</f>
        <v>0.00699</v>
      </c>
    </row>
    <row r="3353" spans="1:7">
      <c r="A3353" s="3"/>
      <c r="B3353" s="3"/>
      <c r="C3353" s="3"/>
      <c r="D3353" s="3"/>
      <c r="E3353" s="3">
        <v>10</v>
      </c>
      <c r="F3353" s="4" t="str">
        <f>HYPERLINK("http://141.218.60.56/~jnz1568/getInfo.php?workbook=14_09.xlsx&amp;sheet=U0&amp;row=3353&amp;col=6&amp;number=3.9&amp;sourceID=14","3.9")</f>
        <v>3.9</v>
      </c>
      <c r="G3353" s="4" t="str">
        <f>HYPERLINK("http://141.218.60.56/~jnz1568/getInfo.php?workbook=14_09.xlsx&amp;sheet=U0&amp;row=3353&amp;col=7&amp;number=0.00697&amp;sourceID=14","0.00697")</f>
        <v>0.00697</v>
      </c>
    </row>
    <row r="3354" spans="1:7">
      <c r="A3354" s="3"/>
      <c r="B3354" s="3"/>
      <c r="C3354" s="3"/>
      <c r="D3354" s="3"/>
      <c r="E3354" s="3">
        <v>11</v>
      </c>
      <c r="F3354" s="4" t="str">
        <f>HYPERLINK("http://141.218.60.56/~jnz1568/getInfo.php?workbook=14_09.xlsx&amp;sheet=U0&amp;row=3354&amp;col=6&amp;number=4&amp;sourceID=14","4")</f>
        <v>4</v>
      </c>
      <c r="G3354" s="4" t="str">
        <f>HYPERLINK("http://141.218.60.56/~jnz1568/getInfo.php?workbook=14_09.xlsx&amp;sheet=U0&amp;row=3354&amp;col=7&amp;number=0.00695&amp;sourceID=14","0.00695")</f>
        <v>0.00695</v>
      </c>
    </row>
    <row r="3355" spans="1:7">
      <c r="A3355" s="3"/>
      <c r="B3355" s="3"/>
      <c r="C3355" s="3"/>
      <c r="D3355" s="3"/>
      <c r="E3355" s="3">
        <v>12</v>
      </c>
      <c r="F3355" s="4" t="str">
        <f>HYPERLINK("http://141.218.60.56/~jnz1568/getInfo.php?workbook=14_09.xlsx&amp;sheet=U0&amp;row=3355&amp;col=6&amp;number=4.1&amp;sourceID=14","4.1")</f>
        <v>4.1</v>
      </c>
      <c r="G3355" s="4" t="str">
        <f>HYPERLINK("http://141.218.60.56/~jnz1568/getInfo.php?workbook=14_09.xlsx&amp;sheet=U0&amp;row=3355&amp;col=7&amp;number=0.00692&amp;sourceID=14","0.00692")</f>
        <v>0.00692</v>
      </c>
    </row>
    <row r="3356" spans="1:7">
      <c r="A3356" s="3"/>
      <c r="B3356" s="3"/>
      <c r="C3356" s="3"/>
      <c r="D3356" s="3"/>
      <c r="E3356" s="3">
        <v>13</v>
      </c>
      <c r="F3356" s="4" t="str">
        <f>HYPERLINK("http://141.218.60.56/~jnz1568/getInfo.php?workbook=14_09.xlsx&amp;sheet=U0&amp;row=3356&amp;col=6&amp;number=4.2&amp;sourceID=14","4.2")</f>
        <v>4.2</v>
      </c>
      <c r="G3356" s="4" t="str">
        <f>HYPERLINK("http://141.218.60.56/~jnz1568/getInfo.php?workbook=14_09.xlsx&amp;sheet=U0&amp;row=3356&amp;col=7&amp;number=0.00689&amp;sourceID=14","0.00689")</f>
        <v>0.00689</v>
      </c>
    </row>
    <row r="3357" spans="1:7">
      <c r="A3357" s="3"/>
      <c r="B3357" s="3"/>
      <c r="C3357" s="3"/>
      <c r="D3357" s="3"/>
      <c r="E3357" s="3">
        <v>14</v>
      </c>
      <c r="F3357" s="4" t="str">
        <f>HYPERLINK("http://141.218.60.56/~jnz1568/getInfo.php?workbook=14_09.xlsx&amp;sheet=U0&amp;row=3357&amp;col=6&amp;number=4.3&amp;sourceID=14","4.3")</f>
        <v>4.3</v>
      </c>
      <c r="G3357" s="4" t="str">
        <f>HYPERLINK("http://141.218.60.56/~jnz1568/getInfo.php?workbook=14_09.xlsx&amp;sheet=U0&amp;row=3357&amp;col=7&amp;number=0.00684&amp;sourceID=14","0.00684")</f>
        <v>0.00684</v>
      </c>
    </row>
    <row r="3358" spans="1:7">
      <c r="A3358" s="3"/>
      <c r="B3358" s="3"/>
      <c r="C3358" s="3"/>
      <c r="D3358" s="3"/>
      <c r="E3358" s="3">
        <v>15</v>
      </c>
      <c r="F3358" s="4" t="str">
        <f>HYPERLINK("http://141.218.60.56/~jnz1568/getInfo.php?workbook=14_09.xlsx&amp;sheet=U0&amp;row=3358&amp;col=6&amp;number=4.4&amp;sourceID=14","4.4")</f>
        <v>4.4</v>
      </c>
      <c r="G3358" s="4" t="str">
        <f>HYPERLINK("http://141.218.60.56/~jnz1568/getInfo.php?workbook=14_09.xlsx&amp;sheet=U0&amp;row=3358&amp;col=7&amp;number=0.00679&amp;sourceID=14","0.00679")</f>
        <v>0.00679</v>
      </c>
    </row>
    <row r="3359" spans="1:7">
      <c r="A3359" s="3"/>
      <c r="B3359" s="3"/>
      <c r="C3359" s="3"/>
      <c r="D3359" s="3"/>
      <c r="E3359" s="3">
        <v>16</v>
      </c>
      <c r="F3359" s="4" t="str">
        <f>HYPERLINK("http://141.218.60.56/~jnz1568/getInfo.php?workbook=14_09.xlsx&amp;sheet=U0&amp;row=3359&amp;col=6&amp;number=4.5&amp;sourceID=14","4.5")</f>
        <v>4.5</v>
      </c>
      <c r="G3359" s="4" t="str">
        <f>HYPERLINK("http://141.218.60.56/~jnz1568/getInfo.php?workbook=14_09.xlsx&amp;sheet=U0&amp;row=3359&amp;col=7&amp;number=0.00672&amp;sourceID=14","0.00672")</f>
        <v>0.00672</v>
      </c>
    </row>
    <row r="3360" spans="1:7">
      <c r="A3360" s="3"/>
      <c r="B3360" s="3"/>
      <c r="C3360" s="3"/>
      <c r="D3360" s="3"/>
      <c r="E3360" s="3">
        <v>17</v>
      </c>
      <c r="F3360" s="4" t="str">
        <f>HYPERLINK("http://141.218.60.56/~jnz1568/getInfo.php?workbook=14_09.xlsx&amp;sheet=U0&amp;row=3360&amp;col=6&amp;number=4.6&amp;sourceID=14","4.6")</f>
        <v>4.6</v>
      </c>
      <c r="G3360" s="4" t="str">
        <f>HYPERLINK("http://141.218.60.56/~jnz1568/getInfo.php?workbook=14_09.xlsx&amp;sheet=U0&amp;row=3360&amp;col=7&amp;number=0.00664&amp;sourceID=14","0.00664")</f>
        <v>0.00664</v>
      </c>
    </row>
    <row r="3361" spans="1:7">
      <c r="A3361" s="3"/>
      <c r="B3361" s="3"/>
      <c r="C3361" s="3"/>
      <c r="D3361" s="3"/>
      <c r="E3361" s="3">
        <v>18</v>
      </c>
      <c r="F3361" s="4" t="str">
        <f>HYPERLINK("http://141.218.60.56/~jnz1568/getInfo.php?workbook=14_09.xlsx&amp;sheet=U0&amp;row=3361&amp;col=6&amp;number=4.7&amp;sourceID=14","4.7")</f>
        <v>4.7</v>
      </c>
      <c r="G3361" s="4" t="str">
        <f>HYPERLINK("http://141.218.60.56/~jnz1568/getInfo.php?workbook=14_09.xlsx&amp;sheet=U0&amp;row=3361&amp;col=7&amp;number=0.00655&amp;sourceID=14","0.00655")</f>
        <v>0.00655</v>
      </c>
    </row>
    <row r="3362" spans="1:7">
      <c r="A3362" s="3"/>
      <c r="B3362" s="3"/>
      <c r="C3362" s="3"/>
      <c r="D3362" s="3"/>
      <c r="E3362" s="3">
        <v>19</v>
      </c>
      <c r="F3362" s="4" t="str">
        <f>HYPERLINK("http://141.218.60.56/~jnz1568/getInfo.php?workbook=14_09.xlsx&amp;sheet=U0&amp;row=3362&amp;col=6&amp;number=4.8&amp;sourceID=14","4.8")</f>
        <v>4.8</v>
      </c>
      <c r="G3362" s="4" t="str">
        <f>HYPERLINK("http://141.218.60.56/~jnz1568/getInfo.php?workbook=14_09.xlsx&amp;sheet=U0&amp;row=3362&amp;col=7&amp;number=0.00644&amp;sourceID=14","0.00644")</f>
        <v>0.00644</v>
      </c>
    </row>
    <row r="3363" spans="1:7">
      <c r="A3363" s="3"/>
      <c r="B3363" s="3"/>
      <c r="C3363" s="3"/>
      <c r="D3363" s="3"/>
      <c r="E3363" s="3">
        <v>20</v>
      </c>
      <c r="F3363" s="4" t="str">
        <f>HYPERLINK("http://141.218.60.56/~jnz1568/getInfo.php?workbook=14_09.xlsx&amp;sheet=U0&amp;row=3363&amp;col=6&amp;number=4.9&amp;sourceID=14","4.9")</f>
        <v>4.9</v>
      </c>
      <c r="G3363" s="4" t="str">
        <f>HYPERLINK("http://141.218.60.56/~jnz1568/getInfo.php?workbook=14_09.xlsx&amp;sheet=U0&amp;row=3363&amp;col=7&amp;number=0.00632&amp;sourceID=14","0.00632")</f>
        <v>0.00632</v>
      </c>
    </row>
    <row r="3364" spans="1:7">
      <c r="A3364" s="3">
        <v>14</v>
      </c>
      <c r="B3364" s="3">
        <v>9</v>
      </c>
      <c r="C3364" s="3">
        <v>1</v>
      </c>
      <c r="D3364" s="3">
        <v>170</v>
      </c>
      <c r="E3364" s="3">
        <v>1</v>
      </c>
      <c r="F3364" s="4" t="str">
        <f>HYPERLINK("http://141.218.60.56/~jnz1568/getInfo.php?workbook=14_09.xlsx&amp;sheet=U0&amp;row=3364&amp;col=6&amp;number=3&amp;sourceID=14","3")</f>
        <v>3</v>
      </c>
      <c r="G3364" s="4" t="str">
        <f>HYPERLINK("http://141.218.60.56/~jnz1568/getInfo.php?workbook=14_09.xlsx&amp;sheet=U0&amp;row=3364&amp;col=7&amp;number=0.00833&amp;sourceID=14","0.00833")</f>
        <v>0.00833</v>
      </c>
    </row>
    <row r="3365" spans="1:7">
      <c r="A3365" s="3"/>
      <c r="B3365" s="3"/>
      <c r="C3365" s="3"/>
      <c r="D3365" s="3"/>
      <c r="E3365" s="3">
        <v>2</v>
      </c>
      <c r="F3365" s="4" t="str">
        <f>HYPERLINK("http://141.218.60.56/~jnz1568/getInfo.php?workbook=14_09.xlsx&amp;sheet=U0&amp;row=3365&amp;col=6&amp;number=3.1&amp;sourceID=14","3.1")</f>
        <v>3.1</v>
      </c>
      <c r="G3365" s="4" t="str">
        <f>HYPERLINK("http://141.218.60.56/~jnz1568/getInfo.php?workbook=14_09.xlsx&amp;sheet=U0&amp;row=3365&amp;col=7&amp;number=0.00832&amp;sourceID=14","0.00832")</f>
        <v>0.00832</v>
      </c>
    </row>
    <row r="3366" spans="1:7">
      <c r="A3366" s="3"/>
      <c r="B3366" s="3"/>
      <c r="C3366" s="3"/>
      <c r="D3366" s="3"/>
      <c r="E3366" s="3">
        <v>3</v>
      </c>
      <c r="F3366" s="4" t="str">
        <f>HYPERLINK("http://141.218.60.56/~jnz1568/getInfo.php?workbook=14_09.xlsx&amp;sheet=U0&amp;row=3366&amp;col=6&amp;number=3.2&amp;sourceID=14","3.2")</f>
        <v>3.2</v>
      </c>
      <c r="G3366" s="4" t="str">
        <f>HYPERLINK("http://141.218.60.56/~jnz1568/getInfo.php?workbook=14_09.xlsx&amp;sheet=U0&amp;row=3366&amp;col=7&amp;number=0.00832&amp;sourceID=14","0.00832")</f>
        <v>0.00832</v>
      </c>
    </row>
    <row r="3367" spans="1:7">
      <c r="A3367" s="3"/>
      <c r="B3367" s="3"/>
      <c r="C3367" s="3"/>
      <c r="D3367" s="3"/>
      <c r="E3367" s="3">
        <v>4</v>
      </c>
      <c r="F3367" s="4" t="str">
        <f>HYPERLINK("http://141.218.60.56/~jnz1568/getInfo.php?workbook=14_09.xlsx&amp;sheet=U0&amp;row=3367&amp;col=6&amp;number=3.3&amp;sourceID=14","3.3")</f>
        <v>3.3</v>
      </c>
      <c r="G3367" s="4" t="str">
        <f>HYPERLINK("http://141.218.60.56/~jnz1568/getInfo.php?workbook=14_09.xlsx&amp;sheet=U0&amp;row=3367&amp;col=7&amp;number=0.00831&amp;sourceID=14","0.00831")</f>
        <v>0.00831</v>
      </c>
    </row>
    <row r="3368" spans="1:7">
      <c r="A3368" s="3"/>
      <c r="B3368" s="3"/>
      <c r="C3368" s="3"/>
      <c r="D3368" s="3"/>
      <c r="E3368" s="3">
        <v>5</v>
      </c>
      <c r="F3368" s="4" t="str">
        <f>HYPERLINK("http://141.218.60.56/~jnz1568/getInfo.php?workbook=14_09.xlsx&amp;sheet=U0&amp;row=3368&amp;col=6&amp;number=3.4&amp;sourceID=14","3.4")</f>
        <v>3.4</v>
      </c>
      <c r="G3368" s="4" t="str">
        <f>HYPERLINK("http://141.218.60.56/~jnz1568/getInfo.php?workbook=14_09.xlsx&amp;sheet=U0&amp;row=3368&amp;col=7&amp;number=0.0083&amp;sourceID=14","0.0083")</f>
        <v>0.0083</v>
      </c>
    </row>
    <row r="3369" spans="1:7">
      <c r="A3369" s="3"/>
      <c r="B3369" s="3"/>
      <c r="C3369" s="3"/>
      <c r="D3369" s="3"/>
      <c r="E3369" s="3">
        <v>6</v>
      </c>
      <c r="F3369" s="4" t="str">
        <f>HYPERLINK("http://141.218.60.56/~jnz1568/getInfo.php?workbook=14_09.xlsx&amp;sheet=U0&amp;row=3369&amp;col=6&amp;number=3.5&amp;sourceID=14","3.5")</f>
        <v>3.5</v>
      </c>
      <c r="G3369" s="4" t="str">
        <f>HYPERLINK("http://141.218.60.56/~jnz1568/getInfo.php?workbook=14_09.xlsx&amp;sheet=U0&amp;row=3369&amp;col=7&amp;number=0.00829&amp;sourceID=14","0.00829")</f>
        <v>0.00829</v>
      </c>
    </row>
    <row r="3370" spans="1:7">
      <c r="A3370" s="3"/>
      <c r="B3370" s="3"/>
      <c r="C3370" s="3"/>
      <c r="D3370" s="3"/>
      <c r="E3370" s="3">
        <v>7</v>
      </c>
      <c r="F3370" s="4" t="str">
        <f>HYPERLINK("http://141.218.60.56/~jnz1568/getInfo.php?workbook=14_09.xlsx&amp;sheet=U0&amp;row=3370&amp;col=6&amp;number=3.6&amp;sourceID=14","3.6")</f>
        <v>3.6</v>
      </c>
      <c r="G3370" s="4" t="str">
        <f>HYPERLINK("http://141.218.60.56/~jnz1568/getInfo.php?workbook=14_09.xlsx&amp;sheet=U0&amp;row=3370&amp;col=7&amp;number=0.00827&amp;sourceID=14","0.00827")</f>
        <v>0.00827</v>
      </c>
    </row>
    <row r="3371" spans="1:7">
      <c r="A3371" s="3"/>
      <c r="B3371" s="3"/>
      <c r="C3371" s="3"/>
      <c r="D3371" s="3"/>
      <c r="E3371" s="3">
        <v>8</v>
      </c>
      <c r="F3371" s="4" t="str">
        <f>HYPERLINK("http://141.218.60.56/~jnz1568/getInfo.php?workbook=14_09.xlsx&amp;sheet=U0&amp;row=3371&amp;col=6&amp;number=3.7&amp;sourceID=14","3.7")</f>
        <v>3.7</v>
      </c>
      <c r="G3371" s="4" t="str">
        <f>HYPERLINK("http://141.218.60.56/~jnz1568/getInfo.php?workbook=14_09.xlsx&amp;sheet=U0&amp;row=3371&amp;col=7&amp;number=0.00825&amp;sourceID=14","0.00825")</f>
        <v>0.00825</v>
      </c>
    </row>
    <row r="3372" spans="1:7">
      <c r="A3372" s="3"/>
      <c r="B3372" s="3"/>
      <c r="C3372" s="3"/>
      <c r="D3372" s="3"/>
      <c r="E3372" s="3">
        <v>9</v>
      </c>
      <c r="F3372" s="4" t="str">
        <f>HYPERLINK("http://141.218.60.56/~jnz1568/getInfo.php?workbook=14_09.xlsx&amp;sheet=U0&amp;row=3372&amp;col=6&amp;number=3.8&amp;sourceID=14","3.8")</f>
        <v>3.8</v>
      </c>
      <c r="G3372" s="4" t="str">
        <f>HYPERLINK("http://141.218.60.56/~jnz1568/getInfo.php?workbook=14_09.xlsx&amp;sheet=U0&amp;row=3372&amp;col=7&amp;number=0.00823&amp;sourceID=14","0.00823")</f>
        <v>0.00823</v>
      </c>
    </row>
    <row r="3373" spans="1:7">
      <c r="A3373" s="3"/>
      <c r="B3373" s="3"/>
      <c r="C3373" s="3"/>
      <c r="D3373" s="3"/>
      <c r="E3373" s="3">
        <v>10</v>
      </c>
      <c r="F3373" s="4" t="str">
        <f>HYPERLINK("http://141.218.60.56/~jnz1568/getInfo.php?workbook=14_09.xlsx&amp;sheet=U0&amp;row=3373&amp;col=6&amp;number=3.9&amp;sourceID=14","3.9")</f>
        <v>3.9</v>
      </c>
      <c r="G3373" s="4" t="str">
        <f>HYPERLINK("http://141.218.60.56/~jnz1568/getInfo.php?workbook=14_09.xlsx&amp;sheet=U0&amp;row=3373&amp;col=7&amp;number=0.0082&amp;sourceID=14","0.0082")</f>
        <v>0.0082</v>
      </c>
    </row>
    <row r="3374" spans="1:7">
      <c r="A3374" s="3"/>
      <c r="B3374" s="3"/>
      <c r="C3374" s="3"/>
      <c r="D3374" s="3"/>
      <c r="E3374" s="3">
        <v>11</v>
      </c>
      <c r="F3374" s="4" t="str">
        <f>HYPERLINK("http://141.218.60.56/~jnz1568/getInfo.php?workbook=14_09.xlsx&amp;sheet=U0&amp;row=3374&amp;col=6&amp;number=4&amp;sourceID=14","4")</f>
        <v>4</v>
      </c>
      <c r="G3374" s="4" t="str">
        <f>HYPERLINK("http://141.218.60.56/~jnz1568/getInfo.php?workbook=14_09.xlsx&amp;sheet=U0&amp;row=3374&amp;col=7&amp;number=0.00816&amp;sourceID=14","0.00816")</f>
        <v>0.00816</v>
      </c>
    </row>
    <row r="3375" spans="1:7">
      <c r="A3375" s="3"/>
      <c r="B3375" s="3"/>
      <c r="C3375" s="3"/>
      <c r="D3375" s="3"/>
      <c r="E3375" s="3">
        <v>12</v>
      </c>
      <c r="F3375" s="4" t="str">
        <f>HYPERLINK("http://141.218.60.56/~jnz1568/getInfo.php?workbook=14_09.xlsx&amp;sheet=U0&amp;row=3375&amp;col=6&amp;number=4.1&amp;sourceID=14","4.1")</f>
        <v>4.1</v>
      </c>
      <c r="G3375" s="4" t="str">
        <f>HYPERLINK("http://141.218.60.56/~jnz1568/getInfo.php?workbook=14_09.xlsx&amp;sheet=U0&amp;row=3375&amp;col=7&amp;number=0.00811&amp;sourceID=14","0.00811")</f>
        <v>0.00811</v>
      </c>
    </row>
    <row r="3376" spans="1:7">
      <c r="A3376" s="3"/>
      <c r="B3376" s="3"/>
      <c r="C3376" s="3"/>
      <c r="D3376" s="3"/>
      <c r="E3376" s="3">
        <v>13</v>
      </c>
      <c r="F3376" s="4" t="str">
        <f>HYPERLINK("http://141.218.60.56/~jnz1568/getInfo.php?workbook=14_09.xlsx&amp;sheet=U0&amp;row=3376&amp;col=6&amp;number=4.2&amp;sourceID=14","4.2")</f>
        <v>4.2</v>
      </c>
      <c r="G3376" s="4" t="str">
        <f>HYPERLINK("http://141.218.60.56/~jnz1568/getInfo.php?workbook=14_09.xlsx&amp;sheet=U0&amp;row=3376&amp;col=7&amp;number=0.00806&amp;sourceID=14","0.00806")</f>
        <v>0.00806</v>
      </c>
    </row>
    <row r="3377" spans="1:7">
      <c r="A3377" s="3"/>
      <c r="B3377" s="3"/>
      <c r="C3377" s="3"/>
      <c r="D3377" s="3"/>
      <c r="E3377" s="3">
        <v>14</v>
      </c>
      <c r="F3377" s="4" t="str">
        <f>HYPERLINK("http://141.218.60.56/~jnz1568/getInfo.php?workbook=14_09.xlsx&amp;sheet=U0&amp;row=3377&amp;col=6&amp;number=4.3&amp;sourceID=14","4.3")</f>
        <v>4.3</v>
      </c>
      <c r="G3377" s="4" t="str">
        <f>HYPERLINK("http://141.218.60.56/~jnz1568/getInfo.php?workbook=14_09.xlsx&amp;sheet=U0&amp;row=3377&amp;col=7&amp;number=0.00799&amp;sourceID=14","0.00799")</f>
        <v>0.00799</v>
      </c>
    </row>
    <row r="3378" spans="1:7">
      <c r="A3378" s="3"/>
      <c r="B3378" s="3"/>
      <c r="C3378" s="3"/>
      <c r="D3378" s="3"/>
      <c r="E3378" s="3">
        <v>15</v>
      </c>
      <c r="F3378" s="4" t="str">
        <f>HYPERLINK("http://141.218.60.56/~jnz1568/getInfo.php?workbook=14_09.xlsx&amp;sheet=U0&amp;row=3378&amp;col=6&amp;number=4.4&amp;sourceID=14","4.4")</f>
        <v>4.4</v>
      </c>
      <c r="G3378" s="4" t="str">
        <f>HYPERLINK("http://141.218.60.56/~jnz1568/getInfo.php?workbook=14_09.xlsx&amp;sheet=U0&amp;row=3378&amp;col=7&amp;number=0.0079&amp;sourceID=14","0.0079")</f>
        <v>0.0079</v>
      </c>
    </row>
    <row r="3379" spans="1:7">
      <c r="A3379" s="3"/>
      <c r="B3379" s="3"/>
      <c r="C3379" s="3"/>
      <c r="D3379" s="3"/>
      <c r="E3379" s="3">
        <v>16</v>
      </c>
      <c r="F3379" s="4" t="str">
        <f>HYPERLINK("http://141.218.60.56/~jnz1568/getInfo.php?workbook=14_09.xlsx&amp;sheet=U0&amp;row=3379&amp;col=6&amp;number=4.5&amp;sourceID=14","4.5")</f>
        <v>4.5</v>
      </c>
      <c r="G3379" s="4" t="str">
        <f>HYPERLINK("http://141.218.60.56/~jnz1568/getInfo.php?workbook=14_09.xlsx&amp;sheet=U0&amp;row=3379&amp;col=7&amp;number=0.00779&amp;sourceID=14","0.00779")</f>
        <v>0.00779</v>
      </c>
    </row>
    <row r="3380" spans="1:7">
      <c r="A3380" s="3"/>
      <c r="B3380" s="3"/>
      <c r="C3380" s="3"/>
      <c r="D3380" s="3"/>
      <c r="E3380" s="3">
        <v>17</v>
      </c>
      <c r="F3380" s="4" t="str">
        <f>HYPERLINK("http://141.218.60.56/~jnz1568/getInfo.php?workbook=14_09.xlsx&amp;sheet=U0&amp;row=3380&amp;col=6&amp;number=4.6&amp;sourceID=14","4.6")</f>
        <v>4.6</v>
      </c>
      <c r="G3380" s="4" t="str">
        <f>HYPERLINK("http://141.218.60.56/~jnz1568/getInfo.php?workbook=14_09.xlsx&amp;sheet=U0&amp;row=3380&amp;col=7&amp;number=0.00766&amp;sourceID=14","0.00766")</f>
        <v>0.00766</v>
      </c>
    </row>
    <row r="3381" spans="1:7">
      <c r="A3381" s="3"/>
      <c r="B3381" s="3"/>
      <c r="C3381" s="3"/>
      <c r="D3381" s="3"/>
      <c r="E3381" s="3">
        <v>18</v>
      </c>
      <c r="F3381" s="4" t="str">
        <f>HYPERLINK("http://141.218.60.56/~jnz1568/getInfo.php?workbook=14_09.xlsx&amp;sheet=U0&amp;row=3381&amp;col=6&amp;number=4.7&amp;sourceID=14","4.7")</f>
        <v>4.7</v>
      </c>
      <c r="G3381" s="4" t="str">
        <f>HYPERLINK("http://141.218.60.56/~jnz1568/getInfo.php?workbook=14_09.xlsx&amp;sheet=U0&amp;row=3381&amp;col=7&amp;number=0.00752&amp;sourceID=14","0.00752")</f>
        <v>0.00752</v>
      </c>
    </row>
    <row r="3382" spans="1:7">
      <c r="A3382" s="3"/>
      <c r="B3382" s="3"/>
      <c r="C3382" s="3"/>
      <c r="D3382" s="3"/>
      <c r="E3382" s="3">
        <v>19</v>
      </c>
      <c r="F3382" s="4" t="str">
        <f>HYPERLINK("http://141.218.60.56/~jnz1568/getInfo.php?workbook=14_09.xlsx&amp;sheet=U0&amp;row=3382&amp;col=6&amp;number=4.8&amp;sourceID=14","4.8")</f>
        <v>4.8</v>
      </c>
      <c r="G3382" s="4" t="str">
        <f>HYPERLINK("http://141.218.60.56/~jnz1568/getInfo.php?workbook=14_09.xlsx&amp;sheet=U0&amp;row=3382&amp;col=7&amp;number=0.00735&amp;sourceID=14","0.00735")</f>
        <v>0.00735</v>
      </c>
    </row>
    <row r="3383" spans="1:7">
      <c r="A3383" s="3"/>
      <c r="B3383" s="3"/>
      <c r="C3383" s="3"/>
      <c r="D3383" s="3"/>
      <c r="E3383" s="3">
        <v>20</v>
      </c>
      <c r="F3383" s="4" t="str">
        <f>HYPERLINK("http://141.218.60.56/~jnz1568/getInfo.php?workbook=14_09.xlsx&amp;sheet=U0&amp;row=3383&amp;col=6&amp;number=4.9&amp;sourceID=14","4.9")</f>
        <v>4.9</v>
      </c>
      <c r="G3383" s="4" t="str">
        <f>HYPERLINK("http://141.218.60.56/~jnz1568/getInfo.php?workbook=14_09.xlsx&amp;sheet=U0&amp;row=3383&amp;col=7&amp;number=0.00717&amp;sourceID=14","0.00717")</f>
        <v>0.00717</v>
      </c>
    </row>
    <row r="3384" spans="1:7">
      <c r="A3384" s="3">
        <v>14</v>
      </c>
      <c r="B3384" s="3">
        <v>9</v>
      </c>
      <c r="C3384" s="3">
        <v>1</v>
      </c>
      <c r="D3384" s="3">
        <v>171</v>
      </c>
      <c r="E3384" s="3">
        <v>1</v>
      </c>
      <c r="F3384" s="4" t="str">
        <f>HYPERLINK("http://141.218.60.56/~jnz1568/getInfo.php?workbook=14_09.xlsx&amp;sheet=U0&amp;row=3384&amp;col=6&amp;number=3&amp;sourceID=14","3")</f>
        <v>3</v>
      </c>
      <c r="G3384" s="4" t="str">
        <f>HYPERLINK("http://141.218.60.56/~jnz1568/getInfo.php?workbook=14_09.xlsx&amp;sheet=U0&amp;row=3384&amp;col=7&amp;number=0.0238&amp;sourceID=14","0.0238")</f>
        <v>0.0238</v>
      </c>
    </row>
    <row r="3385" spans="1:7">
      <c r="A3385" s="3"/>
      <c r="B3385" s="3"/>
      <c r="C3385" s="3"/>
      <c r="D3385" s="3"/>
      <c r="E3385" s="3">
        <v>2</v>
      </c>
      <c r="F3385" s="4" t="str">
        <f>HYPERLINK("http://141.218.60.56/~jnz1568/getInfo.php?workbook=14_09.xlsx&amp;sheet=U0&amp;row=3385&amp;col=6&amp;number=3.1&amp;sourceID=14","3.1")</f>
        <v>3.1</v>
      </c>
      <c r="G3385" s="4" t="str">
        <f>HYPERLINK("http://141.218.60.56/~jnz1568/getInfo.php?workbook=14_09.xlsx&amp;sheet=U0&amp;row=3385&amp;col=7&amp;number=0.0238&amp;sourceID=14","0.0238")</f>
        <v>0.0238</v>
      </c>
    </row>
    <row r="3386" spans="1:7">
      <c r="A3386" s="3"/>
      <c r="B3386" s="3"/>
      <c r="C3386" s="3"/>
      <c r="D3386" s="3"/>
      <c r="E3386" s="3">
        <v>3</v>
      </c>
      <c r="F3386" s="4" t="str">
        <f>HYPERLINK("http://141.218.60.56/~jnz1568/getInfo.php?workbook=14_09.xlsx&amp;sheet=U0&amp;row=3386&amp;col=6&amp;number=3.2&amp;sourceID=14","3.2")</f>
        <v>3.2</v>
      </c>
      <c r="G3386" s="4" t="str">
        <f>HYPERLINK("http://141.218.60.56/~jnz1568/getInfo.php?workbook=14_09.xlsx&amp;sheet=U0&amp;row=3386&amp;col=7&amp;number=0.0238&amp;sourceID=14","0.0238")</f>
        <v>0.0238</v>
      </c>
    </row>
    <row r="3387" spans="1:7">
      <c r="A3387" s="3"/>
      <c r="B3387" s="3"/>
      <c r="C3387" s="3"/>
      <c r="D3387" s="3"/>
      <c r="E3387" s="3">
        <v>4</v>
      </c>
      <c r="F3387" s="4" t="str">
        <f>HYPERLINK("http://141.218.60.56/~jnz1568/getInfo.php?workbook=14_09.xlsx&amp;sheet=U0&amp;row=3387&amp;col=6&amp;number=3.3&amp;sourceID=14","3.3")</f>
        <v>3.3</v>
      </c>
      <c r="G3387" s="4" t="str">
        <f>HYPERLINK("http://141.218.60.56/~jnz1568/getInfo.php?workbook=14_09.xlsx&amp;sheet=U0&amp;row=3387&amp;col=7&amp;number=0.0237&amp;sourceID=14","0.0237")</f>
        <v>0.0237</v>
      </c>
    </row>
    <row r="3388" spans="1:7">
      <c r="A3388" s="3"/>
      <c r="B3388" s="3"/>
      <c r="C3388" s="3"/>
      <c r="D3388" s="3"/>
      <c r="E3388" s="3">
        <v>5</v>
      </c>
      <c r="F3388" s="4" t="str">
        <f>HYPERLINK("http://141.218.60.56/~jnz1568/getInfo.php?workbook=14_09.xlsx&amp;sheet=U0&amp;row=3388&amp;col=6&amp;number=3.4&amp;sourceID=14","3.4")</f>
        <v>3.4</v>
      </c>
      <c r="G3388" s="4" t="str">
        <f>HYPERLINK("http://141.218.60.56/~jnz1568/getInfo.php?workbook=14_09.xlsx&amp;sheet=U0&amp;row=3388&amp;col=7&amp;number=0.0237&amp;sourceID=14","0.0237")</f>
        <v>0.0237</v>
      </c>
    </row>
    <row r="3389" spans="1:7">
      <c r="A3389" s="3"/>
      <c r="B3389" s="3"/>
      <c r="C3389" s="3"/>
      <c r="D3389" s="3"/>
      <c r="E3389" s="3">
        <v>6</v>
      </c>
      <c r="F3389" s="4" t="str">
        <f>HYPERLINK("http://141.218.60.56/~jnz1568/getInfo.php?workbook=14_09.xlsx&amp;sheet=U0&amp;row=3389&amp;col=6&amp;number=3.5&amp;sourceID=14","3.5")</f>
        <v>3.5</v>
      </c>
      <c r="G3389" s="4" t="str">
        <f>HYPERLINK("http://141.218.60.56/~jnz1568/getInfo.php?workbook=14_09.xlsx&amp;sheet=U0&amp;row=3389&amp;col=7&amp;number=0.0236&amp;sourceID=14","0.0236")</f>
        <v>0.0236</v>
      </c>
    </row>
    <row r="3390" spans="1:7">
      <c r="A3390" s="3"/>
      <c r="B3390" s="3"/>
      <c r="C3390" s="3"/>
      <c r="D3390" s="3"/>
      <c r="E3390" s="3">
        <v>7</v>
      </c>
      <c r="F3390" s="4" t="str">
        <f>HYPERLINK("http://141.218.60.56/~jnz1568/getInfo.php?workbook=14_09.xlsx&amp;sheet=U0&amp;row=3390&amp;col=6&amp;number=3.6&amp;sourceID=14","3.6")</f>
        <v>3.6</v>
      </c>
      <c r="G3390" s="4" t="str">
        <f>HYPERLINK("http://141.218.60.56/~jnz1568/getInfo.php?workbook=14_09.xlsx&amp;sheet=U0&amp;row=3390&amp;col=7&amp;number=0.0235&amp;sourceID=14","0.0235")</f>
        <v>0.0235</v>
      </c>
    </row>
    <row r="3391" spans="1:7">
      <c r="A3391" s="3"/>
      <c r="B3391" s="3"/>
      <c r="C3391" s="3"/>
      <c r="D3391" s="3"/>
      <c r="E3391" s="3">
        <v>8</v>
      </c>
      <c r="F3391" s="4" t="str">
        <f>HYPERLINK("http://141.218.60.56/~jnz1568/getInfo.php?workbook=14_09.xlsx&amp;sheet=U0&amp;row=3391&amp;col=6&amp;number=3.7&amp;sourceID=14","3.7")</f>
        <v>3.7</v>
      </c>
      <c r="G3391" s="4" t="str">
        <f>HYPERLINK("http://141.218.60.56/~jnz1568/getInfo.php?workbook=14_09.xlsx&amp;sheet=U0&amp;row=3391&amp;col=7&amp;number=0.0234&amp;sourceID=14","0.0234")</f>
        <v>0.0234</v>
      </c>
    </row>
    <row r="3392" spans="1:7">
      <c r="A3392" s="3"/>
      <c r="B3392" s="3"/>
      <c r="C3392" s="3"/>
      <c r="D3392" s="3"/>
      <c r="E3392" s="3">
        <v>9</v>
      </c>
      <c r="F3392" s="4" t="str">
        <f>HYPERLINK("http://141.218.60.56/~jnz1568/getInfo.php?workbook=14_09.xlsx&amp;sheet=U0&amp;row=3392&amp;col=6&amp;number=3.8&amp;sourceID=14","3.8")</f>
        <v>3.8</v>
      </c>
      <c r="G3392" s="4" t="str">
        <f>HYPERLINK("http://141.218.60.56/~jnz1568/getInfo.php?workbook=14_09.xlsx&amp;sheet=U0&amp;row=3392&amp;col=7&amp;number=0.0233&amp;sourceID=14","0.0233")</f>
        <v>0.0233</v>
      </c>
    </row>
    <row r="3393" spans="1:7">
      <c r="A3393" s="3"/>
      <c r="B3393" s="3"/>
      <c r="C3393" s="3"/>
      <c r="D3393" s="3"/>
      <c r="E3393" s="3">
        <v>10</v>
      </c>
      <c r="F3393" s="4" t="str">
        <f>HYPERLINK("http://141.218.60.56/~jnz1568/getInfo.php?workbook=14_09.xlsx&amp;sheet=U0&amp;row=3393&amp;col=6&amp;number=3.9&amp;sourceID=14","3.9")</f>
        <v>3.9</v>
      </c>
      <c r="G3393" s="4" t="str">
        <f>HYPERLINK("http://141.218.60.56/~jnz1568/getInfo.php?workbook=14_09.xlsx&amp;sheet=U0&amp;row=3393&amp;col=7&amp;number=0.0232&amp;sourceID=14","0.0232")</f>
        <v>0.0232</v>
      </c>
    </row>
    <row r="3394" spans="1:7">
      <c r="A3394" s="3"/>
      <c r="B3394" s="3"/>
      <c r="C3394" s="3"/>
      <c r="D3394" s="3"/>
      <c r="E3394" s="3">
        <v>11</v>
      </c>
      <c r="F3394" s="4" t="str">
        <f>HYPERLINK("http://141.218.60.56/~jnz1568/getInfo.php?workbook=14_09.xlsx&amp;sheet=U0&amp;row=3394&amp;col=6&amp;number=4&amp;sourceID=14","4")</f>
        <v>4</v>
      </c>
      <c r="G3394" s="4" t="str">
        <f>HYPERLINK("http://141.218.60.56/~jnz1568/getInfo.php?workbook=14_09.xlsx&amp;sheet=U0&amp;row=3394&amp;col=7&amp;number=0.023&amp;sourceID=14","0.023")</f>
        <v>0.023</v>
      </c>
    </row>
    <row r="3395" spans="1:7">
      <c r="A3395" s="3"/>
      <c r="B3395" s="3"/>
      <c r="C3395" s="3"/>
      <c r="D3395" s="3"/>
      <c r="E3395" s="3">
        <v>12</v>
      </c>
      <c r="F3395" s="4" t="str">
        <f>HYPERLINK("http://141.218.60.56/~jnz1568/getInfo.php?workbook=14_09.xlsx&amp;sheet=U0&amp;row=3395&amp;col=6&amp;number=4.1&amp;sourceID=14","4.1")</f>
        <v>4.1</v>
      </c>
      <c r="G3395" s="4" t="str">
        <f>HYPERLINK("http://141.218.60.56/~jnz1568/getInfo.php?workbook=14_09.xlsx&amp;sheet=U0&amp;row=3395&amp;col=7&amp;number=0.0227&amp;sourceID=14","0.0227")</f>
        <v>0.0227</v>
      </c>
    </row>
    <row r="3396" spans="1:7">
      <c r="A3396" s="3"/>
      <c r="B3396" s="3"/>
      <c r="C3396" s="3"/>
      <c r="D3396" s="3"/>
      <c r="E3396" s="3">
        <v>13</v>
      </c>
      <c r="F3396" s="4" t="str">
        <f>HYPERLINK("http://141.218.60.56/~jnz1568/getInfo.php?workbook=14_09.xlsx&amp;sheet=U0&amp;row=3396&amp;col=6&amp;number=4.2&amp;sourceID=14","4.2")</f>
        <v>4.2</v>
      </c>
      <c r="G3396" s="4" t="str">
        <f>HYPERLINK("http://141.218.60.56/~jnz1568/getInfo.php?workbook=14_09.xlsx&amp;sheet=U0&amp;row=3396&amp;col=7&amp;number=0.0224&amp;sourceID=14","0.0224")</f>
        <v>0.0224</v>
      </c>
    </row>
    <row r="3397" spans="1:7">
      <c r="A3397" s="3"/>
      <c r="B3397" s="3"/>
      <c r="C3397" s="3"/>
      <c r="D3397" s="3"/>
      <c r="E3397" s="3">
        <v>14</v>
      </c>
      <c r="F3397" s="4" t="str">
        <f>HYPERLINK("http://141.218.60.56/~jnz1568/getInfo.php?workbook=14_09.xlsx&amp;sheet=U0&amp;row=3397&amp;col=6&amp;number=4.3&amp;sourceID=14","4.3")</f>
        <v>4.3</v>
      </c>
      <c r="G3397" s="4" t="str">
        <f>HYPERLINK("http://141.218.60.56/~jnz1568/getInfo.php?workbook=14_09.xlsx&amp;sheet=U0&amp;row=3397&amp;col=7&amp;number=0.0221&amp;sourceID=14","0.0221")</f>
        <v>0.0221</v>
      </c>
    </row>
    <row r="3398" spans="1:7">
      <c r="A3398" s="3"/>
      <c r="B3398" s="3"/>
      <c r="C3398" s="3"/>
      <c r="D3398" s="3"/>
      <c r="E3398" s="3">
        <v>15</v>
      </c>
      <c r="F3398" s="4" t="str">
        <f>HYPERLINK("http://141.218.60.56/~jnz1568/getInfo.php?workbook=14_09.xlsx&amp;sheet=U0&amp;row=3398&amp;col=6&amp;number=4.4&amp;sourceID=14","4.4")</f>
        <v>4.4</v>
      </c>
      <c r="G3398" s="4" t="str">
        <f>HYPERLINK("http://141.218.60.56/~jnz1568/getInfo.php?workbook=14_09.xlsx&amp;sheet=U0&amp;row=3398&amp;col=7&amp;number=0.0216&amp;sourceID=14","0.0216")</f>
        <v>0.0216</v>
      </c>
    </row>
    <row r="3399" spans="1:7">
      <c r="A3399" s="3"/>
      <c r="B3399" s="3"/>
      <c r="C3399" s="3"/>
      <c r="D3399" s="3"/>
      <c r="E3399" s="3">
        <v>16</v>
      </c>
      <c r="F3399" s="4" t="str">
        <f>HYPERLINK("http://141.218.60.56/~jnz1568/getInfo.php?workbook=14_09.xlsx&amp;sheet=U0&amp;row=3399&amp;col=6&amp;number=4.5&amp;sourceID=14","4.5")</f>
        <v>4.5</v>
      </c>
      <c r="G3399" s="4" t="str">
        <f>HYPERLINK("http://141.218.60.56/~jnz1568/getInfo.php?workbook=14_09.xlsx&amp;sheet=U0&amp;row=3399&amp;col=7&amp;number=0.0211&amp;sourceID=14","0.0211")</f>
        <v>0.0211</v>
      </c>
    </row>
    <row r="3400" spans="1:7">
      <c r="A3400" s="3"/>
      <c r="B3400" s="3"/>
      <c r="C3400" s="3"/>
      <c r="D3400" s="3"/>
      <c r="E3400" s="3">
        <v>17</v>
      </c>
      <c r="F3400" s="4" t="str">
        <f>HYPERLINK("http://141.218.60.56/~jnz1568/getInfo.php?workbook=14_09.xlsx&amp;sheet=U0&amp;row=3400&amp;col=6&amp;number=4.6&amp;sourceID=14","4.6")</f>
        <v>4.6</v>
      </c>
      <c r="G3400" s="4" t="str">
        <f>HYPERLINK("http://141.218.60.56/~jnz1568/getInfo.php?workbook=14_09.xlsx&amp;sheet=U0&amp;row=3400&amp;col=7&amp;number=0.0206&amp;sourceID=14","0.0206")</f>
        <v>0.0206</v>
      </c>
    </row>
    <row r="3401" spans="1:7">
      <c r="A3401" s="3"/>
      <c r="B3401" s="3"/>
      <c r="C3401" s="3"/>
      <c r="D3401" s="3"/>
      <c r="E3401" s="3">
        <v>18</v>
      </c>
      <c r="F3401" s="4" t="str">
        <f>HYPERLINK("http://141.218.60.56/~jnz1568/getInfo.php?workbook=14_09.xlsx&amp;sheet=U0&amp;row=3401&amp;col=6&amp;number=4.7&amp;sourceID=14","4.7")</f>
        <v>4.7</v>
      </c>
      <c r="G3401" s="4" t="str">
        <f>HYPERLINK("http://141.218.60.56/~jnz1568/getInfo.php?workbook=14_09.xlsx&amp;sheet=U0&amp;row=3401&amp;col=7&amp;number=0.02&amp;sourceID=14","0.02")</f>
        <v>0.02</v>
      </c>
    </row>
    <row r="3402" spans="1:7">
      <c r="A3402" s="3"/>
      <c r="B3402" s="3"/>
      <c r="C3402" s="3"/>
      <c r="D3402" s="3"/>
      <c r="E3402" s="3">
        <v>19</v>
      </c>
      <c r="F3402" s="4" t="str">
        <f>HYPERLINK("http://141.218.60.56/~jnz1568/getInfo.php?workbook=14_09.xlsx&amp;sheet=U0&amp;row=3402&amp;col=6&amp;number=4.8&amp;sourceID=14","4.8")</f>
        <v>4.8</v>
      </c>
      <c r="G3402" s="4" t="str">
        <f>HYPERLINK("http://141.218.60.56/~jnz1568/getInfo.php?workbook=14_09.xlsx&amp;sheet=U0&amp;row=3402&amp;col=7&amp;number=0.0194&amp;sourceID=14","0.0194")</f>
        <v>0.0194</v>
      </c>
    </row>
    <row r="3403" spans="1:7">
      <c r="A3403" s="3"/>
      <c r="B3403" s="3"/>
      <c r="C3403" s="3"/>
      <c r="D3403" s="3"/>
      <c r="E3403" s="3">
        <v>20</v>
      </c>
      <c r="F3403" s="4" t="str">
        <f>HYPERLINK("http://141.218.60.56/~jnz1568/getInfo.php?workbook=14_09.xlsx&amp;sheet=U0&amp;row=3403&amp;col=6&amp;number=4.9&amp;sourceID=14","4.9")</f>
        <v>4.9</v>
      </c>
      <c r="G3403" s="4" t="str">
        <f>HYPERLINK("http://141.218.60.56/~jnz1568/getInfo.php?workbook=14_09.xlsx&amp;sheet=U0&amp;row=3403&amp;col=7&amp;number=0.019&amp;sourceID=14","0.019")</f>
        <v>0.019</v>
      </c>
    </row>
    <row r="3404" spans="1:7">
      <c r="A3404" s="3">
        <v>14</v>
      </c>
      <c r="B3404" s="3">
        <v>9</v>
      </c>
      <c r="C3404" s="3">
        <v>1</v>
      </c>
      <c r="D3404" s="3">
        <v>172</v>
      </c>
      <c r="E3404" s="3">
        <v>1</v>
      </c>
      <c r="F3404" s="4" t="str">
        <f>HYPERLINK("http://141.218.60.56/~jnz1568/getInfo.php?workbook=14_09.xlsx&amp;sheet=U0&amp;row=3404&amp;col=6&amp;number=3&amp;sourceID=14","3")</f>
        <v>3</v>
      </c>
      <c r="G3404" s="4" t="str">
        <f>HYPERLINK("http://141.218.60.56/~jnz1568/getInfo.php?workbook=14_09.xlsx&amp;sheet=U0&amp;row=3404&amp;col=7&amp;number=0.0144&amp;sourceID=14","0.0144")</f>
        <v>0.0144</v>
      </c>
    </row>
    <row r="3405" spans="1:7">
      <c r="A3405" s="3"/>
      <c r="B3405" s="3"/>
      <c r="C3405" s="3"/>
      <c r="D3405" s="3"/>
      <c r="E3405" s="3">
        <v>2</v>
      </c>
      <c r="F3405" s="4" t="str">
        <f>HYPERLINK("http://141.218.60.56/~jnz1568/getInfo.php?workbook=14_09.xlsx&amp;sheet=U0&amp;row=3405&amp;col=6&amp;number=3.1&amp;sourceID=14","3.1")</f>
        <v>3.1</v>
      </c>
      <c r="G3405" s="4" t="str">
        <f>HYPERLINK("http://141.218.60.56/~jnz1568/getInfo.php?workbook=14_09.xlsx&amp;sheet=U0&amp;row=3405&amp;col=7&amp;number=0.0144&amp;sourceID=14","0.0144")</f>
        <v>0.0144</v>
      </c>
    </row>
    <row r="3406" spans="1:7">
      <c r="A3406" s="3"/>
      <c r="B3406" s="3"/>
      <c r="C3406" s="3"/>
      <c r="D3406" s="3"/>
      <c r="E3406" s="3">
        <v>3</v>
      </c>
      <c r="F3406" s="4" t="str">
        <f>HYPERLINK("http://141.218.60.56/~jnz1568/getInfo.php?workbook=14_09.xlsx&amp;sheet=U0&amp;row=3406&amp;col=6&amp;number=3.2&amp;sourceID=14","3.2")</f>
        <v>3.2</v>
      </c>
      <c r="G3406" s="4" t="str">
        <f>HYPERLINK("http://141.218.60.56/~jnz1568/getInfo.php?workbook=14_09.xlsx&amp;sheet=U0&amp;row=3406&amp;col=7&amp;number=0.0144&amp;sourceID=14","0.0144")</f>
        <v>0.0144</v>
      </c>
    </row>
    <row r="3407" spans="1:7">
      <c r="A3407" s="3"/>
      <c r="B3407" s="3"/>
      <c r="C3407" s="3"/>
      <c r="D3407" s="3"/>
      <c r="E3407" s="3">
        <v>4</v>
      </c>
      <c r="F3407" s="4" t="str">
        <f>HYPERLINK("http://141.218.60.56/~jnz1568/getInfo.php?workbook=14_09.xlsx&amp;sheet=U0&amp;row=3407&amp;col=6&amp;number=3.3&amp;sourceID=14","3.3")</f>
        <v>3.3</v>
      </c>
      <c r="G3407" s="4" t="str">
        <f>HYPERLINK("http://141.218.60.56/~jnz1568/getInfo.php?workbook=14_09.xlsx&amp;sheet=U0&amp;row=3407&amp;col=7&amp;number=0.0144&amp;sourceID=14","0.0144")</f>
        <v>0.0144</v>
      </c>
    </row>
    <row r="3408" spans="1:7">
      <c r="A3408" s="3"/>
      <c r="B3408" s="3"/>
      <c r="C3408" s="3"/>
      <c r="D3408" s="3"/>
      <c r="E3408" s="3">
        <v>5</v>
      </c>
      <c r="F3408" s="4" t="str">
        <f>HYPERLINK("http://141.218.60.56/~jnz1568/getInfo.php?workbook=14_09.xlsx&amp;sheet=U0&amp;row=3408&amp;col=6&amp;number=3.4&amp;sourceID=14","3.4")</f>
        <v>3.4</v>
      </c>
      <c r="G3408" s="4" t="str">
        <f>HYPERLINK("http://141.218.60.56/~jnz1568/getInfo.php?workbook=14_09.xlsx&amp;sheet=U0&amp;row=3408&amp;col=7&amp;number=0.0144&amp;sourceID=14","0.0144")</f>
        <v>0.0144</v>
      </c>
    </row>
    <row r="3409" spans="1:7">
      <c r="A3409" s="3"/>
      <c r="B3409" s="3"/>
      <c r="C3409" s="3"/>
      <c r="D3409" s="3"/>
      <c r="E3409" s="3">
        <v>6</v>
      </c>
      <c r="F3409" s="4" t="str">
        <f>HYPERLINK("http://141.218.60.56/~jnz1568/getInfo.php?workbook=14_09.xlsx&amp;sheet=U0&amp;row=3409&amp;col=6&amp;number=3.5&amp;sourceID=14","3.5")</f>
        <v>3.5</v>
      </c>
      <c r="G3409" s="4" t="str">
        <f>HYPERLINK("http://141.218.60.56/~jnz1568/getInfo.php?workbook=14_09.xlsx&amp;sheet=U0&amp;row=3409&amp;col=7&amp;number=0.0144&amp;sourceID=14","0.0144")</f>
        <v>0.0144</v>
      </c>
    </row>
    <row r="3410" spans="1:7">
      <c r="A3410" s="3"/>
      <c r="B3410" s="3"/>
      <c r="C3410" s="3"/>
      <c r="D3410" s="3"/>
      <c r="E3410" s="3">
        <v>7</v>
      </c>
      <c r="F3410" s="4" t="str">
        <f>HYPERLINK("http://141.218.60.56/~jnz1568/getInfo.php?workbook=14_09.xlsx&amp;sheet=U0&amp;row=3410&amp;col=6&amp;number=3.6&amp;sourceID=14","3.6")</f>
        <v>3.6</v>
      </c>
      <c r="G3410" s="4" t="str">
        <f>HYPERLINK("http://141.218.60.56/~jnz1568/getInfo.php?workbook=14_09.xlsx&amp;sheet=U0&amp;row=3410&amp;col=7&amp;number=0.0143&amp;sourceID=14","0.0143")</f>
        <v>0.0143</v>
      </c>
    </row>
    <row r="3411" spans="1:7">
      <c r="A3411" s="3"/>
      <c r="B3411" s="3"/>
      <c r="C3411" s="3"/>
      <c r="D3411" s="3"/>
      <c r="E3411" s="3">
        <v>8</v>
      </c>
      <c r="F3411" s="4" t="str">
        <f>HYPERLINK("http://141.218.60.56/~jnz1568/getInfo.php?workbook=14_09.xlsx&amp;sheet=U0&amp;row=3411&amp;col=6&amp;number=3.7&amp;sourceID=14","3.7")</f>
        <v>3.7</v>
      </c>
      <c r="G3411" s="4" t="str">
        <f>HYPERLINK("http://141.218.60.56/~jnz1568/getInfo.php?workbook=14_09.xlsx&amp;sheet=U0&amp;row=3411&amp;col=7&amp;number=0.0143&amp;sourceID=14","0.0143")</f>
        <v>0.0143</v>
      </c>
    </row>
    <row r="3412" spans="1:7">
      <c r="A3412" s="3"/>
      <c r="B3412" s="3"/>
      <c r="C3412" s="3"/>
      <c r="D3412" s="3"/>
      <c r="E3412" s="3">
        <v>9</v>
      </c>
      <c r="F3412" s="4" t="str">
        <f>HYPERLINK("http://141.218.60.56/~jnz1568/getInfo.php?workbook=14_09.xlsx&amp;sheet=U0&amp;row=3412&amp;col=6&amp;number=3.8&amp;sourceID=14","3.8")</f>
        <v>3.8</v>
      </c>
      <c r="G3412" s="4" t="str">
        <f>HYPERLINK("http://141.218.60.56/~jnz1568/getInfo.php?workbook=14_09.xlsx&amp;sheet=U0&amp;row=3412&amp;col=7&amp;number=0.0143&amp;sourceID=14","0.0143")</f>
        <v>0.0143</v>
      </c>
    </row>
    <row r="3413" spans="1:7">
      <c r="A3413" s="3"/>
      <c r="B3413" s="3"/>
      <c r="C3413" s="3"/>
      <c r="D3413" s="3"/>
      <c r="E3413" s="3">
        <v>10</v>
      </c>
      <c r="F3413" s="4" t="str">
        <f>HYPERLINK("http://141.218.60.56/~jnz1568/getInfo.php?workbook=14_09.xlsx&amp;sheet=U0&amp;row=3413&amp;col=6&amp;number=3.9&amp;sourceID=14","3.9")</f>
        <v>3.9</v>
      </c>
      <c r="G3413" s="4" t="str">
        <f>HYPERLINK("http://141.218.60.56/~jnz1568/getInfo.php?workbook=14_09.xlsx&amp;sheet=U0&amp;row=3413&amp;col=7&amp;number=0.0142&amp;sourceID=14","0.0142")</f>
        <v>0.0142</v>
      </c>
    </row>
    <row r="3414" spans="1:7">
      <c r="A3414" s="3"/>
      <c r="B3414" s="3"/>
      <c r="C3414" s="3"/>
      <c r="D3414" s="3"/>
      <c r="E3414" s="3">
        <v>11</v>
      </c>
      <c r="F3414" s="4" t="str">
        <f>HYPERLINK("http://141.218.60.56/~jnz1568/getInfo.php?workbook=14_09.xlsx&amp;sheet=U0&amp;row=3414&amp;col=6&amp;number=4&amp;sourceID=14","4")</f>
        <v>4</v>
      </c>
      <c r="G3414" s="4" t="str">
        <f>HYPERLINK("http://141.218.60.56/~jnz1568/getInfo.php?workbook=14_09.xlsx&amp;sheet=U0&amp;row=3414&amp;col=7&amp;number=0.0142&amp;sourceID=14","0.0142")</f>
        <v>0.0142</v>
      </c>
    </row>
    <row r="3415" spans="1:7">
      <c r="A3415" s="3"/>
      <c r="B3415" s="3"/>
      <c r="C3415" s="3"/>
      <c r="D3415" s="3"/>
      <c r="E3415" s="3">
        <v>12</v>
      </c>
      <c r="F3415" s="4" t="str">
        <f>HYPERLINK("http://141.218.60.56/~jnz1568/getInfo.php?workbook=14_09.xlsx&amp;sheet=U0&amp;row=3415&amp;col=6&amp;number=4.1&amp;sourceID=14","4.1")</f>
        <v>4.1</v>
      </c>
      <c r="G3415" s="4" t="str">
        <f>HYPERLINK("http://141.218.60.56/~jnz1568/getInfo.php?workbook=14_09.xlsx&amp;sheet=U0&amp;row=3415&amp;col=7&amp;number=0.0141&amp;sourceID=14","0.0141")</f>
        <v>0.0141</v>
      </c>
    </row>
    <row r="3416" spans="1:7">
      <c r="A3416" s="3"/>
      <c r="B3416" s="3"/>
      <c r="C3416" s="3"/>
      <c r="D3416" s="3"/>
      <c r="E3416" s="3">
        <v>13</v>
      </c>
      <c r="F3416" s="4" t="str">
        <f>HYPERLINK("http://141.218.60.56/~jnz1568/getInfo.php?workbook=14_09.xlsx&amp;sheet=U0&amp;row=3416&amp;col=6&amp;number=4.2&amp;sourceID=14","4.2")</f>
        <v>4.2</v>
      </c>
      <c r="G3416" s="4" t="str">
        <f>HYPERLINK("http://141.218.60.56/~jnz1568/getInfo.php?workbook=14_09.xlsx&amp;sheet=U0&amp;row=3416&amp;col=7&amp;number=0.014&amp;sourceID=14","0.014")</f>
        <v>0.014</v>
      </c>
    </row>
    <row r="3417" spans="1:7">
      <c r="A3417" s="3"/>
      <c r="B3417" s="3"/>
      <c r="C3417" s="3"/>
      <c r="D3417" s="3"/>
      <c r="E3417" s="3">
        <v>14</v>
      </c>
      <c r="F3417" s="4" t="str">
        <f>HYPERLINK("http://141.218.60.56/~jnz1568/getInfo.php?workbook=14_09.xlsx&amp;sheet=U0&amp;row=3417&amp;col=6&amp;number=4.3&amp;sourceID=14","4.3")</f>
        <v>4.3</v>
      </c>
      <c r="G3417" s="4" t="str">
        <f>HYPERLINK("http://141.218.60.56/~jnz1568/getInfo.php?workbook=14_09.xlsx&amp;sheet=U0&amp;row=3417&amp;col=7&amp;number=0.0139&amp;sourceID=14","0.0139")</f>
        <v>0.0139</v>
      </c>
    </row>
    <row r="3418" spans="1:7">
      <c r="A3418" s="3"/>
      <c r="B3418" s="3"/>
      <c r="C3418" s="3"/>
      <c r="D3418" s="3"/>
      <c r="E3418" s="3">
        <v>15</v>
      </c>
      <c r="F3418" s="4" t="str">
        <f>HYPERLINK("http://141.218.60.56/~jnz1568/getInfo.php?workbook=14_09.xlsx&amp;sheet=U0&amp;row=3418&amp;col=6&amp;number=4.4&amp;sourceID=14","4.4")</f>
        <v>4.4</v>
      </c>
      <c r="G3418" s="4" t="str">
        <f>HYPERLINK("http://141.218.60.56/~jnz1568/getInfo.php?workbook=14_09.xlsx&amp;sheet=U0&amp;row=3418&amp;col=7&amp;number=0.0138&amp;sourceID=14","0.0138")</f>
        <v>0.0138</v>
      </c>
    </row>
    <row r="3419" spans="1:7">
      <c r="A3419" s="3"/>
      <c r="B3419" s="3"/>
      <c r="C3419" s="3"/>
      <c r="D3419" s="3"/>
      <c r="E3419" s="3">
        <v>16</v>
      </c>
      <c r="F3419" s="4" t="str">
        <f>HYPERLINK("http://141.218.60.56/~jnz1568/getInfo.php?workbook=14_09.xlsx&amp;sheet=U0&amp;row=3419&amp;col=6&amp;number=4.5&amp;sourceID=14","4.5")</f>
        <v>4.5</v>
      </c>
      <c r="G3419" s="4" t="str">
        <f>HYPERLINK("http://141.218.60.56/~jnz1568/getInfo.php?workbook=14_09.xlsx&amp;sheet=U0&amp;row=3419&amp;col=7&amp;number=0.0136&amp;sourceID=14","0.0136")</f>
        <v>0.0136</v>
      </c>
    </row>
    <row r="3420" spans="1:7">
      <c r="A3420" s="3"/>
      <c r="B3420" s="3"/>
      <c r="C3420" s="3"/>
      <c r="D3420" s="3"/>
      <c r="E3420" s="3">
        <v>17</v>
      </c>
      <c r="F3420" s="4" t="str">
        <f>HYPERLINK("http://141.218.60.56/~jnz1568/getInfo.php?workbook=14_09.xlsx&amp;sheet=U0&amp;row=3420&amp;col=6&amp;number=4.6&amp;sourceID=14","4.6")</f>
        <v>4.6</v>
      </c>
      <c r="G3420" s="4" t="str">
        <f>HYPERLINK("http://141.218.60.56/~jnz1568/getInfo.php?workbook=14_09.xlsx&amp;sheet=U0&amp;row=3420&amp;col=7&amp;number=0.0134&amp;sourceID=14","0.0134")</f>
        <v>0.0134</v>
      </c>
    </row>
    <row r="3421" spans="1:7">
      <c r="A3421" s="3"/>
      <c r="B3421" s="3"/>
      <c r="C3421" s="3"/>
      <c r="D3421" s="3"/>
      <c r="E3421" s="3">
        <v>18</v>
      </c>
      <c r="F3421" s="4" t="str">
        <f>HYPERLINK("http://141.218.60.56/~jnz1568/getInfo.php?workbook=14_09.xlsx&amp;sheet=U0&amp;row=3421&amp;col=6&amp;number=4.7&amp;sourceID=14","4.7")</f>
        <v>4.7</v>
      </c>
      <c r="G3421" s="4" t="str">
        <f>HYPERLINK("http://141.218.60.56/~jnz1568/getInfo.php?workbook=14_09.xlsx&amp;sheet=U0&amp;row=3421&amp;col=7&amp;number=0.0132&amp;sourceID=14","0.0132")</f>
        <v>0.0132</v>
      </c>
    </row>
    <row r="3422" spans="1:7">
      <c r="A3422" s="3"/>
      <c r="B3422" s="3"/>
      <c r="C3422" s="3"/>
      <c r="D3422" s="3"/>
      <c r="E3422" s="3">
        <v>19</v>
      </c>
      <c r="F3422" s="4" t="str">
        <f>HYPERLINK("http://141.218.60.56/~jnz1568/getInfo.php?workbook=14_09.xlsx&amp;sheet=U0&amp;row=3422&amp;col=6&amp;number=4.8&amp;sourceID=14","4.8")</f>
        <v>4.8</v>
      </c>
      <c r="G3422" s="4" t="str">
        <f>HYPERLINK("http://141.218.60.56/~jnz1568/getInfo.php?workbook=14_09.xlsx&amp;sheet=U0&amp;row=3422&amp;col=7&amp;number=0.0129&amp;sourceID=14","0.0129")</f>
        <v>0.0129</v>
      </c>
    </row>
    <row r="3423" spans="1:7">
      <c r="A3423" s="3"/>
      <c r="B3423" s="3"/>
      <c r="C3423" s="3"/>
      <c r="D3423" s="3"/>
      <c r="E3423" s="3">
        <v>20</v>
      </c>
      <c r="F3423" s="4" t="str">
        <f>HYPERLINK("http://141.218.60.56/~jnz1568/getInfo.php?workbook=14_09.xlsx&amp;sheet=U0&amp;row=3423&amp;col=6&amp;number=4.9&amp;sourceID=14","4.9")</f>
        <v>4.9</v>
      </c>
      <c r="G3423" s="4" t="str">
        <f>HYPERLINK("http://141.218.60.56/~jnz1568/getInfo.php?workbook=14_09.xlsx&amp;sheet=U0&amp;row=3423&amp;col=7&amp;number=0.0126&amp;sourceID=14","0.0126")</f>
        <v>0.0126</v>
      </c>
    </row>
    <row r="3424" spans="1:7">
      <c r="A3424" s="3">
        <v>14</v>
      </c>
      <c r="B3424" s="3">
        <v>9</v>
      </c>
      <c r="C3424" s="3">
        <v>1</v>
      </c>
      <c r="D3424" s="3">
        <v>173</v>
      </c>
      <c r="E3424" s="3">
        <v>1</v>
      </c>
      <c r="F3424" s="4" t="str">
        <f>HYPERLINK("http://141.218.60.56/~jnz1568/getInfo.php?workbook=14_09.xlsx&amp;sheet=U0&amp;row=3424&amp;col=6&amp;number=3&amp;sourceID=14","3")</f>
        <v>3</v>
      </c>
      <c r="G3424" s="4" t="str">
        <f>HYPERLINK("http://141.218.60.56/~jnz1568/getInfo.php?workbook=14_09.xlsx&amp;sheet=U0&amp;row=3424&amp;col=7&amp;number=0.00837&amp;sourceID=14","0.00837")</f>
        <v>0.00837</v>
      </c>
    </row>
    <row r="3425" spans="1:7">
      <c r="A3425" s="3"/>
      <c r="B3425" s="3"/>
      <c r="C3425" s="3"/>
      <c r="D3425" s="3"/>
      <c r="E3425" s="3">
        <v>2</v>
      </c>
      <c r="F3425" s="4" t="str">
        <f>HYPERLINK("http://141.218.60.56/~jnz1568/getInfo.php?workbook=14_09.xlsx&amp;sheet=U0&amp;row=3425&amp;col=6&amp;number=3.1&amp;sourceID=14","3.1")</f>
        <v>3.1</v>
      </c>
      <c r="G3425" s="4" t="str">
        <f>HYPERLINK("http://141.218.60.56/~jnz1568/getInfo.php?workbook=14_09.xlsx&amp;sheet=U0&amp;row=3425&amp;col=7&amp;number=0.00836&amp;sourceID=14","0.00836")</f>
        <v>0.00836</v>
      </c>
    </row>
    <row r="3426" spans="1:7">
      <c r="A3426" s="3"/>
      <c r="B3426" s="3"/>
      <c r="C3426" s="3"/>
      <c r="D3426" s="3"/>
      <c r="E3426" s="3">
        <v>3</v>
      </c>
      <c r="F3426" s="4" t="str">
        <f>HYPERLINK("http://141.218.60.56/~jnz1568/getInfo.php?workbook=14_09.xlsx&amp;sheet=U0&amp;row=3426&amp;col=6&amp;number=3.2&amp;sourceID=14","3.2")</f>
        <v>3.2</v>
      </c>
      <c r="G3426" s="4" t="str">
        <f>HYPERLINK("http://141.218.60.56/~jnz1568/getInfo.php?workbook=14_09.xlsx&amp;sheet=U0&amp;row=3426&amp;col=7&amp;number=0.00834&amp;sourceID=14","0.00834")</f>
        <v>0.00834</v>
      </c>
    </row>
    <row r="3427" spans="1:7">
      <c r="A3427" s="3"/>
      <c r="B3427" s="3"/>
      <c r="C3427" s="3"/>
      <c r="D3427" s="3"/>
      <c r="E3427" s="3">
        <v>4</v>
      </c>
      <c r="F3427" s="4" t="str">
        <f>HYPERLINK("http://141.218.60.56/~jnz1568/getInfo.php?workbook=14_09.xlsx&amp;sheet=U0&amp;row=3427&amp;col=6&amp;number=3.3&amp;sourceID=14","3.3")</f>
        <v>3.3</v>
      </c>
      <c r="G3427" s="4" t="str">
        <f>HYPERLINK("http://141.218.60.56/~jnz1568/getInfo.php?workbook=14_09.xlsx&amp;sheet=U0&amp;row=3427&amp;col=7&amp;number=0.00832&amp;sourceID=14","0.00832")</f>
        <v>0.00832</v>
      </c>
    </row>
    <row r="3428" spans="1:7">
      <c r="A3428" s="3"/>
      <c r="B3428" s="3"/>
      <c r="C3428" s="3"/>
      <c r="D3428" s="3"/>
      <c r="E3428" s="3">
        <v>5</v>
      </c>
      <c r="F3428" s="4" t="str">
        <f>HYPERLINK("http://141.218.60.56/~jnz1568/getInfo.php?workbook=14_09.xlsx&amp;sheet=U0&amp;row=3428&amp;col=6&amp;number=3.4&amp;sourceID=14","3.4")</f>
        <v>3.4</v>
      </c>
      <c r="G3428" s="4" t="str">
        <f>HYPERLINK("http://141.218.60.56/~jnz1568/getInfo.php?workbook=14_09.xlsx&amp;sheet=U0&amp;row=3428&amp;col=7&amp;number=0.0083&amp;sourceID=14","0.0083")</f>
        <v>0.0083</v>
      </c>
    </row>
    <row r="3429" spans="1:7">
      <c r="A3429" s="3"/>
      <c r="B3429" s="3"/>
      <c r="C3429" s="3"/>
      <c r="D3429" s="3"/>
      <c r="E3429" s="3">
        <v>6</v>
      </c>
      <c r="F3429" s="4" t="str">
        <f>HYPERLINK("http://141.218.60.56/~jnz1568/getInfo.php?workbook=14_09.xlsx&amp;sheet=U0&amp;row=3429&amp;col=6&amp;number=3.5&amp;sourceID=14","3.5")</f>
        <v>3.5</v>
      </c>
      <c r="G3429" s="4" t="str">
        <f>HYPERLINK("http://141.218.60.56/~jnz1568/getInfo.php?workbook=14_09.xlsx&amp;sheet=U0&amp;row=3429&amp;col=7&amp;number=0.00827&amp;sourceID=14","0.00827")</f>
        <v>0.00827</v>
      </c>
    </row>
    <row r="3430" spans="1:7">
      <c r="A3430" s="3"/>
      <c r="B3430" s="3"/>
      <c r="C3430" s="3"/>
      <c r="D3430" s="3"/>
      <c r="E3430" s="3">
        <v>7</v>
      </c>
      <c r="F3430" s="4" t="str">
        <f>HYPERLINK("http://141.218.60.56/~jnz1568/getInfo.php?workbook=14_09.xlsx&amp;sheet=U0&amp;row=3430&amp;col=6&amp;number=3.6&amp;sourceID=14","3.6")</f>
        <v>3.6</v>
      </c>
      <c r="G3430" s="4" t="str">
        <f>HYPERLINK("http://141.218.60.56/~jnz1568/getInfo.php?workbook=14_09.xlsx&amp;sheet=U0&amp;row=3430&amp;col=7&amp;number=0.00823&amp;sourceID=14","0.00823")</f>
        <v>0.00823</v>
      </c>
    </row>
    <row r="3431" spans="1:7">
      <c r="A3431" s="3"/>
      <c r="B3431" s="3"/>
      <c r="C3431" s="3"/>
      <c r="D3431" s="3"/>
      <c r="E3431" s="3">
        <v>8</v>
      </c>
      <c r="F3431" s="4" t="str">
        <f>HYPERLINK("http://141.218.60.56/~jnz1568/getInfo.php?workbook=14_09.xlsx&amp;sheet=U0&amp;row=3431&amp;col=6&amp;number=3.7&amp;sourceID=14","3.7")</f>
        <v>3.7</v>
      </c>
      <c r="G3431" s="4" t="str">
        <f>HYPERLINK("http://141.218.60.56/~jnz1568/getInfo.php?workbook=14_09.xlsx&amp;sheet=U0&amp;row=3431&amp;col=7&amp;number=0.00819&amp;sourceID=14","0.00819")</f>
        <v>0.00819</v>
      </c>
    </row>
    <row r="3432" spans="1:7">
      <c r="A3432" s="3"/>
      <c r="B3432" s="3"/>
      <c r="C3432" s="3"/>
      <c r="D3432" s="3"/>
      <c r="E3432" s="3">
        <v>9</v>
      </c>
      <c r="F3432" s="4" t="str">
        <f>HYPERLINK("http://141.218.60.56/~jnz1568/getInfo.php?workbook=14_09.xlsx&amp;sheet=U0&amp;row=3432&amp;col=6&amp;number=3.8&amp;sourceID=14","3.8")</f>
        <v>3.8</v>
      </c>
      <c r="G3432" s="4" t="str">
        <f>HYPERLINK("http://141.218.60.56/~jnz1568/getInfo.php?workbook=14_09.xlsx&amp;sheet=U0&amp;row=3432&amp;col=7&amp;number=0.00813&amp;sourceID=14","0.00813")</f>
        <v>0.00813</v>
      </c>
    </row>
    <row r="3433" spans="1:7">
      <c r="A3433" s="3"/>
      <c r="B3433" s="3"/>
      <c r="C3433" s="3"/>
      <c r="D3433" s="3"/>
      <c r="E3433" s="3">
        <v>10</v>
      </c>
      <c r="F3433" s="4" t="str">
        <f>HYPERLINK("http://141.218.60.56/~jnz1568/getInfo.php?workbook=14_09.xlsx&amp;sheet=U0&amp;row=3433&amp;col=6&amp;number=3.9&amp;sourceID=14","3.9")</f>
        <v>3.9</v>
      </c>
      <c r="G3433" s="4" t="str">
        <f>HYPERLINK("http://141.218.60.56/~jnz1568/getInfo.php?workbook=14_09.xlsx&amp;sheet=U0&amp;row=3433&amp;col=7&amp;number=0.00806&amp;sourceID=14","0.00806")</f>
        <v>0.00806</v>
      </c>
    </row>
    <row r="3434" spans="1:7">
      <c r="A3434" s="3"/>
      <c r="B3434" s="3"/>
      <c r="C3434" s="3"/>
      <c r="D3434" s="3"/>
      <c r="E3434" s="3">
        <v>11</v>
      </c>
      <c r="F3434" s="4" t="str">
        <f>HYPERLINK("http://141.218.60.56/~jnz1568/getInfo.php?workbook=14_09.xlsx&amp;sheet=U0&amp;row=3434&amp;col=6&amp;number=4&amp;sourceID=14","4")</f>
        <v>4</v>
      </c>
      <c r="G3434" s="4" t="str">
        <f>HYPERLINK("http://141.218.60.56/~jnz1568/getInfo.php?workbook=14_09.xlsx&amp;sheet=U0&amp;row=3434&amp;col=7&amp;number=0.00798&amp;sourceID=14","0.00798")</f>
        <v>0.00798</v>
      </c>
    </row>
    <row r="3435" spans="1:7">
      <c r="A3435" s="3"/>
      <c r="B3435" s="3"/>
      <c r="C3435" s="3"/>
      <c r="D3435" s="3"/>
      <c r="E3435" s="3">
        <v>12</v>
      </c>
      <c r="F3435" s="4" t="str">
        <f>HYPERLINK("http://141.218.60.56/~jnz1568/getInfo.php?workbook=14_09.xlsx&amp;sheet=U0&amp;row=3435&amp;col=6&amp;number=4.1&amp;sourceID=14","4.1")</f>
        <v>4.1</v>
      </c>
      <c r="G3435" s="4" t="str">
        <f>HYPERLINK("http://141.218.60.56/~jnz1568/getInfo.php?workbook=14_09.xlsx&amp;sheet=U0&amp;row=3435&amp;col=7&amp;number=0.00788&amp;sourceID=14","0.00788")</f>
        <v>0.00788</v>
      </c>
    </row>
    <row r="3436" spans="1:7">
      <c r="A3436" s="3"/>
      <c r="B3436" s="3"/>
      <c r="C3436" s="3"/>
      <c r="D3436" s="3"/>
      <c r="E3436" s="3">
        <v>13</v>
      </c>
      <c r="F3436" s="4" t="str">
        <f>HYPERLINK("http://141.218.60.56/~jnz1568/getInfo.php?workbook=14_09.xlsx&amp;sheet=U0&amp;row=3436&amp;col=6&amp;number=4.2&amp;sourceID=14","4.2")</f>
        <v>4.2</v>
      </c>
      <c r="G3436" s="4" t="str">
        <f>HYPERLINK("http://141.218.60.56/~jnz1568/getInfo.php?workbook=14_09.xlsx&amp;sheet=U0&amp;row=3436&amp;col=7&amp;number=0.00776&amp;sourceID=14","0.00776")</f>
        <v>0.00776</v>
      </c>
    </row>
    <row r="3437" spans="1:7">
      <c r="A3437" s="3"/>
      <c r="B3437" s="3"/>
      <c r="C3437" s="3"/>
      <c r="D3437" s="3"/>
      <c r="E3437" s="3">
        <v>14</v>
      </c>
      <c r="F3437" s="4" t="str">
        <f>HYPERLINK("http://141.218.60.56/~jnz1568/getInfo.php?workbook=14_09.xlsx&amp;sheet=U0&amp;row=3437&amp;col=6&amp;number=4.3&amp;sourceID=14","4.3")</f>
        <v>4.3</v>
      </c>
      <c r="G3437" s="4" t="str">
        <f>HYPERLINK("http://141.218.60.56/~jnz1568/getInfo.php?workbook=14_09.xlsx&amp;sheet=U0&amp;row=3437&amp;col=7&amp;number=0.00762&amp;sourceID=14","0.00762")</f>
        <v>0.00762</v>
      </c>
    </row>
    <row r="3438" spans="1:7">
      <c r="A3438" s="3"/>
      <c r="B3438" s="3"/>
      <c r="C3438" s="3"/>
      <c r="D3438" s="3"/>
      <c r="E3438" s="3">
        <v>15</v>
      </c>
      <c r="F3438" s="4" t="str">
        <f>HYPERLINK("http://141.218.60.56/~jnz1568/getInfo.php?workbook=14_09.xlsx&amp;sheet=U0&amp;row=3438&amp;col=6&amp;number=4.4&amp;sourceID=14","4.4")</f>
        <v>4.4</v>
      </c>
      <c r="G3438" s="4" t="str">
        <f>HYPERLINK("http://141.218.60.56/~jnz1568/getInfo.php?workbook=14_09.xlsx&amp;sheet=U0&amp;row=3438&amp;col=7&amp;number=0.00746&amp;sourceID=14","0.00746")</f>
        <v>0.00746</v>
      </c>
    </row>
    <row r="3439" spans="1:7">
      <c r="A3439" s="3"/>
      <c r="B3439" s="3"/>
      <c r="C3439" s="3"/>
      <c r="D3439" s="3"/>
      <c r="E3439" s="3">
        <v>16</v>
      </c>
      <c r="F3439" s="4" t="str">
        <f>HYPERLINK("http://141.218.60.56/~jnz1568/getInfo.php?workbook=14_09.xlsx&amp;sheet=U0&amp;row=3439&amp;col=6&amp;number=4.5&amp;sourceID=14","4.5")</f>
        <v>4.5</v>
      </c>
      <c r="G3439" s="4" t="str">
        <f>HYPERLINK("http://141.218.60.56/~jnz1568/getInfo.php?workbook=14_09.xlsx&amp;sheet=U0&amp;row=3439&amp;col=7&amp;number=0.0073&amp;sourceID=14","0.0073")</f>
        <v>0.0073</v>
      </c>
    </row>
    <row r="3440" spans="1:7">
      <c r="A3440" s="3"/>
      <c r="B3440" s="3"/>
      <c r="C3440" s="3"/>
      <c r="D3440" s="3"/>
      <c r="E3440" s="3">
        <v>17</v>
      </c>
      <c r="F3440" s="4" t="str">
        <f>HYPERLINK("http://141.218.60.56/~jnz1568/getInfo.php?workbook=14_09.xlsx&amp;sheet=U0&amp;row=3440&amp;col=6&amp;number=4.6&amp;sourceID=14","4.6")</f>
        <v>4.6</v>
      </c>
      <c r="G3440" s="4" t="str">
        <f>HYPERLINK("http://141.218.60.56/~jnz1568/getInfo.php?workbook=14_09.xlsx&amp;sheet=U0&amp;row=3440&amp;col=7&amp;number=0.00715&amp;sourceID=14","0.00715")</f>
        <v>0.00715</v>
      </c>
    </row>
    <row r="3441" spans="1:7">
      <c r="A3441" s="3"/>
      <c r="B3441" s="3"/>
      <c r="C3441" s="3"/>
      <c r="D3441" s="3"/>
      <c r="E3441" s="3">
        <v>18</v>
      </c>
      <c r="F3441" s="4" t="str">
        <f>HYPERLINK("http://141.218.60.56/~jnz1568/getInfo.php?workbook=14_09.xlsx&amp;sheet=U0&amp;row=3441&amp;col=6&amp;number=4.7&amp;sourceID=14","4.7")</f>
        <v>4.7</v>
      </c>
      <c r="G3441" s="4" t="str">
        <f>HYPERLINK("http://141.218.60.56/~jnz1568/getInfo.php?workbook=14_09.xlsx&amp;sheet=U0&amp;row=3441&amp;col=7&amp;number=0.00702&amp;sourceID=14","0.00702")</f>
        <v>0.00702</v>
      </c>
    </row>
    <row r="3442" spans="1:7">
      <c r="A3442" s="3"/>
      <c r="B3442" s="3"/>
      <c r="C3442" s="3"/>
      <c r="D3442" s="3"/>
      <c r="E3442" s="3">
        <v>19</v>
      </c>
      <c r="F3442" s="4" t="str">
        <f>HYPERLINK("http://141.218.60.56/~jnz1568/getInfo.php?workbook=14_09.xlsx&amp;sheet=U0&amp;row=3442&amp;col=6&amp;number=4.8&amp;sourceID=14","4.8")</f>
        <v>4.8</v>
      </c>
      <c r="G3442" s="4" t="str">
        <f>HYPERLINK("http://141.218.60.56/~jnz1568/getInfo.php?workbook=14_09.xlsx&amp;sheet=U0&amp;row=3442&amp;col=7&amp;number=0.00691&amp;sourceID=14","0.00691")</f>
        <v>0.00691</v>
      </c>
    </row>
    <row r="3443" spans="1:7">
      <c r="A3443" s="3"/>
      <c r="B3443" s="3"/>
      <c r="C3443" s="3"/>
      <c r="D3443" s="3"/>
      <c r="E3443" s="3">
        <v>20</v>
      </c>
      <c r="F3443" s="4" t="str">
        <f>HYPERLINK("http://141.218.60.56/~jnz1568/getInfo.php?workbook=14_09.xlsx&amp;sheet=U0&amp;row=3443&amp;col=6&amp;number=4.9&amp;sourceID=14","4.9")</f>
        <v>4.9</v>
      </c>
      <c r="G3443" s="4" t="str">
        <f>HYPERLINK("http://141.218.60.56/~jnz1568/getInfo.php?workbook=14_09.xlsx&amp;sheet=U0&amp;row=3443&amp;col=7&amp;number=0.00681&amp;sourceID=14","0.00681")</f>
        <v>0.00681</v>
      </c>
    </row>
    <row r="3444" spans="1:7">
      <c r="A3444" s="3">
        <v>14</v>
      </c>
      <c r="B3444" s="3">
        <v>9</v>
      </c>
      <c r="C3444" s="3">
        <v>1</v>
      </c>
      <c r="D3444" s="3">
        <v>174</v>
      </c>
      <c r="E3444" s="3">
        <v>1</v>
      </c>
      <c r="F3444" s="4" t="str">
        <f>HYPERLINK("http://141.218.60.56/~jnz1568/getInfo.php?workbook=14_09.xlsx&amp;sheet=U0&amp;row=3444&amp;col=6&amp;number=3&amp;sourceID=14","3")</f>
        <v>3</v>
      </c>
      <c r="G3444" s="4" t="str">
        <f>HYPERLINK("http://141.218.60.56/~jnz1568/getInfo.php?workbook=14_09.xlsx&amp;sheet=U0&amp;row=3444&amp;col=7&amp;number=0.00339&amp;sourceID=14","0.00339")</f>
        <v>0.00339</v>
      </c>
    </row>
    <row r="3445" spans="1:7">
      <c r="A3445" s="3"/>
      <c r="B3445" s="3"/>
      <c r="C3445" s="3"/>
      <c r="D3445" s="3"/>
      <c r="E3445" s="3">
        <v>2</v>
      </c>
      <c r="F3445" s="4" t="str">
        <f>HYPERLINK("http://141.218.60.56/~jnz1568/getInfo.php?workbook=14_09.xlsx&amp;sheet=U0&amp;row=3445&amp;col=6&amp;number=3.1&amp;sourceID=14","3.1")</f>
        <v>3.1</v>
      </c>
      <c r="G3445" s="4" t="str">
        <f>HYPERLINK("http://141.218.60.56/~jnz1568/getInfo.php?workbook=14_09.xlsx&amp;sheet=U0&amp;row=3445&amp;col=7&amp;number=0.00339&amp;sourceID=14","0.00339")</f>
        <v>0.00339</v>
      </c>
    </row>
    <row r="3446" spans="1:7">
      <c r="A3446" s="3"/>
      <c r="B3446" s="3"/>
      <c r="C3446" s="3"/>
      <c r="D3446" s="3"/>
      <c r="E3446" s="3">
        <v>3</v>
      </c>
      <c r="F3446" s="4" t="str">
        <f>HYPERLINK("http://141.218.60.56/~jnz1568/getInfo.php?workbook=14_09.xlsx&amp;sheet=U0&amp;row=3446&amp;col=6&amp;number=3.2&amp;sourceID=14","3.2")</f>
        <v>3.2</v>
      </c>
      <c r="G3446" s="4" t="str">
        <f>HYPERLINK("http://141.218.60.56/~jnz1568/getInfo.php?workbook=14_09.xlsx&amp;sheet=U0&amp;row=3446&amp;col=7&amp;number=0.00339&amp;sourceID=14","0.00339")</f>
        <v>0.00339</v>
      </c>
    </row>
    <row r="3447" spans="1:7">
      <c r="A3447" s="3"/>
      <c r="B3447" s="3"/>
      <c r="C3447" s="3"/>
      <c r="D3447" s="3"/>
      <c r="E3447" s="3">
        <v>4</v>
      </c>
      <c r="F3447" s="4" t="str">
        <f>HYPERLINK("http://141.218.60.56/~jnz1568/getInfo.php?workbook=14_09.xlsx&amp;sheet=U0&amp;row=3447&amp;col=6&amp;number=3.3&amp;sourceID=14","3.3")</f>
        <v>3.3</v>
      </c>
      <c r="G3447" s="4" t="str">
        <f>HYPERLINK("http://141.218.60.56/~jnz1568/getInfo.php?workbook=14_09.xlsx&amp;sheet=U0&amp;row=3447&amp;col=7&amp;number=0.00338&amp;sourceID=14","0.00338")</f>
        <v>0.00338</v>
      </c>
    </row>
    <row r="3448" spans="1:7">
      <c r="A3448" s="3"/>
      <c r="B3448" s="3"/>
      <c r="C3448" s="3"/>
      <c r="D3448" s="3"/>
      <c r="E3448" s="3">
        <v>5</v>
      </c>
      <c r="F3448" s="4" t="str">
        <f>HYPERLINK("http://141.218.60.56/~jnz1568/getInfo.php?workbook=14_09.xlsx&amp;sheet=U0&amp;row=3448&amp;col=6&amp;number=3.4&amp;sourceID=14","3.4")</f>
        <v>3.4</v>
      </c>
      <c r="G3448" s="4" t="str">
        <f>HYPERLINK("http://141.218.60.56/~jnz1568/getInfo.php?workbook=14_09.xlsx&amp;sheet=U0&amp;row=3448&amp;col=7&amp;number=0.00338&amp;sourceID=14","0.00338")</f>
        <v>0.00338</v>
      </c>
    </row>
    <row r="3449" spans="1:7">
      <c r="A3449" s="3"/>
      <c r="B3449" s="3"/>
      <c r="C3449" s="3"/>
      <c r="D3449" s="3"/>
      <c r="E3449" s="3">
        <v>6</v>
      </c>
      <c r="F3449" s="4" t="str">
        <f>HYPERLINK("http://141.218.60.56/~jnz1568/getInfo.php?workbook=14_09.xlsx&amp;sheet=U0&amp;row=3449&amp;col=6&amp;number=3.5&amp;sourceID=14","3.5")</f>
        <v>3.5</v>
      </c>
      <c r="G3449" s="4" t="str">
        <f>HYPERLINK("http://141.218.60.56/~jnz1568/getInfo.php?workbook=14_09.xlsx&amp;sheet=U0&amp;row=3449&amp;col=7&amp;number=0.00337&amp;sourceID=14","0.00337")</f>
        <v>0.00337</v>
      </c>
    </row>
    <row r="3450" spans="1:7">
      <c r="A3450" s="3"/>
      <c r="B3450" s="3"/>
      <c r="C3450" s="3"/>
      <c r="D3450" s="3"/>
      <c r="E3450" s="3">
        <v>7</v>
      </c>
      <c r="F3450" s="4" t="str">
        <f>HYPERLINK("http://141.218.60.56/~jnz1568/getInfo.php?workbook=14_09.xlsx&amp;sheet=U0&amp;row=3450&amp;col=6&amp;number=3.6&amp;sourceID=14","3.6")</f>
        <v>3.6</v>
      </c>
      <c r="G3450" s="4" t="str">
        <f>HYPERLINK("http://141.218.60.56/~jnz1568/getInfo.php?workbook=14_09.xlsx&amp;sheet=U0&amp;row=3450&amp;col=7&amp;number=0.00336&amp;sourceID=14","0.00336")</f>
        <v>0.00336</v>
      </c>
    </row>
    <row r="3451" spans="1:7">
      <c r="A3451" s="3"/>
      <c r="B3451" s="3"/>
      <c r="C3451" s="3"/>
      <c r="D3451" s="3"/>
      <c r="E3451" s="3">
        <v>8</v>
      </c>
      <c r="F3451" s="4" t="str">
        <f>HYPERLINK("http://141.218.60.56/~jnz1568/getInfo.php?workbook=14_09.xlsx&amp;sheet=U0&amp;row=3451&amp;col=6&amp;number=3.7&amp;sourceID=14","3.7")</f>
        <v>3.7</v>
      </c>
      <c r="G3451" s="4" t="str">
        <f>HYPERLINK("http://141.218.60.56/~jnz1568/getInfo.php?workbook=14_09.xlsx&amp;sheet=U0&amp;row=3451&amp;col=7&amp;number=0.00335&amp;sourceID=14","0.00335")</f>
        <v>0.00335</v>
      </c>
    </row>
    <row r="3452" spans="1:7">
      <c r="A3452" s="3"/>
      <c r="B3452" s="3"/>
      <c r="C3452" s="3"/>
      <c r="D3452" s="3"/>
      <c r="E3452" s="3">
        <v>9</v>
      </c>
      <c r="F3452" s="4" t="str">
        <f>HYPERLINK("http://141.218.60.56/~jnz1568/getInfo.php?workbook=14_09.xlsx&amp;sheet=U0&amp;row=3452&amp;col=6&amp;number=3.8&amp;sourceID=14","3.8")</f>
        <v>3.8</v>
      </c>
      <c r="G3452" s="4" t="str">
        <f>HYPERLINK("http://141.218.60.56/~jnz1568/getInfo.php?workbook=14_09.xlsx&amp;sheet=U0&amp;row=3452&amp;col=7&amp;number=0.00333&amp;sourceID=14","0.00333")</f>
        <v>0.00333</v>
      </c>
    </row>
    <row r="3453" spans="1:7">
      <c r="A3453" s="3"/>
      <c r="B3453" s="3"/>
      <c r="C3453" s="3"/>
      <c r="D3453" s="3"/>
      <c r="E3453" s="3">
        <v>10</v>
      </c>
      <c r="F3453" s="4" t="str">
        <f>HYPERLINK("http://141.218.60.56/~jnz1568/getInfo.php?workbook=14_09.xlsx&amp;sheet=U0&amp;row=3453&amp;col=6&amp;number=3.9&amp;sourceID=14","3.9")</f>
        <v>3.9</v>
      </c>
      <c r="G3453" s="4" t="str">
        <f>HYPERLINK("http://141.218.60.56/~jnz1568/getInfo.php?workbook=14_09.xlsx&amp;sheet=U0&amp;row=3453&amp;col=7&amp;number=0.00331&amp;sourceID=14","0.00331")</f>
        <v>0.00331</v>
      </c>
    </row>
    <row r="3454" spans="1:7">
      <c r="A3454" s="3"/>
      <c r="B3454" s="3"/>
      <c r="C3454" s="3"/>
      <c r="D3454" s="3"/>
      <c r="E3454" s="3">
        <v>11</v>
      </c>
      <c r="F3454" s="4" t="str">
        <f>HYPERLINK("http://141.218.60.56/~jnz1568/getInfo.php?workbook=14_09.xlsx&amp;sheet=U0&amp;row=3454&amp;col=6&amp;number=4&amp;sourceID=14","4")</f>
        <v>4</v>
      </c>
      <c r="G3454" s="4" t="str">
        <f>HYPERLINK("http://141.218.60.56/~jnz1568/getInfo.php?workbook=14_09.xlsx&amp;sheet=U0&amp;row=3454&amp;col=7&amp;number=0.00329&amp;sourceID=14","0.00329")</f>
        <v>0.00329</v>
      </c>
    </row>
    <row r="3455" spans="1:7">
      <c r="A3455" s="3"/>
      <c r="B3455" s="3"/>
      <c r="C3455" s="3"/>
      <c r="D3455" s="3"/>
      <c r="E3455" s="3">
        <v>12</v>
      </c>
      <c r="F3455" s="4" t="str">
        <f>HYPERLINK("http://141.218.60.56/~jnz1568/getInfo.php?workbook=14_09.xlsx&amp;sheet=U0&amp;row=3455&amp;col=6&amp;number=4.1&amp;sourceID=14","4.1")</f>
        <v>4.1</v>
      </c>
      <c r="G3455" s="4" t="str">
        <f>HYPERLINK("http://141.218.60.56/~jnz1568/getInfo.php?workbook=14_09.xlsx&amp;sheet=U0&amp;row=3455&amp;col=7&amp;number=0.00326&amp;sourceID=14","0.00326")</f>
        <v>0.00326</v>
      </c>
    </row>
    <row r="3456" spans="1:7">
      <c r="A3456" s="3"/>
      <c r="B3456" s="3"/>
      <c r="C3456" s="3"/>
      <c r="D3456" s="3"/>
      <c r="E3456" s="3">
        <v>13</v>
      </c>
      <c r="F3456" s="4" t="str">
        <f>HYPERLINK("http://141.218.60.56/~jnz1568/getInfo.php?workbook=14_09.xlsx&amp;sheet=U0&amp;row=3456&amp;col=6&amp;number=4.2&amp;sourceID=14","4.2")</f>
        <v>4.2</v>
      </c>
      <c r="G3456" s="4" t="str">
        <f>HYPERLINK("http://141.218.60.56/~jnz1568/getInfo.php?workbook=14_09.xlsx&amp;sheet=U0&amp;row=3456&amp;col=7&amp;number=0.00322&amp;sourceID=14","0.00322")</f>
        <v>0.00322</v>
      </c>
    </row>
    <row r="3457" spans="1:7">
      <c r="A3457" s="3"/>
      <c r="B3457" s="3"/>
      <c r="C3457" s="3"/>
      <c r="D3457" s="3"/>
      <c r="E3457" s="3">
        <v>14</v>
      </c>
      <c r="F3457" s="4" t="str">
        <f>HYPERLINK("http://141.218.60.56/~jnz1568/getInfo.php?workbook=14_09.xlsx&amp;sheet=U0&amp;row=3457&amp;col=6&amp;number=4.3&amp;sourceID=14","4.3")</f>
        <v>4.3</v>
      </c>
      <c r="G3457" s="4" t="str">
        <f>HYPERLINK("http://141.218.60.56/~jnz1568/getInfo.php?workbook=14_09.xlsx&amp;sheet=U0&amp;row=3457&amp;col=7&amp;number=0.00318&amp;sourceID=14","0.00318")</f>
        <v>0.00318</v>
      </c>
    </row>
    <row r="3458" spans="1:7">
      <c r="A3458" s="3"/>
      <c r="B3458" s="3"/>
      <c r="C3458" s="3"/>
      <c r="D3458" s="3"/>
      <c r="E3458" s="3">
        <v>15</v>
      </c>
      <c r="F3458" s="4" t="str">
        <f>HYPERLINK("http://141.218.60.56/~jnz1568/getInfo.php?workbook=14_09.xlsx&amp;sheet=U0&amp;row=3458&amp;col=6&amp;number=4.4&amp;sourceID=14","4.4")</f>
        <v>4.4</v>
      </c>
      <c r="G3458" s="4" t="str">
        <f>HYPERLINK("http://141.218.60.56/~jnz1568/getInfo.php?workbook=14_09.xlsx&amp;sheet=U0&amp;row=3458&amp;col=7&amp;number=0.00312&amp;sourceID=14","0.00312")</f>
        <v>0.00312</v>
      </c>
    </row>
    <row r="3459" spans="1:7">
      <c r="A3459" s="3"/>
      <c r="B3459" s="3"/>
      <c r="C3459" s="3"/>
      <c r="D3459" s="3"/>
      <c r="E3459" s="3">
        <v>16</v>
      </c>
      <c r="F3459" s="4" t="str">
        <f>HYPERLINK("http://141.218.60.56/~jnz1568/getInfo.php?workbook=14_09.xlsx&amp;sheet=U0&amp;row=3459&amp;col=6&amp;number=4.5&amp;sourceID=14","4.5")</f>
        <v>4.5</v>
      </c>
      <c r="G3459" s="4" t="str">
        <f>HYPERLINK("http://141.218.60.56/~jnz1568/getInfo.php?workbook=14_09.xlsx&amp;sheet=U0&amp;row=3459&amp;col=7&amp;number=0.00306&amp;sourceID=14","0.00306")</f>
        <v>0.00306</v>
      </c>
    </row>
    <row r="3460" spans="1:7">
      <c r="A3460" s="3"/>
      <c r="B3460" s="3"/>
      <c r="C3460" s="3"/>
      <c r="D3460" s="3"/>
      <c r="E3460" s="3">
        <v>17</v>
      </c>
      <c r="F3460" s="4" t="str">
        <f>HYPERLINK("http://141.218.60.56/~jnz1568/getInfo.php?workbook=14_09.xlsx&amp;sheet=U0&amp;row=3460&amp;col=6&amp;number=4.6&amp;sourceID=14","4.6")</f>
        <v>4.6</v>
      </c>
      <c r="G3460" s="4" t="str">
        <f>HYPERLINK("http://141.218.60.56/~jnz1568/getInfo.php?workbook=14_09.xlsx&amp;sheet=U0&amp;row=3460&amp;col=7&amp;number=0.00299&amp;sourceID=14","0.00299")</f>
        <v>0.00299</v>
      </c>
    </row>
    <row r="3461" spans="1:7">
      <c r="A3461" s="3"/>
      <c r="B3461" s="3"/>
      <c r="C3461" s="3"/>
      <c r="D3461" s="3"/>
      <c r="E3461" s="3">
        <v>18</v>
      </c>
      <c r="F3461" s="4" t="str">
        <f>HYPERLINK("http://141.218.60.56/~jnz1568/getInfo.php?workbook=14_09.xlsx&amp;sheet=U0&amp;row=3461&amp;col=6&amp;number=4.7&amp;sourceID=14","4.7")</f>
        <v>4.7</v>
      </c>
      <c r="G3461" s="4" t="str">
        <f>HYPERLINK("http://141.218.60.56/~jnz1568/getInfo.php?workbook=14_09.xlsx&amp;sheet=U0&amp;row=3461&amp;col=7&amp;number=0.00291&amp;sourceID=14","0.00291")</f>
        <v>0.00291</v>
      </c>
    </row>
    <row r="3462" spans="1:7">
      <c r="A3462" s="3"/>
      <c r="B3462" s="3"/>
      <c r="C3462" s="3"/>
      <c r="D3462" s="3"/>
      <c r="E3462" s="3">
        <v>19</v>
      </c>
      <c r="F3462" s="4" t="str">
        <f>HYPERLINK("http://141.218.60.56/~jnz1568/getInfo.php?workbook=14_09.xlsx&amp;sheet=U0&amp;row=3462&amp;col=6&amp;number=4.8&amp;sourceID=14","4.8")</f>
        <v>4.8</v>
      </c>
      <c r="G3462" s="4" t="str">
        <f>HYPERLINK("http://141.218.60.56/~jnz1568/getInfo.php?workbook=14_09.xlsx&amp;sheet=U0&amp;row=3462&amp;col=7&amp;number=0.00283&amp;sourceID=14","0.00283")</f>
        <v>0.00283</v>
      </c>
    </row>
    <row r="3463" spans="1:7">
      <c r="A3463" s="3"/>
      <c r="B3463" s="3"/>
      <c r="C3463" s="3"/>
      <c r="D3463" s="3"/>
      <c r="E3463" s="3">
        <v>20</v>
      </c>
      <c r="F3463" s="4" t="str">
        <f>HYPERLINK("http://141.218.60.56/~jnz1568/getInfo.php?workbook=14_09.xlsx&amp;sheet=U0&amp;row=3463&amp;col=6&amp;number=4.9&amp;sourceID=14","4.9")</f>
        <v>4.9</v>
      </c>
      <c r="G3463" s="4" t="str">
        <f>HYPERLINK("http://141.218.60.56/~jnz1568/getInfo.php?workbook=14_09.xlsx&amp;sheet=U0&amp;row=3463&amp;col=7&amp;number=0.00276&amp;sourceID=14","0.00276")</f>
        <v>0.00276</v>
      </c>
    </row>
    <row r="3464" spans="1:7">
      <c r="A3464" s="3">
        <v>14</v>
      </c>
      <c r="B3464" s="3">
        <v>9</v>
      </c>
      <c r="C3464" s="3">
        <v>1</v>
      </c>
      <c r="D3464" s="3">
        <v>175</v>
      </c>
      <c r="E3464" s="3">
        <v>1</v>
      </c>
      <c r="F3464" s="4" t="str">
        <f>HYPERLINK("http://141.218.60.56/~jnz1568/getInfo.php?workbook=14_09.xlsx&amp;sheet=U0&amp;row=3464&amp;col=6&amp;number=3&amp;sourceID=14","3")</f>
        <v>3</v>
      </c>
      <c r="G3464" s="4" t="str">
        <f>HYPERLINK("http://141.218.60.56/~jnz1568/getInfo.php?workbook=14_09.xlsx&amp;sheet=U0&amp;row=3464&amp;col=7&amp;number=0.0225&amp;sourceID=14","0.0225")</f>
        <v>0.0225</v>
      </c>
    </row>
    <row r="3465" spans="1:7">
      <c r="A3465" s="3"/>
      <c r="B3465" s="3"/>
      <c r="C3465" s="3"/>
      <c r="D3465" s="3"/>
      <c r="E3465" s="3">
        <v>2</v>
      </c>
      <c r="F3465" s="4" t="str">
        <f>HYPERLINK("http://141.218.60.56/~jnz1568/getInfo.php?workbook=14_09.xlsx&amp;sheet=U0&amp;row=3465&amp;col=6&amp;number=3.1&amp;sourceID=14","3.1")</f>
        <v>3.1</v>
      </c>
      <c r="G3465" s="4" t="str">
        <f>HYPERLINK("http://141.218.60.56/~jnz1568/getInfo.php?workbook=14_09.xlsx&amp;sheet=U0&amp;row=3465&amp;col=7&amp;number=0.0225&amp;sourceID=14","0.0225")</f>
        <v>0.0225</v>
      </c>
    </row>
    <row r="3466" spans="1:7">
      <c r="A3466" s="3"/>
      <c r="B3466" s="3"/>
      <c r="C3466" s="3"/>
      <c r="D3466" s="3"/>
      <c r="E3466" s="3">
        <v>3</v>
      </c>
      <c r="F3466" s="4" t="str">
        <f>HYPERLINK("http://141.218.60.56/~jnz1568/getInfo.php?workbook=14_09.xlsx&amp;sheet=U0&amp;row=3466&amp;col=6&amp;number=3.2&amp;sourceID=14","3.2")</f>
        <v>3.2</v>
      </c>
      <c r="G3466" s="4" t="str">
        <f>HYPERLINK("http://141.218.60.56/~jnz1568/getInfo.php?workbook=14_09.xlsx&amp;sheet=U0&amp;row=3466&amp;col=7&amp;number=0.0225&amp;sourceID=14","0.0225")</f>
        <v>0.0225</v>
      </c>
    </row>
    <row r="3467" spans="1:7">
      <c r="A3467" s="3"/>
      <c r="B3467" s="3"/>
      <c r="C3467" s="3"/>
      <c r="D3467" s="3"/>
      <c r="E3467" s="3">
        <v>4</v>
      </c>
      <c r="F3467" s="4" t="str">
        <f>HYPERLINK("http://141.218.60.56/~jnz1568/getInfo.php?workbook=14_09.xlsx&amp;sheet=U0&amp;row=3467&amp;col=6&amp;number=3.3&amp;sourceID=14","3.3")</f>
        <v>3.3</v>
      </c>
      <c r="G3467" s="4" t="str">
        <f>HYPERLINK("http://141.218.60.56/~jnz1568/getInfo.php?workbook=14_09.xlsx&amp;sheet=U0&amp;row=3467&amp;col=7&amp;number=0.0225&amp;sourceID=14","0.0225")</f>
        <v>0.0225</v>
      </c>
    </row>
    <row r="3468" spans="1:7">
      <c r="A3468" s="3"/>
      <c r="B3468" s="3"/>
      <c r="C3468" s="3"/>
      <c r="D3468" s="3"/>
      <c r="E3468" s="3">
        <v>5</v>
      </c>
      <c r="F3468" s="4" t="str">
        <f>HYPERLINK("http://141.218.60.56/~jnz1568/getInfo.php?workbook=14_09.xlsx&amp;sheet=U0&amp;row=3468&amp;col=6&amp;number=3.4&amp;sourceID=14","3.4")</f>
        <v>3.4</v>
      </c>
      <c r="G3468" s="4" t="str">
        <f>HYPERLINK("http://141.218.60.56/~jnz1568/getInfo.php?workbook=14_09.xlsx&amp;sheet=U0&amp;row=3468&amp;col=7&amp;number=0.0225&amp;sourceID=14","0.0225")</f>
        <v>0.0225</v>
      </c>
    </row>
    <row r="3469" spans="1:7">
      <c r="A3469" s="3"/>
      <c r="B3469" s="3"/>
      <c r="C3469" s="3"/>
      <c r="D3469" s="3"/>
      <c r="E3469" s="3">
        <v>6</v>
      </c>
      <c r="F3469" s="4" t="str">
        <f>HYPERLINK("http://141.218.60.56/~jnz1568/getInfo.php?workbook=14_09.xlsx&amp;sheet=U0&amp;row=3469&amp;col=6&amp;number=3.5&amp;sourceID=14","3.5")</f>
        <v>3.5</v>
      </c>
      <c r="G3469" s="4" t="str">
        <f>HYPERLINK("http://141.218.60.56/~jnz1568/getInfo.php?workbook=14_09.xlsx&amp;sheet=U0&amp;row=3469&amp;col=7&amp;number=0.0225&amp;sourceID=14","0.0225")</f>
        <v>0.0225</v>
      </c>
    </row>
    <row r="3470" spans="1:7">
      <c r="A3470" s="3"/>
      <c r="B3470" s="3"/>
      <c r="C3470" s="3"/>
      <c r="D3470" s="3"/>
      <c r="E3470" s="3">
        <v>7</v>
      </c>
      <c r="F3470" s="4" t="str">
        <f>HYPERLINK("http://141.218.60.56/~jnz1568/getInfo.php?workbook=14_09.xlsx&amp;sheet=U0&amp;row=3470&amp;col=6&amp;number=3.6&amp;sourceID=14","3.6")</f>
        <v>3.6</v>
      </c>
      <c r="G3470" s="4" t="str">
        <f>HYPERLINK("http://141.218.60.56/~jnz1568/getInfo.php?workbook=14_09.xlsx&amp;sheet=U0&amp;row=3470&amp;col=7&amp;number=0.0225&amp;sourceID=14","0.0225")</f>
        <v>0.0225</v>
      </c>
    </row>
    <row r="3471" spans="1:7">
      <c r="A3471" s="3"/>
      <c r="B3471" s="3"/>
      <c r="C3471" s="3"/>
      <c r="D3471" s="3"/>
      <c r="E3471" s="3">
        <v>8</v>
      </c>
      <c r="F3471" s="4" t="str">
        <f>HYPERLINK("http://141.218.60.56/~jnz1568/getInfo.php?workbook=14_09.xlsx&amp;sheet=U0&amp;row=3471&amp;col=6&amp;number=3.7&amp;sourceID=14","3.7")</f>
        <v>3.7</v>
      </c>
      <c r="G3471" s="4" t="str">
        <f>HYPERLINK("http://141.218.60.56/~jnz1568/getInfo.php?workbook=14_09.xlsx&amp;sheet=U0&amp;row=3471&amp;col=7&amp;number=0.0225&amp;sourceID=14","0.0225")</f>
        <v>0.0225</v>
      </c>
    </row>
    <row r="3472" spans="1:7">
      <c r="A3472" s="3"/>
      <c r="B3472" s="3"/>
      <c r="C3472" s="3"/>
      <c r="D3472" s="3"/>
      <c r="E3472" s="3">
        <v>9</v>
      </c>
      <c r="F3472" s="4" t="str">
        <f>HYPERLINK("http://141.218.60.56/~jnz1568/getInfo.php?workbook=14_09.xlsx&amp;sheet=U0&amp;row=3472&amp;col=6&amp;number=3.8&amp;sourceID=14","3.8")</f>
        <v>3.8</v>
      </c>
      <c r="G3472" s="4" t="str">
        <f>HYPERLINK("http://141.218.60.56/~jnz1568/getInfo.php?workbook=14_09.xlsx&amp;sheet=U0&amp;row=3472&amp;col=7&amp;number=0.0225&amp;sourceID=14","0.0225")</f>
        <v>0.0225</v>
      </c>
    </row>
    <row r="3473" spans="1:7">
      <c r="A3473" s="3"/>
      <c r="B3473" s="3"/>
      <c r="C3473" s="3"/>
      <c r="D3473" s="3"/>
      <c r="E3473" s="3">
        <v>10</v>
      </c>
      <c r="F3473" s="4" t="str">
        <f>HYPERLINK("http://141.218.60.56/~jnz1568/getInfo.php?workbook=14_09.xlsx&amp;sheet=U0&amp;row=3473&amp;col=6&amp;number=3.9&amp;sourceID=14","3.9")</f>
        <v>3.9</v>
      </c>
      <c r="G3473" s="4" t="str">
        <f>HYPERLINK("http://141.218.60.56/~jnz1568/getInfo.php?workbook=14_09.xlsx&amp;sheet=U0&amp;row=3473&amp;col=7&amp;number=0.0225&amp;sourceID=14","0.0225")</f>
        <v>0.0225</v>
      </c>
    </row>
    <row r="3474" spans="1:7">
      <c r="A3474" s="3"/>
      <c r="B3474" s="3"/>
      <c r="C3474" s="3"/>
      <c r="D3474" s="3"/>
      <c r="E3474" s="3">
        <v>11</v>
      </c>
      <c r="F3474" s="4" t="str">
        <f>HYPERLINK("http://141.218.60.56/~jnz1568/getInfo.php?workbook=14_09.xlsx&amp;sheet=U0&amp;row=3474&amp;col=6&amp;number=4&amp;sourceID=14","4")</f>
        <v>4</v>
      </c>
      <c r="G3474" s="4" t="str">
        <f>HYPERLINK("http://141.218.60.56/~jnz1568/getInfo.php?workbook=14_09.xlsx&amp;sheet=U0&amp;row=3474&amp;col=7&amp;number=0.0226&amp;sourceID=14","0.0226")</f>
        <v>0.0226</v>
      </c>
    </row>
    <row r="3475" spans="1:7">
      <c r="A3475" s="3"/>
      <c r="B3475" s="3"/>
      <c r="C3475" s="3"/>
      <c r="D3475" s="3"/>
      <c r="E3475" s="3">
        <v>12</v>
      </c>
      <c r="F3475" s="4" t="str">
        <f>HYPERLINK("http://141.218.60.56/~jnz1568/getInfo.php?workbook=14_09.xlsx&amp;sheet=U0&amp;row=3475&amp;col=6&amp;number=4.1&amp;sourceID=14","4.1")</f>
        <v>4.1</v>
      </c>
      <c r="G3475" s="4" t="str">
        <f>HYPERLINK("http://141.218.60.56/~jnz1568/getInfo.php?workbook=14_09.xlsx&amp;sheet=U0&amp;row=3475&amp;col=7&amp;number=0.0226&amp;sourceID=14","0.0226")</f>
        <v>0.0226</v>
      </c>
    </row>
    <row r="3476" spans="1:7">
      <c r="A3476" s="3"/>
      <c r="B3476" s="3"/>
      <c r="C3476" s="3"/>
      <c r="D3476" s="3"/>
      <c r="E3476" s="3">
        <v>13</v>
      </c>
      <c r="F3476" s="4" t="str">
        <f>HYPERLINK("http://141.218.60.56/~jnz1568/getInfo.php?workbook=14_09.xlsx&amp;sheet=U0&amp;row=3476&amp;col=6&amp;number=4.2&amp;sourceID=14","4.2")</f>
        <v>4.2</v>
      </c>
      <c r="G3476" s="4" t="str">
        <f>HYPERLINK("http://141.218.60.56/~jnz1568/getInfo.php?workbook=14_09.xlsx&amp;sheet=U0&amp;row=3476&amp;col=7&amp;number=0.0226&amp;sourceID=14","0.0226")</f>
        <v>0.0226</v>
      </c>
    </row>
    <row r="3477" spans="1:7">
      <c r="A3477" s="3"/>
      <c r="B3477" s="3"/>
      <c r="C3477" s="3"/>
      <c r="D3477" s="3"/>
      <c r="E3477" s="3">
        <v>14</v>
      </c>
      <c r="F3477" s="4" t="str">
        <f>HYPERLINK("http://141.218.60.56/~jnz1568/getInfo.php?workbook=14_09.xlsx&amp;sheet=U0&amp;row=3477&amp;col=6&amp;number=4.3&amp;sourceID=14","4.3")</f>
        <v>4.3</v>
      </c>
      <c r="G3477" s="4" t="str">
        <f>HYPERLINK("http://141.218.60.56/~jnz1568/getInfo.php?workbook=14_09.xlsx&amp;sheet=U0&amp;row=3477&amp;col=7&amp;number=0.0226&amp;sourceID=14","0.0226")</f>
        <v>0.0226</v>
      </c>
    </row>
    <row r="3478" spans="1:7">
      <c r="A3478" s="3"/>
      <c r="B3478" s="3"/>
      <c r="C3478" s="3"/>
      <c r="D3478" s="3"/>
      <c r="E3478" s="3">
        <v>15</v>
      </c>
      <c r="F3478" s="4" t="str">
        <f>HYPERLINK("http://141.218.60.56/~jnz1568/getInfo.php?workbook=14_09.xlsx&amp;sheet=U0&amp;row=3478&amp;col=6&amp;number=4.4&amp;sourceID=14","4.4")</f>
        <v>4.4</v>
      </c>
      <c r="G3478" s="4" t="str">
        <f>HYPERLINK("http://141.218.60.56/~jnz1568/getInfo.php?workbook=14_09.xlsx&amp;sheet=U0&amp;row=3478&amp;col=7&amp;number=0.0227&amp;sourceID=14","0.0227")</f>
        <v>0.0227</v>
      </c>
    </row>
    <row r="3479" spans="1:7">
      <c r="A3479" s="3"/>
      <c r="B3479" s="3"/>
      <c r="C3479" s="3"/>
      <c r="D3479" s="3"/>
      <c r="E3479" s="3">
        <v>16</v>
      </c>
      <c r="F3479" s="4" t="str">
        <f>HYPERLINK("http://141.218.60.56/~jnz1568/getInfo.php?workbook=14_09.xlsx&amp;sheet=U0&amp;row=3479&amp;col=6&amp;number=4.5&amp;sourceID=14","4.5")</f>
        <v>4.5</v>
      </c>
      <c r="G3479" s="4" t="str">
        <f>HYPERLINK("http://141.218.60.56/~jnz1568/getInfo.php?workbook=14_09.xlsx&amp;sheet=U0&amp;row=3479&amp;col=7&amp;number=0.0227&amp;sourceID=14","0.0227")</f>
        <v>0.0227</v>
      </c>
    </row>
    <row r="3480" spans="1:7">
      <c r="A3480" s="3"/>
      <c r="B3480" s="3"/>
      <c r="C3480" s="3"/>
      <c r="D3480" s="3"/>
      <c r="E3480" s="3">
        <v>17</v>
      </c>
      <c r="F3480" s="4" t="str">
        <f>HYPERLINK("http://141.218.60.56/~jnz1568/getInfo.php?workbook=14_09.xlsx&amp;sheet=U0&amp;row=3480&amp;col=6&amp;number=4.6&amp;sourceID=14","4.6")</f>
        <v>4.6</v>
      </c>
      <c r="G3480" s="4" t="str">
        <f>HYPERLINK("http://141.218.60.56/~jnz1568/getInfo.php?workbook=14_09.xlsx&amp;sheet=U0&amp;row=3480&amp;col=7&amp;number=0.0228&amp;sourceID=14","0.0228")</f>
        <v>0.0228</v>
      </c>
    </row>
    <row r="3481" spans="1:7">
      <c r="A3481" s="3"/>
      <c r="B3481" s="3"/>
      <c r="C3481" s="3"/>
      <c r="D3481" s="3"/>
      <c r="E3481" s="3">
        <v>18</v>
      </c>
      <c r="F3481" s="4" t="str">
        <f>HYPERLINK("http://141.218.60.56/~jnz1568/getInfo.php?workbook=14_09.xlsx&amp;sheet=U0&amp;row=3481&amp;col=6&amp;number=4.7&amp;sourceID=14","4.7")</f>
        <v>4.7</v>
      </c>
      <c r="G3481" s="4" t="str">
        <f>HYPERLINK("http://141.218.60.56/~jnz1568/getInfo.php?workbook=14_09.xlsx&amp;sheet=U0&amp;row=3481&amp;col=7&amp;number=0.0229&amp;sourceID=14","0.0229")</f>
        <v>0.0229</v>
      </c>
    </row>
    <row r="3482" spans="1:7">
      <c r="A3482" s="3"/>
      <c r="B3482" s="3"/>
      <c r="C3482" s="3"/>
      <c r="D3482" s="3"/>
      <c r="E3482" s="3">
        <v>19</v>
      </c>
      <c r="F3482" s="4" t="str">
        <f>HYPERLINK("http://141.218.60.56/~jnz1568/getInfo.php?workbook=14_09.xlsx&amp;sheet=U0&amp;row=3482&amp;col=6&amp;number=4.8&amp;sourceID=14","4.8")</f>
        <v>4.8</v>
      </c>
      <c r="G3482" s="4" t="str">
        <f>HYPERLINK("http://141.218.60.56/~jnz1568/getInfo.php?workbook=14_09.xlsx&amp;sheet=U0&amp;row=3482&amp;col=7&amp;number=0.023&amp;sourceID=14","0.023")</f>
        <v>0.023</v>
      </c>
    </row>
    <row r="3483" spans="1:7">
      <c r="A3483" s="3"/>
      <c r="B3483" s="3"/>
      <c r="C3483" s="3"/>
      <c r="D3483" s="3"/>
      <c r="E3483" s="3">
        <v>20</v>
      </c>
      <c r="F3483" s="4" t="str">
        <f>HYPERLINK("http://141.218.60.56/~jnz1568/getInfo.php?workbook=14_09.xlsx&amp;sheet=U0&amp;row=3483&amp;col=6&amp;number=4.9&amp;sourceID=14","4.9")</f>
        <v>4.9</v>
      </c>
      <c r="G3483" s="4" t="str">
        <f>HYPERLINK("http://141.218.60.56/~jnz1568/getInfo.php?workbook=14_09.xlsx&amp;sheet=U0&amp;row=3483&amp;col=7&amp;number=0.0231&amp;sourceID=14","0.0231")</f>
        <v>0.0231</v>
      </c>
    </row>
    <row r="3484" spans="1:7">
      <c r="A3484" s="3">
        <v>14</v>
      </c>
      <c r="B3484" s="3">
        <v>9</v>
      </c>
      <c r="C3484" s="3">
        <v>1</v>
      </c>
      <c r="D3484" s="3">
        <v>176</v>
      </c>
      <c r="E3484" s="3">
        <v>1</v>
      </c>
      <c r="F3484" s="4" t="str">
        <f>HYPERLINK("http://141.218.60.56/~jnz1568/getInfo.php?workbook=14_09.xlsx&amp;sheet=U0&amp;row=3484&amp;col=6&amp;number=3&amp;sourceID=14","3")</f>
        <v>3</v>
      </c>
      <c r="G3484" s="4" t="str">
        <f>HYPERLINK("http://141.218.60.56/~jnz1568/getInfo.php?workbook=14_09.xlsx&amp;sheet=U0&amp;row=3484&amp;col=7&amp;number=0.00649&amp;sourceID=14","0.00649")</f>
        <v>0.00649</v>
      </c>
    </row>
    <row r="3485" spans="1:7">
      <c r="A3485" s="3"/>
      <c r="B3485" s="3"/>
      <c r="C3485" s="3"/>
      <c r="D3485" s="3"/>
      <c r="E3485" s="3">
        <v>2</v>
      </c>
      <c r="F3485" s="4" t="str">
        <f>HYPERLINK("http://141.218.60.56/~jnz1568/getInfo.php?workbook=14_09.xlsx&amp;sheet=U0&amp;row=3485&amp;col=6&amp;number=3.1&amp;sourceID=14","3.1")</f>
        <v>3.1</v>
      </c>
      <c r="G3485" s="4" t="str">
        <f>HYPERLINK("http://141.218.60.56/~jnz1568/getInfo.php?workbook=14_09.xlsx&amp;sheet=U0&amp;row=3485&amp;col=7&amp;number=0.00649&amp;sourceID=14","0.00649")</f>
        <v>0.00649</v>
      </c>
    </row>
    <row r="3486" spans="1:7">
      <c r="A3486" s="3"/>
      <c r="B3486" s="3"/>
      <c r="C3486" s="3"/>
      <c r="D3486" s="3"/>
      <c r="E3486" s="3">
        <v>3</v>
      </c>
      <c r="F3486" s="4" t="str">
        <f>HYPERLINK("http://141.218.60.56/~jnz1568/getInfo.php?workbook=14_09.xlsx&amp;sheet=U0&amp;row=3486&amp;col=6&amp;number=3.2&amp;sourceID=14","3.2")</f>
        <v>3.2</v>
      </c>
      <c r="G3486" s="4" t="str">
        <f>HYPERLINK("http://141.218.60.56/~jnz1568/getInfo.php?workbook=14_09.xlsx&amp;sheet=U0&amp;row=3486&amp;col=7&amp;number=0.00648&amp;sourceID=14","0.00648")</f>
        <v>0.00648</v>
      </c>
    </row>
    <row r="3487" spans="1:7">
      <c r="A3487" s="3"/>
      <c r="B3487" s="3"/>
      <c r="C3487" s="3"/>
      <c r="D3487" s="3"/>
      <c r="E3487" s="3">
        <v>4</v>
      </c>
      <c r="F3487" s="4" t="str">
        <f>HYPERLINK("http://141.218.60.56/~jnz1568/getInfo.php?workbook=14_09.xlsx&amp;sheet=U0&amp;row=3487&amp;col=6&amp;number=3.3&amp;sourceID=14","3.3")</f>
        <v>3.3</v>
      </c>
      <c r="G3487" s="4" t="str">
        <f>HYPERLINK("http://141.218.60.56/~jnz1568/getInfo.php?workbook=14_09.xlsx&amp;sheet=U0&amp;row=3487&amp;col=7&amp;number=0.00648&amp;sourceID=14","0.00648")</f>
        <v>0.00648</v>
      </c>
    </row>
    <row r="3488" spans="1:7">
      <c r="A3488" s="3"/>
      <c r="B3488" s="3"/>
      <c r="C3488" s="3"/>
      <c r="D3488" s="3"/>
      <c r="E3488" s="3">
        <v>5</v>
      </c>
      <c r="F3488" s="4" t="str">
        <f>HYPERLINK("http://141.218.60.56/~jnz1568/getInfo.php?workbook=14_09.xlsx&amp;sheet=U0&amp;row=3488&amp;col=6&amp;number=3.4&amp;sourceID=14","3.4")</f>
        <v>3.4</v>
      </c>
      <c r="G3488" s="4" t="str">
        <f>HYPERLINK("http://141.218.60.56/~jnz1568/getInfo.php?workbook=14_09.xlsx&amp;sheet=U0&amp;row=3488&amp;col=7&amp;number=0.00647&amp;sourceID=14","0.00647")</f>
        <v>0.00647</v>
      </c>
    </row>
    <row r="3489" spans="1:7">
      <c r="A3489" s="3"/>
      <c r="B3489" s="3"/>
      <c r="C3489" s="3"/>
      <c r="D3489" s="3"/>
      <c r="E3489" s="3">
        <v>6</v>
      </c>
      <c r="F3489" s="4" t="str">
        <f>HYPERLINK("http://141.218.60.56/~jnz1568/getInfo.php?workbook=14_09.xlsx&amp;sheet=U0&amp;row=3489&amp;col=6&amp;number=3.5&amp;sourceID=14","3.5")</f>
        <v>3.5</v>
      </c>
      <c r="G3489" s="4" t="str">
        <f>HYPERLINK("http://141.218.60.56/~jnz1568/getInfo.php?workbook=14_09.xlsx&amp;sheet=U0&amp;row=3489&amp;col=7&amp;number=0.00646&amp;sourceID=14","0.00646")</f>
        <v>0.00646</v>
      </c>
    </row>
    <row r="3490" spans="1:7">
      <c r="A3490" s="3"/>
      <c r="B3490" s="3"/>
      <c r="C3490" s="3"/>
      <c r="D3490" s="3"/>
      <c r="E3490" s="3">
        <v>7</v>
      </c>
      <c r="F3490" s="4" t="str">
        <f>HYPERLINK("http://141.218.60.56/~jnz1568/getInfo.php?workbook=14_09.xlsx&amp;sheet=U0&amp;row=3490&amp;col=6&amp;number=3.6&amp;sourceID=14","3.6")</f>
        <v>3.6</v>
      </c>
      <c r="G3490" s="4" t="str">
        <f>HYPERLINK("http://141.218.60.56/~jnz1568/getInfo.php?workbook=14_09.xlsx&amp;sheet=U0&amp;row=3490&amp;col=7&amp;number=0.00645&amp;sourceID=14","0.00645")</f>
        <v>0.00645</v>
      </c>
    </row>
    <row r="3491" spans="1:7">
      <c r="A3491" s="3"/>
      <c r="B3491" s="3"/>
      <c r="C3491" s="3"/>
      <c r="D3491" s="3"/>
      <c r="E3491" s="3">
        <v>8</v>
      </c>
      <c r="F3491" s="4" t="str">
        <f>HYPERLINK("http://141.218.60.56/~jnz1568/getInfo.php?workbook=14_09.xlsx&amp;sheet=U0&amp;row=3491&amp;col=6&amp;number=3.7&amp;sourceID=14","3.7")</f>
        <v>3.7</v>
      </c>
      <c r="G3491" s="4" t="str">
        <f>HYPERLINK("http://141.218.60.56/~jnz1568/getInfo.php?workbook=14_09.xlsx&amp;sheet=U0&amp;row=3491&amp;col=7&amp;number=0.00644&amp;sourceID=14","0.00644")</f>
        <v>0.00644</v>
      </c>
    </row>
    <row r="3492" spans="1:7">
      <c r="A3492" s="3"/>
      <c r="B3492" s="3"/>
      <c r="C3492" s="3"/>
      <c r="D3492" s="3"/>
      <c r="E3492" s="3">
        <v>9</v>
      </c>
      <c r="F3492" s="4" t="str">
        <f>HYPERLINK("http://141.218.60.56/~jnz1568/getInfo.php?workbook=14_09.xlsx&amp;sheet=U0&amp;row=3492&amp;col=6&amp;number=3.8&amp;sourceID=14","3.8")</f>
        <v>3.8</v>
      </c>
      <c r="G3492" s="4" t="str">
        <f>HYPERLINK("http://141.218.60.56/~jnz1568/getInfo.php?workbook=14_09.xlsx&amp;sheet=U0&amp;row=3492&amp;col=7&amp;number=0.00642&amp;sourceID=14","0.00642")</f>
        <v>0.00642</v>
      </c>
    </row>
    <row r="3493" spans="1:7">
      <c r="A3493" s="3"/>
      <c r="B3493" s="3"/>
      <c r="C3493" s="3"/>
      <c r="D3493" s="3"/>
      <c r="E3493" s="3">
        <v>10</v>
      </c>
      <c r="F3493" s="4" t="str">
        <f>HYPERLINK("http://141.218.60.56/~jnz1568/getInfo.php?workbook=14_09.xlsx&amp;sheet=U0&amp;row=3493&amp;col=6&amp;number=3.9&amp;sourceID=14","3.9")</f>
        <v>3.9</v>
      </c>
      <c r="G3493" s="4" t="str">
        <f>HYPERLINK("http://141.218.60.56/~jnz1568/getInfo.php?workbook=14_09.xlsx&amp;sheet=U0&amp;row=3493&amp;col=7&amp;number=0.0064&amp;sourceID=14","0.0064")</f>
        <v>0.0064</v>
      </c>
    </row>
    <row r="3494" spans="1:7">
      <c r="A3494" s="3"/>
      <c r="B3494" s="3"/>
      <c r="C3494" s="3"/>
      <c r="D3494" s="3"/>
      <c r="E3494" s="3">
        <v>11</v>
      </c>
      <c r="F3494" s="4" t="str">
        <f>HYPERLINK("http://141.218.60.56/~jnz1568/getInfo.php?workbook=14_09.xlsx&amp;sheet=U0&amp;row=3494&amp;col=6&amp;number=4&amp;sourceID=14","4")</f>
        <v>4</v>
      </c>
      <c r="G3494" s="4" t="str">
        <f>HYPERLINK("http://141.218.60.56/~jnz1568/getInfo.php?workbook=14_09.xlsx&amp;sheet=U0&amp;row=3494&amp;col=7&amp;number=0.00637&amp;sourceID=14","0.00637")</f>
        <v>0.00637</v>
      </c>
    </row>
    <row r="3495" spans="1:7">
      <c r="A3495" s="3"/>
      <c r="B3495" s="3"/>
      <c r="C3495" s="3"/>
      <c r="D3495" s="3"/>
      <c r="E3495" s="3">
        <v>12</v>
      </c>
      <c r="F3495" s="4" t="str">
        <f>HYPERLINK("http://141.218.60.56/~jnz1568/getInfo.php?workbook=14_09.xlsx&amp;sheet=U0&amp;row=3495&amp;col=6&amp;number=4.1&amp;sourceID=14","4.1")</f>
        <v>4.1</v>
      </c>
      <c r="G3495" s="4" t="str">
        <f>HYPERLINK("http://141.218.60.56/~jnz1568/getInfo.php?workbook=14_09.xlsx&amp;sheet=U0&amp;row=3495&amp;col=7&amp;number=0.00634&amp;sourceID=14","0.00634")</f>
        <v>0.00634</v>
      </c>
    </row>
    <row r="3496" spans="1:7">
      <c r="A3496" s="3"/>
      <c r="B3496" s="3"/>
      <c r="C3496" s="3"/>
      <c r="D3496" s="3"/>
      <c r="E3496" s="3">
        <v>13</v>
      </c>
      <c r="F3496" s="4" t="str">
        <f>HYPERLINK("http://141.218.60.56/~jnz1568/getInfo.php?workbook=14_09.xlsx&amp;sheet=U0&amp;row=3496&amp;col=6&amp;number=4.2&amp;sourceID=14","4.2")</f>
        <v>4.2</v>
      </c>
      <c r="G3496" s="4" t="str">
        <f>HYPERLINK("http://141.218.60.56/~jnz1568/getInfo.php?workbook=14_09.xlsx&amp;sheet=U0&amp;row=3496&amp;col=7&amp;number=0.0063&amp;sourceID=14","0.0063")</f>
        <v>0.0063</v>
      </c>
    </row>
    <row r="3497" spans="1:7">
      <c r="A3497" s="3"/>
      <c r="B3497" s="3"/>
      <c r="C3497" s="3"/>
      <c r="D3497" s="3"/>
      <c r="E3497" s="3">
        <v>14</v>
      </c>
      <c r="F3497" s="4" t="str">
        <f>HYPERLINK("http://141.218.60.56/~jnz1568/getInfo.php?workbook=14_09.xlsx&amp;sheet=U0&amp;row=3497&amp;col=6&amp;number=4.3&amp;sourceID=14","4.3")</f>
        <v>4.3</v>
      </c>
      <c r="G3497" s="4" t="str">
        <f>HYPERLINK("http://141.218.60.56/~jnz1568/getInfo.php?workbook=14_09.xlsx&amp;sheet=U0&amp;row=3497&amp;col=7&amp;number=0.00626&amp;sourceID=14","0.00626")</f>
        <v>0.00626</v>
      </c>
    </row>
    <row r="3498" spans="1:7">
      <c r="A3498" s="3"/>
      <c r="B3498" s="3"/>
      <c r="C3498" s="3"/>
      <c r="D3498" s="3"/>
      <c r="E3498" s="3">
        <v>15</v>
      </c>
      <c r="F3498" s="4" t="str">
        <f>HYPERLINK("http://141.218.60.56/~jnz1568/getInfo.php?workbook=14_09.xlsx&amp;sheet=U0&amp;row=3498&amp;col=6&amp;number=4.4&amp;sourceID=14","4.4")</f>
        <v>4.4</v>
      </c>
      <c r="G3498" s="4" t="str">
        <f>HYPERLINK("http://141.218.60.56/~jnz1568/getInfo.php?workbook=14_09.xlsx&amp;sheet=U0&amp;row=3498&amp;col=7&amp;number=0.00621&amp;sourceID=14","0.00621")</f>
        <v>0.00621</v>
      </c>
    </row>
    <row r="3499" spans="1:7">
      <c r="A3499" s="3"/>
      <c r="B3499" s="3"/>
      <c r="C3499" s="3"/>
      <c r="D3499" s="3"/>
      <c r="E3499" s="3">
        <v>16</v>
      </c>
      <c r="F3499" s="4" t="str">
        <f>HYPERLINK("http://141.218.60.56/~jnz1568/getInfo.php?workbook=14_09.xlsx&amp;sheet=U0&amp;row=3499&amp;col=6&amp;number=4.5&amp;sourceID=14","4.5")</f>
        <v>4.5</v>
      </c>
      <c r="G3499" s="4" t="str">
        <f>HYPERLINK("http://141.218.60.56/~jnz1568/getInfo.php?workbook=14_09.xlsx&amp;sheet=U0&amp;row=3499&amp;col=7&amp;number=0.00615&amp;sourceID=14","0.00615")</f>
        <v>0.00615</v>
      </c>
    </row>
    <row r="3500" spans="1:7">
      <c r="A3500" s="3"/>
      <c r="B3500" s="3"/>
      <c r="C3500" s="3"/>
      <c r="D3500" s="3"/>
      <c r="E3500" s="3">
        <v>17</v>
      </c>
      <c r="F3500" s="4" t="str">
        <f>HYPERLINK("http://141.218.60.56/~jnz1568/getInfo.php?workbook=14_09.xlsx&amp;sheet=U0&amp;row=3500&amp;col=6&amp;number=4.6&amp;sourceID=14","4.6")</f>
        <v>4.6</v>
      </c>
      <c r="G3500" s="4" t="str">
        <f>HYPERLINK("http://141.218.60.56/~jnz1568/getInfo.php?workbook=14_09.xlsx&amp;sheet=U0&amp;row=3500&amp;col=7&amp;number=0.00609&amp;sourceID=14","0.00609")</f>
        <v>0.00609</v>
      </c>
    </row>
    <row r="3501" spans="1:7">
      <c r="A3501" s="3"/>
      <c r="B3501" s="3"/>
      <c r="C3501" s="3"/>
      <c r="D3501" s="3"/>
      <c r="E3501" s="3">
        <v>18</v>
      </c>
      <c r="F3501" s="4" t="str">
        <f>HYPERLINK("http://141.218.60.56/~jnz1568/getInfo.php?workbook=14_09.xlsx&amp;sheet=U0&amp;row=3501&amp;col=6&amp;number=4.7&amp;sourceID=14","4.7")</f>
        <v>4.7</v>
      </c>
      <c r="G3501" s="4" t="str">
        <f>HYPERLINK("http://141.218.60.56/~jnz1568/getInfo.php?workbook=14_09.xlsx&amp;sheet=U0&amp;row=3501&amp;col=7&amp;number=0.00604&amp;sourceID=14","0.00604")</f>
        <v>0.00604</v>
      </c>
    </row>
    <row r="3502" spans="1:7">
      <c r="A3502" s="3"/>
      <c r="B3502" s="3"/>
      <c r="C3502" s="3"/>
      <c r="D3502" s="3"/>
      <c r="E3502" s="3">
        <v>19</v>
      </c>
      <c r="F3502" s="4" t="str">
        <f>HYPERLINK("http://141.218.60.56/~jnz1568/getInfo.php?workbook=14_09.xlsx&amp;sheet=U0&amp;row=3502&amp;col=6&amp;number=4.8&amp;sourceID=14","4.8")</f>
        <v>4.8</v>
      </c>
      <c r="G3502" s="4" t="str">
        <f>HYPERLINK("http://141.218.60.56/~jnz1568/getInfo.php?workbook=14_09.xlsx&amp;sheet=U0&amp;row=3502&amp;col=7&amp;number=0.00598&amp;sourceID=14","0.00598")</f>
        <v>0.00598</v>
      </c>
    </row>
    <row r="3503" spans="1:7">
      <c r="A3503" s="3"/>
      <c r="B3503" s="3"/>
      <c r="C3503" s="3"/>
      <c r="D3503" s="3"/>
      <c r="E3503" s="3">
        <v>20</v>
      </c>
      <c r="F3503" s="4" t="str">
        <f>HYPERLINK("http://141.218.60.56/~jnz1568/getInfo.php?workbook=14_09.xlsx&amp;sheet=U0&amp;row=3503&amp;col=6&amp;number=4.9&amp;sourceID=14","4.9")</f>
        <v>4.9</v>
      </c>
      <c r="G3503" s="4" t="str">
        <f>HYPERLINK("http://141.218.60.56/~jnz1568/getInfo.php?workbook=14_09.xlsx&amp;sheet=U0&amp;row=3503&amp;col=7&amp;number=0.00592&amp;sourceID=14","0.00592")</f>
        <v>0.00592</v>
      </c>
    </row>
    <row r="3504" spans="1:7">
      <c r="A3504" s="3">
        <v>14</v>
      </c>
      <c r="B3504" s="3">
        <v>9</v>
      </c>
      <c r="C3504" s="3">
        <v>1</v>
      </c>
      <c r="D3504" s="3">
        <v>177</v>
      </c>
      <c r="E3504" s="3">
        <v>1</v>
      </c>
      <c r="F3504" s="4" t="str">
        <f>HYPERLINK("http://141.218.60.56/~jnz1568/getInfo.php?workbook=14_09.xlsx&amp;sheet=U0&amp;row=3504&amp;col=6&amp;number=3&amp;sourceID=14","3")</f>
        <v>3</v>
      </c>
      <c r="G3504" s="4" t="str">
        <f>HYPERLINK("http://141.218.60.56/~jnz1568/getInfo.php?workbook=14_09.xlsx&amp;sheet=U0&amp;row=3504&amp;col=7&amp;number=0.0151&amp;sourceID=14","0.0151")</f>
        <v>0.0151</v>
      </c>
    </row>
    <row r="3505" spans="1:7">
      <c r="A3505" s="3"/>
      <c r="B3505" s="3"/>
      <c r="C3505" s="3"/>
      <c r="D3505" s="3"/>
      <c r="E3505" s="3">
        <v>2</v>
      </c>
      <c r="F3505" s="4" t="str">
        <f>HYPERLINK("http://141.218.60.56/~jnz1568/getInfo.php?workbook=14_09.xlsx&amp;sheet=U0&amp;row=3505&amp;col=6&amp;number=3.1&amp;sourceID=14","3.1")</f>
        <v>3.1</v>
      </c>
      <c r="G3505" s="4" t="str">
        <f>HYPERLINK("http://141.218.60.56/~jnz1568/getInfo.php?workbook=14_09.xlsx&amp;sheet=U0&amp;row=3505&amp;col=7&amp;number=0.0151&amp;sourceID=14","0.0151")</f>
        <v>0.0151</v>
      </c>
    </row>
    <row r="3506" spans="1:7">
      <c r="A3506" s="3"/>
      <c r="B3506" s="3"/>
      <c r="C3506" s="3"/>
      <c r="D3506" s="3"/>
      <c r="E3506" s="3">
        <v>3</v>
      </c>
      <c r="F3506" s="4" t="str">
        <f>HYPERLINK("http://141.218.60.56/~jnz1568/getInfo.php?workbook=14_09.xlsx&amp;sheet=U0&amp;row=3506&amp;col=6&amp;number=3.2&amp;sourceID=14","3.2")</f>
        <v>3.2</v>
      </c>
      <c r="G3506" s="4" t="str">
        <f>HYPERLINK("http://141.218.60.56/~jnz1568/getInfo.php?workbook=14_09.xlsx&amp;sheet=U0&amp;row=3506&amp;col=7&amp;number=0.0151&amp;sourceID=14","0.0151")</f>
        <v>0.0151</v>
      </c>
    </row>
    <row r="3507" spans="1:7">
      <c r="A3507" s="3"/>
      <c r="B3507" s="3"/>
      <c r="C3507" s="3"/>
      <c r="D3507" s="3"/>
      <c r="E3507" s="3">
        <v>4</v>
      </c>
      <c r="F3507" s="4" t="str">
        <f>HYPERLINK("http://141.218.60.56/~jnz1568/getInfo.php?workbook=14_09.xlsx&amp;sheet=U0&amp;row=3507&amp;col=6&amp;number=3.3&amp;sourceID=14","3.3")</f>
        <v>3.3</v>
      </c>
      <c r="G3507" s="4" t="str">
        <f>HYPERLINK("http://141.218.60.56/~jnz1568/getInfo.php?workbook=14_09.xlsx&amp;sheet=U0&amp;row=3507&amp;col=7&amp;number=0.0151&amp;sourceID=14","0.0151")</f>
        <v>0.0151</v>
      </c>
    </row>
    <row r="3508" spans="1:7">
      <c r="A3508" s="3"/>
      <c r="B3508" s="3"/>
      <c r="C3508" s="3"/>
      <c r="D3508" s="3"/>
      <c r="E3508" s="3">
        <v>5</v>
      </c>
      <c r="F3508" s="4" t="str">
        <f>HYPERLINK("http://141.218.60.56/~jnz1568/getInfo.php?workbook=14_09.xlsx&amp;sheet=U0&amp;row=3508&amp;col=6&amp;number=3.4&amp;sourceID=14","3.4")</f>
        <v>3.4</v>
      </c>
      <c r="G3508" s="4" t="str">
        <f>HYPERLINK("http://141.218.60.56/~jnz1568/getInfo.php?workbook=14_09.xlsx&amp;sheet=U0&amp;row=3508&amp;col=7&amp;number=0.0151&amp;sourceID=14","0.0151")</f>
        <v>0.0151</v>
      </c>
    </row>
    <row r="3509" spans="1:7">
      <c r="A3509" s="3"/>
      <c r="B3509" s="3"/>
      <c r="C3509" s="3"/>
      <c r="D3509" s="3"/>
      <c r="E3509" s="3">
        <v>6</v>
      </c>
      <c r="F3509" s="4" t="str">
        <f>HYPERLINK("http://141.218.60.56/~jnz1568/getInfo.php?workbook=14_09.xlsx&amp;sheet=U0&amp;row=3509&amp;col=6&amp;number=3.5&amp;sourceID=14","3.5")</f>
        <v>3.5</v>
      </c>
      <c r="G3509" s="4" t="str">
        <f>HYPERLINK("http://141.218.60.56/~jnz1568/getInfo.php?workbook=14_09.xlsx&amp;sheet=U0&amp;row=3509&amp;col=7&amp;number=0.0151&amp;sourceID=14","0.0151")</f>
        <v>0.0151</v>
      </c>
    </row>
    <row r="3510" spans="1:7">
      <c r="A3510" s="3"/>
      <c r="B3510" s="3"/>
      <c r="C3510" s="3"/>
      <c r="D3510" s="3"/>
      <c r="E3510" s="3">
        <v>7</v>
      </c>
      <c r="F3510" s="4" t="str">
        <f>HYPERLINK("http://141.218.60.56/~jnz1568/getInfo.php?workbook=14_09.xlsx&amp;sheet=U0&amp;row=3510&amp;col=6&amp;number=3.6&amp;sourceID=14","3.6")</f>
        <v>3.6</v>
      </c>
      <c r="G3510" s="4" t="str">
        <f>HYPERLINK("http://141.218.60.56/~jnz1568/getInfo.php?workbook=14_09.xlsx&amp;sheet=U0&amp;row=3510&amp;col=7&amp;number=0.0151&amp;sourceID=14","0.0151")</f>
        <v>0.0151</v>
      </c>
    </row>
    <row r="3511" spans="1:7">
      <c r="A3511" s="3"/>
      <c r="B3511" s="3"/>
      <c r="C3511" s="3"/>
      <c r="D3511" s="3"/>
      <c r="E3511" s="3">
        <v>8</v>
      </c>
      <c r="F3511" s="4" t="str">
        <f>HYPERLINK("http://141.218.60.56/~jnz1568/getInfo.php?workbook=14_09.xlsx&amp;sheet=U0&amp;row=3511&amp;col=6&amp;number=3.7&amp;sourceID=14","3.7")</f>
        <v>3.7</v>
      </c>
      <c r="G3511" s="4" t="str">
        <f>HYPERLINK("http://141.218.60.56/~jnz1568/getInfo.php?workbook=14_09.xlsx&amp;sheet=U0&amp;row=3511&amp;col=7&amp;number=0.0151&amp;sourceID=14","0.0151")</f>
        <v>0.0151</v>
      </c>
    </row>
    <row r="3512" spans="1:7">
      <c r="A3512" s="3"/>
      <c r="B3512" s="3"/>
      <c r="C3512" s="3"/>
      <c r="D3512" s="3"/>
      <c r="E3512" s="3">
        <v>9</v>
      </c>
      <c r="F3512" s="4" t="str">
        <f>HYPERLINK("http://141.218.60.56/~jnz1568/getInfo.php?workbook=14_09.xlsx&amp;sheet=U0&amp;row=3512&amp;col=6&amp;number=3.8&amp;sourceID=14","3.8")</f>
        <v>3.8</v>
      </c>
      <c r="G3512" s="4" t="str">
        <f>HYPERLINK("http://141.218.60.56/~jnz1568/getInfo.php?workbook=14_09.xlsx&amp;sheet=U0&amp;row=3512&amp;col=7&amp;number=0.0151&amp;sourceID=14","0.0151")</f>
        <v>0.0151</v>
      </c>
    </row>
    <row r="3513" spans="1:7">
      <c r="A3513" s="3"/>
      <c r="B3513" s="3"/>
      <c r="C3513" s="3"/>
      <c r="D3513" s="3"/>
      <c r="E3513" s="3">
        <v>10</v>
      </c>
      <c r="F3513" s="4" t="str">
        <f>HYPERLINK("http://141.218.60.56/~jnz1568/getInfo.php?workbook=14_09.xlsx&amp;sheet=U0&amp;row=3513&amp;col=6&amp;number=3.9&amp;sourceID=14","3.9")</f>
        <v>3.9</v>
      </c>
      <c r="G3513" s="4" t="str">
        <f>HYPERLINK("http://141.218.60.56/~jnz1568/getInfo.php?workbook=14_09.xlsx&amp;sheet=U0&amp;row=3513&amp;col=7&amp;number=0.0152&amp;sourceID=14","0.0152")</f>
        <v>0.0152</v>
      </c>
    </row>
    <row r="3514" spans="1:7">
      <c r="A3514" s="3"/>
      <c r="B3514" s="3"/>
      <c r="C3514" s="3"/>
      <c r="D3514" s="3"/>
      <c r="E3514" s="3">
        <v>11</v>
      </c>
      <c r="F3514" s="4" t="str">
        <f>HYPERLINK("http://141.218.60.56/~jnz1568/getInfo.php?workbook=14_09.xlsx&amp;sheet=U0&amp;row=3514&amp;col=6&amp;number=4&amp;sourceID=14","4")</f>
        <v>4</v>
      </c>
      <c r="G3514" s="4" t="str">
        <f>HYPERLINK("http://141.218.60.56/~jnz1568/getInfo.php?workbook=14_09.xlsx&amp;sheet=U0&amp;row=3514&amp;col=7&amp;number=0.0152&amp;sourceID=14","0.0152")</f>
        <v>0.0152</v>
      </c>
    </row>
    <row r="3515" spans="1:7">
      <c r="A3515" s="3"/>
      <c r="B3515" s="3"/>
      <c r="C3515" s="3"/>
      <c r="D3515" s="3"/>
      <c r="E3515" s="3">
        <v>12</v>
      </c>
      <c r="F3515" s="4" t="str">
        <f>HYPERLINK("http://141.218.60.56/~jnz1568/getInfo.php?workbook=14_09.xlsx&amp;sheet=U0&amp;row=3515&amp;col=6&amp;number=4.1&amp;sourceID=14","4.1")</f>
        <v>4.1</v>
      </c>
      <c r="G3515" s="4" t="str">
        <f>HYPERLINK("http://141.218.60.56/~jnz1568/getInfo.php?workbook=14_09.xlsx&amp;sheet=U0&amp;row=3515&amp;col=7&amp;number=0.0152&amp;sourceID=14","0.0152")</f>
        <v>0.0152</v>
      </c>
    </row>
    <row r="3516" spans="1:7">
      <c r="A3516" s="3"/>
      <c r="B3516" s="3"/>
      <c r="C3516" s="3"/>
      <c r="D3516" s="3"/>
      <c r="E3516" s="3">
        <v>13</v>
      </c>
      <c r="F3516" s="4" t="str">
        <f>HYPERLINK("http://141.218.60.56/~jnz1568/getInfo.php?workbook=14_09.xlsx&amp;sheet=U0&amp;row=3516&amp;col=6&amp;number=4.2&amp;sourceID=14","4.2")</f>
        <v>4.2</v>
      </c>
      <c r="G3516" s="4" t="str">
        <f>HYPERLINK("http://141.218.60.56/~jnz1568/getInfo.php?workbook=14_09.xlsx&amp;sheet=U0&amp;row=3516&amp;col=7&amp;number=0.0152&amp;sourceID=14","0.0152")</f>
        <v>0.0152</v>
      </c>
    </row>
    <row r="3517" spans="1:7">
      <c r="A3517" s="3"/>
      <c r="B3517" s="3"/>
      <c r="C3517" s="3"/>
      <c r="D3517" s="3"/>
      <c r="E3517" s="3">
        <v>14</v>
      </c>
      <c r="F3517" s="4" t="str">
        <f>HYPERLINK("http://141.218.60.56/~jnz1568/getInfo.php?workbook=14_09.xlsx&amp;sheet=U0&amp;row=3517&amp;col=6&amp;number=4.3&amp;sourceID=14","4.3")</f>
        <v>4.3</v>
      </c>
      <c r="G3517" s="4" t="str">
        <f>HYPERLINK("http://141.218.60.56/~jnz1568/getInfo.php?workbook=14_09.xlsx&amp;sheet=U0&amp;row=3517&amp;col=7&amp;number=0.0153&amp;sourceID=14","0.0153")</f>
        <v>0.0153</v>
      </c>
    </row>
    <row r="3518" spans="1:7">
      <c r="A3518" s="3"/>
      <c r="B3518" s="3"/>
      <c r="C3518" s="3"/>
      <c r="D3518" s="3"/>
      <c r="E3518" s="3">
        <v>15</v>
      </c>
      <c r="F3518" s="4" t="str">
        <f>HYPERLINK("http://141.218.60.56/~jnz1568/getInfo.php?workbook=14_09.xlsx&amp;sheet=U0&amp;row=3518&amp;col=6&amp;number=4.4&amp;sourceID=14","4.4")</f>
        <v>4.4</v>
      </c>
      <c r="G3518" s="4" t="str">
        <f>HYPERLINK("http://141.218.60.56/~jnz1568/getInfo.php?workbook=14_09.xlsx&amp;sheet=U0&amp;row=3518&amp;col=7&amp;number=0.0153&amp;sourceID=14","0.0153")</f>
        <v>0.0153</v>
      </c>
    </row>
    <row r="3519" spans="1:7">
      <c r="A3519" s="3"/>
      <c r="B3519" s="3"/>
      <c r="C3519" s="3"/>
      <c r="D3519" s="3"/>
      <c r="E3519" s="3">
        <v>16</v>
      </c>
      <c r="F3519" s="4" t="str">
        <f>HYPERLINK("http://141.218.60.56/~jnz1568/getInfo.php?workbook=14_09.xlsx&amp;sheet=U0&amp;row=3519&amp;col=6&amp;number=4.5&amp;sourceID=14","4.5")</f>
        <v>4.5</v>
      </c>
      <c r="G3519" s="4" t="str">
        <f>HYPERLINK("http://141.218.60.56/~jnz1568/getInfo.php?workbook=14_09.xlsx&amp;sheet=U0&amp;row=3519&amp;col=7&amp;number=0.0154&amp;sourceID=14","0.0154")</f>
        <v>0.0154</v>
      </c>
    </row>
    <row r="3520" spans="1:7">
      <c r="A3520" s="3"/>
      <c r="B3520" s="3"/>
      <c r="C3520" s="3"/>
      <c r="D3520" s="3"/>
      <c r="E3520" s="3">
        <v>17</v>
      </c>
      <c r="F3520" s="4" t="str">
        <f>HYPERLINK("http://141.218.60.56/~jnz1568/getInfo.php?workbook=14_09.xlsx&amp;sheet=U0&amp;row=3520&amp;col=6&amp;number=4.6&amp;sourceID=14","4.6")</f>
        <v>4.6</v>
      </c>
      <c r="G3520" s="4" t="str">
        <f>HYPERLINK("http://141.218.60.56/~jnz1568/getInfo.php?workbook=14_09.xlsx&amp;sheet=U0&amp;row=3520&amp;col=7&amp;number=0.0154&amp;sourceID=14","0.0154")</f>
        <v>0.0154</v>
      </c>
    </row>
    <row r="3521" spans="1:7">
      <c r="A3521" s="3"/>
      <c r="B3521" s="3"/>
      <c r="C3521" s="3"/>
      <c r="D3521" s="3"/>
      <c r="E3521" s="3">
        <v>18</v>
      </c>
      <c r="F3521" s="4" t="str">
        <f>HYPERLINK("http://141.218.60.56/~jnz1568/getInfo.php?workbook=14_09.xlsx&amp;sheet=U0&amp;row=3521&amp;col=6&amp;number=4.7&amp;sourceID=14","4.7")</f>
        <v>4.7</v>
      </c>
      <c r="G3521" s="4" t="str">
        <f>HYPERLINK("http://141.218.60.56/~jnz1568/getInfo.php?workbook=14_09.xlsx&amp;sheet=U0&amp;row=3521&amp;col=7&amp;number=0.0155&amp;sourceID=14","0.0155")</f>
        <v>0.0155</v>
      </c>
    </row>
    <row r="3522" spans="1:7">
      <c r="A3522" s="3"/>
      <c r="B3522" s="3"/>
      <c r="C3522" s="3"/>
      <c r="D3522" s="3"/>
      <c r="E3522" s="3">
        <v>19</v>
      </c>
      <c r="F3522" s="4" t="str">
        <f>HYPERLINK("http://141.218.60.56/~jnz1568/getInfo.php?workbook=14_09.xlsx&amp;sheet=U0&amp;row=3522&amp;col=6&amp;number=4.8&amp;sourceID=14","4.8")</f>
        <v>4.8</v>
      </c>
      <c r="G3522" s="4" t="str">
        <f>HYPERLINK("http://141.218.60.56/~jnz1568/getInfo.php?workbook=14_09.xlsx&amp;sheet=U0&amp;row=3522&amp;col=7&amp;number=0.0156&amp;sourceID=14","0.0156")</f>
        <v>0.0156</v>
      </c>
    </row>
    <row r="3523" spans="1:7">
      <c r="A3523" s="3"/>
      <c r="B3523" s="3"/>
      <c r="C3523" s="3"/>
      <c r="D3523" s="3"/>
      <c r="E3523" s="3">
        <v>20</v>
      </c>
      <c r="F3523" s="4" t="str">
        <f>HYPERLINK("http://141.218.60.56/~jnz1568/getInfo.php?workbook=14_09.xlsx&amp;sheet=U0&amp;row=3523&amp;col=6&amp;number=4.9&amp;sourceID=14","4.9")</f>
        <v>4.9</v>
      </c>
      <c r="G3523" s="4" t="str">
        <f>HYPERLINK("http://141.218.60.56/~jnz1568/getInfo.php?workbook=14_09.xlsx&amp;sheet=U0&amp;row=3523&amp;col=7&amp;number=0.0158&amp;sourceID=14","0.0158")</f>
        <v>0.0158</v>
      </c>
    </row>
    <row r="3524" spans="1:7">
      <c r="A3524" s="3">
        <v>14</v>
      </c>
      <c r="B3524" s="3">
        <v>9</v>
      </c>
      <c r="C3524" s="3">
        <v>1</v>
      </c>
      <c r="D3524" s="3">
        <v>178</v>
      </c>
      <c r="E3524" s="3">
        <v>1</v>
      </c>
      <c r="F3524" s="4" t="str">
        <f>HYPERLINK("http://141.218.60.56/~jnz1568/getInfo.php?workbook=14_09.xlsx&amp;sheet=U0&amp;row=3524&amp;col=6&amp;number=3&amp;sourceID=14","3")</f>
        <v>3</v>
      </c>
      <c r="G3524" s="4" t="str">
        <f>HYPERLINK("http://141.218.60.56/~jnz1568/getInfo.php?workbook=14_09.xlsx&amp;sheet=U0&amp;row=3524&amp;col=7&amp;number=0.00218&amp;sourceID=14","0.00218")</f>
        <v>0.00218</v>
      </c>
    </row>
    <row r="3525" spans="1:7">
      <c r="A3525" s="3"/>
      <c r="B3525" s="3"/>
      <c r="C3525" s="3"/>
      <c r="D3525" s="3"/>
      <c r="E3525" s="3">
        <v>2</v>
      </c>
      <c r="F3525" s="4" t="str">
        <f>HYPERLINK("http://141.218.60.56/~jnz1568/getInfo.php?workbook=14_09.xlsx&amp;sheet=U0&amp;row=3525&amp;col=6&amp;number=3.1&amp;sourceID=14","3.1")</f>
        <v>3.1</v>
      </c>
      <c r="G3525" s="4" t="str">
        <f>HYPERLINK("http://141.218.60.56/~jnz1568/getInfo.php?workbook=14_09.xlsx&amp;sheet=U0&amp;row=3525&amp;col=7&amp;number=0.00218&amp;sourceID=14","0.00218")</f>
        <v>0.00218</v>
      </c>
    </row>
    <row r="3526" spans="1:7">
      <c r="A3526" s="3"/>
      <c r="B3526" s="3"/>
      <c r="C3526" s="3"/>
      <c r="D3526" s="3"/>
      <c r="E3526" s="3">
        <v>3</v>
      </c>
      <c r="F3526" s="4" t="str">
        <f>HYPERLINK("http://141.218.60.56/~jnz1568/getInfo.php?workbook=14_09.xlsx&amp;sheet=U0&amp;row=3526&amp;col=6&amp;number=3.2&amp;sourceID=14","3.2")</f>
        <v>3.2</v>
      </c>
      <c r="G3526" s="4" t="str">
        <f>HYPERLINK("http://141.218.60.56/~jnz1568/getInfo.php?workbook=14_09.xlsx&amp;sheet=U0&amp;row=3526&amp;col=7&amp;number=0.00218&amp;sourceID=14","0.00218")</f>
        <v>0.00218</v>
      </c>
    </row>
    <row r="3527" spans="1:7">
      <c r="A3527" s="3"/>
      <c r="B3527" s="3"/>
      <c r="C3527" s="3"/>
      <c r="D3527" s="3"/>
      <c r="E3527" s="3">
        <v>4</v>
      </c>
      <c r="F3527" s="4" t="str">
        <f>HYPERLINK("http://141.218.60.56/~jnz1568/getInfo.php?workbook=14_09.xlsx&amp;sheet=U0&amp;row=3527&amp;col=6&amp;number=3.3&amp;sourceID=14","3.3")</f>
        <v>3.3</v>
      </c>
      <c r="G3527" s="4" t="str">
        <f>HYPERLINK("http://141.218.60.56/~jnz1568/getInfo.php?workbook=14_09.xlsx&amp;sheet=U0&amp;row=3527&amp;col=7&amp;number=0.00218&amp;sourceID=14","0.00218")</f>
        <v>0.00218</v>
      </c>
    </row>
    <row r="3528" spans="1:7">
      <c r="A3528" s="3"/>
      <c r="B3528" s="3"/>
      <c r="C3528" s="3"/>
      <c r="D3528" s="3"/>
      <c r="E3528" s="3">
        <v>5</v>
      </c>
      <c r="F3528" s="4" t="str">
        <f>HYPERLINK("http://141.218.60.56/~jnz1568/getInfo.php?workbook=14_09.xlsx&amp;sheet=U0&amp;row=3528&amp;col=6&amp;number=3.4&amp;sourceID=14","3.4")</f>
        <v>3.4</v>
      </c>
      <c r="G3528" s="4" t="str">
        <f>HYPERLINK("http://141.218.60.56/~jnz1568/getInfo.php?workbook=14_09.xlsx&amp;sheet=U0&amp;row=3528&amp;col=7&amp;number=0.00218&amp;sourceID=14","0.00218")</f>
        <v>0.00218</v>
      </c>
    </row>
    <row r="3529" spans="1:7">
      <c r="A3529" s="3"/>
      <c r="B3529" s="3"/>
      <c r="C3529" s="3"/>
      <c r="D3529" s="3"/>
      <c r="E3529" s="3">
        <v>6</v>
      </c>
      <c r="F3529" s="4" t="str">
        <f>HYPERLINK("http://141.218.60.56/~jnz1568/getInfo.php?workbook=14_09.xlsx&amp;sheet=U0&amp;row=3529&amp;col=6&amp;number=3.5&amp;sourceID=14","3.5")</f>
        <v>3.5</v>
      </c>
      <c r="G3529" s="4" t="str">
        <f>HYPERLINK("http://141.218.60.56/~jnz1568/getInfo.php?workbook=14_09.xlsx&amp;sheet=U0&amp;row=3529&amp;col=7&amp;number=0.00217&amp;sourceID=14","0.00217")</f>
        <v>0.00217</v>
      </c>
    </row>
    <row r="3530" spans="1:7">
      <c r="A3530" s="3"/>
      <c r="B3530" s="3"/>
      <c r="C3530" s="3"/>
      <c r="D3530" s="3"/>
      <c r="E3530" s="3">
        <v>7</v>
      </c>
      <c r="F3530" s="4" t="str">
        <f>HYPERLINK("http://141.218.60.56/~jnz1568/getInfo.php?workbook=14_09.xlsx&amp;sheet=U0&amp;row=3530&amp;col=6&amp;number=3.6&amp;sourceID=14","3.6")</f>
        <v>3.6</v>
      </c>
      <c r="G3530" s="4" t="str">
        <f>HYPERLINK("http://141.218.60.56/~jnz1568/getInfo.php?workbook=14_09.xlsx&amp;sheet=U0&amp;row=3530&amp;col=7&amp;number=0.00217&amp;sourceID=14","0.00217")</f>
        <v>0.00217</v>
      </c>
    </row>
    <row r="3531" spans="1:7">
      <c r="A3531" s="3"/>
      <c r="B3531" s="3"/>
      <c r="C3531" s="3"/>
      <c r="D3531" s="3"/>
      <c r="E3531" s="3">
        <v>8</v>
      </c>
      <c r="F3531" s="4" t="str">
        <f>HYPERLINK("http://141.218.60.56/~jnz1568/getInfo.php?workbook=14_09.xlsx&amp;sheet=U0&amp;row=3531&amp;col=6&amp;number=3.7&amp;sourceID=14","3.7")</f>
        <v>3.7</v>
      </c>
      <c r="G3531" s="4" t="str">
        <f>HYPERLINK("http://141.218.60.56/~jnz1568/getInfo.php?workbook=14_09.xlsx&amp;sheet=U0&amp;row=3531&amp;col=7&amp;number=0.00217&amp;sourceID=14","0.00217")</f>
        <v>0.00217</v>
      </c>
    </row>
    <row r="3532" spans="1:7">
      <c r="A3532" s="3"/>
      <c r="B3532" s="3"/>
      <c r="C3532" s="3"/>
      <c r="D3532" s="3"/>
      <c r="E3532" s="3">
        <v>9</v>
      </c>
      <c r="F3532" s="4" t="str">
        <f>HYPERLINK("http://141.218.60.56/~jnz1568/getInfo.php?workbook=14_09.xlsx&amp;sheet=U0&amp;row=3532&amp;col=6&amp;number=3.8&amp;sourceID=14","3.8")</f>
        <v>3.8</v>
      </c>
      <c r="G3532" s="4" t="str">
        <f>HYPERLINK("http://141.218.60.56/~jnz1568/getInfo.php?workbook=14_09.xlsx&amp;sheet=U0&amp;row=3532&amp;col=7&amp;number=0.00216&amp;sourceID=14","0.00216")</f>
        <v>0.00216</v>
      </c>
    </row>
    <row r="3533" spans="1:7">
      <c r="A3533" s="3"/>
      <c r="B3533" s="3"/>
      <c r="C3533" s="3"/>
      <c r="D3533" s="3"/>
      <c r="E3533" s="3">
        <v>10</v>
      </c>
      <c r="F3533" s="4" t="str">
        <f>HYPERLINK("http://141.218.60.56/~jnz1568/getInfo.php?workbook=14_09.xlsx&amp;sheet=U0&amp;row=3533&amp;col=6&amp;number=3.9&amp;sourceID=14","3.9")</f>
        <v>3.9</v>
      </c>
      <c r="G3533" s="4" t="str">
        <f>HYPERLINK("http://141.218.60.56/~jnz1568/getInfo.php?workbook=14_09.xlsx&amp;sheet=U0&amp;row=3533&amp;col=7&amp;number=0.00216&amp;sourceID=14","0.00216")</f>
        <v>0.00216</v>
      </c>
    </row>
    <row r="3534" spans="1:7">
      <c r="A3534" s="3"/>
      <c r="B3534" s="3"/>
      <c r="C3534" s="3"/>
      <c r="D3534" s="3"/>
      <c r="E3534" s="3">
        <v>11</v>
      </c>
      <c r="F3534" s="4" t="str">
        <f>HYPERLINK("http://141.218.60.56/~jnz1568/getInfo.php?workbook=14_09.xlsx&amp;sheet=U0&amp;row=3534&amp;col=6&amp;number=4&amp;sourceID=14","4")</f>
        <v>4</v>
      </c>
      <c r="G3534" s="4" t="str">
        <f>HYPERLINK("http://141.218.60.56/~jnz1568/getInfo.php?workbook=14_09.xlsx&amp;sheet=U0&amp;row=3534&amp;col=7&amp;number=0.00215&amp;sourceID=14","0.00215")</f>
        <v>0.00215</v>
      </c>
    </row>
    <row r="3535" spans="1:7">
      <c r="A3535" s="3"/>
      <c r="B3535" s="3"/>
      <c r="C3535" s="3"/>
      <c r="D3535" s="3"/>
      <c r="E3535" s="3">
        <v>12</v>
      </c>
      <c r="F3535" s="4" t="str">
        <f>HYPERLINK("http://141.218.60.56/~jnz1568/getInfo.php?workbook=14_09.xlsx&amp;sheet=U0&amp;row=3535&amp;col=6&amp;number=4.1&amp;sourceID=14","4.1")</f>
        <v>4.1</v>
      </c>
      <c r="G3535" s="4" t="str">
        <f>HYPERLINK("http://141.218.60.56/~jnz1568/getInfo.php?workbook=14_09.xlsx&amp;sheet=U0&amp;row=3535&amp;col=7&amp;number=0.00214&amp;sourceID=14","0.00214")</f>
        <v>0.00214</v>
      </c>
    </row>
    <row r="3536" spans="1:7">
      <c r="A3536" s="3"/>
      <c r="B3536" s="3"/>
      <c r="C3536" s="3"/>
      <c r="D3536" s="3"/>
      <c r="E3536" s="3">
        <v>13</v>
      </c>
      <c r="F3536" s="4" t="str">
        <f>HYPERLINK("http://141.218.60.56/~jnz1568/getInfo.php?workbook=14_09.xlsx&amp;sheet=U0&amp;row=3536&amp;col=6&amp;number=4.2&amp;sourceID=14","4.2")</f>
        <v>4.2</v>
      </c>
      <c r="G3536" s="4" t="str">
        <f>HYPERLINK("http://141.218.60.56/~jnz1568/getInfo.php?workbook=14_09.xlsx&amp;sheet=U0&amp;row=3536&amp;col=7&amp;number=0.00212&amp;sourceID=14","0.00212")</f>
        <v>0.00212</v>
      </c>
    </row>
    <row r="3537" spans="1:7">
      <c r="A3537" s="3"/>
      <c r="B3537" s="3"/>
      <c r="C3537" s="3"/>
      <c r="D3537" s="3"/>
      <c r="E3537" s="3">
        <v>14</v>
      </c>
      <c r="F3537" s="4" t="str">
        <f>HYPERLINK("http://141.218.60.56/~jnz1568/getInfo.php?workbook=14_09.xlsx&amp;sheet=U0&amp;row=3537&amp;col=6&amp;number=4.3&amp;sourceID=14","4.3")</f>
        <v>4.3</v>
      </c>
      <c r="G3537" s="4" t="str">
        <f>HYPERLINK("http://141.218.60.56/~jnz1568/getInfo.php?workbook=14_09.xlsx&amp;sheet=U0&amp;row=3537&amp;col=7&amp;number=0.00211&amp;sourceID=14","0.00211")</f>
        <v>0.00211</v>
      </c>
    </row>
    <row r="3538" spans="1:7">
      <c r="A3538" s="3"/>
      <c r="B3538" s="3"/>
      <c r="C3538" s="3"/>
      <c r="D3538" s="3"/>
      <c r="E3538" s="3">
        <v>15</v>
      </c>
      <c r="F3538" s="4" t="str">
        <f>HYPERLINK("http://141.218.60.56/~jnz1568/getInfo.php?workbook=14_09.xlsx&amp;sheet=U0&amp;row=3538&amp;col=6&amp;number=4.4&amp;sourceID=14","4.4")</f>
        <v>4.4</v>
      </c>
      <c r="G3538" s="4" t="str">
        <f>HYPERLINK("http://141.218.60.56/~jnz1568/getInfo.php?workbook=14_09.xlsx&amp;sheet=U0&amp;row=3538&amp;col=7&amp;number=0.00209&amp;sourceID=14","0.00209")</f>
        <v>0.00209</v>
      </c>
    </row>
    <row r="3539" spans="1:7">
      <c r="A3539" s="3"/>
      <c r="B3539" s="3"/>
      <c r="C3539" s="3"/>
      <c r="D3539" s="3"/>
      <c r="E3539" s="3">
        <v>16</v>
      </c>
      <c r="F3539" s="4" t="str">
        <f>HYPERLINK("http://141.218.60.56/~jnz1568/getInfo.php?workbook=14_09.xlsx&amp;sheet=U0&amp;row=3539&amp;col=6&amp;number=4.5&amp;sourceID=14","4.5")</f>
        <v>4.5</v>
      </c>
      <c r="G3539" s="4" t="str">
        <f>HYPERLINK("http://141.218.60.56/~jnz1568/getInfo.php?workbook=14_09.xlsx&amp;sheet=U0&amp;row=3539&amp;col=7&amp;number=0.00207&amp;sourceID=14","0.00207")</f>
        <v>0.00207</v>
      </c>
    </row>
    <row r="3540" spans="1:7">
      <c r="A3540" s="3"/>
      <c r="B3540" s="3"/>
      <c r="C3540" s="3"/>
      <c r="D3540" s="3"/>
      <c r="E3540" s="3">
        <v>17</v>
      </c>
      <c r="F3540" s="4" t="str">
        <f>HYPERLINK("http://141.218.60.56/~jnz1568/getInfo.php?workbook=14_09.xlsx&amp;sheet=U0&amp;row=3540&amp;col=6&amp;number=4.6&amp;sourceID=14","4.6")</f>
        <v>4.6</v>
      </c>
      <c r="G3540" s="4" t="str">
        <f>HYPERLINK("http://141.218.60.56/~jnz1568/getInfo.php?workbook=14_09.xlsx&amp;sheet=U0&amp;row=3540&amp;col=7&amp;number=0.00204&amp;sourceID=14","0.00204")</f>
        <v>0.00204</v>
      </c>
    </row>
    <row r="3541" spans="1:7">
      <c r="A3541" s="3"/>
      <c r="B3541" s="3"/>
      <c r="C3541" s="3"/>
      <c r="D3541" s="3"/>
      <c r="E3541" s="3">
        <v>18</v>
      </c>
      <c r="F3541" s="4" t="str">
        <f>HYPERLINK("http://141.218.60.56/~jnz1568/getInfo.php?workbook=14_09.xlsx&amp;sheet=U0&amp;row=3541&amp;col=6&amp;number=4.7&amp;sourceID=14","4.7")</f>
        <v>4.7</v>
      </c>
      <c r="G3541" s="4" t="str">
        <f>HYPERLINK("http://141.218.60.56/~jnz1568/getInfo.php?workbook=14_09.xlsx&amp;sheet=U0&amp;row=3541&amp;col=7&amp;number=0.00202&amp;sourceID=14","0.00202")</f>
        <v>0.00202</v>
      </c>
    </row>
    <row r="3542" spans="1:7">
      <c r="A3542" s="3"/>
      <c r="B3542" s="3"/>
      <c r="C3542" s="3"/>
      <c r="D3542" s="3"/>
      <c r="E3542" s="3">
        <v>19</v>
      </c>
      <c r="F3542" s="4" t="str">
        <f>HYPERLINK("http://141.218.60.56/~jnz1568/getInfo.php?workbook=14_09.xlsx&amp;sheet=U0&amp;row=3542&amp;col=6&amp;number=4.8&amp;sourceID=14","4.8")</f>
        <v>4.8</v>
      </c>
      <c r="G3542" s="4" t="str">
        <f>HYPERLINK("http://141.218.60.56/~jnz1568/getInfo.php?workbook=14_09.xlsx&amp;sheet=U0&amp;row=3542&amp;col=7&amp;number=0.00199&amp;sourceID=14","0.00199")</f>
        <v>0.00199</v>
      </c>
    </row>
    <row r="3543" spans="1:7">
      <c r="A3543" s="3"/>
      <c r="B3543" s="3"/>
      <c r="C3543" s="3"/>
      <c r="D3543" s="3"/>
      <c r="E3543" s="3">
        <v>20</v>
      </c>
      <c r="F3543" s="4" t="str">
        <f>HYPERLINK("http://141.218.60.56/~jnz1568/getInfo.php?workbook=14_09.xlsx&amp;sheet=U0&amp;row=3543&amp;col=6&amp;number=4.9&amp;sourceID=14","4.9")</f>
        <v>4.9</v>
      </c>
      <c r="G3543" s="4" t="str">
        <f>HYPERLINK("http://141.218.60.56/~jnz1568/getInfo.php?workbook=14_09.xlsx&amp;sheet=U0&amp;row=3543&amp;col=7&amp;number=0.00196&amp;sourceID=14","0.00196")</f>
        <v>0.00196</v>
      </c>
    </row>
    <row r="3544" spans="1:7">
      <c r="A3544" s="3">
        <v>14</v>
      </c>
      <c r="B3544" s="3">
        <v>9</v>
      </c>
      <c r="C3544" s="3">
        <v>1</v>
      </c>
      <c r="D3544" s="3">
        <v>179</v>
      </c>
      <c r="E3544" s="3">
        <v>1</v>
      </c>
      <c r="F3544" s="4" t="str">
        <f>HYPERLINK("http://141.218.60.56/~jnz1568/getInfo.php?workbook=14_09.xlsx&amp;sheet=U0&amp;row=3544&amp;col=6&amp;number=3&amp;sourceID=14","3")</f>
        <v>3</v>
      </c>
      <c r="G3544" s="4" t="str">
        <f>HYPERLINK("http://141.218.60.56/~jnz1568/getInfo.php?workbook=14_09.xlsx&amp;sheet=U0&amp;row=3544&amp;col=7&amp;number=0.0039&amp;sourceID=14","0.0039")</f>
        <v>0.0039</v>
      </c>
    </row>
    <row r="3545" spans="1:7">
      <c r="A3545" s="3"/>
      <c r="B3545" s="3"/>
      <c r="C3545" s="3"/>
      <c r="D3545" s="3"/>
      <c r="E3545" s="3">
        <v>2</v>
      </c>
      <c r="F3545" s="4" t="str">
        <f>HYPERLINK("http://141.218.60.56/~jnz1568/getInfo.php?workbook=14_09.xlsx&amp;sheet=U0&amp;row=3545&amp;col=6&amp;number=3.1&amp;sourceID=14","3.1")</f>
        <v>3.1</v>
      </c>
      <c r="G3545" s="4" t="str">
        <f>HYPERLINK("http://141.218.60.56/~jnz1568/getInfo.php?workbook=14_09.xlsx&amp;sheet=U0&amp;row=3545&amp;col=7&amp;number=0.0039&amp;sourceID=14","0.0039")</f>
        <v>0.0039</v>
      </c>
    </row>
    <row r="3546" spans="1:7">
      <c r="A3546" s="3"/>
      <c r="B3546" s="3"/>
      <c r="C3546" s="3"/>
      <c r="D3546" s="3"/>
      <c r="E3546" s="3">
        <v>3</v>
      </c>
      <c r="F3546" s="4" t="str">
        <f>HYPERLINK("http://141.218.60.56/~jnz1568/getInfo.php?workbook=14_09.xlsx&amp;sheet=U0&amp;row=3546&amp;col=6&amp;number=3.2&amp;sourceID=14","3.2")</f>
        <v>3.2</v>
      </c>
      <c r="G3546" s="4" t="str">
        <f>HYPERLINK("http://141.218.60.56/~jnz1568/getInfo.php?workbook=14_09.xlsx&amp;sheet=U0&amp;row=3546&amp;col=7&amp;number=0.0039&amp;sourceID=14","0.0039")</f>
        <v>0.0039</v>
      </c>
    </row>
    <row r="3547" spans="1:7">
      <c r="A3547" s="3"/>
      <c r="B3547" s="3"/>
      <c r="C3547" s="3"/>
      <c r="D3547" s="3"/>
      <c r="E3547" s="3">
        <v>4</v>
      </c>
      <c r="F3547" s="4" t="str">
        <f>HYPERLINK("http://141.218.60.56/~jnz1568/getInfo.php?workbook=14_09.xlsx&amp;sheet=U0&amp;row=3547&amp;col=6&amp;number=3.3&amp;sourceID=14","3.3")</f>
        <v>3.3</v>
      </c>
      <c r="G3547" s="4" t="str">
        <f>HYPERLINK("http://141.218.60.56/~jnz1568/getInfo.php?workbook=14_09.xlsx&amp;sheet=U0&amp;row=3547&amp;col=7&amp;number=0.00389&amp;sourceID=14","0.00389")</f>
        <v>0.00389</v>
      </c>
    </row>
    <row r="3548" spans="1:7">
      <c r="A3548" s="3"/>
      <c r="B3548" s="3"/>
      <c r="C3548" s="3"/>
      <c r="D3548" s="3"/>
      <c r="E3548" s="3">
        <v>5</v>
      </c>
      <c r="F3548" s="4" t="str">
        <f>HYPERLINK("http://141.218.60.56/~jnz1568/getInfo.php?workbook=14_09.xlsx&amp;sheet=U0&amp;row=3548&amp;col=6&amp;number=3.4&amp;sourceID=14","3.4")</f>
        <v>3.4</v>
      </c>
      <c r="G3548" s="4" t="str">
        <f>HYPERLINK("http://141.218.60.56/~jnz1568/getInfo.php?workbook=14_09.xlsx&amp;sheet=U0&amp;row=3548&amp;col=7&amp;number=0.00389&amp;sourceID=14","0.00389")</f>
        <v>0.00389</v>
      </c>
    </row>
    <row r="3549" spans="1:7">
      <c r="A3549" s="3"/>
      <c r="B3549" s="3"/>
      <c r="C3549" s="3"/>
      <c r="D3549" s="3"/>
      <c r="E3549" s="3">
        <v>6</v>
      </c>
      <c r="F3549" s="4" t="str">
        <f>HYPERLINK("http://141.218.60.56/~jnz1568/getInfo.php?workbook=14_09.xlsx&amp;sheet=U0&amp;row=3549&amp;col=6&amp;number=3.5&amp;sourceID=14","3.5")</f>
        <v>3.5</v>
      </c>
      <c r="G3549" s="4" t="str">
        <f>HYPERLINK("http://141.218.60.56/~jnz1568/getInfo.php?workbook=14_09.xlsx&amp;sheet=U0&amp;row=3549&amp;col=7&amp;number=0.00388&amp;sourceID=14","0.00388")</f>
        <v>0.00388</v>
      </c>
    </row>
    <row r="3550" spans="1:7">
      <c r="A3550" s="3"/>
      <c r="B3550" s="3"/>
      <c r="C3550" s="3"/>
      <c r="D3550" s="3"/>
      <c r="E3550" s="3">
        <v>7</v>
      </c>
      <c r="F3550" s="4" t="str">
        <f>HYPERLINK("http://141.218.60.56/~jnz1568/getInfo.php?workbook=14_09.xlsx&amp;sheet=U0&amp;row=3550&amp;col=6&amp;number=3.6&amp;sourceID=14","3.6")</f>
        <v>3.6</v>
      </c>
      <c r="G3550" s="4" t="str">
        <f>HYPERLINK("http://141.218.60.56/~jnz1568/getInfo.php?workbook=14_09.xlsx&amp;sheet=U0&amp;row=3550&amp;col=7&amp;number=0.00388&amp;sourceID=14","0.00388")</f>
        <v>0.00388</v>
      </c>
    </row>
    <row r="3551" spans="1:7">
      <c r="A3551" s="3"/>
      <c r="B3551" s="3"/>
      <c r="C3551" s="3"/>
      <c r="D3551" s="3"/>
      <c r="E3551" s="3">
        <v>8</v>
      </c>
      <c r="F3551" s="4" t="str">
        <f>HYPERLINK("http://141.218.60.56/~jnz1568/getInfo.php?workbook=14_09.xlsx&amp;sheet=U0&amp;row=3551&amp;col=6&amp;number=3.7&amp;sourceID=14","3.7")</f>
        <v>3.7</v>
      </c>
      <c r="G3551" s="4" t="str">
        <f>HYPERLINK("http://141.218.60.56/~jnz1568/getInfo.php?workbook=14_09.xlsx&amp;sheet=U0&amp;row=3551&amp;col=7&amp;number=0.00387&amp;sourceID=14","0.00387")</f>
        <v>0.00387</v>
      </c>
    </row>
    <row r="3552" spans="1:7">
      <c r="A3552" s="3"/>
      <c r="B3552" s="3"/>
      <c r="C3552" s="3"/>
      <c r="D3552" s="3"/>
      <c r="E3552" s="3">
        <v>9</v>
      </c>
      <c r="F3552" s="4" t="str">
        <f>HYPERLINK("http://141.218.60.56/~jnz1568/getInfo.php?workbook=14_09.xlsx&amp;sheet=U0&amp;row=3552&amp;col=6&amp;number=3.8&amp;sourceID=14","3.8")</f>
        <v>3.8</v>
      </c>
      <c r="G3552" s="4" t="str">
        <f>HYPERLINK("http://141.218.60.56/~jnz1568/getInfo.php?workbook=14_09.xlsx&amp;sheet=U0&amp;row=3552&amp;col=7&amp;number=0.00386&amp;sourceID=14","0.00386")</f>
        <v>0.00386</v>
      </c>
    </row>
    <row r="3553" spans="1:7">
      <c r="A3553" s="3"/>
      <c r="B3553" s="3"/>
      <c r="C3553" s="3"/>
      <c r="D3553" s="3"/>
      <c r="E3553" s="3">
        <v>10</v>
      </c>
      <c r="F3553" s="4" t="str">
        <f>HYPERLINK("http://141.218.60.56/~jnz1568/getInfo.php?workbook=14_09.xlsx&amp;sheet=U0&amp;row=3553&amp;col=6&amp;number=3.9&amp;sourceID=14","3.9")</f>
        <v>3.9</v>
      </c>
      <c r="G3553" s="4" t="str">
        <f>HYPERLINK("http://141.218.60.56/~jnz1568/getInfo.php?workbook=14_09.xlsx&amp;sheet=U0&amp;row=3553&amp;col=7&amp;number=0.00384&amp;sourceID=14","0.00384")</f>
        <v>0.00384</v>
      </c>
    </row>
    <row r="3554" spans="1:7">
      <c r="A3554" s="3"/>
      <c r="B3554" s="3"/>
      <c r="C3554" s="3"/>
      <c r="D3554" s="3"/>
      <c r="E3554" s="3">
        <v>11</v>
      </c>
      <c r="F3554" s="4" t="str">
        <f>HYPERLINK("http://141.218.60.56/~jnz1568/getInfo.php?workbook=14_09.xlsx&amp;sheet=U0&amp;row=3554&amp;col=6&amp;number=4&amp;sourceID=14","4")</f>
        <v>4</v>
      </c>
      <c r="G3554" s="4" t="str">
        <f>HYPERLINK("http://141.218.60.56/~jnz1568/getInfo.php?workbook=14_09.xlsx&amp;sheet=U0&amp;row=3554&amp;col=7&amp;number=0.00383&amp;sourceID=14","0.00383")</f>
        <v>0.00383</v>
      </c>
    </row>
    <row r="3555" spans="1:7">
      <c r="A3555" s="3"/>
      <c r="B3555" s="3"/>
      <c r="C3555" s="3"/>
      <c r="D3555" s="3"/>
      <c r="E3555" s="3">
        <v>12</v>
      </c>
      <c r="F3555" s="4" t="str">
        <f>HYPERLINK("http://141.218.60.56/~jnz1568/getInfo.php?workbook=14_09.xlsx&amp;sheet=U0&amp;row=3555&amp;col=6&amp;number=4.1&amp;sourceID=14","4.1")</f>
        <v>4.1</v>
      </c>
      <c r="G3555" s="4" t="str">
        <f>HYPERLINK("http://141.218.60.56/~jnz1568/getInfo.php?workbook=14_09.xlsx&amp;sheet=U0&amp;row=3555&amp;col=7&amp;number=0.00381&amp;sourceID=14","0.00381")</f>
        <v>0.00381</v>
      </c>
    </row>
    <row r="3556" spans="1:7">
      <c r="A3556" s="3"/>
      <c r="B3556" s="3"/>
      <c r="C3556" s="3"/>
      <c r="D3556" s="3"/>
      <c r="E3556" s="3">
        <v>13</v>
      </c>
      <c r="F3556" s="4" t="str">
        <f>HYPERLINK("http://141.218.60.56/~jnz1568/getInfo.php?workbook=14_09.xlsx&amp;sheet=U0&amp;row=3556&amp;col=6&amp;number=4.2&amp;sourceID=14","4.2")</f>
        <v>4.2</v>
      </c>
      <c r="G3556" s="4" t="str">
        <f>HYPERLINK("http://141.218.60.56/~jnz1568/getInfo.php?workbook=14_09.xlsx&amp;sheet=U0&amp;row=3556&amp;col=7&amp;number=0.00378&amp;sourceID=14","0.00378")</f>
        <v>0.00378</v>
      </c>
    </row>
    <row r="3557" spans="1:7">
      <c r="A3557" s="3"/>
      <c r="B3557" s="3"/>
      <c r="C3557" s="3"/>
      <c r="D3557" s="3"/>
      <c r="E3557" s="3">
        <v>14</v>
      </c>
      <c r="F3557" s="4" t="str">
        <f>HYPERLINK("http://141.218.60.56/~jnz1568/getInfo.php?workbook=14_09.xlsx&amp;sheet=U0&amp;row=3557&amp;col=6&amp;number=4.3&amp;sourceID=14","4.3")</f>
        <v>4.3</v>
      </c>
      <c r="G3557" s="4" t="str">
        <f>HYPERLINK("http://141.218.60.56/~jnz1568/getInfo.php?workbook=14_09.xlsx&amp;sheet=U0&amp;row=3557&amp;col=7&amp;number=0.00375&amp;sourceID=14","0.00375")</f>
        <v>0.00375</v>
      </c>
    </row>
    <row r="3558" spans="1:7">
      <c r="A3558" s="3"/>
      <c r="B3558" s="3"/>
      <c r="C3558" s="3"/>
      <c r="D3558" s="3"/>
      <c r="E3558" s="3">
        <v>15</v>
      </c>
      <c r="F3558" s="4" t="str">
        <f>HYPERLINK("http://141.218.60.56/~jnz1568/getInfo.php?workbook=14_09.xlsx&amp;sheet=U0&amp;row=3558&amp;col=6&amp;number=4.4&amp;sourceID=14","4.4")</f>
        <v>4.4</v>
      </c>
      <c r="G3558" s="4" t="str">
        <f>HYPERLINK("http://141.218.60.56/~jnz1568/getInfo.php?workbook=14_09.xlsx&amp;sheet=U0&amp;row=3558&amp;col=7&amp;number=0.00371&amp;sourceID=14","0.00371")</f>
        <v>0.00371</v>
      </c>
    </row>
    <row r="3559" spans="1:7">
      <c r="A3559" s="3"/>
      <c r="B3559" s="3"/>
      <c r="C3559" s="3"/>
      <c r="D3559" s="3"/>
      <c r="E3559" s="3">
        <v>16</v>
      </c>
      <c r="F3559" s="4" t="str">
        <f>HYPERLINK("http://141.218.60.56/~jnz1568/getInfo.php?workbook=14_09.xlsx&amp;sheet=U0&amp;row=3559&amp;col=6&amp;number=4.5&amp;sourceID=14","4.5")</f>
        <v>4.5</v>
      </c>
      <c r="G3559" s="4" t="str">
        <f>HYPERLINK("http://141.218.60.56/~jnz1568/getInfo.php?workbook=14_09.xlsx&amp;sheet=U0&amp;row=3559&amp;col=7&amp;number=0.00367&amp;sourceID=14","0.00367")</f>
        <v>0.00367</v>
      </c>
    </row>
    <row r="3560" spans="1:7">
      <c r="A3560" s="3"/>
      <c r="B3560" s="3"/>
      <c r="C3560" s="3"/>
      <c r="D3560" s="3"/>
      <c r="E3560" s="3">
        <v>17</v>
      </c>
      <c r="F3560" s="4" t="str">
        <f>HYPERLINK("http://141.218.60.56/~jnz1568/getInfo.php?workbook=14_09.xlsx&amp;sheet=U0&amp;row=3560&amp;col=6&amp;number=4.6&amp;sourceID=14","4.6")</f>
        <v>4.6</v>
      </c>
      <c r="G3560" s="4" t="str">
        <f>HYPERLINK("http://141.218.60.56/~jnz1568/getInfo.php?workbook=14_09.xlsx&amp;sheet=U0&amp;row=3560&amp;col=7&amp;number=0.00362&amp;sourceID=14","0.00362")</f>
        <v>0.00362</v>
      </c>
    </row>
    <row r="3561" spans="1:7">
      <c r="A3561" s="3"/>
      <c r="B3561" s="3"/>
      <c r="C3561" s="3"/>
      <c r="D3561" s="3"/>
      <c r="E3561" s="3">
        <v>18</v>
      </c>
      <c r="F3561" s="4" t="str">
        <f>HYPERLINK("http://141.218.60.56/~jnz1568/getInfo.php?workbook=14_09.xlsx&amp;sheet=U0&amp;row=3561&amp;col=6&amp;number=4.7&amp;sourceID=14","4.7")</f>
        <v>4.7</v>
      </c>
      <c r="G3561" s="4" t="str">
        <f>HYPERLINK("http://141.218.60.56/~jnz1568/getInfo.php?workbook=14_09.xlsx&amp;sheet=U0&amp;row=3561&amp;col=7&amp;number=0.00356&amp;sourceID=14","0.00356")</f>
        <v>0.00356</v>
      </c>
    </row>
    <row r="3562" spans="1:7">
      <c r="A3562" s="3"/>
      <c r="B3562" s="3"/>
      <c r="C3562" s="3"/>
      <c r="D3562" s="3"/>
      <c r="E3562" s="3">
        <v>19</v>
      </c>
      <c r="F3562" s="4" t="str">
        <f>HYPERLINK("http://141.218.60.56/~jnz1568/getInfo.php?workbook=14_09.xlsx&amp;sheet=U0&amp;row=3562&amp;col=6&amp;number=4.8&amp;sourceID=14","4.8")</f>
        <v>4.8</v>
      </c>
      <c r="G3562" s="4" t="str">
        <f>HYPERLINK("http://141.218.60.56/~jnz1568/getInfo.php?workbook=14_09.xlsx&amp;sheet=U0&amp;row=3562&amp;col=7&amp;number=0.00351&amp;sourceID=14","0.00351")</f>
        <v>0.00351</v>
      </c>
    </row>
    <row r="3563" spans="1:7">
      <c r="A3563" s="3"/>
      <c r="B3563" s="3"/>
      <c r="C3563" s="3"/>
      <c r="D3563" s="3"/>
      <c r="E3563" s="3">
        <v>20</v>
      </c>
      <c r="F3563" s="4" t="str">
        <f>HYPERLINK("http://141.218.60.56/~jnz1568/getInfo.php?workbook=14_09.xlsx&amp;sheet=U0&amp;row=3563&amp;col=6&amp;number=4.9&amp;sourceID=14","4.9")</f>
        <v>4.9</v>
      </c>
      <c r="G3563" s="4" t="str">
        <f>HYPERLINK("http://141.218.60.56/~jnz1568/getInfo.php?workbook=14_09.xlsx&amp;sheet=U0&amp;row=3563&amp;col=7&amp;number=0.00346&amp;sourceID=14","0.00346")</f>
        <v>0.00346</v>
      </c>
    </row>
    <row r="3564" spans="1:7">
      <c r="A3564" s="3">
        <v>14</v>
      </c>
      <c r="B3564" s="3">
        <v>9</v>
      </c>
      <c r="C3564" s="3">
        <v>1</v>
      </c>
      <c r="D3564" s="3">
        <v>180</v>
      </c>
      <c r="E3564" s="3">
        <v>1</v>
      </c>
      <c r="F3564" s="4" t="str">
        <f>HYPERLINK("http://141.218.60.56/~jnz1568/getInfo.php?workbook=14_09.xlsx&amp;sheet=U0&amp;row=3564&amp;col=6&amp;number=3&amp;sourceID=14","3")</f>
        <v>3</v>
      </c>
      <c r="G3564" s="4" t="str">
        <f>HYPERLINK("http://141.218.60.56/~jnz1568/getInfo.php?workbook=14_09.xlsx&amp;sheet=U0&amp;row=3564&amp;col=7&amp;number=0.0124&amp;sourceID=14","0.0124")</f>
        <v>0.0124</v>
      </c>
    </row>
    <row r="3565" spans="1:7">
      <c r="A3565" s="3"/>
      <c r="B3565" s="3"/>
      <c r="C3565" s="3"/>
      <c r="D3565" s="3"/>
      <c r="E3565" s="3">
        <v>2</v>
      </c>
      <c r="F3565" s="4" t="str">
        <f>HYPERLINK("http://141.218.60.56/~jnz1568/getInfo.php?workbook=14_09.xlsx&amp;sheet=U0&amp;row=3565&amp;col=6&amp;number=3.1&amp;sourceID=14","3.1")</f>
        <v>3.1</v>
      </c>
      <c r="G3565" s="4" t="str">
        <f>HYPERLINK("http://141.218.60.56/~jnz1568/getInfo.php?workbook=14_09.xlsx&amp;sheet=U0&amp;row=3565&amp;col=7&amp;number=0.0124&amp;sourceID=14","0.0124")</f>
        <v>0.0124</v>
      </c>
    </row>
    <row r="3566" spans="1:7">
      <c r="A3566" s="3"/>
      <c r="B3566" s="3"/>
      <c r="C3566" s="3"/>
      <c r="D3566" s="3"/>
      <c r="E3566" s="3">
        <v>3</v>
      </c>
      <c r="F3566" s="4" t="str">
        <f>HYPERLINK("http://141.218.60.56/~jnz1568/getInfo.php?workbook=14_09.xlsx&amp;sheet=U0&amp;row=3566&amp;col=6&amp;number=3.2&amp;sourceID=14","3.2")</f>
        <v>3.2</v>
      </c>
      <c r="G3566" s="4" t="str">
        <f>HYPERLINK("http://141.218.60.56/~jnz1568/getInfo.php?workbook=14_09.xlsx&amp;sheet=U0&amp;row=3566&amp;col=7&amp;number=0.0124&amp;sourceID=14","0.0124")</f>
        <v>0.0124</v>
      </c>
    </row>
    <row r="3567" spans="1:7">
      <c r="A3567" s="3"/>
      <c r="B3567" s="3"/>
      <c r="C3567" s="3"/>
      <c r="D3567" s="3"/>
      <c r="E3567" s="3">
        <v>4</v>
      </c>
      <c r="F3567" s="4" t="str">
        <f>HYPERLINK("http://141.218.60.56/~jnz1568/getInfo.php?workbook=14_09.xlsx&amp;sheet=U0&amp;row=3567&amp;col=6&amp;number=3.3&amp;sourceID=14","3.3")</f>
        <v>3.3</v>
      </c>
      <c r="G3567" s="4" t="str">
        <f>HYPERLINK("http://141.218.60.56/~jnz1568/getInfo.php?workbook=14_09.xlsx&amp;sheet=U0&amp;row=3567&amp;col=7&amp;number=0.0124&amp;sourceID=14","0.0124")</f>
        <v>0.0124</v>
      </c>
    </row>
    <row r="3568" spans="1:7">
      <c r="A3568" s="3"/>
      <c r="B3568" s="3"/>
      <c r="C3568" s="3"/>
      <c r="D3568" s="3"/>
      <c r="E3568" s="3">
        <v>5</v>
      </c>
      <c r="F3568" s="4" t="str">
        <f>HYPERLINK("http://141.218.60.56/~jnz1568/getInfo.php?workbook=14_09.xlsx&amp;sheet=U0&amp;row=3568&amp;col=6&amp;number=3.4&amp;sourceID=14","3.4")</f>
        <v>3.4</v>
      </c>
      <c r="G3568" s="4" t="str">
        <f>HYPERLINK("http://141.218.60.56/~jnz1568/getInfo.php?workbook=14_09.xlsx&amp;sheet=U0&amp;row=3568&amp;col=7&amp;number=0.0124&amp;sourceID=14","0.0124")</f>
        <v>0.0124</v>
      </c>
    </row>
    <row r="3569" spans="1:7">
      <c r="A3569" s="3"/>
      <c r="B3569" s="3"/>
      <c r="C3569" s="3"/>
      <c r="D3569" s="3"/>
      <c r="E3569" s="3">
        <v>6</v>
      </c>
      <c r="F3569" s="4" t="str">
        <f>HYPERLINK("http://141.218.60.56/~jnz1568/getInfo.php?workbook=14_09.xlsx&amp;sheet=U0&amp;row=3569&amp;col=6&amp;number=3.5&amp;sourceID=14","3.5")</f>
        <v>3.5</v>
      </c>
      <c r="G3569" s="4" t="str">
        <f>HYPERLINK("http://141.218.60.56/~jnz1568/getInfo.php?workbook=14_09.xlsx&amp;sheet=U0&amp;row=3569&amp;col=7&amp;number=0.0124&amp;sourceID=14","0.0124")</f>
        <v>0.0124</v>
      </c>
    </row>
    <row r="3570" spans="1:7">
      <c r="A3570" s="3"/>
      <c r="B3570" s="3"/>
      <c r="C3570" s="3"/>
      <c r="D3570" s="3"/>
      <c r="E3570" s="3">
        <v>7</v>
      </c>
      <c r="F3570" s="4" t="str">
        <f>HYPERLINK("http://141.218.60.56/~jnz1568/getInfo.php?workbook=14_09.xlsx&amp;sheet=U0&amp;row=3570&amp;col=6&amp;number=3.6&amp;sourceID=14","3.6")</f>
        <v>3.6</v>
      </c>
      <c r="G3570" s="4" t="str">
        <f>HYPERLINK("http://141.218.60.56/~jnz1568/getInfo.php?workbook=14_09.xlsx&amp;sheet=U0&amp;row=3570&amp;col=7&amp;number=0.0124&amp;sourceID=14","0.0124")</f>
        <v>0.0124</v>
      </c>
    </row>
    <row r="3571" spans="1:7">
      <c r="A3571" s="3"/>
      <c r="B3571" s="3"/>
      <c r="C3571" s="3"/>
      <c r="D3571" s="3"/>
      <c r="E3571" s="3">
        <v>8</v>
      </c>
      <c r="F3571" s="4" t="str">
        <f>HYPERLINK("http://141.218.60.56/~jnz1568/getInfo.php?workbook=14_09.xlsx&amp;sheet=U0&amp;row=3571&amp;col=6&amp;number=3.7&amp;sourceID=14","3.7")</f>
        <v>3.7</v>
      </c>
      <c r="G3571" s="4" t="str">
        <f>HYPERLINK("http://141.218.60.56/~jnz1568/getInfo.php?workbook=14_09.xlsx&amp;sheet=U0&amp;row=3571&amp;col=7&amp;number=0.0124&amp;sourceID=14","0.0124")</f>
        <v>0.0124</v>
      </c>
    </row>
    <row r="3572" spans="1:7">
      <c r="A3572" s="3"/>
      <c r="B3572" s="3"/>
      <c r="C3572" s="3"/>
      <c r="D3572" s="3"/>
      <c r="E3572" s="3">
        <v>9</v>
      </c>
      <c r="F3572" s="4" t="str">
        <f>HYPERLINK("http://141.218.60.56/~jnz1568/getInfo.php?workbook=14_09.xlsx&amp;sheet=U0&amp;row=3572&amp;col=6&amp;number=3.8&amp;sourceID=14","3.8")</f>
        <v>3.8</v>
      </c>
      <c r="G3572" s="4" t="str">
        <f>HYPERLINK("http://141.218.60.56/~jnz1568/getInfo.php?workbook=14_09.xlsx&amp;sheet=U0&amp;row=3572&amp;col=7&amp;number=0.0124&amp;sourceID=14","0.0124")</f>
        <v>0.0124</v>
      </c>
    </row>
    <row r="3573" spans="1:7">
      <c r="A3573" s="3"/>
      <c r="B3573" s="3"/>
      <c r="C3573" s="3"/>
      <c r="D3573" s="3"/>
      <c r="E3573" s="3">
        <v>10</v>
      </c>
      <c r="F3573" s="4" t="str">
        <f>HYPERLINK("http://141.218.60.56/~jnz1568/getInfo.php?workbook=14_09.xlsx&amp;sheet=U0&amp;row=3573&amp;col=6&amp;number=3.9&amp;sourceID=14","3.9")</f>
        <v>3.9</v>
      </c>
      <c r="G3573" s="4" t="str">
        <f>HYPERLINK("http://141.218.60.56/~jnz1568/getInfo.php?workbook=14_09.xlsx&amp;sheet=U0&amp;row=3573&amp;col=7&amp;number=0.0125&amp;sourceID=14","0.0125")</f>
        <v>0.0125</v>
      </c>
    </row>
    <row r="3574" spans="1:7">
      <c r="A3574" s="3"/>
      <c r="B3574" s="3"/>
      <c r="C3574" s="3"/>
      <c r="D3574" s="3"/>
      <c r="E3574" s="3">
        <v>11</v>
      </c>
      <c r="F3574" s="4" t="str">
        <f>HYPERLINK("http://141.218.60.56/~jnz1568/getInfo.php?workbook=14_09.xlsx&amp;sheet=U0&amp;row=3574&amp;col=6&amp;number=4&amp;sourceID=14","4")</f>
        <v>4</v>
      </c>
      <c r="G3574" s="4" t="str">
        <f>HYPERLINK("http://141.218.60.56/~jnz1568/getInfo.php?workbook=14_09.xlsx&amp;sheet=U0&amp;row=3574&amp;col=7&amp;number=0.0125&amp;sourceID=14","0.0125")</f>
        <v>0.0125</v>
      </c>
    </row>
    <row r="3575" spans="1:7">
      <c r="A3575" s="3"/>
      <c r="B3575" s="3"/>
      <c r="C3575" s="3"/>
      <c r="D3575" s="3"/>
      <c r="E3575" s="3">
        <v>12</v>
      </c>
      <c r="F3575" s="4" t="str">
        <f>HYPERLINK("http://141.218.60.56/~jnz1568/getInfo.php?workbook=14_09.xlsx&amp;sheet=U0&amp;row=3575&amp;col=6&amp;number=4.1&amp;sourceID=14","4.1")</f>
        <v>4.1</v>
      </c>
      <c r="G3575" s="4" t="str">
        <f>HYPERLINK("http://141.218.60.56/~jnz1568/getInfo.php?workbook=14_09.xlsx&amp;sheet=U0&amp;row=3575&amp;col=7&amp;number=0.0125&amp;sourceID=14","0.0125")</f>
        <v>0.0125</v>
      </c>
    </row>
    <row r="3576" spans="1:7">
      <c r="A3576" s="3"/>
      <c r="B3576" s="3"/>
      <c r="C3576" s="3"/>
      <c r="D3576" s="3"/>
      <c r="E3576" s="3">
        <v>13</v>
      </c>
      <c r="F3576" s="4" t="str">
        <f>HYPERLINK("http://141.218.60.56/~jnz1568/getInfo.php?workbook=14_09.xlsx&amp;sheet=U0&amp;row=3576&amp;col=6&amp;number=4.2&amp;sourceID=14","4.2")</f>
        <v>4.2</v>
      </c>
      <c r="G3576" s="4" t="str">
        <f>HYPERLINK("http://141.218.60.56/~jnz1568/getInfo.php?workbook=14_09.xlsx&amp;sheet=U0&amp;row=3576&amp;col=7&amp;number=0.0125&amp;sourceID=14","0.0125")</f>
        <v>0.0125</v>
      </c>
    </row>
    <row r="3577" spans="1:7">
      <c r="A3577" s="3"/>
      <c r="B3577" s="3"/>
      <c r="C3577" s="3"/>
      <c r="D3577" s="3"/>
      <c r="E3577" s="3">
        <v>14</v>
      </c>
      <c r="F3577" s="4" t="str">
        <f>HYPERLINK("http://141.218.60.56/~jnz1568/getInfo.php?workbook=14_09.xlsx&amp;sheet=U0&amp;row=3577&amp;col=6&amp;number=4.3&amp;sourceID=14","4.3")</f>
        <v>4.3</v>
      </c>
      <c r="G3577" s="4" t="str">
        <f>HYPERLINK("http://141.218.60.56/~jnz1568/getInfo.php?workbook=14_09.xlsx&amp;sheet=U0&amp;row=3577&amp;col=7&amp;number=0.0125&amp;sourceID=14","0.0125")</f>
        <v>0.0125</v>
      </c>
    </row>
    <row r="3578" spans="1:7">
      <c r="A3578" s="3"/>
      <c r="B3578" s="3"/>
      <c r="C3578" s="3"/>
      <c r="D3578" s="3"/>
      <c r="E3578" s="3">
        <v>15</v>
      </c>
      <c r="F3578" s="4" t="str">
        <f>HYPERLINK("http://141.218.60.56/~jnz1568/getInfo.php?workbook=14_09.xlsx&amp;sheet=U0&amp;row=3578&amp;col=6&amp;number=4.4&amp;sourceID=14","4.4")</f>
        <v>4.4</v>
      </c>
      <c r="G3578" s="4" t="str">
        <f>HYPERLINK("http://141.218.60.56/~jnz1568/getInfo.php?workbook=14_09.xlsx&amp;sheet=U0&amp;row=3578&amp;col=7&amp;number=0.0126&amp;sourceID=14","0.0126")</f>
        <v>0.0126</v>
      </c>
    </row>
    <row r="3579" spans="1:7">
      <c r="A3579" s="3"/>
      <c r="B3579" s="3"/>
      <c r="C3579" s="3"/>
      <c r="D3579" s="3"/>
      <c r="E3579" s="3">
        <v>16</v>
      </c>
      <c r="F3579" s="4" t="str">
        <f>HYPERLINK("http://141.218.60.56/~jnz1568/getInfo.php?workbook=14_09.xlsx&amp;sheet=U0&amp;row=3579&amp;col=6&amp;number=4.5&amp;sourceID=14","4.5")</f>
        <v>4.5</v>
      </c>
      <c r="G3579" s="4" t="str">
        <f>HYPERLINK("http://141.218.60.56/~jnz1568/getInfo.php?workbook=14_09.xlsx&amp;sheet=U0&amp;row=3579&amp;col=7&amp;number=0.0126&amp;sourceID=14","0.0126")</f>
        <v>0.0126</v>
      </c>
    </row>
    <row r="3580" spans="1:7">
      <c r="A3580" s="3"/>
      <c r="B3580" s="3"/>
      <c r="C3580" s="3"/>
      <c r="D3580" s="3"/>
      <c r="E3580" s="3">
        <v>17</v>
      </c>
      <c r="F3580" s="4" t="str">
        <f>HYPERLINK("http://141.218.60.56/~jnz1568/getInfo.php?workbook=14_09.xlsx&amp;sheet=U0&amp;row=3580&amp;col=6&amp;number=4.6&amp;sourceID=14","4.6")</f>
        <v>4.6</v>
      </c>
      <c r="G3580" s="4" t="str">
        <f>HYPERLINK("http://141.218.60.56/~jnz1568/getInfo.php?workbook=14_09.xlsx&amp;sheet=U0&amp;row=3580&amp;col=7&amp;number=0.0127&amp;sourceID=14","0.0127")</f>
        <v>0.0127</v>
      </c>
    </row>
    <row r="3581" spans="1:7">
      <c r="A3581" s="3"/>
      <c r="B3581" s="3"/>
      <c r="C3581" s="3"/>
      <c r="D3581" s="3"/>
      <c r="E3581" s="3">
        <v>18</v>
      </c>
      <c r="F3581" s="4" t="str">
        <f>HYPERLINK("http://141.218.60.56/~jnz1568/getInfo.php?workbook=14_09.xlsx&amp;sheet=U0&amp;row=3581&amp;col=6&amp;number=4.7&amp;sourceID=14","4.7")</f>
        <v>4.7</v>
      </c>
      <c r="G3581" s="4" t="str">
        <f>HYPERLINK("http://141.218.60.56/~jnz1568/getInfo.php?workbook=14_09.xlsx&amp;sheet=U0&amp;row=3581&amp;col=7&amp;number=0.0127&amp;sourceID=14","0.0127")</f>
        <v>0.0127</v>
      </c>
    </row>
    <row r="3582" spans="1:7">
      <c r="A3582" s="3"/>
      <c r="B3582" s="3"/>
      <c r="C3582" s="3"/>
      <c r="D3582" s="3"/>
      <c r="E3582" s="3">
        <v>19</v>
      </c>
      <c r="F3582" s="4" t="str">
        <f>HYPERLINK("http://141.218.60.56/~jnz1568/getInfo.php?workbook=14_09.xlsx&amp;sheet=U0&amp;row=3582&amp;col=6&amp;number=4.8&amp;sourceID=14","4.8")</f>
        <v>4.8</v>
      </c>
      <c r="G3582" s="4" t="str">
        <f>HYPERLINK("http://141.218.60.56/~jnz1568/getInfo.php?workbook=14_09.xlsx&amp;sheet=U0&amp;row=3582&amp;col=7&amp;number=0.0128&amp;sourceID=14","0.0128")</f>
        <v>0.0128</v>
      </c>
    </row>
    <row r="3583" spans="1:7">
      <c r="A3583" s="3"/>
      <c r="B3583" s="3"/>
      <c r="C3583" s="3"/>
      <c r="D3583" s="3"/>
      <c r="E3583" s="3">
        <v>20</v>
      </c>
      <c r="F3583" s="4" t="str">
        <f>HYPERLINK("http://141.218.60.56/~jnz1568/getInfo.php?workbook=14_09.xlsx&amp;sheet=U0&amp;row=3583&amp;col=6&amp;number=4.9&amp;sourceID=14","4.9")</f>
        <v>4.9</v>
      </c>
      <c r="G3583" s="4" t="str">
        <f>HYPERLINK("http://141.218.60.56/~jnz1568/getInfo.php?workbook=14_09.xlsx&amp;sheet=U0&amp;row=3583&amp;col=7&amp;number=0.0129&amp;sourceID=14","0.0129")</f>
        <v>0.0129</v>
      </c>
    </row>
    <row r="3584" spans="1:7">
      <c r="A3584" s="3">
        <v>14</v>
      </c>
      <c r="B3584" s="3">
        <v>9</v>
      </c>
      <c r="C3584" s="3">
        <v>1</v>
      </c>
      <c r="D3584" s="3">
        <v>181</v>
      </c>
      <c r="E3584" s="3">
        <v>1</v>
      </c>
      <c r="F3584" s="4" t="str">
        <f>HYPERLINK("http://141.218.60.56/~jnz1568/getInfo.php?workbook=14_09.xlsx&amp;sheet=U0&amp;row=3584&amp;col=6&amp;number=3&amp;sourceID=14","3")</f>
        <v>3</v>
      </c>
      <c r="G3584" s="4" t="str">
        <f>HYPERLINK("http://141.218.60.56/~jnz1568/getInfo.php?workbook=14_09.xlsx&amp;sheet=U0&amp;row=3584&amp;col=7&amp;number=0.00996&amp;sourceID=14","0.00996")</f>
        <v>0.00996</v>
      </c>
    </row>
    <row r="3585" spans="1:7">
      <c r="A3585" s="3"/>
      <c r="B3585" s="3"/>
      <c r="C3585" s="3"/>
      <c r="D3585" s="3"/>
      <c r="E3585" s="3">
        <v>2</v>
      </c>
      <c r="F3585" s="4" t="str">
        <f>HYPERLINK("http://141.218.60.56/~jnz1568/getInfo.php?workbook=14_09.xlsx&amp;sheet=U0&amp;row=3585&amp;col=6&amp;number=3.1&amp;sourceID=14","3.1")</f>
        <v>3.1</v>
      </c>
      <c r="G3585" s="4" t="str">
        <f>HYPERLINK("http://141.218.60.56/~jnz1568/getInfo.php?workbook=14_09.xlsx&amp;sheet=U0&amp;row=3585&amp;col=7&amp;number=0.00996&amp;sourceID=14","0.00996")</f>
        <v>0.00996</v>
      </c>
    </row>
    <row r="3586" spans="1:7">
      <c r="A3586" s="3"/>
      <c r="B3586" s="3"/>
      <c r="C3586" s="3"/>
      <c r="D3586" s="3"/>
      <c r="E3586" s="3">
        <v>3</v>
      </c>
      <c r="F3586" s="4" t="str">
        <f>HYPERLINK("http://141.218.60.56/~jnz1568/getInfo.php?workbook=14_09.xlsx&amp;sheet=U0&amp;row=3586&amp;col=6&amp;number=3.2&amp;sourceID=14","3.2")</f>
        <v>3.2</v>
      </c>
      <c r="G3586" s="4" t="str">
        <f>HYPERLINK("http://141.218.60.56/~jnz1568/getInfo.php?workbook=14_09.xlsx&amp;sheet=U0&amp;row=3586&amp;col=7&amp;number=0.00997&amp;sourceID=14","0.00997")</f>
        <v>0.00997</v>
      </c>
    </row>
    <row r="3587" spans="1:7">
      <c r="A3587" s="3"/>
      <c r="B3587" s="3"/>
      <c r="C3587" s="3"/>
      <c r="D3587" s="3"/>
      <c r="E3587" s="3">
        <v>4</v>
      </c>
      <c r="F3587" s="4" t="str">
        <f>HYPERLINK("http://141.218.60.56/~jnz1568/getInfo.php?workbook=14_09.xlsx&amp;sheet=U0&amp;row=3587&amp;col=6&amp;number=3.3&amp;sourceID=14","3.3")</f>
        <v>3.3</v>
      </c>
      <c r="G3587" s="4" t="str">
        <f>HYPERLINK("http://141.218.60.56/~jnz1568/getInfo.php?workbook=14_09.xlsx&amp;sheet=U0&amp;row=3587&amp;col=7&amp;number=0.00997&amp;sourceID=14","0.00997")</f>
        <v>0.00997</v>
      </c>
    </row>
    <row r="3588" spans="1:7">
      <c r="A3588" s="3"/>
      <c r="B3588" s="3"/>
      <c r="C3588" s="3"/>
      <c r="D3588" s="3"/>
      <c r="E3588" s="3">
        <v>5</v>
      </c>
      <c r="F3588" s="4" t="str">
        <f>HYPERLINK("http://141.218.60.56/~jnz1568/getInfo.php?workbook=14_09.xlsx&amp;sheet=U0&amp;row=3588&amp;col=6&amp;number=3.4&amp;sourceID=14","3.4")</f>
        <v>3.4</v>
      </c>
      <c r="G3588" s="4" t="str">
        <f>HYPERLINK("http://141.218.60.56/~jnz1568/getInfo.php?workbook=14_09.xlsx&amp;sheet=U0&amp;row=3588&amp;col=7&amp;number=0.00997&amp;sourceID=14","0.00997")</f>
        <v>0.00997</v>
      </c>
    </row>
    <row r="3589" spans="1:7">
      <c r="A3589" s="3"/>
      <c r="B3589" s="3"/>
      <c r="C3589" s="3"/>
      <c r="D3589" s="3"/>
      <c r="E3589" s="3">
        <v>6</v>
      </c>
      <c r="F3589" s="4" t="str">
        <f>HYPERLINK("http://141.218.60.56/~jnz1568/getInfo.php?workbook=14_09.xlsx&amp;sheet=U0&amp;row=3589&amp;col=6&amp;number=3.5&amp;sourceID=14","3.5")</f>
        <v>3.5</v>
      </c>
      <c r="G3589" s="4" t="str">
        <f>HYPERLINK("http://141.218.60.56/~jnz1568/getInfo.php?workbook=14_09.xlsx&amp;sheet=U0&amp;row=3589&amp;col=7&amp;number=0.00997&amp;sourceID=14","0.00997")</f>
        <v>0.00997</v>
      </c>
    </row>
    <row r="3590" spans="1:7">
      <c r="A3590" s="3"/>
      <c r="B3590" s="3"/>
      <c r="C3590" s="3"/>
      <c r="D3590" s="3"/>
      <c r="E3590" s="3">
        <v>7</v>
      </c>
      <c r="F3590" s="4" t="str">
        <f>HYPERLINK("http://141.218.60.56/~jnz1568/getInfo.php?workbook=14_09.xlsx&amp;sheet=U0&amp;row=3590&amp;col=6&amp;number=3.6&amp;sourceID=14","3.6")</f>
        <v>3.6</v>
      </c>
      <c r="G3590" s="4" t="str">
        <f>HYPERLINK("http://141.218.60.56/~jnz1568/getInfo.php?workbook=14_09.xlsx&amp;sheet=U0&amp;row=3590&amp;col=7&amp;number=0.00998&amp;sourceID=14","0.00998")</f>
        <v>0.00998</v>
      </c>
    </row>
    <row r="3591" spans="1:7">
      <c r="A3591" s="3"/>
      <c r="B3591" s="3"/>
      <c r="C3591" s="3"/>
      <c r="D3591" s="3"/>
      <c r="E3591" s="3">
        <v>8</v>
      </c>
      <c r="F3591" s="4" t="str">
        <f>HYPERLINK("http://141.218.60.56/~jnz1568/getInfo.php?workbook=14_09.xlsx&amp;sheet=U0&amp;row=3591&amp;col=6&amp;number=3.7&amp;sourceID=14","3.7")</f>
        <v>3.7</v>
      </c>
      <c r="G3591" s="4" t="str">
        <f>HYPERLINK("http://141.218.60.56/~jnz1568/getInfo.php?workbook=14_09.xlsx&amp;sheet=U0&amp;row=3591&amp;col=7&amp;number=0.00998&amp;sourceID=14","0.00998")</f>
        <v>0.00998</v>
      </c>
    </row>
    <row r="3592" spans="1:7">
      <c r="A3592" s="3"/>
      <c r="B3592" s="3"/>
      <c r="C3592" s="3"/>
      <c r="D3592" s="3"/>
      <c r="E3592" s="3">
        <v>9</v>
      </c>
      <c r="F3592" s="4" t="str">
        <f>HYPERLINK("http://141.218.60.56/~jnz1568/getInfo.php?workbook=14_09.xlsx&amp;sheet=U0&amp;row=3592&amp;col=6&amp;number=3.8&amp;sourceID=14","3.8")</f>
        <v>3.8</v>
      </c>
      <c r="G3592" s="4" t="str">
        <f>HYPERLINK("http://141.218.60.56/~jnz1568/getInfo.php?workbook=14_09.xlsx&amp;sheet=U0&amp;row=3592&amp;col=7&amp;number=0.00999&amp;sourceID=14","0.00999")</f>
        <v>0.00999</v>
      </c>
    </row>
    <row r="3593" spans="1:7">
      <c r="A3593" s="3"/>
      <c r="B3593" s="3"/>
      <c r="C3593" s="3"/>
      <c r="D3593" s="3"/>
      <c r="E3593" s="3">
        <v>10</v>
      </c>
      <c r="F3593" s="4" t="str">
        <f>HYPERLINK("http://141.218.60.56/~jnz1568/getInfo.php?workbook=14_09.xlsx&amp;sheet=U0&amp;row=3593&amp;col=6&amp;number=3.9&amp;sourceID=14","3.9")</f>
        <v>3.9</v>
      </c>
      <c r="G3593" s="4" t="str">
        <f>HYPERLINK("http://141.218.60.56/~jnz1568/getInfo.php?workbook=14_09.xlsx&amp;sheet=U0&amp;row=3593&amp;col=7&amp;number=0.00999&amp;sourceID=14","0.00999")</f>
        <v>0.00999</v>
      </c>
    </row>
    <row r="3594" spans="1:7">
      <c r="A3594" s="3"/>
      <c r="B3594" s="3"/>
      <c r="C3594" s="3"/>
      <c r="D3594" s="3"/>
      <c r="E3594" s="3">
        <v>11</v>
      </c>
      <c r="F3594" s="4" t="str">
        <f>HYPERLINK("http://141.218.60.56/~jnz1568/getInfo.php?workbook=14_09.xlsx&amp;sheet=U0&amp;row=3594&amp;col=6&amp;number=4&amp;sourceID=14","4")</f>
        <v>4</v>
      </c>
      <c r="G3594" s="4" t="str">
        <f>HYPERLINK("http://141.218.60.56/~jnz1568/getInfo.php?workbook=14_09.xlsx&amp;sheet=U0&amp;row=3594&amp;col=7&amp;number=0.01&amp;sourceID=14","0.01")</f>
        <v>0.01</v>
      </c>
    </row>
    <row r="3595" spans="1:7">
      <c r="A3595" s="3"/>
      <c r="B3595" s="3"/>
      <c r="C3595" s="3"/>
      <c r="D3595" s="3"/>
      <c r="E3595" s="3">
        <v>12</v>
      </c>
      <c r="F3595" s="4" t="str">
        <f>HYPERLINK("http://141.218.60.56/~jnz1568/getInfo.php?workbook=14_09.xlsx&amp;sheet=U0&amp;row=3595&amp;col=6&amp;number=4.1&amp;sourceID=14","4.1")</f>
        <v>4.1</v>
      </c>
      <c r="G3595" s="4" t="str">
        <f>HYPERLINK("http://141.218.60.56/~jnz1568/getInfo.php?workbook=14_09.xlsx&amp;sheet=U0&amp;row=3595&amp;col=7&amp;number=0.01&amp;sourceID=14","0.01")</f>
        <v>0.01</v>
      </c>
    </row>
    <row r="3596" spans="1:7">
      <c r="A3596" s="3"/>
      <c r="B3596" s="3"/>
      <c r="C3596" s="3"/>
      <c r="D3596" s="3"/>
      <c r="E3596" s="3">
        <v>13</v>
      </c>
      <c r="F3596" s="4" t="str">
        <f>HYPERLINK("http://141.218.60.56/~jnz1568/getInfo.php?workbook=14_09.xlsx&amp;sheet=U0&amp;row=3596&amp;col=6&amp;number=4.2&amp;sourceID=14","4.2")</f>
        <v>4.2</v>
      </c>
      <c r="G3596" s="4" t="str">
        <f>HYPERLINK("http://141.218.60.56/~jnz1568/getInfo.php?workbook=14_09.xlsx&amp;sheet=U0&amp;row=3596&amp;col=7&amp;number=0.01&amp;sourceID=14","0.01")</f>
        <v>0.01</v>
      </c>
    </row>
    <row r="3597" spans="1:7">
      <c r="A3597" s="3"/>
      <c r="B3597" s="3"/>
      <c r="C3597" s="3"/>
      <c r="D3597" s="3"/>
      <c r="E3597" s="3">
        <v>14</v>
      </c>
      <c r="F3597" s="4" t="str">
        <f>HYPERLINK("http://141.218.60.56/~jnz1568/getInfo.php?workbook=14_09.xlsx&amp;sheet=U0&amp;row=3597&amp;col=6&amp;number=4.3&amp;sourceID=14","4.3")</f>
        <v>4.3</v>
      </c>
      <c r="G3597" s="4" t="str">
        <f>HYPERLINK("http://141.218.60.56/~jnz1568/getInfo.php?workbook=14_09.xlsx&amp;sheet=U0&amp;row=3597&amp;col=7&amp;number=0.01&amp;sourceID=14","0.01")</f>
        <v>0.01</v>
      </c>
    </row>
    <row r="3598" spans="1:7">
      <c r="A3598" s="3"/>
      <c r="B3598" s="3"/>
      <c r="C3598" s="3"/>
      <c r="D3598" s="3"/>
      <c r="E3598" s="3">
        <v>15</v>
      </c>
      <c r="F3598" s="4" t="str">
        <f>HYPERLINK("http://141.218.60.56/~jnz1568/getInfo.php?workbook=14_09.xlsx&amp;sheet=U0&amp;row=3598&amp;col=6&amp;number=4.4&amp;sourceID=14","4.4")</f>
        <v>4.4</v>
      </c>
      <c r="G3598" s="4" t="str">
        <f>HYPERLINK("http://141.218.60.56/~jnz1568/getInfo.php?workbook=14_09.xlsx&amp;sheet=U0&amp;row=3598&amp;col=7&amp;number=0.0101&amp;sourceID=14","0.0101")</f>
        <v>0.0101</v>
      </c>
    </row>
    <row r="3599" spans="1:7">
      <c r="A3599" s="3"/>
      <c r="B3599" s="3"/>
      <c r="C3599" s="3"/>
      <c r="D3599" s="3"/>
      <c r="E3599" s="3">
        <v>16</v>
      </c>
      <c r="F3599" s="4" t="str">
        <f>HYPERLINK("http://141.218.60.56/~jnz1568/getInfo.php?workbook=14_09.xlsx&amp;sheet=U0&amp;row=3599&amp;col=6&amp;number=4.5&amp;sourceID=14","4.5")</f>
        <v>4.5</v>
      </c>
      <c r="G3599" s="4" t="str">
        <f>HYPERLINK("http://141.218.60.56/~jnz1568/getInfo.php?workbook=14_09.xlsx&amp;sheet=U0&amp;row=3599&amp;col=7&amp;number=0.0101&amp;sourceID=14","0.0101")</f>
        <v>0.0101</v>
      </c>
    </row>
    <row r="3600" spans="1:7">
      <c r="A3600" s="3"/>
      <c r="B3600" s="3"/>
      <c r="C3600" s="3"/>
      <c r="D3600" s="3"/>
      <c r="E3600" s="3">
        <v>17</v>
      </c>
      <c r="F3600" s="4" t="str">
        <f>HYPERLINK("http://141.218.60.56/~jnz1568/getInfo.php?workbook=14_09.xlsx&amp;sheet=U0&amp;row=3600&amp;col=6&amp;number=4.6&amp;sourceID=14","4.6")</f>
        <v>4.6</v>
      </c>
      <c r="G3600" s="4" t="str">
        <f>HYPERLINK("http://141.218.60.56/~jnz1568/getInfo.php?workbook=14_09.xlsx&amp;sheet=U0&amp;row=3600&amp;col=7&amp;number=0.0101&amp;sourceID=14","0.0101")</f>
        <v>0.0101</v>
      </c>
    </row>
    <row r="3601" spans="1:7">
      <c r="A3601" s="3"/>
      <c r="B3601" s="3"/>
      <c r="C3601" s="3"/>
      <c r="D3601" s="3"/>
      <c r="E3601" s="3">
        <v>18</v>
      </c>
      <c r="F3601" s="4" t="str">
        <f>HYPERLINK("http://141.218.60.56/~jnz1568/getInfo.php?workbook=14_09.xlsx&amp;sheet=U0&amp;row=3601&amp;col=6&amp;number=4.7&amp;sourceID=14","4.7")</f>
        <v>4.7</v>
      </c>
      <c r="G3601" s="4" t="str">
        <f>HYPERLINK("http://141.218.60.56/~jnz1568/getInfo.php?workbook=14_09.xlsx&amp;sheet=U0&amp;row=3601&amp;col=7&amp;number=0.0102&amp;sourceID=14","0.0102")</f>
        <v>0.0102</v>
      </c>
    </row>
    <row r="3602" spans="1:7">
      <c r="A3602" s="3"/>
      <c r="B3602" s="3"/>
      <c r="C3602" s="3"/>
      <c r="D3602" s="3"/>
      <c r="E3602" s="3">
        <v>19</v>
      </c>
      <c r="F3602" s="4" t="str">
        <f>HYPERLINK("http://141.218.60.56/~jnz1568/getInfo.php?workbook=14_09.xlsx&amp;sheet=U0&amp;row=3602&amp;col=6&amp;number=4.8&amp;sourceID=14","4.8")</f>
        <v>4.8</v>
      </c>
      <c r="G3602" s="4" t="str">
        <f>HYPERLINK("http://141.218.60.56/~jnz1568/getInfo.php?workbook=14_09.xlsx&amp;sheet=U0&amp;row=3602&amp;col=7&amp;number=0.0102&amp;sourceID=14","0.0102")</f>
        <v>0.0102</v>
      </c>
    </row>
    <row r="3603" spans="1:7">
      <c r="A3603" s="3"/>
      <c r="B3603" s="3"/>
      <c r="C3603" s="3"/>
      <c r="D3603" s="3"/>
      <c r="E3603" s="3">
        <v>20</v>
      </c>
      <c r="F3603" s="4" t="str">
        <f>HYPERLINK("http://141.218.60.56/~jnz1568/getInfo.php?workbook=14_09.xlsx&amp;sheet=U0&amp;row=3603&amp;col=6&amp;number=4.9&amp;sourceID=14","4.9")</f>
        <v>4.9</v>
      </c>
      <c r="G3603" s="4" t="str">
        <f>HYPERLINK("http://141.218.60.56/~jnz1568/getInfo.php?workbook=14_09.xlsx&amp;sheet=U0&amp;row=3603&amp;col=7&amp;number=0.0103&amp;sourceID=14","0.0103")</f>
        <v>0.0103</v>
      </c>
    </row>
    <row r="3604" spans="1:7">
      <c r="A3604" s="3">
        <v>14</v>
      </c>
      <c r="B3604" s="3">
        <v>9</v>
      </c>
      <c r="C3604" s="3">
        <v>1</v>
      </c>
      <c r="D3604" s="3">
        <v>182</v>
      </c>
      <c r="E3604" s="3">
        <v>1</v>
      </c>
      <c r="F3604" s="4" t="str">
        <f>HYPERLINK("http://141.218.60.56/~jnz1568/getInfo.php?workbook=14_09.xlsx&amp;sheet=U0&amp;row=3604&amp;col=6&amp;number=3&amp;sourceID=14","3")</f>
        <v>3</v>
      </c>
      <c r="G3604" s="4" t="str">
        <f>HYPERLINK("http://141.218.60.56/~jnz1568/getInfo.php?workbook=14_09.xlsx&amp;sheet=U0&amp;row=3604&amp;col=7&amp;number=0.00945&amp;sourceID=14","0.00945")</f>
        <v>0.00945</v>
      </c>
    </row>
    <row r="3605" spans="1:7">
      <c r="A3605" s="3"/>
      <c r="B3605" s="3"/>
      <c r="C3605" s="3"/>
      <c r="D3605" s="3"/>
      <c r="E3605" s="3">
        <v>2</v>
      </c>
      <c r="F3605" s="4" t="str">
        <f>HYPERLINK("http://141.218.60.56/~jnz1568/getInfo.php?workbook=14_09.xlsx&amp;sheet=U0&amp;row=3605&amp;col=6&amp;number=3.1&amp;sourceID=14","3.1")</f>
        <v>3.1</v>
      </c>
      <c r="G3605" s="4" t="str">
        <f>HYPERLINK("http://141.218.60.56/~jnz1568/getInfo.php?workbook=14_09.xlsx&amp;sheet=U0&amp;row=3605&amp;col=7&amp;number=0.00945&amp;sourceID=14","0.00945")</f>
        <v>0.00945</v>
      </c>
    </row>
    <row r="3606" spans="1:7">
      <c r="A3606" s="3"/>
      <c r="B3606" s="3"/>
      <c r="C3606" s="3"/>
      <c r="D3606" s="3"/>
      <c r="E3606" s="3">
        <v>3</v>
      </c>
      <c r="F3606" s="4" t="str">
        <f>HYPERLINK("http://141.218.60.56/~jnz1568/getInfo.php?workbook=14_09.xlsx&amp;sheet=U0&amp;row=3606&amp;col=6&amp;number=3.2&amp;sourceID=14","3.2")</f>
        <v>3.2</v>
      </c>
      <c r="G3606" s="4" t="str">
        <f>HYPERLINK("http://141.218.60.56/~jnz1568/getInfo.php?workbook=14_09.xlsx&amp;sheet=U0&amp;row=3606&amp;col=7&amp;number=0.00945&amp;sourceID=14","0.00945")</f>
        <v>0.00945</v>
      </c>
    </row>
    <row r="3607" spans="1:7">
      <c r="A3607" s="3"/>
      <c r="B3607" s="3"/>
      <c r="C3607" s="3"/>
      <c r="D3607" s="3"/>
      <c r="E3607" s="3">
        <v>4</v>
      </c>
      <c r="F3607" s="4" t="str">
        <f>HYPERLINK("http://141.218.60.56/~jnz1568/getInfo.php?workbook=14_09.xlsx&amp;sheet=U0&amp;row=3607&amp;col=6&amp;number=3.3&amp;sourceID=14","3.3")</f>
        <v>3.3</v>
      </c>
      <c r="G3607" s="4" t="str">
        <f>HYPERLINK("http://141.218.60.56/~jnz1568/getInfo.php?workbook=14_09.xlsx&amp;sheet=U0&amp;row=3607&amp;col=7&amp;number=0.00946&amp;sourceID=14","0.00946")</f>
        <v>0.00946</v>
      </c>
    </row>
    <row r="3608" spans="1:7">
      <c r="A3608" s="3"/>
      <c r="B3608" s="3"/>
      <c r="C3608" s="3"/>
      <c r="D3608" s="3"/>
      <c r="E3608" s="3">
        <v>5</v>
      </c>
      <c r="F3608" s="4" t="str">
        <f>HYPERLINK("http://141.218.60.56/~jnz1568/getInfo.php?workbook=14_09.xlsx&amp;sheet=U0&amp;row=3608&amp;col=6&amp;number=3.4&amp;sourceID=14","3.4")</f>
        <v>3.4</v>
      </c>
      <c r="G3608" s="4" t="str">
        <f>HYPERLINK("http://141.218.60.56/~jnz1568/getInfo.php?workbook=14_09.xlsx&amp;sheet=U0&amp;row=3608&amp;col=7&amp;number=0.00946&amp;sourceID=14","0.00946")</f>
        <v>0.00946</v>
      </c>
    </row>
    <row r="3609" spans="1:7">
      <c r="A3609" s="3"/>
      <c r="B3609" s="3"/>
      <c r="C3609" s="3"/>
      <c r="D3609" s="3"/>
      <c r="E3609" s="3">
        <v>6</v>
      </c>
      <c r="F3609" s="4" t="str">
        <f>HYPERLINK("http://141.218.60.56/~jnz1568/getInfo.php?workbook=14_09.xlsx&amp;sheet=U0&amp;row=3609&amp;col=6&amp;number=3.5&amp;sourceID=14","3.5")</f>
        <v>3.5</v>
      </c>
      <c r="G3609" s="4" t="str">
        <f>HYPERLINK("http://141.218.60.56/~jnz1568/getInfo.php?workbook=14_09.xlsx&amp;sheet=U0&amp;row=3609&amp;col=7&amp;number=0.00946&amp;sourceID=14","0.00946")</f>
        <v>0.00946</v>
      </c>
    </row>
    <row r="3610" spans="1:7">
      <c r="A3610" s="3"/>
      <c r="B3610" s="3"/>
      <c r="C3610" s="3"/>
      <c r="D3610" s="3"/>
      <c r="E3610" s="3">
        <v>7</v>
      </c>
      <c r="F3610" s="4" t="str">
        <f>HYPERLINK("http://141.218.60.56/~jnz1568/getInfo.php?workbook=14_09.xlsx&amp;sheet=U0&amp;row=3610&amp;col=6&amp;number=3.6&amp;sourceID=14","3.6")</f>
        <v>3.6</v>
      </c>
      <c r="G3610" s="4" t="str">
        <f>HYPERLINK("http://141.218.60.56/~jnz1568/getInfo.php?workbook=14_09.xlsx&amp;sheet=U0&amp;row=3610&amp;col=7&amp;number=0.00947&amp;sourceID=14","0.00947")</f>
        <v>0.00947</v>
      </c>
    </row>
    <row r="3611" spans="1:7">
      <c r="A3611" s="3"/>
      <c r="B3611" s="3"/>
      <c r="C3611" s="3"/>
      <c r="D3611" s="3"/>
      <c r="E3611" s="3">
        <v>8</v>
      </c>
      <c r="F3611" s="4" t="str">
        <f>HYPERLINK("http://141.218.60.56/~jnz1568/getInfo.php?workbook=14_09.xlsx&amp;sheet=U0&amp;row=3611&amp;col=6&amp;number=3.7&amp;sourceID=14","3.7")</f>
        <v>3.7</v>
      </c>
      <c r="G3611" s="4" t="str">
        <f>HYPERLINK("http://141.218.60.56/~jnz1568/getInfo.php?workbook=14_09.xlsx&amp;sheet=U0&amp;row=3611&amp;col=7&amp;number=0.00947&amp;sourceID=14","0.00947")</f>
        <v>0.00947</v>
      </c>
    </row>
    <row r="3612" spans="1:7">
      <c r="A3612" s="3"/>
      <c r="B3612" s="3"/>
      <c r="C3612" s="3"/>
      <c r="D3612" s="3"/>
      <c r="E3612" s="3">
        <v>9</v>
      </c>
      <c r="F3612" s="4" t="str">
        <f>HYPERLINK("http://141.218.60.56/~jnz1568/getInfo.php?workbook=14_09.xlsx&amp;sheet=U0&amp;row=3612&amp;col=6&amp;number=3.8&amp;sourceID=14","3.8")</f>
        <v>3.8</v>
      </c>
      <c r="G3612" s="4" t="str">
        <f>HYPERLINK("http://141.218.60.56/~jnz1568/getInfo.php?workbook=14_09.xlsx&amp;sheet=U0&amp;row=3612&amp;col=7&amp;number=0.00948&amp;sourceID=14","0.00948")</f>
        <v>0.00948</v>
      </c>
    </row>
    <row r="3613" spans="1:7">
      <c r="A3613" s="3"/>
      <c r="B3613" s="3"/>
      <c r="C3613" s="3"/>
      <c r="D3613" s="3"/>
      <c r="E3613" s="3">
        <v>10</v>
      </c>
      <c r="F3613" s="4" t="str">
        <f>HYPERLINK("http://141.218.60.56/~jnz1568/getInfo.php?workbook=14_09.xlsx&amp;sheet=U0&amp;row=3613&amp;col=6&amp;number=3.9&amp;sourceID=14","3.9")</f>
        <v>3.9</v>
      </c>
      <c r="G3613" s="4" t="str">
        <f>HYPERLINK("http://141.218.60.56/~jnz1568/getInfo.php?workbook=14_09.xlsx&amp;sheet=U0&amp;row=3613&amp;col=7&amp;number=0.00949&amp;sourceID=14","0.00949")</f>
        <v>0.00949</v>
      </c>
    </row>
    <row r="3614" spans="1:7">
      <c r="A3614" s="3"/>
      <c r="B3614" s="3"/>
      <c r="C3614" s="3"/>
      <c r="D3614" s="3"/>
      <c r="E3614" s="3">
        <v>11</v>
      </c>
      <c r="F3614" s="4" t="str">
        <f>HYPERLINK("http://141.218.60.56/~jnz1568/getInfo.php?workbook=14_09.xlsx&amp;sheet=U0&amp;row=3614&amp;col=6&amp;number=4&amp;sourceID=14","4")</f>
        <v>4</v>
      </c>
      <c r="G3614" s="4" t="str">
        <f>HYPERLINK("http://141.218.60.56/~jnz1568/getInfo.php?workbook=14_09.xlsx&amp;sheet=U0&amp;row=3614&amp;col=7&amp;number=0.0095&amp;sourceID=14","0.0095")</f>
        <v>0.0095</v>
      </c>
    </row>
    <row r="3615" spans="1:7">
      <c r="A3615" s="3"/>
      <c r="B3615" s="3"/>
      <c r="C3615" s="3"/>
      <c r="D3615" s="3"/>
      <c r="E3615" s="3">
        <v>12</v>
      </c>
      <c r="F3615" s="4" t="str">
        <f>HYPERLINK("http://141.218.60.56/~jnz1568/getInfo.php?workbook=14_09.xlsx&amp;sheet=U0&amp;row=3615&amp;col=6&amp;number=4.1&amp;sourceID=14","4.1")</f>
        <v>4.1</v>
      </c>
      <c r="G3615" s="4" t="str">
        <f>HYPERLINK("http://141.218.60.56/~jnz1568/getInfo.php?workbook=14_09.xlsx&amp;sheet=U0&amp;row=3615&amp;col=7&amp;number=0.00951&amp;sourceID=14","0.00951")</f>
        <v>0.00951</v>
      </c>
    </row>
    <row r="3616" spans="1:7">
      <c r="A3616" s="3"/>
      <c r="B3616" s="3"/>
      <c r="C3616" s="3"/>
      <c r="D3616" s="3"/>
      <c r="E3616" s="3">
        <v>13</v>
      </c>
      <c r="F3616" s="4" t="str">
        <f>HYPERLINK("http://141.218.60.56/~jnz1568/getInfo.php?workbook=14_09.xlsx&amp;sheet=U0&amp;row=3616&amp;col=6&amp;number=4.2&amp;sourceID=14","4.2")</f>
        <v>4.2</v>
      </c>
      <c r="G3616" s="4" t="str">
        <f>HYPERLINK("http://141.218.60.56/~jnz1568/getInfo.php?workbook=14_09.xlsx&amp;sheet=U0&amp;row=3616&amp;col=7&amp;number=0.00953&amp;sourceID=14","0.00953")</f>
        <v>0.00953</v>
      </c>
    </row>
    <row r="3617" spans="1:7">
      <c r="A3617" s="3"/>
      <c r="B3617" s="3"/>
      <c r="C3617" s="3"/>
      <c r="D3617" s="3"/>
      <c r="E3617" s="3">
        <v>14</v>
      </c>
      <c r="F3617" s="4" t="str">
        <f>HYPERLINK("http://141.218.60.56/~jnz1568/getInfo.php?workbook=14_09.xlsx&amp;sheet=U0&amp;row=3617&amp;col=6&amp;number=4.3&amp;sourceID=14","4.3")</f>
        <v>4.3</v>
      </c>
      <c r="G3617" s="4" t="str">
        <f>HYPERLINK("http://141.218.60.56/~jnz1568/getInfo.php?workbook=14_09.xlsx&amp;sheet=U0&amp;row=3617&amp;col=7&amp;number=0.00955&amp;sourceID=14","0.00955")</f>
        <v>0.00955</v>
      </c>
    </row>
    <row r="3618" spans="1:7">
      <c r="A3618" s="3"/>
      <c r="B3618" s="3"/>
      <c r="C3618" s="3"/>
      <c r="D3618" s="3"/>
      <c r="E3618" s="3">
        <v>15</v>
      </c>
      <c r="F3618" s="4" t="str">
        <f>HYPERLINK("http://141.218.60.56/~jnz1568/getInfo.php?workbook=14_09.xlsx&amp;sheet=U0&amp;row=3618&amp;col=6&amp;number=4.4&amp;sourceID=14","4.4")</f>
        <v>4.4</v>
      </c>
      <c r="G3618" s="4" t="str">
        <f>HYPERLINK("http://141.218.60.56/~jnz1568/getInfo.php?workbook=14_09.xlsx&amp;sheet=U0&amp;row=3618&amp;col=7&amp;number=0.00958&amp;sourceID=14","0.00958")</f>
        <v>0.00958</v>
      </c>
    </row>
    <row r="3619" spans="1:7">
      <c r="A3619" s="3"/>
      <c r="B3619" s="3"/>
      <c r="C3619" s="3"/>
      <c r="D3619" s="3"/>
      <c r="E3619" s="3">
        <v>16</v>
      </c>
      <c r="F3619" s="4" t="str">
        <f>HYPERLINK("http://141.218.60.56/~jnz1568/getInfo.php?workbook=14_09.xlsx&amp;sheet=U0&amp;row=3619&amp;col=6&amp;number=4.5&amp;sourceID=14","4.5")</f>
        <v>4.5</v>
      </c>
      <c r="G3619" s="4" t="str">
        <f>HYPERLINK("http://141.218.60.56/~jnz1568/getInfo.php?workbook=14_09.xlsx&amp;sheet=U0&amp;row=3619&amp;col=7&amp;number=0.00962&amp;sourceID=14","0.00962")</f>
        <v>0.00962</v>
      </c>
    </row>
    <row r="3620" spans="1:7">
      <c r="A3620" s="3"/>
      <c r="B3620" s="3"/>
      <c r="C3620" s="3"/>
      <c r="D3620" s="3"/>
      <c r="E3620" s="3">
        <v>17</v>
      </c>
      <c r="F3620" s="4" t="str">
        <f>HYPERLINK("http://141.218.60.56/~jnz1568/getInfo.php?workbook=14_09.xlsx&amp;sheet=U0&amp;row=3620&amp;col=6&amp;number=4.6&amp;sourceID=14","4.6")</f>
        <v>4.6</v>
      </c>
      <c r="G3620" s="4" t="str">
        <f>HYPERLINK("http://141.218.60.56/~jnz1568/getInfo.php?workbook=14_09.xlsx&amp;sheet=U0&amp;row=3620&amp;col=7&amp;number=0.00966&amp;sourceID=14","0.00966")</f>
        <v>0.00966</v>
      </c>
    </row>
    <row r="3621" spans="1:7">
      <c r="A3621" s="3"/>
      <c r="B3621" s="3"/>
      <c r="C3621" s="3"/>
      <c r="D3621" s="3"/>
      <c r="E3621" s="3">
        <v>18</v>
      </c>
      <c r="F3621" s="4" t="str">
        <f>HYPERLINK("http://141.218.60.56/~jnz1568/getInfo.php?workbook=14_09.xlsx&amp;sheet=U0&amp;row=3621&amp;col=6&amp;number=4.7&amp;sourceID=14","4.7")</f>
        <v>4.7</v>
      </c>
      <c r="G3621" s="4" t="str">
        <f>HYPERLINK("http://141.218.60.56/~jnz1568/getInfo.php?workbook=14_09.xlsx&amp;sheet=U0&amp;row=3621&amp;col=7&amp;number=0.00972&amp;sourceID=14","0.00972")</f>
        <v>0.00972</v>
      </c>
    </row>
    <row r="3622" spans="1:7">
      <c r="A3622" s="3"/>
      <c r="B3622" s="3"/>
      <c r="C3622" s="3"/>
      <c r="D3622" s="3"/>
      <c r="E3622" s="3">
        <v>19</v>
      </c>
      <c r="F3622" s="4" t="str">
        <f>HYPERLINK("http://141.218.60.56/~jnz1568/getInfo.php?workbook=14_09.xlsx&amp;sheet=U0&amp;row=3622&amp;col=6&amp;number=4.8&amp;sourceID=14","4.8")</f>
        <v>4.8</v>
      </c>
      <c r="G3622" s="4" t="str">
        <f>HYPERLINK("http://141.218.60.56/~jnz1568/getInfo.php?workbook=14_09.xlsx&amp;sheet=U0&amp;row=3622&amp;col=7&amp;number=0.00979&amp;sourceID=14","0.00979")</f>
        <v>0.00979</v>
      </c>
    </row>
    <row r="3623" spans="1:7">
      <c r="A3623" s="3"/>
      <c r="B3623" s="3"/>
      <c r="C3623" s="3"/>
      <c r="D3623" s="3"/>
      <c r="E3623" s="3">
        <v>20</v>
      </c>
      <c r="F3623" s="4" t="str">
        <f>HYPERLINK("http://141.218.60.56/~jnz1568/getInfo.php?workbook=14_09.xlsx&amp;sheet=U0&amp;row=3623&amp;col=6&amp;number=4.9&amp;sourceID=14","4.9")</f>
        <v>4.9</v>
      </c>
      <c r="G3623" s="4" t="str">
        <f>HYPERLINK("http://141.218.60.56/~jnz1568/getInfo.php?workbook=14_09.xlsx&amp;sheet=U0&amp;row=3623&amp;col=7&amp;number=0.00987&amp;sourceID=14","0.00987")</f>
        <v>0.00987</v>
      </c>
    </row>
    <row r="3624" spans="1:7">
      <c r="A3624" s="3">
        <v>14</v>
      </c>
      <c r="B3624" s="3">
        <v>9</v>
      </c>
      <c r="C3624" s="3">
        <v>1</v>
      </c>
      <c r="D3624" s="3">
        <v>183</v>
      </c>
      <c r="E3624" s="3">
        <v>1</v>
      </c>
      <c r="F3624" s="4" t="str">
        <f>HYPERLINK("http://141.218.60.56/~jnz1568/getInfo.php?workbook=14_09.xlsx&amp;sheet=U0&amp;row=3624&amp;col=6&amp;number=3&amp;sourceID=14","3")</f>
        <v>3</v>
      </c>
      <c r="G3624" s="4" t="str">
        <f>HYPERLINK("http://141.218.60.56/~jnz1568/getInfo.php?workbook=14_09.xlsx&amp;sheet=U0&amp;row=3624&amp;col=7&amp;number=0.00798&amp;sourceID=14","0.00798")</f>
        <v>0.00798</v>
      </c>
    </row>
    <row r="3625" spans="1:7">
      <c r="A3625" s="3"/>
      <c r="B3625" s="3"/>
      <c r="C3625" s="3"/>
      <c r="D3625" s="3"/>
      <c r="E3625" s="3">
        <v>2</v>
      </c>
      <c r="F3625" s="4" t="str">
        <f>HYPERLINK("http://141.218.60.56/~jnz1568/getInfo.php?workbook=14_09.xlsx&amp;sheet=U0&amp;row=3625&amp;col=6&amp;number=3.1&amp;sourceID=14","3.1")</f>
        <v>3.1</v>
      </c>
      <c r="G3625" s="4" t="str">
        <f>HYPERLINK("http://141.218.60.56/~jnz1568/getInfo.php?workbook=14_09.xlsx&amp;sheet=U0&amp;row=3625&amp;col=7&amp;number=0.00799&amp;sourceID=14","0.00799")</f>
        <v>0.00799</v>
      </c>
    </row>
    <row r="3626" spans="1:7">
      <c r="A3626" s="3"/>
      <c r="B3626" s="3"/>
      <c r="C3626" s="3"/>
      <c r="D3626" s="3"/>
      <c r="E3626" s="3">
        <v>3</v>
      </c>
      <c r="F3626" s="4" t="str">
        <f>HYPERLINK("http://141.218.60.56/~jnz1568/getInfo.php?workbook=14_09.xlsx&amp;sheet=U0&amp;row=3626&amp;col=6&amp;number=3.2&amp;sourceID=14","3.2")</f>
        <v>3.2</v>
      </c>
      <c r="G3626" s="4" t="str">
        <f>HYPERLINK("http://141.218.60.56/~jnz1568/getInfo.php?workbook=14_09.xlsx&amp;sheet=U0&amp;row=3626&amp;col=7&amp;number=0.00799&amp;sourceID=14","0.00799")</f>
        <v>0.00799</v>
      </c>
    </row>
    <row r="3627" spans="1:7">
      <c r="A3627" s="3"/>
      <c r="B3627" s="3"/>
      <c r="C3627" s="3"/>
      <c r="D3627" s="3"/>
      <c r="E3627" s="3">
        <v>4</v>
      </c>
      <c r="F3627" s="4" t="str">
        <f>HYPERLINK("http://141.218.60.56/~jnz1568/getInfo.php?workbook=14_09.xlsx&amp;sheet=U0&amp;row=3627&amp;col=6&amp;number=3.3&amp;sourceID=14","3.3")</f>
        <v>3.3</v>
      </c>
      <c r="G3627" s="4" t="str">
        <f>HYPERLINK("http://141.218.60.56/~jnz1568/getInfo.php?workbook=14_09.xlsx&amp;sheet=U0&amp;row=3627&amp;col=7&amp;number=0.00799&amp;sourceID=14","0.00799")</f>
        <v>0.00799</v>
      </c>
    </row>
    <row r="3628" spans="1:7">
      <c r="A3628" s="3"/>
      <c r="B3628" s="3"/>
      <c r="C3628" s="3"/>
      <c r="D3628" s="3"/>
      <c r="E3628" s="3">
        <v>5</v>
      </c>
      <c r="F3628" s="4" t="str">
        <f>HYPERLINK("http://141.218.60.56/~jnz1568/getInfo.php?workbook=14_09.xlsx&amp;sheet=U0&amp;row=3628&amp;col=6&amp;number=3.4&amp;sourceID=14","3.4")</f>
        <v>3.4</v>
      </c>
      <c r="G3628" s="4" t="str">
        <f>HYPERLINK("http://141.218.60.56/~jnz1568/getInfo.php?workbook=14_09.xlsx&amp;sheet=U0&amp;row=3628&amp;col=7&amp;number=0.00799&amp;sourceID=14","0.00799")</f>
        <v>0.00799</v>
      </c>
    </row>
    <row r="3629" spans="1:7">
      <c r="A3629" s="3"/>
      <c r="B3629" s="3"/>
      <c r="C3629" s="3"/>
      <c r="D3629" s="3"/>
      <c r="E3629" s="3">
        <v>6</v>
      </c>
      <c r="F3629" s="4" t="str">
        <f>HYPERLINK("http://141.218.60.56/~jnz1568/getInfo.php?workbook=14_09.xlsx&amp;sheet=U0&amp;row=3629&amp;col=6&amp;number=3.5&amp;sourceID=14","3.5")</f>
        <v>3.5</v>
      </c>
      <c r="G3629" s="4" t="str">
        <f>HYPERLINK("http://141.218.60.56/~jnz1568/getInfo.php?workbook=14_09.xlsx&amp;sheet=U0&amp;row=3629&amp;col=7&amp;number=0.008&amp;sourceID=14","0.008")</f>
        <v>0.008</v>
      </c>
    </row>
    <row r="3630" spans="1:7">
      <c r="A3630" s="3"/>
      <c r="B3630" s="3"/>
      <c r="C3630" s="3"/>
      <c r="D3630" s="3"/>
      <c r="E3630" s="3">
        <v>7</v>
      </c>
      <c r="F3630" s="4" t="str">
        <f>HYPERLINK("http://141.218.60.56/~jnz1568/getInfo.php?workbook=14_09.xlsx&amp;sheet=U0&amp;row=3630&amp;col=6&amp;number=3.6&amp;sourceID=14","3.6")</f>
        <v>3.6</v>
      </c>
      <c r="G3630" s="4" t="str">
        <f>HYPERLINK("http://141.218.60.56/~jnz1568/getInfo.php?workbook=14_09.xlsx&amp;sheet=U0&amp;row=3630&amp;col=7&amp;number=0.008&amp;sourceID=14","0.008")</f>
        <v>0.008</v>
      </c>
    </row>
    <row r="3631" spans="1:7">
      <c r="A3631" s="3"/>
      <c r="B3631" s="3"/>
      <c r="C3631" s="3"/>
      <c r="D3631" s="3"/>
      <c r="E3631" s="3">
        <v>8</v>
      </c>
      <c r="F3631" s="4" t="str">
        <f>HYPERLINK("http://141.218.60.56/~jnz1568/getInfo.php?workbook=14_09.xlsx&amp;sheet=U0&amp;row=3631&amp;col=6&amp;number=3.7&amp;sourceID=14","3.7")</f>
        <v>3.7</v>
      </c>
      <c r="G3631" s="4" t="str">
        <f>HYPERLINK("http://141.218.60.56/~jnz1568/getInfo.php?workbook=14_09.xlsx&amp;sheet=U0&amp;row=3631&amp;col=7&amp;number=0.00801&amp;sourceID=14","0.00801")</f>
        <v>0.00801</v>
      </c>
    </row>
    <row r="3632" spans="1:7">
      <c r="A3632" s="3"/>
      <c r="B3632" s="3"/>
      <c r="C3632" s="3"/>
      <c r="D3632" s="3"/>
      <c r="E3632" s="3">
        <v>9</v>
      </c>
      <c r="F3632" s="4" t="str">
        <f>HYPERLINK("http://141.218.60.56/~jnz1568/getInfo.php?workbook=14_09.xlsx&amp;sheet=U0&amp;row=3632&amp;col=6&amp;number=3.8&amp;sourceID=14","3.8")</f>
        <v>3.8</v>
      </c>
      <c r="G3632" s="4" t="str">
        <f>HYPERLINK("http://141.218.60.56/~jnz1568/getInfo.php?workbook=14_09.xlsx&amp;sheet=U0&amp;row=3632&amp;col=7&amp;number=0.00802&amp;sourceID=14","0.00802")</f>
        <v>0.00802</v>
      </c>
    </row>
    <row r="3633" spans="1:7">
      <c r="A3633" s="3"/>
      <c r="B3633" s="3"/>
      <c r="C3633" s="3"/>
      <c r="D3633" s="3"/>
      <c r="E3633" s="3">
        <v>10</v>
      </c>
      <c r="F3633" s="4" t="str">
        <f>HYPERLINK("http://141.218.60.56/~jnz1568/getInfo.php?workbook=14_09.xlsx&amp;sheet=U0&amp;row=3633&amp;col=6&amp;number=3.9&amp;sourceID=14","3.9")</f>
        <v>3.9</v>
      </c>
      <c r="G3633" s="4" t="str">
        <f>HYPERLINK("http://141.218.60.56/~jnz1568/getInfo.php?workbook=14_09.xlsx&amp;sheet=U0&amp;row=3633&amp;col=7&amp;number=0.00803&amp;sourceID=14","0.00803")</f>
        <v>0.00803</v>
      </c>
    </row>
    <row r="3634" spans="1:7">
      <c r="A3634" s="3"/>
      <c r="B3634" s="3"/>
      <c r="C3634" s="3"/>
      <c r="D3634" s="3"/>
      <c r="E3634" s="3">
        <v>11</v>
      </c>
      <c r="F3634" s="4" t="str">
        <f>HYPERLINK("http://141.218.60.56/~jnz1568/getInfo.php?workbook=14_09.xlsx&amp;sheet=U0&amp;row=3634&amp;col=6&amp;number=4&amp;sourceID=14","4")</f>
        <v>4</v>
      </c>
      <c r="G3634" s="4" t="str">
        <f>HYPERLINK("http://141.218.60.56/~jnz1568/getInfo.php?workbook=14_09.xlsx&amp;sheet=U0&amp;row=3634&amp;col=7&amp;number=0.00804&amp;sourceID=14","0.00804")</f>
        <v>0.00804</v>
      </c>
    </row>
    <row r="3635" spans="1:7">
      <c r="A3635" s="3"/>
      <c r="B3635" s="3"/>
      <c r="C3635" s="3"/>
      <c r="D3635" s="3"/>
      <c r="E3635" s="3">
        <v>12</v>
      </c>
      <c r="F3635" s="4" t="str">
        <f>HYPERLINK("http://141.218.60.56/~jnz1568/getInfo.php?workbook=14_09.xlsx&amp;sheet=U0&amp;row=3635&amp;col=6&amp;number=4.1&amp;sourceID=14","4.1")</f>
        <v>4.1</v>
      </c>
      <c r="G3635" s="4" t="str">
        <f>HYPERLINK("http://141.218.60.56/~jnz1568/getInfo.php?workbook=14_09.xlsx&amp;sheet=U0&amp;row=3635&amp;col=7&amp;number=0.00806&amp;sourceID=14","0.00806")</f>
        <v>0.00806</v>
      </c>
    </row>
    <row r="3636" spans="1:7">
      <c r="A3636" s="3"/>
      <c r="B3636" s="3"/>
      <c r="C3636" s="3"/>
      <c r="D3636" s="3"/>
      <c r="E3636" s="3">
        <v>13</v>
      </c>
      <c r="F3636" s="4" t="str">
        <f>HYPERLINK("http://141.218.60.56/~jnz1568/getInfo.php?workbook=14_09.xlsx&amp;sheet=U0&amp;row=3636&amp;col=6&amp;number=4.2&amp;sourceID=14","4.2")</f>
        <v>4.2</v>
      </c>
      <c r="G3636" s="4" t="str">
        <f>HYPERLINK("http://141.218.60.56/~jnz1568/getInfo.php?workbook=14_09.xlsx&amp;sheet=U0&amp;row=3636&amp;col=7&amp;number=0.00808&amp;sourceID=14","0.00808")</f>
        <v>0.00808</v>
      </c>
    </row>
    <row r="3637" spans="1:7">
      <c r="A3637" s="3"/>
      <c r="B3637" s="3"/>
      <c r="C3637" s="3"/>
      <c r="D3637" s="3"/>
      <c r="E3637" s="3">
        <v>14</v>
      </c>
      <c r="F3637" s="4" t="str">
        <f>HYPERLINK("http://141.218.60.56/~jnz1568/getInfo.php?workbook=14_09.xlsx&amp;sheet=U0&amp;row=3637&amp;col=6&amp;number=4.3&amp;sourceID=14","4.3")</f>
        <v>4.3</v>
      </c>
      <c r="G3637" s="4" t="str">
        <f>HYPERLINK("http://141.218.60.56/~jnz1568/getInfo.php?workbook=14_09.xlsx&amp;sheet=U0&amp;row=3637&amp;col=7&amp;number=0.0081&amp;sourceID=14","0.0081")</f>
        <v>0.0081</v>
      </c>
    </row>
    <row r="3638" spans="1:7">
      <c r="A3638" s="3"/>
      <c r="B3638" s="3"/>
      <c r="C3638" s="3"/>
      <c r="D3638" s="3"/>
      <c r="E3638" s="3">
        <v>15</v>
      </c>
      <c r="F3638" s="4" t="str">
        <f>HYPERLINK("http://141.218.60.56/~jnz1568/getInfo.php?workbook=14_09.xlsx&amp;sheet=U0&amp;row=3638&amp;col=6&amp;number=4.4&amp;sourceID=14","4.4")</f>
        <v>4.4</v>
      </c>
      <c r="G3638" s="4" t="str">
        <f>HYPERLINK("http://141.218.60.56/~jnz1568/getInfo.php?workbook=14_09.xlsx&amp;sheet=U0&amp;row=3638&amp;col=7&amp;number=0.00813&amp;sourceID=14","0.00813")</f>
        <v>0.00813</v>
      </c>
    </row>
    <row r="3639" spans="1:7">
      <c r="A3639" s="3"/>
      <c r="B3639" s="3"/>
      <c r="C3639" s="3"/>
      <c r="D3639" s="3"/>
      <c r="E3639" s="3">
        <v>16</v>
      </c>
      <c r="F3639" s="4" t="str">
        <f>HYPERLINK("http://141.218.60.56/~jnz1568/getInfo.php?workbook=14_09.xlsx&amp;sheet=U0&amp;row=3639&amp;col=6&amp;number=4.5&amp;sourceID=14","4.5")</f>
        <v>4.5</v>
      </c>
      <c r="G3639" s="4" t="str">
        <f>HYPERLINK("http://141.218.60.56/~jnz1568/getInfo.php?workbook=14_09.xlsx&amp;sheet=U0&amp;row=3639&amp;col=7&amp;number=0.00817&amp;sourceID=14","0.00817")</f>
        <v>0.00817</v>
      </c>
    </row>
    <row r="3640" spans="1:7">
      <c r="A3640" s="3"/>
      <c r="B3640" s="3"/>
      <c r="C3640" s="3"/>
      <c r="D3640" s="3"/>
      <c r="E3640" s="3">
        <v>17</v>
      </c>
      <c r="F3640" s="4" t="str">
        <f>HYPERLINK("http://141.218.60.56/~jnz1568/getInfo.php?workbook=14_09.xlsx&amp;sheet=U0&amp;row=3640&amp;col=6&amp;number=4.6&amp;sourceID=14","4.6")</f>
        <v>4.6</v>
      </c>
      <c r="G3640" s="4" t="str">
        <f>HYPERLINK("http://141.218.60.56/~jnz1568/getInfo.php?workbook=14_09.xlsx&amp;sheet=U0&amp;row=3640&amp;col=7&amp;number=0.00822&amp;sourceID=14","0.00822")</f>
        <v>0.00822</v>
      </c>
    </row>
    <row r="3641" spans="1:7">
      <c r="A3641" s="3"/>
      <c r="B3641" s="3"/>
      <c r="C3641" s="3"/>
      <c r="D3641" s="3"/>
      <c r="E3641" s="3">
        <v>18</v>
      </c>
      <c r="F3641" s="4" t="str">
        <f>HYPERLINK("http://141.218.60.56/~jnz1568/getInfo.php?workbook=14_09.xlsx&amp;sheet=U0&amp;row=3641&amp;col=6&amp;number=4.7&amp;sourceID=14","4.7")</f>
        <v>4.7</v>
      </c>
      <c r="G3641" s="4" t="str">
        <f>HYPERLINK("http://141.218.60.56/~jnz1568/getInfo.php?workbook=14_09.xlsx&amp;sheet=U0&amp;row=3641&amp;col=7&amp;number=0.00829&amp;sourceID=14","0.00829")</f>
        <v>0.00829</v>
      </c>
    </row>
    <row r="3642" spans="1:7">
      <c r="A3642" s="3"/>
      <c r="B3642" s="3"/>
      <c r="C3642" s="3"/>
      <c r="D3642" s="3"/>
      <c r="E3642" s="3">
        <v>19</v>
      </c>
      <c r="F3642" s="4" t="str">
        <f>HYPERLINK("http://141.218.60.56/~jnz1568/getInfo.php?workbook=14_09.xlsx&amp;sheet=U0&amp;row=3642&amp;col=6&amp;number=4.8&amp;sourceID=14","4.8")</f>
        <v>4.8</v>
      </c>
      <c r="G3642" s="4" t="str">
        <f>HYPERLINK("http://141.218.60.56/~jnz1568/getInfo.php?workbook=14_09.xlsx&amp;sheet=U0&amp;row=3642&amp;col=7&amp;number=0.00836&amp;sourceID=14","0.00836")</f>
        <v>0.00836</v>
      </c>
    </row>
    <row r="3643" spans="1:7">
      <c r="A3643" s="3"/>
      <c r="B3643" s="3"/>
      <c r="C3643" s="3"/>
      <c r="D3643" s="3"/>
      <c r="E3643" s="3">
        <v>20</v>
      </c>
      <c r="F3643" s="4" t="str">
        <f>HYPERLINK("http://141.218.60.56/~jnz1568/getInfo.php?workbook=14_09.xlsx&amp;sheet=U0&amp;row=3643&amp;col=6&amp;number=4.9&amp;sourceID=14","4.9")</f>
        <v>4.9</v>
      </c>
      <c r="G3643" s="4" t="str">
        <f>HYPERLINK("http://141.218.60.56/~jnz1568/getInfo.php?workbook=14_09.xlsx&amp;sheet=U0&amp;row=3643&amp;col=7&amp;number=0.00846&amp;sourceID=14","0.00846")</f>
        <v>0.00846</v>
      </c>
    </row>
    <row r="3644" spans="1:7">
      <c r="A3644" s="3">
        <v>14</v>
      </c>
      <c r="B3644" s="3">
        <v>9</v>
      </c>
      <c r="C3644" s="3">
        <v>1</v>
      </c>
      <c r="D3644" s="3">
        <v>184</v>
      </c>
      <c r="E3644" s="3">
        <v>1</v>
      </c>
      <c r="F3644" s="4" t="str">
        <f>HYPERLINK("http://141.218.60.56/~jnz1568/getInfo.php?workbook=14_09.xlsx&amp;sheet=U0&amp;row=3644&amp;col=6&amp;number=3&amp;sourceID=14","3")</f>
        <v>3</v>
      </c>
      <c r="G3644" s="4" t="str">
        <f>HYPERLINK("http://141.218.60.56/~jnz1568/getInfo.php?workbook=14_09.xlsx&amp;sheet=U0&amp;row=3644&amp;col=7&amp;number=0.00795&amp;sourceID=14","0.00795")</f>
        <v>0.00795</v>
      </c>
    </row>
    <row r="3645" spans="1:7">
      <c r="A3645" s="3"/>
      <c r="B3645" s="3"/>
      <c r="C3645" s="3"/>
      <c r="D3645" s="3"/>
      <c r="E3645" s="3">
        <v>2</v>
      </c>
      <c r="F3645" s="4" t="str">
        <f>HYPERLINK("http://141.218.60.56/~jnz1568/getInfo.php?workbook=14_09.xlsx&amp;sheet=U0&amp;row=3645&amp;col=6&amp;number=3.1&amp;sourceID=14","3.1")</f>
        <v>3.1</v>
      </c>
      <c r="G3645" s="4" t="str">
        <f>HYPERLINK("http://141.218.60.56/~jnz1568/getInfo.php?workbook=14_09.xlsx&amp;sheet=U0&amp;row=3645&amp;col=7&amp;number=0.00795&amp;sourceID=14","0.00795")</f>
        <v>0.00795</v>
      </c>
    </row>
    <row r="3646" spans="1:7">
      <c r="A3646" s="3"/>
      <c r="B3646" s="3"/>
      <c r="C3646" s="3"/>
      <c r="D3646" s="3"/>
      <c r="E3646" s="3">
        <v>3</v>
      </c>
      <c r="F3646" s="4" t="str">
        <f>HYPERLINK("http://141.218.60.56/~jnz1568/getInfo.php?workbook=14_09.xlsx&amp;sheet=U0&amp;row=3646&amp;col=6&amp;number=3.2&amp;sourceID=14","3.2")</f>
        <v>3.2</v>
      </c>
      <c r="G3646" s="4" t="str">
        <f>HYPERLINK("http://141.218.60.56/~jnz1568/getInfo.php?workbook=14_09.xlsx&amp;sheet=U0&amp;row=3646&amp;col=7&amp;number=0.00796&amp;sourceID=14","0.00796")</f>
        <v>0.00796</v>
      </c>
    </row>
    <row r="3647" spans="1:7">
      <c r="A3647" s="3"/>
      <c r="B3647" s="3"/>
      <c r="C3647" s="3"/>
      <c r="D3647" s="3"/>
      <c r="E3647" s="3">
        <v>4</v>
      </c>
      <c r="F3647" s="4" t="str">
        <f>HYPERLINK("http://141.218.60.56/~jnz1568/getInfo.php?workbook=14_09.xlsx&amp;sheet=U0&amp;row=3647&amp;col=6&amp;number=3.3&amp;sourceID=14","3.3")</f>
        <v>3.3</v>
      </c>
      <c r="G3647" s="4" t="str">
        <f>HYPERLINK("http://141.218.60.56/~jnz1568/getInfo.php?workbook=14_09.xlsx&amp;sheet=U0&amp;row=3647&amp;col=7&amp;number=0.00796&amp;sourceID=14","0.00796")</f>
        <v>0.00796</v>
      </c>
    </row>
    <row r="3648" spans="1:7">
      <c r="A3648" s="3"/>
      <c r="B3648" s="3"/>
      <c r="C3648" s="3"/>
      <c r="D3648" s="3"/>
      <c r="E3648" s="3">
        <v>5</v>
      </c>
      <c r="F3648" s="4" t="str">
        <f>HYPERLINK("http://141.218.60.56/~jnz1568/getInfo.php?workbook=14_09.xlsx&amp;sheet=U0&amp;row=3648&amp;col=6&amp;number=3.4&amp;sourceID=14","3.4")</f>
        <v>3.4</v>
      </c>
      <c r="G3648" s="4" t="str">
        <f>HYPERLINK("http://141.218.60.56/~jnz1568/getInfo.php?workbook=14_09.xlsx&amp;sheet=U0&amp;row=3648&amp;col=7&amp;number=0.00796&amp;sourceID=14","0.00796")</f>
        <v>0.00796</v>
      </c>
    </row>
    <row r="3649" spans="1:7">
      <c r="A3649" s="3"/>
      <c r="B3649" s="3"/>
      <c r="C3649" s="3"/>
      <c r="D3649" s="3"/>
      <c r="E3649" s="3">
        <v>6</v>
      </c>
      <c r="F3649" s="4" t="str">
        <f>HYPERLINK("http://141.218.60.56/~jnz1568/getInfo.php?workbook=14_09.xlsx&amp;sheet=U0&amp;row=3649&amp;col=6&amp;number=3.5&amp;sourceID=14","3.5")</f>
        <v>3.5</v>
      </c>
      <c r="G3649" s="4" t="str">
        <f>HYPERLINK("http://141.218.60.56/~jnz1568/getInfo.php?workbook=14_09.xlsx&amp;sheet=U0&amp;row=3649&amp;col=7&amp;number=0.00796&amp;sourceID=14","0.00796")</f>
        <v>0.00796</v>
      </c>
    </row>
    <row r="3650" spans="1:7">
      <c r="A3650" s="3"/>
      <c r="B3650" s="3"/>
      <c r="C3650" s="3"/>
      <c r="D3650" s="3"/>
      <c r="E3650" s="3">
        <v>7</v>
      </c>
      <c r="F3650" s="4" t="str">
        <f>HYPERLINK("http://141.218.60.56/~jnz1568/getInfo.php?workbook=14_09.xlsx&amp;sheet=U0&amp;row=3650&amp;col=6&amp;number=3.6&amp;sourceID=14","3.6")</f>
        <v>3.6</v>
      </c>
      <c r="G3650" s="4" t="str">
        <f>HYPERLINK("http://141.218.60.56/~jnz1568/getInfo.php?workbook=14_09.xlsx&amp;sheet=U0&amp;row=3650&amp;col=7&amp;number=0.00796&amp;sourceID=14","0.00796")</f>
        <v>0.00796</v>
      </c>
    </row>
    <row r="3651" spans="1:7">
      <c r="A3651" s="3"/>
      <c r="B3651" s="3"/>
      <c r="C3651" s="3"/>
      <c r="D3651" s="3"/>
      <c r="E3651" s="3">
        <v>8</v>
      </c>
      <c r="F3651" s="4" t="str">
        <f>HYPERLINK("http://141.218.60.56/~jnz1568/getInfo.php?workbook=14_09.xlsx&amp;sheet=U0&amp;row=3651&amp;col=6&amp;number=3.7&amp;sourceID=14","3.7")</f>
        <v>3.7</v>
      </c>
      <c r="G3651" s="4" t="str">
        <f>HYPERLINK("http://141.218.60.56/~jnz1568/getInfo.php?workbook=14_09.xlsx&amp;sheet=U0&amp;row=3651&amp;col=7&amp;number=0.00797&amp;sourceID=14","0.00797")</f>
        <v>0.00797</v>
      </c>
    </row>
    <row r="3652" spans="1:7">
      <c r="A3652" s="3"/>
      <c r="B3652" s="3"/>
      <c r="C3652" s="3"/>
      <c r="D3652" s="3"/>
      <c r="E3652" s="3">
        <v>9</v>
      </c>
      <c r="F3652" s="4" t="str">
        <f>HYPERLINK("http://141.218.60.56/~jnz1568/getInfo.php?workbook=14_09.xlsx&amp;sheet=U0&amp;row=3652&amp;col=6&amp;number=3.8&amp;sourceID=14","3.8")</f>
        <v>3.8</v>
      </c>
      <c r="G3652" s="4" t="str">
        <f>HYPERLINK("http://141.218.60.56/~jnz1568/getInfo.php?workbook=14_09.xlsx&amp;sheet=U0&amp;row=3652&amp;col=7&amp;number=0.00797&amp;sourceID=14","0.00797")</f>
        <v>0.00797</v>
      </c>
    </row>
    <row r="3653" spans="1:7">
      <c r="A3653" s="3"/>
      <c r="B3653" s="3"/>
      <c r="C3653" s="3"/>
      <c r="D3653" s="3"/>
      <c r="E3653" s="3">
        <v>10</v>
      </c>
      <c r="F3653" s="4" t="str">
        <f>HYPERLINK("http://141.218.60.56/~jnz1568/getInfo.php?workbook=14_09.xlsx&amp;sheet=U0&amp;row=3653&amp;col=6&amp;number=3.9&amp;sourceID=14","3.9")</f>
        <v>3.9</v>
      </c>
      <c r="G3653" s="4" t="str">
        <f>HYPERLINK("http://141.218.60.56/~jnz1568/getInfo.php?workbook=14_09.xlsx&amp;sheet=U0&amp;row=3653&amp;col=7&amp;number=0.00798&amp;sourceID=14","0.00798")</f>
        <v>0.00798</v>
      </c>
    </row>
    <row r="3654" spans="1:7">
      <c r="A3654" s="3"/>
      <c r="B3654" s="3"/>
      <c r="C3654" s="3"/>
      <c r="D3654" s="3"/>
      <c r="E3654" s="3">
        <v>11</v>
      </c>
      <c r="F3654" s="4" t="str">
        <f>HYPERLINK("http://141.218.60.56/~jnz1568/getInfo.php?workbook=14_09.xlsx&amp;sheet=U0&amp;row=3654&amp;col=6&amp;number=4&amp;sourceID=14","4")</f>
        <v>4</v>
      </c>
      <c r="G3654" s="4" t="str">
        <f>HYPERLINK("http://141.218.60.56/~jnz1568/getInfo.php?workbook=14_09.xlsx&amp;sheet=U0&amp;row=3654&amp;col=7&amp;number=0.00798&amp;sourceID=14","0.00798")</f>
        <v>0.00798</v>
      </c>
    </row>
    <row r="3655" spans="1:7">
      <c r="A3655" s="3"/>
      <c r="B3655" s="3"/>
      <c r="C3655" s="3"/>
      <c r="D3655" s="3"/>
      <c r="E3655" s="3">
        <v>12</v>
      </c>
      <c r="F3655" s="4" t="str">
        <f>HYPERLINK("http://141.218.60.56/~jnz1568/getInfo.php?workbook=14_09.xlsx&amp;sheet=U0&amp;row=3655&amp;col=6&amp;number=4.1&amp;sourceID=14","4.1")</f>
        <v>4.1</v>
      </c>
      <c r="G3655" s="4" t="str">
        <f>HYPERLINK("http://141.218.60.56/~jnz1568/getInfo.php?workbook=14_09.xlsx&amp;sheet=U0&amp;row=3655&amp;col=7&amp;number=0.00799&amp;sourceID=14","0.00799")</f>
        <v>0.00799</v>
      </c>
    </row>
    <row r="3656" spans="1:7">
      <c r="A3656" s="3"/>
      <c r="B3656" s="3"/>
      <c r="C3656" s="3"/>
      <c r="D3656" s="3"/>
      <c r="E3656" s="3">
        <v>13</v>
      </c>
      <c r="F3656" s="4" t="str">
        <f>HYPERLINK("http://141.218.60.56/~jnz1568/getInfo.php?workbook=14_09.xlsx&amp;sheet=U0&amp;row=3656&amp;col=6&amp;number=4.2&amp;sourceID=14","4.2")</f>
        <v>4.2</v>
      </c>
      <c r="G3656" s="4" t="str">
        <f>HYPERLINK("http://141.218.60.56/~jnz1568/getInfo.php?workbook=14_09.xlsx&amp;sheet=U0&amp;row=3656&amp;col=7&amp;number=0.008&amp;sourceID=14","0.008")</f>
        <v>0.008</v>
      </c>
    </row>
    <row r="3657" spans="1:7">
      <c r="A3657" s="3"/>
      <c r="B3657" s="3"/>
      <c r="C3657" s="3"/>
      <c r="D3657" s="3"/>
      <c r="E3657" s="3">
        <v>14</v>
      </c>
      <c r="F3657" s="4" t="str">
        <f>HYPERLINK("http://141.218.60.56/~jnz1568/getInfo.php?workbook=14_09.xlsx&amp;sheet=U0&amp;row=3657&amp;col=6&amp;number=4.3&amp;sourceID=14","4.3")</f>
        <v>4.3</v>
      </c>
      <c r="G3657" s="4" t="str">
        <f>HYPERLINK("http://141.218.60.56/~jnz1568/getInfo.php?workbook=14_09.xlsx&amp;sheet=U0&amp;row=3657&amp;col=7&amp;number=0.00801&amp;sourceID=14","0.00801")</f>
        <v>0.00801</v>
      </c>
    </row>
    <row r="3658" spans="1:7">
      <c r="A3658" s="3"/>
      <c r="B3658" s="3"/>
      <c r="C3658" s="3"/>
      <c r="D3658" s="3"/>
      <c r="E3658" s="3">
        <v>15</v>
      </c>
      <c r="F3658" s="4" t="str">
        <f>HYPERLINK("http://141.218.60.56/~jnz1568/getInfo.php?workbook=14_09.xlsx&amp;sheet=U0&amp;row=3658&amp;col=6&amp;number=4.4&amp;sourceID=14","4.4")</f>
        <v>4.4</v>
      </c>
      <c r="G3658" s="4" t="str">
        <f>HYPERLINK("http://141.218.60.56/~jnz1568/getInfo.php?workbook=14_09.xlsx&amp;sheet=U0&amp;row=3658&amp;col=7&amp;number=0.00803&amp;sourceID=14","0.00803")</f>
        <v>0.00803</v>
      </c>
    </row>
    <row r="3659" spans="1:7">
      <c r="A3659" s="3"/>
      <c r="B3659" s="3"/>
      <c r="C3659" s="3"/>
      <c r="D3659" s="3"/>
      <c r="E3659" s="3">
        <v>16</v>
      </c>
      <c r="F3659" s="4" t="str">
        <f>HYPERLINK("http://141.218.60.56/~jnz1568/getInfo.php?workbook=14_09.xlsx&amp;sheet=U0&amp;row=3659&amp;col=6&amp;number=4.5&amp;sourceID=14","4.5")</f>
        <v>4.5</v>
      </c>
      <c r="G3659" s="4" t="str">
        <f>HYPERLINK("http://141.218.60.56/~jnz1568/getInfo.php?workbook=14_09.xlsx&amp;sheet=U0&amp;row=3659&amp;col=7&amp;number=0.00805&amp;sourceID=14","0.00805")</f>
        <v>0.00805</v>
      </c>
    </row>
    <row r="3660" spans="1:7">
      <c r="A3660" s="3"/>
      <c r="B3660" s="3"/>
      <c r="C3660" s="3"/>
      <c r="D3660" s="3"/>
      <c r="E3660" s="3">
        <v>17</v>
      </c>
      <c r="F3660" s="4" t="str">
        <f>HYPERLINK("http://141.218.60.56/~jnz1568/getInfo.php?workbook=14_09.xlsx&amp;sheet=U0&amp;row=3660&amp;col=6&amp;number=4.6&amp;sourceID=14","4.6")</f>
        <v>4.6</v>
      </c>
      <c r="G3660" s="4" t="str">
        <f>HYPERLINK("http://141.218.60.56/~jnz1568/getInfo.php?workbook=14_09.xlsx&amp;sheet=U0&amp;row=3660&amp;col=7&amp;number=0.00808&amp;sourceID=14","0.00808")</f>
        <v>0.00808</v>
      </c>
    </row>
    <row r="3661" spans="1:7">
      <c r="A3661" s="3"/>
      <c r="B3661" s="3"/>
      <c r="C3661" s="3"/>
      <c r="D3661" s="3"/>
      <c r="E3661" s="3">
        <v>18</v>
      </c>
      <c r="F3661" s="4" t="str">
        <f>HYPERLINK("http://141.218.60.56/~jnz1568/getInfo.php?workbook=14_09.xlsx&amp;sheet=U0&amp;row=3661&amp;col=6&amp;number=4.7&amp;sourceID=14","4.7")</f>
        <v>4.7</v>
      </c>
      <c r="G3661" s="4" t="str">
        <f>HYPERLINK("http://141.218.60.56/~jnz1568/getInfo.php?workbook=14_09.xlsx&amp;sheet=U0&amp;row=3661&amp;col=7&amp;number=0.00811&amp;sourceID=14","0.00811")</f>
        <v>0.00811</v>
      </c>
    </row>
    <row r="3662" spans="1:7">
      <c r="A3662" s="3"/>
      <c r="B3662" s="3"/>
      <c r="C3662" s="3"/>
      <c r="D3662" s="3"/>
      <c r="E3662" s="3">
        <v>19</v>
      </c>
      <c r="F3662" s="4" t="str">
        <f>HYPERLINK("http://141.218.60.56/~jnz1568/getInfo.php?workbook=14_09.xlsx&amp;sheet=U0&amp;row=3662&amp;col=6&amp;number=4.8&amp;sourceID=14","4.8")</f>
        <v>4.8</v>
      </c>
      <c r="G3662" s="4" t="str">
        <f>HYPERLINK("http://141.218.60.56/~jnz1568/getInfo.php?workbook=14_09.xlsx&amp;sheet=U0&amp;row=3662&amp;col=7&amp;number=0.00815&amp;sourceID=14","0.00815")</f>
        <v>0.00815</v>
      </c>
    </row>
    <row r="3663" spans="1:7">
      <c r="A3663" s="3"/>
      <c r="B3663" s="3"/>
      <c r="C3663" s="3"/>
      <c r="D3663" s="3"/>
      <c r="E3663" s="3">
        <v>20</v>
      </c>
      <c r="F3663" s="4" t="str">
        <f>HYPERLINK("http://141.218.60.56/~jnz1568/getInfo.php?workbook=14_09.xlsx&amp;sheet=U0&amp;row=3663&amp;col=6&amp;number=4.9&amp;sourceID=14","4.9")</f>
        <v>4.9</v>
      </c>
      <c r="G3663" s="4" t="str">
        <f>HYPERLINK("http://141.218.60.56/~jnz1568/getInfo.php?workbook=14_09.xlsx&amp;sheet=U0&amp;row=3663&amp;col=7&amp;number=0.0082&amp;sourceID=14","0.0082")</f>
        <v>0.0082</v>
      </c>
    </row>
    <row r="3664" spans="1:7">
      <c r="A3664" s="3">
        <v>14</v>
      </c>
      <c r="B3664" s="3">
        <v>9</v>
      </c>
      <c r="C3664" s="3">
        <v>1</v>
      </c>
      <c r="D3664" s="3">
        <v>185</v>
      </c>
      <c r="E3664" s="3">
        <v>1</v>
      </c>
      <c r="F3664" s="4" t="str">
        <f>HYPERLINK("http://141.218.60.56/~jnz1568/getInfo.php?workbook=14_09.xlsx&amp;sheet=U0&amp;row=3664&amp;col=6&amp;number=3&amp;sourceID=14","3")</f>
        <v>3</v>
      </c>
      <c r="G3664" s="4" t="str">
        <f>HYPERLINK("http://141.218.60.56/~jnz1568/getInfo.php?workbook=14_09.xlsx&amp;sheet=U0&amp;row=3664&amp;col=7&amp;number=0.00763&amp;sourceID=14","0.00763")</f>
        <v>0.00763</v>
      </c>
    </row>
    <row r="3665" spans="1:7">
      <c r="A3665" s="3"/>
      <c r="B3665" s="3"/>
      <c r="C3665" s="3"/>
      <c r="D3665" s="3"/>
      <c r="E3665" s="3">
        <v>2</v>
      </c>
      <c r="F3665" s="4" t="str">
        <f>HYPERLINK("http://141.218.60.56/~jnz1568/getInfo.php?workbook=14_09.xlsx&amp;sheet=U0&amp;row=3665&amp;col=6&amp;number=3.1&amp;sourceID=14","3.1")</f>
        <v>3.1</v>
      </c>
      <c r="G3665" s="4" t="str">
        <f>HYPERLINK("http://141.218.60.56/~jnz1568/getInfo.php?workbook=14_09.xlsx&amp;sheet=U0&amp;row=3665&amp;col=7&amp;number=0.00762&amp;sourceID=14","0.00762")</f>
        <v>0.00762</v>
      </c>
    </row>
    <row r="3666" spans="1:7">
      <c r="A3666" s="3"/>
      <c r="B3666" s="3"/>
      <c r="C3666" s="3"/>
      <c r="D3666" s="3"/>
      <c r="E3666" s="3">
        <v>3</v>
      </c>
      <c r="F3666" s="4" t="str">
        <f>HYPERLINK("http://141.218.60.56/~jnz1568/getInfo.php?workbook=14_09.xlsx&amp;sheet=U0&amp;row=3666&amp;col=6&amp;number=3.2&amp;sourceID=14","3.2")</f>
        <v>3.2</v>
      </c>
      <c r="G3666" s="4" t="str">
        <f>HYPERLINK("http://141.218.60.56/~jnz1568/getInfo.php?workbook=14_09.xlsx&amp;sheet=U0&amp;row=3666&amp;col=7&amp;number=0.00762&amp;sourceID=14","0.00762")</f>
        <v>0.00762</v>
      </c>
    </row>
    <row r="3667" spans="1:7">
      <c r="A3667" s="3"/>
      <c r="B3667" s="3"/>
      <c r="C3667" s="3"/>
      <c r="D3667" s="3"/>
      <c r="E3667" s="3">
        <v>4</v>
      </c>
      <c r="F3667" s="4" t="str">
        <f>HYPERLINK("http://141.218.60.56/~jnz1568/getInfo.php?workbook=14_09.xlsx&amp;sheet=U0&amp;row=3667&amp;col=6&amp;number=3.3&amp;sourceID=14","3.3")</f>
        <v>3.3</v>
      </c>
      <c r="G3667" s="4" t="str">
        <f>HYPERLINK("http://141.218.60.56/~jnz1568/getInfo.php?workbook=14_09.xlsx&amp;sheet=U0&amp;row=3667&amp;col=7&amp;number=0.00761&amp;sourceID=14","0.00761")</f>
        <v>0.00761</v>
      </c>
    </row>
    <row r="3668" spans="1:7">
      <c r="A3668" s="3"/>
      <c r="B3668" s="3"/>
      <c r="C3668" s="3"/>
      <c r="D3668" s="3"/>
      <c r="E3668" s="3">
        <v>5</v>
      </c>
      <c r="F3668" s="4" t="str">
        <f>HYPERLINK("http://141.218.60.56/~jnz1568/getInfo.php?workbook=14_09.xlsx&amp;sheet=U0&amp;row=3668&amp;col=6&amp;number=3.4&amp;sourceID=14","3.4")</f>
        <v>3.4</v>
      </c>
      <c r="G3668" s="4" t="str">
        <f>HYPERLINK("http://141.218.60.56/~jnz1568/getInfo.php?workbook=14_09.xlsx&amp;sheet=U0&amp;row=3668&amp;col=7&amp;number=0.00761&amp;sourceID=14","0.00761")</f>
        <v>0.00761</v>
      </c>
    </row>
    <row r="3669" spans="1:7">
      <c r="A3669" s="3"/>
      <c r="B3669" s="3"/>
      <c r="C3669" s="3"/>
      <c r="D3669" s="3"/>
      <c r="E3669" s="3">
        <v>6</v>
      </c>
      <c r="F3669" s="4" t="str">
        <f>HYPERLINK("http://141.218.60.56/~jnz1568/getInfo.php?workbook=14_09.xlsx&amp;sheet=U0&amp;row=3669&amp;col=6&amp;number=3.5&amp;sourceID=14","3.5")</f>
        <v>3.5</v>
      </c>
      <c r="G3669" s="4" t="str">
        <f>HYPERLINK("http://141.218.60.56/~jnz1568/getInfo.php?workbook=14_09.xlsx&amp;sheet=U0&amp;row=3669&amp;col=7&amp;number=0.0076&amp;sourceID=14","0.0076")</f>
        <v>0.0076</v>
      </c>
    </row>
    <row r="3670" spans="1:7">
      <c r="A3670" s="3"/>
      <c r="B3670" s="3"/>
      <c r="C3670" s="3"/>
      <c r="D3670" s="3"/>
      <c r="E3670" s="3">
        <v>7</v>
      </c>
      <c r="F3670" s="4" t="str">
        <f>HYPERLINK("http://141.218.60.56/~jnz1568/getInfo.php?workbook=14_09.xlsx&amp;sheet=U0&amp;row=3670&amp;col=6&amp;number=3.6&amp;sourceID=14","3.6")</f>
        <v>3.6</v>
      </c>
      <c r="G3670" s="4" t="str">
        <f>HYPERLINK("http://141.218.60.56/~jnz1568/getInfo.php?workbook=14_09.xlsx&amp;sheet=U0&amp;row=3670&amp;col=7&amp;number=0.00758&amp;sourceID=14","0.00758")</f>
        <v>0.00758</v>
      </c>
    </row>
    <row r="3671" spans="1:7">
      <c r="A3671" s="3"/>
      <c r="B3671" s="3"/>
      <c r="C3671" s="3"/>
      <c r="D3671" s="3"/>
      <c r="E3671" s="3">
        <v>8</v>
      </c>
      <c r="F3671" s="4" t="str">
        <f>HYPERLINK("http://141.218.60.56/~jnz1568/getInfo.php?workbook=14_09.xlsx&amp;sheet=U0&amp;row=3671&amp;col=6&amp;number=3.7&amp;sourceID=14","3.7")</f>
        <v>3.7</v>
      </c>
      <c r="G3671" s="4" t="str">
        <f>HYPERLINK("http://141.218.60.56/~jnz1568/getInfo.php?workbook=14_09.xlsx&amp;sheet=U0&amp;row=3671&amp;col=7&amp;number=0.00757&amp;sourceID=14","0.00757")</f>
        <v>0.00757</v>
      </c>
    </row>
    <row r="3672" spans="1:7">
      <c r="A3672" s="3"/>
      <c r="B3672" s="3"/>
      <c r="C3672" s="3"/>
      <c r="D3672" s="3"/>
      <c r="E3672" s="3">
        <v>9</v>
      </c>
      <c r="F3672" s="4" t="str">
        <f>HYPERLINK("http://141.218.60.56/~jnz1568/getInfo.php?workbook=14_09.xlsx&amp;sheet=U0&amp;row=3672&amp;col=6&amp;number=3.8&amp;sourceID=14","3.8")</f>
        <v>3.8</v>
      </c>
      <c r="G3672" s="4" t="str">
        <f>HYPERLINK("http://141.218.60.56/~jnz1568/getInfo.php?workbook=14_09.xlsx&amp;sheet=U0&amp;row=3672&amp;col=7&amp;number=0.00755&amp;sourceID=14","0.00755")</f>
        <v>0.00755</v>
      </c>
    </row>
    <row r="3673" spans="1:7">
      <c r="A3673" s="3"/>
      <c r="B3673" s="3"/>
      <c r="C3673" s="3"/>
      <c r="D3673" s="3"/>
      <c r="E3673" s="3">
        <v>10</v>
      </c>
      <c r="F3673" s="4" t="str">
        <f>HYPERLINK("http://141.218.60.56/~jnz1568/getInfo.php?workbook=14_09.xlsx&amp;sheet=U0&amp;row=3673&amp;col=6&amp;number=3.9&amp;sourceID=14","3.9")</f>
        <v>3.9</v>
      </c>
      <c r="G3673" s="4" t="str">
        <f>HYPERLINK("http://141.218.60.56/~jnz1568/getInfo.php?workbook=14_09.xlsx&amp;sheet=U0&amp;row=3673&amp;col=7&amp;number=0.00752&amp;sourceID=14","0.00752")</f>
        <v>0.00752</v>
      </c>
    </row>
    <row r="3674" spans="1:7">
      <c r="A3674" s="3"/>
      <c r="B3674" s="3"/>
      <c r="C3674" s="3"/>
      <c r="D3674" s="3"/>
      <c r="E3674" s="3">
        <v>11</v>
      </c>
      <c r="F3674" s="4" t="str">
        <f>HYPERLINK("http://141.218.60.56/~jnz1568/getInfo.php?workbook=14_09.xlsx&amp;sheet=U0&amp;row=3674&amp;col=6&amp;number=4&amp;sourceID=14","4")</f>
        <v>4</v>
      </c>
      <c r="G3674" s="4" t="str">
        <f>HYPERLINK("http://141.218.60.56/~jnz1568/getInfo.php?workbook=14_09.xlsx&amp;sheet=U0&amp;row=3674&amp;col=7&amp;number=0.00749&amp;sourceID=14","0.00749")</f>
        <v>0.00749</v>
      </c>
    </row>
    <row r="3675" spans="1:7">
      <c r="A3675" s="3"/>
      <c r="B3675" s="3"/>
      <c r="C3675" s="3"/>
      <c r="D3675" s="3"/>
      <c r="E3675" s="3">
        <v>12</v>
      </c>
      <c r="F3675" s="4" t="str">
        <f>HYPERLINK("http://141.218.60.56/~jnz1568/getInfo.php?workbook=14_09.xlsx&amp;sheet=U0&amp;row=3675&amp;col=6&amp;number=4.1&amp;sourceID=14","4.1")</f>
        <v>4.1</v>
      </c>
      <c r="G3675" s="4" t="str">
        <f>HYPERLINK("http://141.218.60.56/~jnz1568/getInfo.php?workbook=14_09.xlsx&amp;sheet=U0&amp;row=3675&amp;col=7&amp;number=0.00745&amp;sourceID=14","0.00745")</f>
        <v>0.00745</v>
      </c>
    </row>
    <row r="3676" spans="1:7">
      <c r="A3676" s="3"/>
      <c r="B3676" s="3"/>
      <c r="C3676" s="3"/>
      <c r="D3676" s="3"/>
      <c r="E3676" s="3">
        <v>13</v>
      </c>
      <c r="F3676" s="4" t="str">
        <f>HYPERLINK("http://141.218.60.56/~jnz1568/getInfo.php?workbook=14_09.xlsx&amp;sheet=U0&amp;row=3676&amp;col=6&amp;number=4.2&amp;sourceID=14","4.2")</f>
        <v>4.2</v>
      </c>
      <c r="G3676" s="4" t="str">
        <f>HYPERLINK("http://141.218.60.56/~jnz1568/getInfo.php?workbook=14_09.xlsx&amp;sheet=U0&amp;row=3676&amp;col=7&amp;number=0.0074&amp;sourceID=14","0.0074")</f>
        <v>0.0074</v>
      </c>
    </row>
    <row r="3677" spans="1:7">
      <c r="A3677" s="3"/>
      <c r="B3677" s="3"/>
      <c r="C3677" s="3"/>
      <c r="D3677" s="3"/>
      <c r="E3677" s="3">
        <v>14</v>
      </c>
      <c r="F3677" s="4" t="str">
        <f>HYPERLINK("http://141.218.60.56/~jnz1568/getInfo.php?workbook=14_09.xlsx&amp;sheet=U0&amp;row=3677&amp;col=6&amp;number=4.3&amp;sourceID=14","4.3")</f>
        <v>4.3</v>
      </c>
      <c r="G3677" s="4" t="str">
        <f>HYPERLINK("http://141.218.60.56/~jnz1568/getInfo.php?workbook=14_09.xlsx&amp;sheet=U0&amp;row=3677&amp;col=7&amp;number=0.00734&amp;sourceID=14","0.00734")</f>
        <v>0.00734</v>
      </c>
    </row>
    <row r="3678" spans="1:7">
      <c r="A3678" s="3"/>
      <c r="B3678" s="3"/>
      <c r="C3678" s="3"/>
      <c r="D3678" s="3"/>
      <c r="E3678" s="3">
        <v>15</v>
      </c>
      <c r="F3678" s="4" t="str">
        <f>HYPERLINK("http://141.218.60.56/~jnz1568/getInfo.php?workbook=14_09.xlsx&amp;sheet=U0&amp;row=3678&amp;col=6&amp;number=4.4&amp;sourceID=14","4.4")</f>
        <v>4.4</v>
      </c>
      <c r="G3678" s="4" t="str">
        <f>HYPERLINK("http://141.218.60.56/~jnz1568/getInfo.php?workbook=14_09.xlsx&amp;sheet=U0&amp;row=3678&amp;col=7&amp;number=0.00727&amp;sourceID=14","0.00727")</f>
        <v>0.00727</v>
      </c>
    </row>
    <row r="3679" spans="1:7">
      <c r="A3679" s="3"/>
      <c r="B3679" s="3"/>
      <c r="C3679" s="3"/>
      <c r="D3679" s="3"/>
      <c r="E3679" s="3">
        <v>16</v>
      </c>
      <c r="F3679" s="4" t="str">
        <f>HYPERLINK("http://141.218.60.56/~jnz1568/getInfo.php?workbook=14_09.xlsx&amp;sheet=U0&amp;row=3679&amp;col=6&amp;number=4.5&amp;sourceID=14","4.5")</f>
        <v>4.5</v>
      </c>
      <c r="G3679" s="4" t="str">
        <f>HYPERLINK("http://141.218.60.56/~jnz1568/getInfo.php?workbook=14_09.xlsx&amp;sheet=U0&amp;row=3679&amp;col=7&amp;number=0.00717&amp;sourceID=14","0.00717")</f>
        <v>0.00717</v>
      </c>
    </row>
    <row r="3680" spans="1:7">
      <c r="A3680" s="3"/>
      <c r="B3680" s="3"/>
      <c r="C3680" s="3"/>
      <c r="D3680" s="3"/>
      <c r="E3680" s="3">
        <v>17</v>
      </c>
      <c r="F3680" s="4" t="str">
        <f>HYPERLINK("http://141.218.60.56/~jnz1568/getInfo.php?workbook=14_09.xlsx&amp;sheet=U0&amp;row=3680&amp;col=6&amp;number=4.6&amp;sourceID=14","4.6")</f>
        <v>4.6</v>
      </c>
      <c r="G3680" s="4" t="str">
        <f>HYPERLINK("http://141.218.60.56/~jnz1568/getInfo.php?workbook=14_09.xlsx&amp;sheet=U0&amp;row=3680&amp;col=7&amp;number=0.00706&amp;sourceID=14","0.00706")</f>
        <v>0.00706</v>
      </c>
    </row>
    <row r="3681" spans="1:7">
      <c r="A3681" s="3"/>
      <c r="B3681" s="3"/>
      <c r="C3681" s="3"/>
      <c r="D3681" s="3"/>
      <c r="E3681" s="3">
        <v>18</v>
      </c>
      <c r="F3681" s="4" t="str">
        <f>HYPERLINK("http://141.218.60.56/~jnz1568/getInfo.php?workbook=14_09.xlsx&amp;sheet=U0&amp;row=3681&amp;col=6&amp;number=4.7&amp;sourceID=14","4.7")</f>
        <v>4.7</v>
      </c>
      <c r="G3681" s="4" t="str">
        <f>HYPERLINK("http://141.218.60.56/~jnz1568/getInfo.php?workbook=14_09.xlsx&amp;sheet=U0&amp;row=3681&amp;col=7&amp;number=0.00691&amp;sourceID=14","0.00691")</f>
        <v>0.00691</v>
      </c>
    </row>
    <row r="3682" spans="1:7">
      <c r="A3682" s="3"/>
      <c r="B3682" s="3"/>
      <c r="C3682" s="3"/>
      <c r="D3682" s="3"/>
      <c r="E3682" s="3">
        <v>19</v>
      </c>
      <c r="F3682" s="4" t="str">
        <f>HYPERLINK("http://141.218.60.56/~jnz1568/getInfo.php?workbook=14_09.xlsx&amp;sheet=U0&amp;row=3682&amp;col=6&amp;number=4.8&amp;sourceID=14","4.8")</f>
        <v>4.8</v>
      </c>
      <c r="G3682" s="4" t="str">
        <f>HYPERLINK("http://141.218.60.56/~jnz1568/getInfo.php?workbook=14_09.xlsx&amp;sheet=U0&amp;row=3682&amp;col=7&amp;number=0.00674&amp;sourceID=14","0.00674")</f>
        <v>0.00674</v>
      </c>
    </row>
    <row r="3683" spans="1:7">
      <c r="A3683" s="3"/>
      <c r="B3683" s="3"/>
      <c r="C3683" s="3"/>
      <c r="D3683" s="3"/>
      <c r="E3683" s="3">
        <v>20</v>
      </c>
      <c r="F3683" s="4" t="str">
        <f>HYPERLINK("http://141.218.60.56/~jnz1568/getInfo.php?workbook=14_09.xlsx&amp;sheet=U0&amp;row=3683&amp;col=6&amp;number=4.9&amp;sourceID=14","4.9")</f>
        <v>4.9</v>
      </c>
      <c r="G3683" s="4" t="str">
        <f>HYPERLINK("http://141.218.60.56/~jnz1568/getInfo.php?workbook=14_09.xlsx&amp;sheet=U0&amp;row=3683&amp;col=7&amp;number=0.00653&amp;sourceID=14","0.00653")</f>
        <v>0.00653</v>
      </c>
    </row>
    <row r="3684" spans="1:7">
      <c r="A3684" s="3">
        <v>14</v>
      </c>
      <c r="B3684" s="3">
        <v>9</v>
      </c>
      <c r="C3684" s="3">
        <v>1</v>
      </c>
      <c r="D3684" s="3">
        <v>186</v>
      </c>
      <c r="E3684" s="3">
        <v>1</v>
      </c>
      <c r="F3684" s="4" t="str">
        <f>HYPERLINK("http://141.218.60.56/~jnz1568/getInfo.php?workbook=14_09.xlsx&amp;sheet=U0&amp;row=3684&amp;col=6&amp;number=3&amp;sourceID=14","3")</f>
        <v>3</v>
      </c>
      <c r="G3684" s="4" t="str">
        <f>HYPERLINK("http://141.218.60.56/~jnz1568/getInfo.php?workbook=14_09.xlsx&amp;sheet=U0&amp;row=3684&amp;col=7&amp;number=0.0121&amp;sourceID=14","0.0121")</f>
        <v>0.0121</v>
      </c>
    </row>
    <row r="3685" spans="1:7">
      <c r="A3685" s="3"/>
      <c r="B3685" s="3"/>
      <c r="C3685" s="3"/>
      <c r="D3685" s="3"/>
      <c r="E3685" s="3">
        <v>2</v>
      </c>
      <c r="F3685" s="4" t="str">
        <f>HYPERLINK("http://141.218.60.56/~jnz1568/getInfo.php?workbook=14_09.xlsx&amp;sheet=U0&amp;row=3685&amp;col=6&amp;number=3.1&amp;sourceID=14","3.1")</f>
        <v>3.1</v>
      </c>
      <c r="G3685" s="4" t="str">
        <f>HYPERLINK("http://141.218.60.56/~jnz1568/getInfo.php?workbook=14_09.xlsx&amp;sheet=U0&amp;row=3685&amp;col=7&amp;number=0.0121&amp;sourceID=14","0.0121")</f>
        <v>0.0121</v>
      </c>
    </row>
    <row r="3686" spans="1:7">
      <c r="A3686" s="3"/>
      <c r="B3686" s="3"/>
      <c r="C3686" s="3"/>
      <c r="D3686" s="3"/>
      <c r="E3686" s="3">
        <v>3</v>
      </c>
      <c r="F3686" s="4" t="str">
        <f>HYPERLINK("http://141.218.60.56/~jnz1568/getInfo.php?workbook=14_09.xlsx&amp;sheet=U0&amp;row=3686&amp;col=6&amp;number=3.2&amp;sourceID=14","3.2")</f>
        <v>3.2</v>
      </c>
      <c r="G3686" s="4" t="str">
        <f>HYPERLINK("http://141.218.60.56/~jnz1568/getInfo.php?workbook=14_09.xlsx&amp;sheet=U0&amp;row=3686&amp;col=7&amp;number=0.0121&amp;sourceID=14","0.0121")</f>
        <v>0.0121</v>
      </c>
    </row>
    <row r="3687" spans="1:7">
      <c r="A3687" s="3"/>
      <c r="B3687" s="3"/>
      <c r="C3687" s="3"/>
      <c r="D3687" s="3"/>
      <c r="E3687" s="3">
        <v>4</v>
      </c>
      <c r="F3687" s="4" t="str">
        <f>HYPERLINK("http://141.218.60.56/~jnz1568/getInfo.php?workbook=14_09.xlsx&amp;sheet=U0&amp;row=3687&amp;col=6&amp;number=3.3&amp;sourceID=14","3.3")</f>
        <v>3.3</v>
      </c>
      <c r="G3687" s="4" t="str">
        <f>HYPERLINK("http://141.218.60.56/~jnz1568/getInfo.php?workbook=14_09.xlsx&amp;sheet=U0&amp;row=3687&amp;col=7&amp;number=0.012&amp;sourceID=14","0.012")</f>
        <v>0.012</v>
      </c>
    </row>
    <row r="3688" spans="1:7">
      <c r="A3688" s="3"/>
      <c r="B3688" s="3"/>
      <c r="C3688" s="3"/>
      <c r="D3688" s="3"/>
      <c r="E3688" s="3">
        <v>5</v>
      </c>
      <c r="F3688" s="4" t="str">
        <f>HYPERLINK("http://141.218.60.56/~jnz1568/getInfo.php?workbook=14_09.xlsx&amp;sheet=U0&amp;row=3688&amp;col=6&amp;number=3.4&amp;sourceID=14","3.4")</f>
        <v>3.4</v>
      </c>
      <c r="G3688" s="4" t="str">
        <f>HYPERLINK("http://141.218.60.56/~jnz1568/getInfo.php?workbook=14_09.xlsx&amp;sheet=U0&amp;row=3688&amp;col=7&amp;number=0.012&amp;sourceID=14","0.012")</f>
        <v>0.012</v>
      </c>
    </row>
    <row r="3689" spans="1:7">
      <c r="A3689" s="3"/>
      <c r="B3689" s="3"/>
      <c r="C3689" s="3"/>
      <c r="D3689" s="3"/>
      <c r="E3689" s="3">
        <v>6</v>
      </c>
      <c r="F3689" s="4" t="str">
        <f>HYPERLINK("http://141.218.60.56/~jnz1568/getInfo.php?workbook=14_09.xlsx&amp;sheet=U0&amp;row=3689&amp;col=6&amp;number=3.5&amp;sourceID=14","3.5")</f>
        <v>3.5</v>
      </c>
      <c r="G3689" s="4" t="str">
        <f>HYPERLINK("http://141.218.60.56/~jnz1568/getInfo.php?workbook=14_09.xlsx&amp;sheet=U0&amp;row=3689&amp;col=7&amp;number=0.012&amp;sourceID=14","0.012")</f>
        <v>0.012</v>
      </c>
    </row>
    <row r="3690" spans="1:7">
      <c r="A3690" s="3"/>
      <c r="B3690" s="3"/>
      <c r="C3690" s="3"/>
      <c r="D3690" s="3"/>
      <c r="E3690" s="3">
        <v>7</v>
      </c>
      <c r="F3690" s="4" t="str">
        <f>HYPERLINK("http://141.218.60.56/~jnz1568/getInfo.php?workbook=14_09.xlsx&amp;sheet=U0&amp;row=3690&amp;col=6&amp;number=3.6&amp;sourceID=14","3.6")</f>
        <v>3.6</v>
      </c>
      <c r="G3690" s="4" t="str">
        <f>HYPERLINK("http://141.218.60.56/~jnz1568/getInfo.php?workbook=14_09.xlsx&amp;sheet=U0&amp;row=3690&amp;col=7&amp;number=0.012&amp;sourceID=14","0.012")</f>
        <v>0.012</v>
      </c>
    </row>
    <row r="3691" spans="1:7">
      <c r="A3691" s="3"/>
      <c r="B3691" s="3"/>
      <c r="C3691" s="3"/>
      <c r="D3691" s="3"/>
      <c r="E3691" s="3">
        <v>8</v>
      </c>
      <c r="F3691" s="4" t="str">
        <f>HYPERLINK("http://141.218.60.56/~jnz1568/getInfo.php?workbook=14_09.xlsx&amp;sheet=U0&amp;row=3691&amp;col=6&amp;number=3.7&amp;sourceID=14","3.7")</f>
        <v>3.7</v>
      </c>
      <c r="G3691" s="4" t="str">
        <f>HYPERLINK("http://141.218.60.56/~jnz1568/getInfo.php?workbook=14_09.xlsx&amp;sheet=U0&amp;row=3691&amp;col=7&amp;number=0.012&amp;sourceID=14","0.012")</f>
        <v>0.012</v>
      </c>
    </row>
    <row r="3692" spans="1:7">
      <c r="A3692" s="3"/>
      <c r="B3692" s="3"/>
      <c r="C3692" s="3"/>
      <c r="D3692" s="3"/>
      <c r="E3692" s="3">
        <v>9</v>
      </c>
      <c r="F3692" s="4" t="str">
        <f>HYPERLINK("http://141.218.60.56/~jnz1568/getInfo.php?workbook=14_09.xlsx&amp;sheet=U0&amp;row=3692&amp;col=6&amp;number=3.8&amp;sourceID=14","3.8")</f>
        <v>3.8</v>
      </c>
      <c r="G3692" s="4" t="str">
        <f>HYPERLINK("http://141.218.60.56/~jnz1568/getInfo.php?workbook=14_09.xlsx&amp;sheet=U0&amp;row=3692&amp;col=7&amp;number=0.012&amp;sourceID=14","0.012")</f>
        <v>0.012</v>
      </c>
    </row>
    <row r="3693" spans="1:7">
      <c r="A3693" s="3"/>
      <c r="B3693" s="3"/>
      <c r="C3693" s="3"/>
      <c r="D3693" s="3"/>
      <c r="E3693" s="3">
        <v>10</v>
      </c>
      <c r="F3693" s="4" t="str">
        <f>HYPERLINK("http://141.218.60.56/~jnz1568/getInfo.php?workbook=14_09.xlsx&amp;sheet=U0&amp;row=3693&amp;col=6&amp;number=3.9&amp;sourceID=14","3.9")</f>
        <v>3.9</v>
      </c>
      <c r="G3693" s="4" t="str">
        <f>HYPERLINK("http://141.218.60.56/~jnz1568/getInfo.php?workbook=14_09.xlsx&amp;sheet=U0&amp;row=3693&amp;col=7&amp;number=0.0119&amp;sourceID=14","0.0119")</f>
        <v>0.0119</v>
      </c>
    </row>
    <row r="3694" spans="1:7">
      <c r="A3694" s="3"/>
      <c r="B3694" s="3"/>
      <c r="C3694" s="3"/>
      <c r="D3694" s="3"/>
      <c r="E3694" s="3">
        <v>11</v>
      </c>
      <c r="F3694" s="4" t="str">
        <f>HYPERLINK("http://141.218.60.56/~jnz1568/getInfo.php?workbook=14_09.xlsx&amp;sheet=U0&amp;row=3694&amp;col=6&amp;number=4&amp;sourceID=14","4")</f>
        <v>4</v>
      </c>
      <c r="G3694" s="4" t="str">
        <f>HYPERLINK("http://141.218.60.56/~jnz1568/getInfo.php?workbook=14_09.xlsx&amp;sheet=U0&amp;row=3694&amp;col=7&amp;number=0.0119&amp;sourceID=14","0.0119")</f>
        <v>0.0119</v>
      </c>
    </row>
    <row r="3695" spans="1:7">
      <c r="A3695" s="3"/>
      <c r="B3695" s="3"/>
      <c r="C3695" s="3"/>
      <c r="D3695" s="3"/>
      <c r="E3695" s="3">
        <v>12</v>
      </c>
      <c r="F3695" s="4" t="str">
        <f>HYPERLINK("http://141.218.60.56/~jnz1568/getInfo.php?workbook=14_09.xlsx&amp;sheet=U0&amp;row=3695&amp;col=6&amp;number=4.1&amp;sourceID=14","4.1")</f>
        <v>4.1</v>
      </c>
      <c r="G3695" s="4" t="str">
        <f>HYPERLINK("http://141.218.60.56/~jnz1568/getInfo.php?workbook=14_09.xlsx&amp;sheet=U0&amp;row=3695&amp;col=7&amp;number=0.0118&amp;sourceID=14","0.0118")</f>
        <v>0.0118</v>
      </c>
    </row>
    <row r="3696" spans="1:7">
      <c r="A3696" s="3"/>
      <c r="B3696" s="3"/>
      <c r="C3696" s="3"/>
      <c r="D3696" s="3"/>
      <c r="E3696" s="3">
        <v>13</v>
      </c>
      <c r="F3696" s="4" t="str">
        <f>HYPERLINK("http://141.218.60.56/~jnz1568/getInfo.php?workbook=14_09.xlsx&amp;sheet=U0&amp;row=3696&amp;col=6&amp;number=4.2&amp;sourceID=14","4.2")</f>
        <v>4.2</v>
      </c>
      <c r="G3696" s="4" t="str">
        <f>HYPERLINK("http://141.218.60.56/~jnz1568/getInfo.php?workbook=14_09.xlsx&amp;sheet=U0&amp;row=3696&amp;col=7&amp;number=0.0118&amp;sourceID=14","0.0118")</f>
        <v>0.0118</v>
      </c>
    </row>
    <row r="3697" spans="1:7">
      <c r="A3697" s="3"/>
      <c r="B3697" s="3"/>
      <c r="C3697" s="3"/>
      <c r="D3697" s="3"/>
      <c r="E3697" s="3">
        <v>14</v>
      </c>
      <c r="F3697" s="4" t="str">
        <f>HYPERLINK("http://141.218.60.56/~jnz1568/getInfo.php?workbook=14_09.xlsx&amp;sheet=U0&amp;row=3697&amp;col=6&amp;number=4.3&amp;sourceID=14","4.3")</f>
        <v>4.3</v>
      </c>
      <c r="G3697" s="4" t="str">
        <f>HYPERLINK("http://141.218.60.56/~jnz1568/getInfo.php?workbook=14_09.xlsx&amp;sheet=U0&amp;row=3697&amp;col=7&amp;number=0.0117&amp;sourceID=14","0.0117")</f>
        <v>0.0117</v>
      </c>
    </row>
    <row r="3698" spans="1:7">
      <c r="A3698" s="3"/>
      <c r="B3698" s="3"/>
      <c r="C3698" s="3"/>
      <c r="D3698" s="3"/>
      <c r="E3698" s="3">
        <v>15</v>
      </c>
      <c r="F3698" s="4" t="str">
        <f>HYPERLINK("http://141.218.60.56/~jnz1568/getInfo.php?workbook=14_09.xlsx&amp;sheet=U0&amp;row=3698&amp;col=6&amp;number=4.4&amp;sourceID=14","4.4")</f>
        <v>4.4</v>
      </c>
      <c r="G3698" s="4" t="str">
        <f>HYPERLINK("http://141.218.60.56/~jnz1568/getInfo.php?workbook=14_09.xlsx&amp;sheet=U0&amp;row=3698&amp;col=7&amp;number=0.0116&amp;sourceID=14","0.0116")</f>
        <v>0.0116</v>
      </c>
    </row>
    <row r="3699" spans="1:7">
      <c r="A3699" s="3"/>
      <c r="B3699" s="3"/>
      <c r="C3699" s="3"/>
      <c r="D3699" s="3"/>
      <c r="E3699" s="3">
        <v>16</v>
      </c>
      <c r="F3699" s="4" t="str">
        <f>HYPERLINK("http://141.218.60.56/~jnz1568/getInfo.php?workbook=14_09.xlsx&amp;sheet=U0&amp;row=3699&amp;col=6&amp;number=4.5&amp;sourceID=14","4.5")</f>
        <v>4.5</v>
      </c>
      <c r="G3699" s="4" t="str">
        <f>HYPERLINK("http://141.218.60.56/~jnz1568/getInfo.php?workbook=14_09.xlsx&amp;sheet=U0&amp;row=3699&amp;col=7&amp;number=0.0115&amp;sourceID=14","0.0115")</f>
        <v>0.0115</v>
      </c>
    </row>
    <row r="3700" spans="1:7">
      <c r="A3700" s="3"/>
      <c r="B3700" s="3"/>
      <c r="C3700" s="3"/>
      <c r="D3700" s="3"/>
      <c r="E3700" s="3">
        <v>17</v>
      </c>
      <c r="F3700" s="4" t="str">
        <f>HYPERLINK("http://141.218.60.56/~jnz1568/getInfo.php?workbook=14_09.xlsx&amp;sheet=U0&amp;row=3700&amp;col=6&amp;number=4.6&amp;sourceID=14","4.6")</f>
        <v>4.6</v>
      </c>
      <c r="G3700" s="4" t="str">
        <f>HYPERLINK("http://141.218.60.56/~jnz1568/getInfo.php?workbook=14_09.xlsx&amp;sheet=U0&amp;row=3700&amp;col=7&amp;number=0.0113&amp;sourceID=14","0.0113")</f>
        <v>0.0113</v>
      </c>
    </row>
    <row r="3701" spans="1:7">
      <c r="A3701" s="3"/>
      <c r="B3701" s="3"/>
      <c r="C3701" s="3"/>
      <c r="D3701" s="3"/>
      <c r="E3701" s="3">
        <v>18</v>
      </c>
      <c r="F3701" s="4" t="str">
        <f>HYPERLINK("http://141.218.60.56/~jnz1568/getInfo.php?workbook=14_09.xlsx&amp;sheet=U0&amp;row=3701&amp;col=6&amp;number=4.7&amp;sourceID=14","4.7")</f>
        <v>4.7</v>
      </c>
      <c r="G3701" s="4" t="str">
        <f>HYPERLINK("http://141.218.60.56/~jnz1568/getInfo.php?workbook=14_09.xlsx&amp;sheet=U0&amp;row=3701&amp;col=7&amp;number=0.0111&amp;sourceID=14","0.0111")</f>
        <v>0.0111</v>
      </c>
    </row>
    <row r="3702" spans="1:7">
      <c r="A3702" s="3"/>
      <c r="B3702" s="3"/>
      <c r="C3702" s="3"/>
      <c r="D3702" s="3"/>
      <c r="E3702" s="3">
        <v>19</v>
      </c>
      <c r="F3702" s="4" t="str">
        <f>HYPERLINK("http://141.218.60.56/~jnz1568/getInfo.php?workbook=14_09.xlsx&amp;sheet=U0&amp;row=3702&amp;col=6&amp;number=4.8&amp;sourceID=14","4.8")</f>
        <v>4.8</v>
      </c>
      <c r="G3702" s="4" t="str">
        <f>HYPERLINK("http://141.218.60.56/~jnz1568/getInfo.php?workbook=14_09.xlsx&amp;sheet=U0&amp;row=3702&amp;col=7&amp;number=0.0109&amp;sourceID=14","0.0109")</f>
        <v>0.0109</v>
      </c>
    </row>
    <row r="3703" spans="1:7">
      <c r="A3703" s="3"/>
      <c r="B3703" s="3"/>
      <c r="C3703" s="3"/>
      <c r="D3703" s="3"/>
      <c r="E3703" s="3">
        <v>20</v>
      </c>
      <c r="F3703" s="4" t="str">
        <f>HYPERLINK("http://141.218.60.56/~jnz1568/getInfo.php?workbook=14_09.xlsx&amp;sheet=U0&amp;row=3703&amp;col=6&amp;number=4.9&amp;sourceID=14","4.9")</f>
        <v>4.9</v>
      </c>
      <c r="G3703" s="4" t="str">
        <f>HYPERLINK("http://141.218.60.56/~jnz1568/getInfo.php?workbook=14_09.xlsx&amp;sheet=U0&amp;row=3703&amp;col=7&amp;number=0.0106&amp;sourceID=14","0.0106")</f>
        <v>0.0106</v>
      </c>
    </row>
    <row r="3704" spans="1:7">
      <c r="A3704" s="3">
        <v>14</v>
      </c>
      <c r="B3704" s="3">
        <v>9</v>
      </c>
      <c r="C3704" s="3">
        <v>1</v>
      </c>
      <c r="D3704" s="3">
        <v>187</v>
      </c>
      <c r="E3704" s="3">
        <v>1</v>
      </c>
      <c r="F3704" s="4" t="str">
        <f>HYPERLINK("http://141.218.60.56/~jnz1568/getInfo.php?workbook=14_09.xlsx&amp;sheet=U0&amp;row=3704&amp;col=6&amp;number=3&amp;sourceID=14","3")</f>
        <v>3</v>
      </c>
      <c r="G3704" s="4" t="str">
        <f>HYPERLINK("http://141.218.60.56/~jnz1568/getInfo.php?workbook=14_09.xlsx&amp;sheet=U0&amp;row=3704&amp;col=7&amp;number=0.00387&amp;sourceID=14","0.00387")</f>
        <v>0.00387</v>
      </c>
    </row>
    <row r="3705" spans="1:7">
      <c r="A3705" s="3"/>
      <c r="B3705" s="3"/>
      <c r="C3705" s="3"/>
      <c r="D3705" s="3"/>
      <c r="E3705" s="3">
        <v>2</v>
      </c>
      <c r="F3705" s="4" t="str">
        <f>HYPERLINK("http://141.218.60.56/~jnz1568/getInfo.php?workbook=14_09.xlsx&amp;sheet=U0&amp;row=3705&amp;col=6&amp;number=3.1&amp;sourceID=14","3.1")</f>
        <v>3.1</v>
      </c>
      <c r="G3705" s="4" t="str">
        <f>HYPERLINK("http://141.218.60.56/~jnz1568/getInfo.php?workbook=14_09.xlsx&amp;sheet=U0&amp;row=3705&amp;col=7&amp;number=0.00387&amp;sourceID=14","0.00387")</f>
        <v>0.00387</v>
      </c>
    </row>
    <row r="3706" spans="1:7">
      <c r="A3706" s="3"/>
      <c r="B3706" s="3"/>
      <c r="C3706" s="3"/>
      <c r="D3706" s="3"/>
      <c r="E3706" s="3">
        <v>3</v>
      </c>
      <c r="F3706" s="4" t="str">
        <f>HYPERLINK("http://141.218.60.56/~jnz1568/getInfo.php?workbook=14_09.xlsx&amp;sheet=U0&amp;row=3706&amp;col=6&amp;number=3.2&amp;sourceID=14","3.2")</f>
        <v>3.2</v>
      </c>
      <c r="G3706" s="4" t="str">
        <f>HYPERLINK("http://141.218.60.56/~jnz1568/getInfo.php?workbook=14_09.xlsx&amp;sheet=U0&amp;row=3706&amp;col=7&amp;number=0.00387&amp;sourceID=14","0.00387")</f>
        <v>0.00387</v>
      </c>
    </row>
    <row r="3707" spans="1:7">
      <c r="A3707" s="3"/>
      <c r="B3707" s="3"/>
      <c r="C3707" s="3"/>
      <c r="D3707" s="3"/>
      <c r="E3707" s="3">
        <v>4</v>
      </c>
      <c r="F3707" s="4" t="str">
        <f>HYPERLINK("http://141.218.60.56/~jnz1568/getInfo.php?workbook=14_09.xlsx&amp;sheet=U0&amp;row=3707&amp;col=6&amp;number=3.3&amp;sourceID=14","3.3")</f>
        <v>3.3</v>
      </c>
      <c r="G3707" s="4" t="str">
        <f>HYPERLINK("http://141.218.60.56/~jnz1568/getInfo.php?workbook=14_09.xlsx&amp;sheet=U0&amp;row=3707&amp;col=7&amp;number=0.00387&amp;sourceID=14","0.00387")</f>
        <v>0.00387</v>
      </c>
    </row>
    <row r="3708" spans="1:7">
      <c r="A3708" s="3"/>
      <c r="B3708" s="3"/>
      <c r="C3708" s="3"/>
      <c r="D3708" s="3"/>
      <c r="E3708" s="3">
        <v>5</v>
      </c>
      <c r="F3708" s="4" t="str">
        <f>HYPERLINK("http://141.218.60.56/~jnz1568/getInfo.php?workbook=14_09.xlsx&amp;sheet=U0&amp;row=3708&amp;col=6&amp;number=3.4&amp;sourceID=14","3.4")</f>
        <v>3.4</v>
      </c>
      <c r="G3708" s="4" t="str">
        <f>HYPERLINK("http://141.218.60.56/~jnz1568/getInfo.php?workbook=14_09.xlsx&amp;sheet=U0&amp;row=3708&amp;col=7&amp;number=0.00386&amp;sourceID=14","0.00386")</f>
        <v>0.00386</v>
      </c>
    </row>
    <row r="3709" spans="1:7">
      <c r="A3709" s="3"/>
      <c r="B3709" s="3"/>
      <c r="C3709" s="3"/>
      <c r="D3709" s="3"/>
      <c r="E3709" s="3">
        <v>6</v>
      </c>
      <c r="F3709" s="4" t="str">
        <f>HYPERLINK("http://141.218.60.56/~jnz1568/getInfo.php?workbook=14_09.xlsx&amp;sheet=U0&amp;row=3709&amp;col=6&amp;number=3.5&amp;sourceID=14","3.5")</f>
        <v>3.5</v>
      </c>
      <c r="G3709" s="4" t="str">
        <f>HYPERLINK("http://141.218.60.56/~jnz1568/getInfo.php?workbook=14_09.xlsx&amp;sheet=U0&amp;row=3709&amp;col=7&amp;number=0.00386&amp;sourceID=14","0.00386")</f>
        <v>0.00386</v>
      </c>
    </row>
    <row r="3710" spans="1:7">
      <c r="A3710" s="3"/>
      <c r="B3710" s="3"/>
      <c r="C3710" s="3"/>
      <c r="D3710" s="3"/>
      <c r="E3710" s="3">
        <v>7</v>
      </c>
      <c r="F3710" s="4" t="str">
        <f>HYPERLINK("http://141.218.60.56/~jnz1568/getInfo.php?workbook=14_09.xlsx&amp;sheet=U0&amp;row=3710&amp;col=6&amp;number=3.6&amp;sourceID=14","3.6")</f>
        <v>3.6</v>
      </c>
      <c r="G3710" s="4" t="str">
        <f>HYPERLINK("http://141.218.60.56/~jnz1568/getInfo.php?workbook=14_09.xlsx&amp;sheet=U0&amp;row=3710&amp;col=7&amp;number=0.00386&amp;sourceID=14","0.00386")</f>
        <v>0.00386</v>
      </c>
    </row>
    <row r="3711" spans="1:7">
      <c r="A3711" s="3"/>
      <c r="B3711" s="3"/>
      <c r="C3711" s="3"/>
      <c r="D3711" s="3"/>
      <c r="E3711" s="3">
        <v>8</v>
      </c>
      <c r="F3711" s="4" t="str">
        <f>HYPERLINK("http://141.218.60.56/~jnz1568/getInfo.php?workbook=14_09.xlsx&amp;sheet=U0&amp;row=3711&amp;col=6&amp;number=3.7&amp;sourceID=14","3.7")</f>
        <v>3.7</v>
      </c>
      <c r="G3711" s="4" t="str">
        <f>HYPERLINK("http://141.218.60.56/~jnz1568/getInfo.php?workbook=14_09.xlsx&amp;sheet=U0&amp;row=3711&amp;col=7&amp;number=0.00385&amp;sourceID=14","0.00385")</f>
        <v>0.00385</v>
      </c>
    </row>
    <row r="3712" spans="1:7">
      <c r="A3712" s="3"/>
      <c r="B3712" s="3"/>
      <c r="C3712" s="3"/>
      <c r="D3712" s="3"/>
      <c r="E3712" s="3">
        <v>9</v>
      </c>
      <c r="F3712" s="4" t="str">
        <f>HYPERLINK("http://141.218.60.56/~jnz1568/getInfo.php?workbook=14_09.xlsx&amp;sheet=U0&amp;row=3712&amp;col=6&amp;number=3.8&amp;sourceID=14","3.8")</f>
        <v>3.8</v>
      </c>
      <c r="G3712" s="4" t="str">
        <f>HYPERLINK("http://141.218.60.56/~jnz1568/getInfo.php?workbook=14_09.xlsx&amp;sheet=U0&amp;row=3712&amp;col=7&amp;number=0.00384&amp;sourceID=14","0.00384")</f>
        <v>0.00384</v>
      </c>
    </row>
    <row r="3713" spans="1:7">
      <c r="A3713" s="3"/>
      <c r="B3713" s="3"/>
      <c r="C3713" s="3"/>
      <c r="D3713" s="3"/>
      <c r="E3713" s="3">
        <v>10</v>
      </c>
      <c r="F3713" s="4" t="str">
        <f>HYPERLINK("http://141.218.60.56/~jnz1568/getInfo.php?workbook=14_09.xlsx&amp;sheet=U0&amp;row=3713&amp;col=6&amp;number=3.9&amp;sourceID=14","3.9")</f>
        <v>3.9</v>
      </c>
      <c r="G3713" s="4" t="str">
        <f>HYPERLINK("http://141.218.60.56/~jnz1568/getInfo.php?workbook=14_09.xlsx&amp;sheet=U0&amp;row=3713&amp;col=7&amp;number=0.00383&amp;sourceID=14","0.00383")</f>
        <v>0.00383</v>
      </c>
    </row>
    <row r="3714" spans="1:7">
      <c r="A3714" s="3"/>
      <c r="B3714" s="3"/>
      <c r="C3714" s="3"/>
      <c r="D3714" s="3"/>
      <c r="E3714" s="3">
        <v>11</v>
      </c>
      <c r="F3714" s="4" t="str">
        <f>HYPERLINK("http://141.218.60.56/~jnz1568/getInfo.php?workbook=14_09.xlsx&amp;sheet=U0&amp;row=3714&amp;col=6&amp;number=4&amp;sourceID=14","4")</f>
        <v>4</v>
      </c>
      <c r="G3714" s="4" t="str">
        <f>HYPERLINK("http://141.218.60.56/~jnz1568/getInfo.php?workbook=14_09.xlsx&amp;sheet=U0&amp;row=3714&amp;col=7&amp;number=0.00382&amp;sourceID=14","0.00382")</f>
        <v>0.00382</v>
      </c>
    </row>
    <row r="3715" spans="1:7">
      <c r="A3715" s="3"/>
      <c r="B3715" s="3"/>
      <c r="C3715" s="3"/>
      <c r="D3715" s="3"/>
      <c r="E3715" s="3">
        <v>12</v>
      </c>
      <c r="F3715" s="4" t="str">
        <f>HYPERLINK("http://141.218.60.56/~jnz1568/getInfo.php?workbook=14_09.xlsx&amp;sheet=U0&amp;row=3715&amp;col=6&amp;number=4.1&amp;sourceID=14","4.1")</f>
        <v>4.1</v>
      </c>
      <c r="G3715" s="4" t="str">
        <f>HYPERLINK("http://141.218.60.56/~jnz1568/getInfo.php?workbook=14_09.xlsx&amp;sheet=U0&amp;row=3715&amp;col=7&amp;number=0.0038&amp;sourceID=14","0.0038")</f>
        <v>0.0038</v>
      </c>
    </row>
    <row r="3716" spans="1:7">
      <c r="A3716" s="3"/>
      <c r="B3716" s="3"/>
      <c r="C3716" s="3"/>
      <c r="D3716" s="3"/>
      <c r="E3716" s="3">
        <v>13</v>
      </c>
      <c r="F3716" s="4" t="str">
        <f>HYPERLINK("http://141.218.60.56/~jnz1568/getInfo.php?workbook=14_09.xlsx&amp;sheet=U0&amp;row=3716&amp;col=6&amp;number=4.2&amp;sourceID=14","4.2")</f>
        <v>4.2</v>
      </c>
      <c r="G3716" s="4" t="str">
        <f>HYPERLINK("http://141.218.60.56/~jnz1568/getInfo.php?workbook=14_09.xlsx&amp;sheet=U0&amp;row=3716&amp;col=7&amp;number=0.00379&amp;sourceID=14","0.00379")</f>
        <v>0.00379</v>
      </c>
    </row>
    <row r="3717" spans="1:7">
      <c r="A3717" s="3"/>
      <c r="B3717" s="3"/>
      <c r="C3717" s="3"/>
      <c r="D3717" s="3"/>
      <c r="E3717" s="3">
        <v>14</v>
      </c>
      <c r="F3717" s="4" t="str">
        <f>HYPERLINK("http://141.218.60.56/~jnz1568/getInfo.php?workbook=14_09.xlsx&amp;sheet=U0&amp;row=3717&amp;col=6&amp;number=4.3&amp;sourceID=14","4.3")</f>
        <v>4.3</v>
      </c>
      <c r="G3717" s="4" t="str">
        <f>HYPERLINK("http://141.218.60.56/~jnz1568/getInfo.php?workbook=14_09.xlsx&amp;sheet=U0&amp;row=3717&amp;col=7&amp;number=0.00376&amp;sourceID=14","0.00376")</f>
        <v>0.00376</v>
      </c>
    </row>
    <row r="3718" spans="1:7">
      <c r="A3718" s="3"/>
      <c r="B3718" s="3"/>
      <c r="C3718" s="3"/>
      <c r="D3718" s="3"/>
      <c r="E3718" s="3">
        <v>15</v>
      </c>
      <c r="F3718" s="4" t="str">
        <f>HYPERLINK("http://141.218.60.56/~jnz1568/getInfo.php?workbook=14_09.xlsx&amp;sheet=U0&amp;row=3718&amp;col=6&amp;number=4.4&amp;sourceID=14","4.4")</f>
        <v>4.4</v>
      </c>
      <c r="G3718" s="4" t="str">
        <f>HYPERLINK("http://141.218.60.56/~jnz1568/getInfo.php?workbook=14_09.xlsx&amp;sheet=U0&amp;row=3718&amp;col=7&amp;number=0.00373&amp;sourceID=14","0.00373")</f>
        <v>0.00373</v>
      </c>
    </row>
    <row r="3719" spans="1:7">
      <c r="A3719" s="3"/>
      <c r="B3719" s="3"/>
      <c r="C3719" s="3"/>
      <c r="D3719" s="3"/>
      <c r="E3719" s="3">
        <v>16</v>
      </c>
      <c r="F3719" s="4" t="str">
        <f>HYPERLINK("http://141.218.60.56/~jnz1568/getInfo.php?workbook=14_09.xlsx&amp;sheet=U0&amp;row=3719&amp;col=6&amp;number=4.5&amp;sourceID=14","4.5")</f>
        <v>4.5</v>
      </c>
      <c r="G3719" s="4" t="str">
        <f>HYPERLINK("http://141.218.60.56/~jnz1568/getInfo.php?workbook=14_09.xlsx&amp;sheet=U0&amp;row=3719&amp;col=7&amp;number=0.00369&amp;sourceID=14","0.00369")</f>
        <v>0.00369</v>
      </c>
    </row>
    <row r="3720" spans="1:7">
      <c r="A3720" s="3"/>
      <c r="B3720" s="3"/>
      <c r="C3720" s="3"/>
      <c r="D3720" s="3"/>
      <c r="E3720" s="3">
        <v>17</v>
      </c>
      <c r="F3720" s="4" t="str">
        <f>HYPERLINK("http://141.218.60.56/~jnz1568/getInfo.php?workbook=14_09.xlsx&amp;sheet=U0&amp;row=3720&amp;col=6&amp;number=4.6&amp;sourceID=14","4.6")</f>
        <v>4.6</v>
      </c>
      <c r="G3720" s="4" t="str">
        <f>HYPERLINK("http://141.218.60.56/~jnz1568/getInfo.php?workbook=14_09.xlsx&amp;sheet=U0&amp;row=3720&amp;col=7&amp;number=0.00365&amp;sourceID=14","0.00365")</f>
        <v>0.00365</v>
      </c>
    </row>
    <row r="3721" spans="1:7">
      <c r="A3721" s="3"/>
      <c r="B3721" s="3"/>
      <c r="C3721" s="3"/>
      <c r="D3721" s="3"/>
      <c r="E3721" s="3">
        <v>18</v>
      </c>
      <c r="F3721" s="4" t="str">
        <f>HYPERLINK("http://141.218.60.56/~jnz1568/getInfo.php?workbook=14_09.xlsx&amp;sheet=U0&amp;row=3721&amp;col=6&amp;number=4.7&amp;sourceID=14","4.7")</f>
        <v>4.7</v>
      </c>
      <c r="G3721" s="4" t="str">
        <f>HYPERLINK("http://141.218.60.56/~jnz1568/getInfo.php?workbook=14_09.xlsx&amp;sheet=U0&amp;row=3721&amp;col=7&amp;number=0.00359&amp;sourceID=14","0.00359")</f>
        <v>0.00359</v>
      </c>
    </row>
    <row r="3722" spans="1:7">
      <c r="A3722" s="3"/>
      <c r="B3722" s="3"/>
      <c r="C3722" s="3"/>
      <c r="D3722" s="3"/>
      <c r="E3722" s="3">
        <v>19</v>
      </c>
      <c r="F3722" s="4" t="str">
        <f>HYPERLINK("http://141.218.60.56/~jnz1568/getInfo.php?workbook=14_09.xlsx&amp;sheet=U0&amp;row=3722&amp;col=6&amp;number=4.8&amp;sourceID=14","4.8")</f>
        <v>4.8</v>
      </c>
      <c r="G3722" s="4" t="str">
        <f>HYPERLINK("http://141.218.60.56/~jnz1568/getInfo.php?workbook=14_09.xlsx&amp;sheet=U0&amp;row=3722&amp;col=7&amp;number=0.00352&amp;sourceID=14","0.00352")</f>
        <v>0.00352</v>
      </c>
    </row>
    <row r="3723" spans="1:7">
      <c r="A3723" s="3"/>
      <c r="B3723" s="3"/>
      <c r="C3723" s="3"/>
      <c r="D3723" s="3"/>
      <c r="E3723" s="3">
        <v>20</v>
      </c>
      <c r="F3723" s="4" t="str">
        <f>HYPERLINK("http://141.218.60.56/~jnz1568/getInfo.php?workbook=14_09.xlsx&amp;sheet=U0&amp;row=3723&amp;col=6&amp;number=4.9&amp;sourceID=14","4.9")</f>
        <v>4.9</v>
      </c>
      <c r="G3723" s="4" t="str">
        <f>HYPERLINK("http://141.218.60.56/~jnz1568/getInfo.php?workbook=14_09.xlsx&amp;sheet=U0&amp;row=3723&amp;col=7&amp;number=0.00343&amp;sourceID=14","0.00343")</f>
        <v>0.00343</v>
      </c>
    </row>
    <row r="3724" spans="1:7">
      <c r="A3724" s="3">
        <v>14</v>
      </c>
      <c r="B3724" s="3">
        <v>9</v>
      </c>
      <c r="C3724" s="3">
        <v>1</v>
      </c>
      <c r="D3724" s="3">
        <v>188</v>
      </c>
      <c r="E3724" s="3">
        <v>1</v>
      </c>
      <c r="F3724" s="4" t="str">
        <f>HYPERLINK("http://141.218.60.56/~jnz1568/getInfo.php?workbook=14_09.xlsx&amp;sheet=U0&amp;row=3724&amp;col=6&amp;number=3&amp;sourceID=14","3")</f>
        <v>3</v>
      </c>
      <c r="G3724" s="4" t="str">
        <f>HYPERLINK("http://141.218.60.56/~jnz1568/getInfo.php?workbook=14_09.xlsx&amp;sheet=U0&amp;row=3724&amp;col=7&amp;number=0.0083&amp;sourceID=14","0.0083")</f>
        <v>0.0083</v>
      </c>
    </row>
    <row r="3725" spans="1:7">
      <c r="A3725" s="3"/>
      <c r="B3725" s="3"/>
      <c r="C3725" s="3"/>
      <c r="D3725" s="3"/>
      <c r="E3725" s="3">
        <v>2</v>
      </c>
      <c r="F3725" s="4" t="str">
        <f>HYPERLINK("http://141.218.60.56/~jnz1568/getInfo.php?workbook=14_09.xlsx&amp;sheet=U0&amp;row=3725&amp;col=6&amp;number=3.1&amp;sourceID=14","3.1")</f>
        <v>3.1</v>
      </c>
      <c r="G3725" s="4" t="str">
        <f>HYPERLINK("http://141.218.60.56/~jnz1568/getInfo.php?workbook=14_09.xlsx&amp;sheet=U0&amp;row=3725&amp;col=7&amp;number=0.00829&amp;sourceID=14","0.00829")</f>
        <v>0.00829</v>
      </c>
    </row>
    <row r="3726" spans="1:7">
      <c r="A3726" s="3"/>
      <c r="B3726" s="3"/>
      <c r="C3726" s="3"/>
      <c r="D3726" s="3"/>
      <c r="E3726" s="3">
        <v>3</v>
      </c>
      <c r="F3726" s="4" t="str">
        <f>HYPERLINK("http://141.218.60.56/~jnz1568/getInfo.php?workbook=14_09.xlsx&amp;sheet=U0&amp;row=3726&amp;col=6&amp;number=3.2&amp;sourceID=14","3.2")</f>
        <v>3.2</v>
      </c>
      <c r="G3726" s="4" t="str">
        <f>HYPERLINK("http://141.218.60.56/~jnz1568/getInfo.php?workbook=14_09.xlsx&amp;sheet=U0&amp;row=3726&amp;col=7&amp;number=0.00829&amp;sourceID=14","0.00829")</f>
        <v>0.00829</v>
      </c>
    </row>
    <row r="3727" spans="1:7">
      <c r="A3727" s="3"/>
      <c r="B3727" s="3"/>
      <c r="C3727" s="3"/>
      <c r="D3727" s="3"/>
      <c r="E3727" s="3">
        <v>4</v>
      </c>
      <c r="F3727" s="4" t="str">
        <f>HYPERLINK("http://141.218.60.56/~jnz1568/getInfo.php?workbook=14_09.xlsx&amp;sheet=U0&amp;row=3727&amp;col=6&amp;number=3.3&amp;sourceID=14","3.3")</f>
        <v>3.3</v>
      </c>
      <c r="G3727" s="4" t="str">
        <f>HYPERLINK("http://141.218.60.56/~jnz1568/getInfo.php?workbook=14_09.xlsx&amp;sheet=U0&amp;row=3727&amp;col=7&amp;number=0.00829&amp;sourceID=14","0.00829")</f>
        <v>0.00829</v>
      </c>
    </row>
    <row r="3728" spans="1:7">
      <c r="A3728" s="3"/>
      <c r="B3728" s="3"/>
      <c r="C3728" s="3"/>
      <c r="D3728" s="3"/>
      <c r="E3728" s="3">
        <v>5</v>
      </c>
      <c r="F3728" s="4" t="str">
        <f>HYPERLINK("http://141.218.60.56/~jnz1568/getInfo.php?workbook=14_09.xlsx&amp;sheet=U0&amp;row=3728&amp;col=6&amp;number=3.4&amp;sourceID=14","3.4")</f>
        <v>3.4</v>
      </c>
      <c r="G3728" s="4" t="str">
        <f>HYPERLINK("http://141.218.60.56/~jnz1568/getInfo.php?workbook=14_09.xlsx&amp;sheet=U0&amp;row=3728&amp;col=7&amp;number=0.00828&amp;sourceID=14","0.00828")</f>
        <v>0.00828</v>
      </c>
    </row>
    <row r="3729" spans="1:7">
      <c r="A3729" s="3"/>
      <c r="B3729" s="3"/>
      <c r="C3729" s="3"/>
      <c r="D3729" s="3"/>
      <c r="E3729" s="3">
        <v>6</v>
      </c>
      <c r="F3729" s="4" t="str">
        <f>HYPERLINK("http://141.218.60.56/~jnz1568/getInfo.php?workbook=14_09.xlsx&amp;sheet=U0&amp;row=3729&amp;col=6&amp;number=3.5&amp;sourceID=14","3.5")</f>
        <v>3.5</v>
      </c>
      <c r="G3729" s="4" t="str">
        <f>HYPERLINK("http://141.218.60.56/~jnz1568/getInfo.php?workbook=14_09.xlsx&amp;sheet=U0&amp;row=3729&amp;col=7&amp;number=0.00827&amp;sourceID=14","0.00827")</f>
        <v>0.00827</v>
      </c>
    </row>
    <row r="3730" spans="1:7">
      <c r="A3730" s="3"/>
      <c r="B3730" s="3"/>
      <c r="C3730" s="3"/>
      <c r="D3730" s="3"/>
      <c r="E3730" s="3">
        <v>7</v>
      </c>
      <c r="F3730" s="4" t="str">
        <f>HYPERLINK("http://141.218.60.56/~jnz1568/getInfo.php?workbook=14_09.xlsx&amp;sheet=U0&amp;row=3730&amp;col=6&amp;number=3.6&amp;sourceID=14","3.6")</f>
        <v>3.6</v>
      </c>
      <c r="G3730" s="4" t="str">
        <f>HYPERLINK("http://141.218.60.56/~jnz1568/getInfo.php?workbook=14_09.xlsx&amp;sheet=U0&amp;row=3730&amp;col=7&amp;number=0.00826&amp;sourceID=14","0.00826")</f>
        <v>0.00826</v>
      </c>
    </row>
    <row r="3731" spans="1:7">
      <c r="A3731" s="3"/>
      <c r="B3731" s="3"/>
      <c r="C3731" s="3"/>
      <c r="D3731" s="3"/>
      <c r="E3731" s="3">
        <v>8</v>
      </c>
      <c r="F3731" s="4" t="str">
        <f>HYPERLINK("http://141.218.60.56/~jnz1568/getInfo.php?workbook=14_09.xlsx&amp;sheet=U0&amp;row=3731&amp;col=6&amp;number=3.7&amp;sourceID=14","3.7")</f>
        <v>3.7</v>
      </c>
      <c r="G3731" s="4" t="str">
        <f>HYPERLINK("http://141.218.60.56/~jnz1568/getInfo.php?workbook=14_09.xlsx&amp;sheet=U0&amp;row=3731&amp;col=7&amp;number=0.00825&amp;sourceID=14","0.00825")</f>
        <v>0.00825</v>
      </c>
    </row>
    <row r="3732" spans="1:7">
      <c r="A3732" s="3"/>
      <c r="B3732" s="3"/>
      <c r="C3732" s="3"/>
      <c r="D3732" s="3"/>
      <c r="E3732" s="3">
        <v>9</v>
      </c>
      <c r="F3732" s="4" t="str">
        <f>HYPERLINK("http://141.218.60.56/~jnz1568/getInfo.php?workbook=14_09.xlsx&amp;sheet=U0&amp;row=3732&amp;col=6&amp;number=3.8&amp;sourceID=14","3.8")</f>
        <v>3.8</v>
      </c>
      <c r="G3732" s="4" t="str">
        <f>HYPERLINK("http://141.218.60.56/~jnz1568/getInfo.php?workbook=14_09.xlsx&amp;sheet=U0&amp;row=3732&amp;col=7&amp;number=0.00824&amp;sourceID=14","0.00824")</f>
        <v>0.00824</v>
      </c>
    </row>
    <row r="3733" spans="1:7">
      <c r="A3733" s="3"/>
      <c r="B3733" s="3"/>
      <c r="C3733" s="3"/>
      <c r="D3733" s="3"/>
      <c r="E3733" s="3">
        <v>10</v>
      </c>
      <c r="F3733" s="4" t="str">
        <f>HYPERLINK("http://141.218.60.56/~jnz1568/getInfo.php?workbook=14_09.xlsx&amp;sheet=U0&amp;row=3733&amp;col=6&amp;number=3.9&amp;sourceID=14","3.9")</f>
        <v>3.9</v>
      </c>
      <c r="G3733" s="4" t="str">
        <f>HYPERLINK("http://141.218.60.56/~jnz1568/getInfo.php?workbook=14_09.xlsx&amp;sheet=U0&amp;row=3733&amp;col=7&amp;number=0.00822&amp;sourceID=14","0.00822")</f>
        <v>0.00822</v>
      </c>
    </row>
    <row r="3734" spans="1:7">
      <c r="A3734" s="3"/>
      <c r="B3734" s="3"/>
      <c r="C3734" s="3"/>
      <c r="D3734" s="3"/>
      <c r="E3734" s="3">
        <v>11</v>
      </c>
      <c r="F3734" s="4" t="str">
        <f>HYPERLINK("http://141.218.60.56/~jnz1568/getInfo.php?workbook=14_09.xlsx&amp;sheet=U0&amp;row=3734&amp;col=6&amp;number=4&amp;sourceID=14","4")</f>
        <v>4</v>
      </c>
      <c r="G3734" s="4" t="str">
        <f>HYPERLINK("http://141.218.60.56/~jnz1568/getInfo.php?workbook=14_09.xlsx&amp;sheet=U0&amp;row=3734&amp;col=7&amp;number=0.0082&amp;sourceID=14","0.0082")</f>
        <v>0.0082</v>
      </c>
    </row>
    <row r="3735" spans="1:7">
      <c r="A3735" s="3"/>
      <c r="B3735" s="3"/>
      <c r="C3735" s="3"/>
      <c r="D3735" s="3"/>
      <c r="E3735" s="3">
        <v>12</v>
      </c>
      <c r="F3735" s="4" t="str">
        <f>HYPERLINK("http://141.218.60.56/~jnz1568/getInfo.php?workbook=14_09.xlsx&amp;sheet=U0&amp;row=3735&amp;col=6&amp;number=4.1&amp;sourceID=14","4.1")</f>
        <v>4.1</v>
      </c>
      <c r="G3735" s="4" t="str">
        <f>HYPERLINK("http://141.218.60.56/~jnz1568/getInfo.php?workbook=14_09.xlsx&amp;sheet=U0&amp;row=3735&amp;col=7&amp;number=0.00817&amp;sourceID=14","0.00817")</f>
        <v>0.00817</v>
      </c>
    </row>
    <row r="3736" spans="1:7">
      <c r="A3736" s="3"/>
      <c r="B3736" s="3"/>
      <c r="C3736" s="3"/>
      <c r="D3736" s="3"/>
      <c r="E3736" s="3">
        <v>13</v>
      </c>
      <c r="F3736" s="4" t="str">
        <f>HYPERLINK("http://141.218.60.56/~jnz1568/getInfo.php?workbook=14_09.xlsx&amp;sheet=U0&amp;row=3736&amp;col=6&amp;number=4.2&amp;sourceID=14","4.2")</f>
        <v>4.2</v>
      </c>
      <c r="G3736" s="4" t="str">
        <f>HYPERLINK("http://141.218.60.56/~jnz1568/getInfo.php?workbook=14_09.xlsx&amp;sheet=U0&amp;row=3736&amp;col=7&amp;number=0.00813&amp;sourceID=14","0.00813")</f>
        <v>0.00813</v>
      </c>
    </row>
    <row r="3737" spans="1:7">
      <c r="A3737" s="3"/>
      <c r="B3737" s="3"/>
      <c r="C3737" s="3"/>
      <c r="D3737" s="3"/>
      <c r="E3737" s="3">
        <v>14</v>
      </c>
      <c r="F3737" s="4" t="str">
        <f>HYPERLINK("http://141.218.60.56/~jnz1568/getInfo.php?workbook=14_09.xlsx&amp;sheet=U0&amp;row=3737&amp;col=6&amp;number=4.3&amp;sourceID=14","4.3")</f>
        <v>4.3</v>
      </c>
      <c r="G3737" s="4" t="str">
        <f>HYPERLINK("http://141.218.60.56/~jnz1568/getInfo.php?workbook=14_09.xlsx&amp;sheet=U0&amp;row=3737&amp;col=7&amp;number=0.00809&amp;sourceID=14","0.00809")</f>
        <v>0.00809</v>
      </c>
    </row>
    <row r="3738" spans="1:7">
      <c r="A3738" s="3"/>
      <c r="B3738" s="3"/>
      <c r="C3738" s="3"/>
      <c r="D3738" s="3"/>
      <c r="E3738" s="3">
        <v>15</v>
      </c>
      <c r="F3738" s="4" t="str">
        <f>HYPERLINK("http://141.218.60.56/~jnz1568/getInfo.php?workbook=14_09.xlsx&amp;sheet=U0&amp;row=3738&amp;col=6&amp;number=4.4&amp;sourceID=14","4.4")</f>
        <v>4.4</v>
      </c>
      <c r="G3738" s="4" t="str">
        <f>HYPERLINK("http://141.218.60.56/~jnz1568/getInfo.php?workbook=14_09.xlsx&amp;sheet=U0&amp;row=3738&amp;col=7&amp;number=0.00804&amp;sourceID=14","0.00804")</f>
        <v>0.00804</v>
      </c>
    </row>
    <row r="3739" spans="1:7">
      <c r="A3739" s="3"/>
      <c r="B3739" s="3"/>
      <c r="C3739" s="3"/>
      <c r="D3739" s="3"/>
      <c r="E3739" s="3">
        <v>16</v>
      </c>
      <c r="F3739" s="4" t="str">
        <f>HYPERLINK("http://141.218.60.56/~jnz1568/getInfo.php?workbook=14_09.xlsx&amp;sheet=U0&amp;row=3739&amp;col=6&amp;number=4.5&amp;sourceID=14","4.5")</f>
        <v>4.5</v>
      </c>
      <c r="G3739" s="4" t="str">
        <f>HYPERLINK("http://141.218.60.56/~jnz1568/getInfo.php?workbook=14_09.xlsx&amp;sheet=U0&amp;row=3739&amp;col=7&amp;number=0.00797&amp;sourceID=14","0.00797")</f>
        <v>0.00797</v>
      </c>
    </row>
    <row r="3740" spans="1:7">
      <c r="A3740" s="3"/>
      <c r="B3740" s="3"/>
      <c r="C3740" s="3"/>
      <c r="D3740" s="3"/>
      <c r="E3740" s="3">
        <v>17</v>
      </c>
      <c r="F3740" s="4" t="str">
        <f>HYPERLINK("http://141.218.60.56/~jnz1568/getInfo.php?workbook=14_09.xlsx&amp;sheet=U0&amp;row=3740&amp;col=6&amp;number=4.6&amp;sourceID=14","4.6")</f>
        <v>4.6</v>
      </c>
      <c r="G3740" s="4" t="str">
        <f>HYPERLINK("http://141.218.60.56/~jnz1568/getInfo.php?workbook=14_09.xlsx&amp;sheet=U0&amp;row=3740&amp;col=7&amp;number=0.00788&amp;sourceID=14","0.00788")</f>
        <v>0.00788</v>
      </c>
    </row>
    <row r="3741" spans="1:7">
      <c r="A3741" s="3"/>
      <c r="B3741" s="3"/>
      <c r="C3741" s="3"/>
      <c r="D3741" s="3"/>
      <c r="E3741" s="3">
        <v>18</v>
      </c>
      <c r="F3741" s="4" t="str">
        <f>HYPERLINK("http://141.218.60.56/~jnz1568/getInfo.php?workbook=14_09.xlsx&amp;sheet=U0&amp;row=3741&amp;col=6&amp;number=4.7&amp;sourceID=14","4.7")</f>
        <v>4.7</v>
      </c>
      <c r="G3741" s="4" t="str">
        <f>HYPERLINK("http://141.218.60.56/~jnz1568/getInfo.php?workbook=14_09.xlsx&amp;sheet=U0&amp;row=3741&amp;col=7&amp;number=0.00777&amp;sourceID=14","0.00777")</f>
        <v>0.00777</v>
      </c>
    </row>
    <row r="3742" spans="1:7">
      <c r="A3742" s="3"/>
      <c r="B3742" s="3"/>
      <c r="C3742" s="3"/>
      <c r="D3742" s="3"/>
      <c r="E3742" s="3">
        <v>19</v>
      </c>
      <c r="F3742" s="4" t="str">
        <f>HYPERLINK("http://141.218.60.56/~jnz1568/getInfo.php?workbook=14_09.xlsx&amp;sheet=U0&amp;row=3742&amp;col=6&amp;number=4.8&amp;sourceID=14","4.8")</f>
        <v>4.8</v>
      </c>
      <c r="G3742" s="4" t="str">
        <f>HYPERLINK("http://141.218.60.56/~jnz1568/getInfo.php?workbook=14_09.xlsx&amp;sheet=U0&amp;row=3742&amp;col=7&amp;number=0.00764&amp;sourceID=14","0.00764")</f>
        <v>0.00764</v>
      </c>
    </row>
    <row r="3743" spans="1:7">
      <c r="A3743" s="3"/>
      <c r="B3743" s="3"/>
      <c r="C3743" s="3"/>
      <c r="D3743" s="3"/>
      <c r="E3743" s="3">
        <v>20</v>
      </c>
      <c r="F3743" s="4" t="str">
        <f>HYPERLINK("http://141.218.60.56/~jnz1568/getInfo.php?workbook=14_09.xlsx&amp;sheet=U0&amp;row=3743&amp;col=6&amp;number=4.9&amp;sourceID=14","4.9")</f>
        <v>4.9</v>
      </c>
      <c r="G3743" s="4" t="str">
        <f>HYPERLINK("http://141.218.60.56/~jnz1568/getInfo.php?workbook=14_09.xlsx&amp;sheet=U0&amp;row=3743&amp;col=7&amp;number=0.00746&amp;sourceID=14","0.00746")</f>
        <v>0.00746</v>
      </c>
    </row>
    <row r="3744" spans="1:7">
      <c r="A3744" s="3">
        <v>14</v>
      </c>
      <c r="B3744" s="3">
        <v>9</v>
      </c>
      <c r="C3744" s="3">
        <v>1</v>
      </c>
      <c r="D3744" s="3">
        <v>189</v>
      </c>
      <c r="E3744" s="3">
        <v>1</v>
      </c>
      <c r="F3744" s="4" t="str">
        <f>HYPERLINK("http://141.218.60.56/~jnz1568/getInfo.php?workbook=14_09.xlsx&amp;sheet=U0&amp;row=3744&amp;col=6&amp;number=3&amp;sourceID=14","3")</f>
        <v>3</v>
      </c>
      <c r="G3744" s="4" t="str">
        <f>HYPERLINK("http://141.218.60.56/~jnz1568/getInfo.php?workbook=14_09.xlsx&amp;sheet=U0&amp;row=3744&amp;col=7&amp;number=0.00698&amp;sourceID=14","0.00698")</f>
        <v>0.00698</v>
      </c>
    </row>
    <row r="3745" spans="1:7">
      <c r="A3745" s="3"/>
      <c r="B3745" s="3"/>
      <c r="C3745" s="3"/>
      <c r="D3745" s="3"/>
      <c r="E3745" s="3">
        <v>2</v>
      </c>
      <c r="F3745" s="4" t="str">
        <f>HYPERLINK("http://141.218.60.56/~jnz1568/getInfo.php?workbook=14_09.xlsx&amp;sheet=U0&amp;row=3745&amp;col=6&amp;number=3.1&amp;sourceID=14","3.1")</f>
        <v>3.1</v>
      </c>
      <c r="G3745" s="4" t="str">
        <f>HYPERLINK("http://141.218.60.56/~jnz1568/getInfo.php?workbook=14_09.xlsx&amp;sheet=U0&amp;row=3745&amp;col=7&amp;number=0.00698&amp;sourceID=14","0.00698")</f>
        <v>0.00698</v>
      </c>
    </row>
    <row r="3746" spans="1:7">
      <c r="A3746" s="3"/>
      <c r="B3746" s="3"/>
      <c r="C3746" s="3"/>
      <c r="D3746" s="3"/>
      <c r="E3746" s="3">
        <v>3</v>
      </c>
      <c r="F3746" s="4" t="str">
        <f>HYPERLINK("http://141.218.60.56/~jnz1568/getInfo.php?workbook=14_09.xlsx&amp;sheet=U0&amp;row=3746&amp;col=6&amp;number=3.2&amp;sourceID=14","3.2")</f>
        <v>3.2</v>
      </c>
      <c r="G3746" s="4" t="str">
        <f>HYPERLINK("http://141.218.60.56/~jnz1568/getInfo.php?workbook=14_09.xlsx&amp;sheet=U0&amp;row=3746&amp;col=7&amp;number=0.00698&amp;sourceID=14","0.00698")</f>
        <v>0.00698</v>
      </c>
    </row>
    <row r="3747" spans="1:7">
      <c r="A3747" s="3"/>
      <c r="B3747" s="3"/>
      <c r="C3747" s="3"/>
      <c r="D3747" s="3"/>
      <c r="E3747" s="3">
        <v>4</v>
      </c>
      <c r="F3747" s="4" t="str">
        <f>HYPERLINK("http://141.218.60.56/~jnz1568/getInfo.php?workbook=14_09.xlsx&amp;sheet=U0&amp;row=3747&amp;col=6&amp;number=3.3&amp;sourceID=14","3.3")</f>
        <v>3.3</v>
      </c>
      <c r="G3747" s="4" t="str">
        <f>HYPERLINK("http://141.218.60.56/~jnz1568/getInfo.php?workbook=14_09.xlsx&amp;sheet=U0&amp;row=3747&amp;col=7&amp;number=0.00697&amp;sourceID=14","0.00697")</f>
        <v>0.00697</v>
      </c>
    </row>
    <row r="3748" spans="1:7">
      <c r="A3748" s="3"/>
      <c r="B3748" s="3"/>
      <c r="C3748" s="3"/>
      <c r="D3748" s="3"/>
      <c r="E3748" s="3">
        <v>5</v>
      </c>
      <c r="F3748" s="4" t="str">
        <f>HYPERLINK("http://141.218.60.56/~jnz1568/getInfo.php?workbook=14_09.xlsx&amp;sheet=U0&amp;row=3748&amp;col=6&amp;number=3.4&amp;sourceID=14","3.4")</f>
        <v>3.4</v>
      </c>
      <c r="G3748" s="4" t="str">
        <f>HYPERLINK("http://141.218.60.56/~jnz1568/getInfo.php?workbook=14_09.xlsx&amp;sheet=U0&amp;row=3748&amp;col=7&amp;number=0.00697&amp;sourceID=14","0.00697")</f>
        <v>0.00697</v>
      </c>
    </row>
    <row r="3749" spans="1:7">
      <c r="A3749" s="3"/>
      <c r="B3749" s="3"/>
      <c r="C3749" s="3"/>
      <c r="D3749" s="3"/>
      <c r="E3749" s="3">
        <v>6</v>
      </c>
      <c r="F3749" s="4" t="str">
        <f>HYPERLINK("http://141.218.60.56/~jnz1568/getInfo.php?workbook=14_09.xlsx&amp;sheet=U0&amp;row=3749&amp;col=6&amp;number=3.5&amp;sourceID=14","3.5")</f>
        <v>3.5</v>
      </c>
      <c r="G3749" s="4" t="str">
        <f>HYPERLINK("http://141.218.60.56/~jnz1568/getInfo.php?workbook=14_09.xlsx&amp;sheet=U0&amp;row=3749&amp;col=7&amp;number=0.00697&amp;sourceID=14","0.00697")</f>
        <v>0.00697</v>
      </c>
    </row>
    <row r="3750" spans="1:7">
      <c r="A3750" s="3"/>
      <c r="B3750" s="3"/>
      <c r="C3750" s="3"/>
      <c r="D3750" s="3"/>
      <c r="E3750" s="3">
        <v>7</v>
      </c>
      <c r="F3750" s="4" t="str">
        <f>HYPERLINK("http://141.218.60.56/~jnz1568/getInfo.php?workbook=14_09.xlsx&amp;sheet=U0&amp;row=3750&amp;col=6&amp;number=3.6&amp;sourceID=14","3.6")</f>
        <v>3.6</v>
      </c>
      <c r="G3750" s="4" t="str">
        <f>HYPERLINK("http://141.218.60.56/~jnz1568/getInfo.php?workbook=14_09.xlsx&amp;sheet=U0&amp;row=3750&amp;col=7&amp;number=0.00696&amp;sourceID=14","0.00696")</f>
        <v>0.00696</v>
      </c>
    </row>
    <row r="3751" spans="1:7">
      <c r="A3751" s="3"/>
      <c r="B3751" s="3"/>
      <c r="C3751" s="3"/>
      <c r="D3751" s="3"/>
      <c r="E3751" s="3">
        <v>8</v>
      </c>
      <c r="F3751" s="4" t="str">
        <f>HYPERLINK("http://141.218.60.56/~jnz1568/getInfo.php?workbook=14_09.xlsx&amp;sheet=U0&amp;row=3751&amp;col=6&amp;number=3.7&amp;sourceID=14","3.7")</f>
        <v>3.7</v>
      </c>
      <c r="G3751" s="4" t="str">
        <f>HYPERLINK("http://141.218.60.56/~jnz1568/getInfo.php?workbook=14_09.xlsx&amp;sheet=U0&amp;row=3751&amp;col=7&amp;number=0.00696&amp;sourceID=14","0.00696")</f>
        <v>0.00696</v>
      </c>
    </row>
    <row r="3752" spans="1:7">
      <c r="A3752" s="3"/>
      <c r="B3752" s="3"/>
      <c r="C3752" s="3"/>
      <c r="D3752" s="3"/>
      <c r="E3752" s="3">
        <v>9</v>
      </c>
      <c r="F3752" s="4" t="str">
        <f>HYPERLINK("http://141.218.60.56/~jnz1568/getInfo.php?workbook=14_09.xlsx&amp;sheet=U0&amp;row=3752&amp;col=6&amp;number=3.8&amp;sourceID=14","3.8")</f>
        <v>3.8</v>
      </c>
      <c r="G3752" s="4" t="str">
        <f>HYPERLINK("http://141.218.60.56/~jnz1568/getInfo.php?workbook=14_09.xlsx&amp;sheet=U0&amp;row=3752&amp;col=7&amp;number=0.00695&amp;sourceID=14","0.00695")</f>
        <v>0.00695</v>
      </c>
    </row>
    <row r="3753" spans="1:7">
      <c r="A3753" s="3"/>
      <c r="B3753" s="3"/>
      <c r="C3753" s="3"/>
      <c r="D3753" s="3"/>
      <c r="E3753" s="3">
        <v>10</v>
      </c>
      <c r="F3753" s="4" t="str">
        <f>HYPERLINK("http://141.218.60.56/~jnz1568/getInfo.php?workbook=14_09.xlsx&amp;sheet=U0&amp;row=3753&amp;col=6&amp;number=3.9&amp;sourceID=14","3.9")</f>
        <v>3.9</v>
      </c>
      <c r="G3753" s="4" t="str">
        <f>HYPERLINK("http://141.218.60.56/~jnz1568/getInfo.php?workbook=14_09.xlsx&amp;sheet=U0&amp;row=3753&amp;col=7&amp;number=0.00694&amp;sourceID=14","0.00694")</f>
        <v>0.00694</v>
      </c>
    </row>
    <row r="3754" spans="1:7">
      <c r="A3754" s="3"/>
      <c r="B3754" s="3"/>
      <c r="C3754" s="3"/>
      <c r="D3754" s="3"/>
      <c r="E3754" s="3">
        <v>11</v>
      </c>
      <c r="F3754" s="4" t="str">
        <f>HYPERLINK("http://141.218.60.56/~jnz1568/getInfo.php?workbook=14_09.xlsx&amp;sheet=U0&amp;row=3754&amp;col=6&amp;number=4&amp;sourceID=14","4")</f>
        <v>4</v>
      </c>
      <c r="G3754" s="4" t="str">
        <f>HYPERLINK("http://141.218.60.56/~jnz1568/getInfo.php?workbook=14_09.xlsx&amp;sheet=U0&amp;row=3754&amp;col=7&amp;number=0.00693&amp;sourceID=14","0.00693")</f>
        <v>0.00693</v>
      </c>
    </row>
    <row r="3755" spans="1:7">
      <c r="A3755" s="3"/>
      <c r="B3755" s="3"/>
      <c r="C3755" s="3"/>
      <c r="D3755" s="3"/>
      <c r="E3755" s="3">
        <v>12</v>
      </c>
      <c r="F3755" s="4" t="str">
        <f>HYPERLINK("http://141.218.60.56/~jnz1568/getInfo.php?workbook=14_09.xlsx&amp;sheet=U0&amp;row=3755&amp;col=6&amp;number=4.1&amp;sourceID=14","4.1")</f>
        <v>4.1</v>
      </c>
      <c r="G3755" s="4" t="str">
        <f>HYPERLINK("http://141.218.60.56/~jnz1568/getInfo.php?workbook=14_09.xlsx&amp;sheet=U0&amp;row=3755&amp;col=7&amp;number=0.00691&amp;sourceID=14","0.00691")</f>
        <v>0.00691</v>
      </c>
    </row>
    <row r="3756" spans="1:7">
      <c r="A3756" s="3"/>
      <c r="B3756" s="3"/>
      <c r="C3756" s="3"/>
      <c r="D3756" s="3"/>
      <c r="E3756" s="3">
        <v>13</v>
      </c>
      <c r="F3756" s="4" t="str">
        <f>HYPERLINK("http://141.218.60.56/~jnz1568/getInfo.php?workbook=14_09.xlsx&amp;sheet=U0&amp;row=3756&amp;col=6&amp;number=4.2&amp;sourceID=14","4.2")</f>
        <v>4.2</v>
      </c>
      <c r="G3756" s="4" t="str">
        <f>HYPERLINK("http://141.218.60.56/~jnz1568/getInfo.php?workbook=14_09.xlsx&amp;sheet=U0&amp;row=3756&amp;col=7&amp;number=0.00689&amp;sourceID=14","0.00689")</f>
        <v>0.00689</v>
      </c>
    </row>
    <row r="3757" spans="1:7">
      <c r="A3757" s="3"/>
      <c r="B3757" s="3"/>
      <c r="C3757" s="3"/>
      <c r="D3757" s="3"/>
      <c r="E3757" s="3">
        <v>14</v>
      </c>
      <c r="F3757" s="4" t="str">
        <f>HYPERLINK("http://141.218.60.56/~jnz1568/getInfo.php?workbook=14_09.xlsx&amp;sheet=U0&amp;row=3757&amp;col=6&amp;number=4.3&amp;sourceID=14","4.3")</f>
        <v>4.3</v>
      </c>
      <c r="G3757" s="4" t="str">
        <f>HYPERLINK("http://141.218.60.56/~jnz1568/getInfo.php?workbook=14_09.xlsx&amp;sheet=U0&amp;row=3757&amp;col=7&amp;number=0.00687&amp;sourceID=14","0.00687")</f>
        <v>0.00687</v>
      </c>
    </row>
    <row r="3758" spans="1:7">
      <c r="A3758" s="3"/>
      <c r="B3758" s="3"/>
      <c r="C3758" s="3"/>
      <c r="D3758" s="3"/>
      <c r="E3758" s="3">
        <v>15</v>
      </c>
      <c r="F3758" s="4" t="str">
        <f>HYPERLINK("http://141.218.60.56/~jnz1568/getInfo.php?workbook=14_09.xlsx&amp;sheet=U0&amp;row=3758&amp;col=6&amp;number=4.4&amp;sourceID=14","4.4")</f>
        <v>4.4</v>
      </c>
      <c r="G3758" s="4" t="str">
        <f>HYPERLINK("http://141.218.60.56/~jnz1568/getInfo.php?workbook=14_09.xlsx&amp;sheet=U0&amp;row=3758&amp;col=7&amp;number=0.00684&amp;sourceID=14","0.00684")</f>
        <v>0.00684</v>
      </c>
    </row>
    <row r="3759" spans="1:7">
      <c r="A3759" s="3"/>
      <c r="B3759" s="3"/>
      <c r="C3759" s="3"/>
      <c r="D3759" s="3"/>
      <c r="E3759" s="3">
        <v>16</v>
      </c>
      <c r="F3759" s="4" t="str">
        <f>HYPERLINK("http://141.218.60.56/~jnz1568/getInfo.php?workbook=14_09.xlsx&amp;sheet=U0&amp;row=3759&amp;col=6&amp;number=4.5&amp;sourceID=14","4.5")</f>
        <v>4.5</v>
      </c>
      <c r="G3759" s="4" t="str">
        <f>HYPERLINK("http://141.218.60.56/~jnz1568/getInfo.php?workbook=14_09.xlsx&amp;sheet=U0&amp;row=3759&amp;col=7&amp;number=0.0068&amp;sourceID=14","0.0068")</f>
        <v>0.0068</v>
      </c>
    </row>
    <row r="3760" spans="1:7">
      <c r="A3760" s="3"/>
      <c r="B3760" s="3"/>
      <c r="C3760" s="3"/>
      <c r="D3760" s="3"/>
      <c r="E3760" s="3">
        <v>17</v>
      </c>
      <c r="F3760" s="4" t="str">
        <f>HYPERLINK("http://141.218.60.56/~jnz1568/getInfo.php?workbook=14_09.xlsx&amp;sheet=U0&amp;row=3760&amp;col=6&amp;number=4.6&amp;sourceID=14","4.6")</f>
        <v>4.6</v>
      </c>
      <c r="G3760" s="4" t="str">
        <f>HYPERLINK("http://141.218.60.56/~jnz1568/getInfo.php?workbook=14_09.xlsx&amp;sheet=U0&amp;row=3760&amp;col=7&amp;number=0.00675&amp;sourceID=14","0.00675")</f>
        <v>0.00675</v>
      </c>
    </row>
    <row r="3761" spans="1:7">
      <c r="A3761" s="3"/>
      <c r="B3761" s="3"/>
      <c r="C3761" s="3"/>
      <c r="D3761" s="3"/>
      <c r="E3761" s="3">
        <v>18</v>
      </c>
      <c r="F3761" s="4" t="str">
        <f>HYPERLINK("http://141.218.60.56/~jnz1568/getInfo.php?workbook=14_09.xlsx&amp;sheet=U0&amp;row=3761&amp;col=6&amp;number=4.7&amp;sourceID=14","4.7")</f>
        <v>4.7</v>
      </c>
      <c r="G3761" s="4" t="str">
        <f>HYPERLINK("http://141.218.60.56/~jnz1568/getInfo.php?workbook=14_09.xlsx&amp;sheet=U0&amp;row=3761&amp;col=7&amp;number=0.0067&amp;sourceID=14","0.0067")</f>
        <v>0.0067</v>
      </c>
    </row>
    <row r="3762" spans="1:7">
      <c r="A3762" s="3"/>
      <c r="B3762" s="3"/>
      <c r="C3762" s="3"/>
      <c r="D3762" s="3"/>
      <c r="E3762" s="3">
        <v>19</v>
      </c>
      <c r="F3762" s="4" t="str">
        <f>HYPERLINK("http://141.218.60.56/~jnz1568/getInfo.php?workbook=14_09.xlsx&amp;sheet=U0&amp;row=3762&amp;col=6&amp;number=4.8&amp;sourceID=14","4.8")</f>
        <v>4.8</v>
      </c>
      <c r="G3762" s="4" t="str">
        <f>HYPERLINK("http://141.218.60.56/~jnz1568/getInfo.php?workbook=14_09.xlsx&amp;sheet=U0&amp;row=3762&amp;col=7&amp;number=0.00663&amp;sourceID=14","0.00663")</f>
        <v>0.00663</v>
      </c>
    </row>
    <row r="3763" spans="1:7">
      <c r="A3763" s="3"/>
      <c r="B3763" s="3"/>
      <c r="C3763" s="3"/>
      <c r="D3763" s="3"/>
      <c r="E3763" s="3">
        <v>20</v>
      </c>
      <c r="F3763" s="4" t="str">
        <f>HYPERLINK("http://141.218.60.56/~jnz1568/getInfo.php?workbook=14_09.xlsx&amp;sheet=U0&amp;row=3763&amp;col=6&amp;number=4.9&amp;sourceID=14","4.9")</f>
        <v>4.9</v>
      </c>
      <c r="G3763" s="4" t="str">
        <f>HYPERLINK("http://141.218.60.56/~jnz1568/getInfo.php?workbook=14_09.xlsx&amp;sheet=U0&amp;row=3763&amp;col=7&amp;number=0.00654&amp;sourceID=14","0.00654")</f>
        <v>0.00654</v>
      </c>
    </row>
    <row r="3764" spans="1:7">
      <c r="A3764" s="3">
        <v>14</v>
      </c>
      <c r="B3764" s="3">
        <v>9</v>
      </c>
      <c r="C3764" s="3">
        <v>1</v>
      </c>
      <c r="D3764" s="3">
        <v>190</v>
      </c>
      <c r="E3764" s="3">
        <v>1</v>
      </c>
      <c r="F3764" s="4" t="str">
        <f>HYPERLINK("http://141.218.60.56/~jnz1568/getInfo.php?workbook=14_09.xlsx&amp;sheet=U0&amp;row=3764&amp;col=6&amp;number=3&amp;sourceID=14","3")</f>
        <v>3</v>
      </c>
      <c r="G3764" s="4" t="str">
        <f>HYPERLINK("http://141.218.60.56/~jnz1568/getInfo.php?workbook=14_09.xlsx&amp;sheet=U0&amp;row=3764&amp;col=7&amp;number=0.00748&amp;sourceID=14","0.00748")</f>
        <v>0.00748</v>
      </c>
    </row>
    <row r="3765" spans="1:7">
      <c r="A3765" s="3"/>
      <c r="B3765" s="3"/>
      <c r="C3765" s="3"/>
      <c r="D3765" s="3"/>
      <c r="E3765" s="3">
        <v>2</v>
      </c>
      <c r="F3765" s="4" t="str">
        <f>HYPERLINK("http://141.218.60.56/~jnz1568/getInfo.php?workbook=14_09.xlsx&amp;sheet=U0&amp;row=3765&amp;col=6&amp;number=3.1&amp;sourceID=14","3.1")</f>
        <v>3.1</v>
      </c>
      <c r="G3765" s="4" t="str">
        <f>HYPERLINK("http://141.218.60.56/~jnz1568/getInfo.php?workbook=14_09.xlsx&amp;sheet=U0&amp;row=3765&amp;col=7&amp;number=0.00748&amp;sourceID=14","0.00748")</f>
        <v>0.00748</v>
      </c>
    </row>
    <row r="3766" spans="1:7">
      <c r="A3766" s="3"/>
      <c r="B3766" s="3"/>
      <c r="C3766" s="3"/>
      <c r="D3766" s="3"/>
      <c r="E3766" s="3">
        <v>3</v>
      </c>
      <c r="F3766" s="4" t="str">
        <f>HYPERLINK("http://141.218.60.56/~jnz1568/getInfo.php?workbook=14_09.xlsx&amp;sheet=U0&amp;row=3766&amp;col=6&amp;number=3.2&amp;sourceID=14","3.2")</f>
        <v>3.2</v>
      </c>
      <c r="G3766" s="4" t="str">
        <f>HYPERLINK("http://141.218.60.56/~jnz1568/getInfo.php?workbook=14_09.xlsx&amp;sheet=U0&amp;row=3766&amp;col=7&amp;number=0.00748&amp;sourceID=14","0.00748")</f>
        <v>0.00748</v>
      </c>
    </row>
    <row r="3767" spans="1:7">
      <c r="A3767" s="3"/>
      <c r="B3767" s="3"/>
      <c r="C3767" s="3"/>
      <c r="D3767" s="3"/>
      <c r="E3767" s="3">
        <v>4</v>
      </c>
      <c r="F3767" s="4" t="str">
        <f>HYPERLINK("http://141.218.60.56/~jnz1568/getInfo.php?workbook=14_09.xlsx&amp;sheet=U0&amp;row=3767&amp;col=6&amp;number=3.3&amp;sourceID=14","3.3")</f>
        <v>3.3</v>
      </c>
      <c r="G3767" s="4" t="str">
        <f>HYPERLINK("http://141.218.60.56/~jnz1568/getInfo.php?workbook=14_09.xlsx&amp;sheet=U0&amp;row=3767&amp;col=7&amp;number=0.00748&amp;sourceID=14","0.00748")</f>
        <v>0.00748</v>
      </c>
    </row>
    <row r="3768" spans="1:7">
      <c r="A3768" s="3"/>
      <c r="B3768" s="3"/>
      <c r="C3768" s="3"/>
      <c r="D3768" s="3"/>
      <c r="E3768" s="3">
        <v>5</v>
      </c>
      <c r="F3768" s="4" t="str">
        <f>HYPERLINK("http://141.218.60.56/~jnz1568/getInfo.php?workbook=14_09.xlsx&amp;sheet=U0&amp;row=3768&amp;col=6&amp;number=3.4&amp;sourceID=14","3.4")</f>
        <v>3.4</v>
      </c>
      <c r="G3768" s="4" t="str">
        <f>HYPERLINK("http://141.218.60.56/~jnz1568/getInfo.php?workbook=14_09.xlsx&amp;sheet=U0&amp;row=3768&amp;col=7&amp;number=0.00747&amp;sourceID=14","0.00747")</f>
        <v>0.00747</v>
      </c>
    </row>
    <row r="3769" spans="1:7">
      <c r="A3769" s="3"/>
      <c r="B3769" s="3"/>
      <c r="C3769" s="3"/>
      <c r="D3769" s="3"/>
      <c r="E3769" s="3">
        <v>6</v>
      </c>
      <c r="F3769" s="4" t="str">
        <f>HYPERLINK("http://141.218.60.56/~jnz1568/getInfo.php?workbook=14_09.xlsx&amp;sheet=U0&amp;row=3769&amp;col=6&amp;number=3.5&amp;sourceID=14","3.5")</f>
        <v>3.5</v>
      </c>
      <c r="G3769" s="4" t="str">
        <f>HYPERLINK("http://141.218.60.56/~jnz1568/getInfo.php?workbook=14_09.xlsx&amp;sheet=U0&amp;row=3769&amp;col=7&amp;number=0.00747&amp;sourceID=14","0.00747")</f>
        <v>0.00747</v>
      </c>
    </row>
    <row r="3770" spans="1:7">
      <c r="A3770" s="3"/>
      <c r="B3770" s="3"/>
      <c r="C3770" s="3"/>
      <c r="D3770" s="3"/>
      <c r="E3770" s="3">
        <v>7</v>
      </c>
      <c r="F3770" s="4" t="str">
        <f>HYPERLINK("http://141.218.60.56/~jnz1568/getInfo.php?workbook=14_09.xlsx&amp;sheet=U0&amp;row=3770&amp;col=6&amp;number=3.6&amp;sourceID=14","3.6")</f>
        <v>3.6</v>
      </c>
      <c r="G3770" s="4" t="str">
        <f>HYPERLINK("http://141.218.60.56/~jnz1568/getInfo.php?workbook=14_09.xlsx&amp;sheet=U0&amp;row=3770&amp;col=7&amp;number=0.00747&amp;sourceID=14","0.00747")</f>
        <v>0.00747</v>
      </c>
    </row>
    <row r="3771" spans="1:7">
      <c r="A3771" s="3"/>
      <c r="B3771" s="3"/>
      <c r="C3771" s="3"/>
      <c r="D3771" s="3"/>
      <c r="E3771" s="3">
        <v>8</v>
      </c>
      <c r="F3771" s="4" t="str">
        <f>HYPERLINK("http://141.218.60.56/~jnz1568/getInfo.php?workbook=14_09.xlsx&amp;sheet=U0&amp;row=3771&amp;col=6&amp;number=3.7&amp;sourceID=14","3.7")</f>
        <v>3.7</v>
      </c>
      <c r="G3771" s="4" t="str">
        <f>HYPERLINK("http://141.218.60.56/~jnz1568/getInfo.php?workbook=14_09.xlsx&amp;sheet=U0&amp;row=3771&amp;col=7&amp;number=0.00746&amp;sourceID=14","0.00746")</f>
        <v>0.00746</v>
      </c>
    </row>
    <row r="3772" spans="1:7">
      <c r="A3772" s="3"/>
      <c r="B3772" s="3"/>
      <c r="C3772" s="3"/>
      <c r="D3772" s="3"/>
      <c r="E3772" s="3">
        <v>9</v>
      </c>
      <c r="F3772" s="4" t="str">
        <f>HYPERLINK("http://141.218.60.56/~jnz1568/getInfo.php?workbook=14_09.xlsx&amp;sheet=U0&amp;row=3772&amp;col=6&amp;number=3.8&amp;sourceID=14","3.8")</f>
        <v>3.8</v>
      </c>
      <c r="G3772" s="4" t="str">
        <f>HYPERLINK("http://141.218.60.56/~jnz1568/getInfo.php?workbook=14_09.xlsx&amp;sheet=U0&amp;row=3772&amp;col=7&amp;number=0.00745&amp;sourceID=14","0.00745")</f>
        <v>0.00745</v>
      </c>
    </row>
    <row r="3773" spans="1:7">
      <c r="A3773" s="3"/>
      <c r="B3773" s="3"/>
      <c r="C3773" s="3"/>
      <c r="D3773" s="3"/>
      <c r="E3773" s="3">
        <v>10</v>
      </c>
      <c r="F3773" s="4" t="str">
        <f>HYPERLINK("http://141.218.60.56/~jnz1568/getInfo.php?workbook=14_09.xlsx&amp;sheet=U0&amp;row=3773&amp;col=6&amp;number=3.9&amp;sourceID=14","3.9")</f>
        <v>3.9</v>
      </c>
      <c r="G3773" s="4" t="str">
        <f>HYPERLINK("http://141.218.60.56/~jnz1568/getInfo.php?workbook=14_09.xlsx&amp;sheet=U0&amp;row=3773&amp;col=7&amp;number=0.00744&amp;sourceID=14","0.00744")</f>
        <v>0.00744</v>
      </c>
    </row>
    <row r="3774" spans="1:7">
      <c r="A3774" s="3"/>
      <c r="B3774" s="3"/>
      <c r="C3774" s="3"/>
      <c r="D3774" s="3"/>
      <c r="E3774" s="3">
        <v>11</v>
      </c>
      <c r="F3774" s="4" t="str">
        <f>HYPERLINK("http://141.218.60.56/~jnz1568/getInfo.php?workbook=14_09.xlsx&amp;sheet=U0&amp;row=3774&amp;col=6&amp;number=4&amp;sourceID=14","4")</f>
        <v>4</v>
      </c>
      <c r="G3774" s="4" t="str">
        <f>HYPERLINK("http://141.218.60.56/~jnz1568/getInfo.php?workbook=14_09.xlsx&amp;sheet=U0&amp;row=3774&amp;col=7&amp;number=0.00743&amp;sourceID=14","0.00743")</f>
        <v>0.00743</v>
      </c>
    </row>
    <row r="3775" spans="1:7">
      <c r="A3775" s="3"/>
      <c r="B3775" s="3"/>
      <c r="C3775" s="3"/>
      <c r="D3775" s="3"/>
      <c r="E3775" s="3">
        <v>12</v>
      </c>
      <c r="F3775" s="4" t="str">
        <f>HYPERLINK("http://141.218.60.56/~jnz1568/getInfo.php?workbook=14_09.xlsx&amp;sheet=U0&amp;row=3775&amp;col=6&amp;number=4.1&amp;sourceID=14","4.1")</f>
        <v>4.1</v>
      </c>
      <c r="G3775" s="4" t="str">
        <f>HYPERLINK("http://141.218.60.56/~jnz1568/getInfo.php?workbook=14_09.xlsx&amp;sheet=U0&amp;row=3775&amp;col=7&amp;number=0.00742&amp;sourceID=14","0.00742")</f>
        <v>0.00742</v>
      </c>
    </row>
    <row r="3776" spans="1:7">
      <c r="A3776" s="3"/>
      <c r="B3776" s="3"/>
      <c r="C3776" s="3"/>
      <c r="D3776" s="3"/>
      <c r="E3776" s="3">
        <v>13</v>
      </c>
      <c r="F3776" s="4" t="str">
        <f>HYPERLINK("http://141.218.60.56/~jnz1568/getInfo.php?workbook=14_09.xlsx&amp;sheet=U0&amp;row=3776&amp;col=6&amp;number=4.2&amp;sourceID=14","4.2")</f>
        <v>4.2</v>
      </c>
      <c r="G3776" s="4" t="str">
        <f>HYPERLINK("http://141.218.60.56/~jnz1568/getInfo.php?workbook=14_09.xlsx&amp;sheet=U0&amp;row=3776&amp;col=7&amp;number=0.0074&amp;sourceID=14","0.0074")</f>
        <v>0.0074</v>
      </c>
    </row>
    <row r="3777" spans="1:7">
      <c r="A3777" s="3"/>
      <c r="B3777" s="3"/>
      <c r="C3777" s="3"/>
      <c r="D3777" s="3"/>
      <c r="E3777" s="3">
        <v>14</v>
      </c>
      <c r="F3777" s="4" t="str">
        <f>HYPERLINK("http://141.218.60.56/~jnz1568/getInfo.php?workbook=14_09.xlsx&amp;sheet=U0&amp;row=3777&amp;col=6&amp;number=4.3&amp;sourceID=14","4.3")</f>
        <v>4.3</v>
      </c>
      <c r="G3777" s="4" t="str">
        <f>HYPERLINK("http://141.218.60.56/~jnz1568/getInfo.php?workbook=14_09.xlsx&amp;sheet=U0&amp;row=3777&amp;col=7&amp;number=0.00738&amp;sourceID=14","0.00738")</f>
        <v>0.00738</v>
      </c>
    </row>
    <row r="3778" spans="1:7">
      <c r="A3778" s="3"/>
      <c r="B3778" s="3"/>
      <c r="C3778" s="3"/>
      <c r="D3778" s="3"/>
      <c r="E3778" s="3">
        <v>15</v>
      </c>
      <c r="F3778" s="4" t="str">
        <f>HYPERLINK("http://141.218.60.56/~jnz1568/getInfo.php?workbook=14_09.xlsx&amp;sheet=U0&amp;row=3778&amp;col=6&amp;number=4.4&amp;sourceID=14","4.4")</f>
        <v>4.4</v>
      </c>
      <c r="G3778" s="4" t="str">
        <f>HYPERLINK("http://141.218.60.56/~jnz1568/getInfo.php?workbook=14_09.xlsx&amp;sheet=U0&amp;row=3778&amp;col=7&amp;number=0.00735&amp;sourceID=14","0.00735")</f>
        <v>0.00735</v>
      </c>
    </row>
    <row r="3779" spans="1:7">
      <c r="A3779" s="3"/>
      <c r="B3779" s="3"/>
      <c r="C3779" s="3"/>
      <c r="D3779" s="3"/>
      <c r="E3779" s="3">
        <v>16</v>
      </c>
      <c r="F3779" s="4" t="str">
        <f>HYPERLINK("http://141.218.60.56/~jnz1568/getInfo.php?workbook=14_09.xlsx&amp;sheet=U0&amp;row=3779&amp;col=6&amp;number=4.5&amp;sourceID=14","4.5")</f>
        <v>4.5</v>
      </c>
      <c r="G3779" s="4" t="str">
        <f>HYPERLINK("http://141.218.60.56/~jnz1568/getInfo.php?workbook=14_09.xlsx&amp;sheet=U0&amp;row=3779&amp;col=7&amp;number=0.00732&amp;sourceID=14","0.00732")</f>
        <v>0.00732</v>
      </c>
    </row>
    <row r="3780" spans="1:7">
      <c r="A3780" s="3"/>
      <c r="B3780" s="3"/>
      <c r="C3780" s="3"/>
      <c r="D3780" s="3"/>
      <c r="E3780" s="3">
        <v>17</v>
      </c>
      <c r="F3780" s="4" t="str">
        <f>HYPERLINK("http://141.218.60.56/~jnz1568/getInfo.php?workbook=14_09.xlsx&amp;sheet=U0&amp;row=3780&amp;col=6&amp;number=4.6&amp;sourceID=14","4.6")</f>
        <v>4.6</v>
      </c>
      <c r="G3780" s="4" t="str">
        <f>HYPERLINK("http://141.218.60.56/~jnz1568/getInfo.php?workbook=14_09.xlsx&amp;sheet=U0&amp;row=3780&amp;col=7&amp;number=0.00728&amp;sourceID=14","0.00728")</f>
        <v>0.00728</v>
      </c>
    </row>
    <row r="3781" spans="1:7">
      <c r="A3781" s="3"/>
      <c r="B3781" s="3"/>
      <c r="C3781" s="3"/>
      <c r="D3781" s="3"/>
      <c r="E3781" s="3">
        <v>18</v>
      </c>
      <c r="F3781" s="4" t="str">
        <f>HYPERLINK("http://141.218.60.56/~jnz1568/getInfo.php?workbook=14_09.xlsx&amp;sheet=U0&amp;row=3781&amp;col=6&amp;number=4.7&amp;sourceID=14","4.7")</f>
        <v>4.7</v>
      </c>
      <c r="G3781" s="4" t="str">
        <f>HYPERLINK("http://141.218.60.56/~jnz1568/getInfo.php?workbook=14_09.xlsx&amp;sheet=U0&amp;row=3781&amp;col=7&amp;number=0.00723&amp;sourceID=14","0.00723")</f>
        <v>0.00723</v>
      </c>
    </row>
    <row r="3782" spans="1:7">
      <c r="A3782" s="3"/>
      <c r="B3782" s="3"/>
      <c r="C3782" s="3"/>
      <c r="D3782" s="3"/>
      <c r="E3782" s="3">
        <v>19</v>
      </c>
      <c r="F3782" s="4" t="str">
        <f>HYPERLINK("http://141.218.60.56/~jnz1568/getInfo.php?workbook=14_09.xlsx&amp;sheet=U0&amp;row=3782&amp;col=6&amp;number=4.8&amp;sourceID=14","4.8")</f>
        <v>4.8</v>
      </c>
      <c r="G3782" s="4" t="str">
        <f>HYPERLINK("http://141.218.60.56/~jnz1568/getInfo.php?workbook=14_09.xlsx&amp;sheet=U0&amp;row=3782&amp;col=7&amp;number=0.00718&amp;sourceID=14","0.00718")</f>
        <v>0.00718</v>
      </c>
    </row>
    <row r="3783" spans="1:7">
      <c r="A3783" s="3"/>
      <c r="B3783" s="3"/>
      <c r="C3783" s="3"/>
      <c r="D3783" s="3"/>
      <c r="E3783" s="3">
        <v>20</v>
      </c>
      <c r="F3783" s="4" t="str">
        <f>HYPERLINK("http://141.218.60.56/~jnz1568/getInfo.php?workbook=14_09.xlsx&amp;sheet=U0&amp;row=3783&amp;col=6&amp;number=4.9&amp;sourceID=14","4.9")</f>
        <v>4.9</v>
      </c>
      <c r="G3783" s="4" t="str">
        <f>HYPERLINK("http://141.218.60.56/~jnz1568/getInfo.php?workbook=14_09.xlsx&amp;sheet=U0&amp;row=3783&amp;col=7&amp;number=0.00711&amp;sourceID=14","0.00711")</f>
        <v>0.00711</v>
      </c>
    </row>
    <row r="3784" spans="1:7">
      <c r="A3784" s="3">
        <v>14</v>
      </c>
      <c r="B3784" s="3">
        <v>9</v>
      </c>
      <c r="C3784" s="3">
        <v>1</v>
      </c>
      <c r="D3784" s="3">
        <v>191</v>
      </c>
      <c r="E3784" s="3">
        <v>1</v>
      </c>
      <c r="F3784" s="4" t="str">
        <f>HYPERLINK("http://141.218.60.56/~jnz1568/getInfo.php?workbook=14_09.xlsx&amp;sheet=U0&amp;row=3784&amp;col=6&amp;number=3&amp;sourceID=14","3")</f>
        <v>3</v>
      </c>
      <c r="G3784" s="4" t="str">
        <f>HYPERLINK("http://141.218.60.56/~jnz1568/getInfo.php?workbook=14_09.xlsx&amp;sheet=U0&amp;row=3784&amp;col=7&amp;number=0.0121&amp;sourceID=14","0.0121")</f>
        <v>0.0121</v>
      </c>
    </row>
    <row r="3785" spans="1:7">
      <c r="A3785" s="3"/>
      <c r="B3785" s="3"/>
      <c r="C3785" s="3"/>
      <c r="D3785" s="3"/>
      <c r="E3785" s="3">
        <v>2</v>
      </c>
      <c r="F3785" s="4" t="str">
        <f>HYPERLINK("http://141.218.60.56/~jnz1568/getInfo.php?workbook=14_09.xlsx&amp;sheet=U0&amp;row=3785&amp;col=6&amp;number=3.1&amp;sourceID=14","3.1")</f>
        <v>3.1</v>
      </c>
      <c r="G3785" s="4" t="str">
        <f>HYPERLINK("http://141.218.60.56/~jnz1568/getInfo.php?workbook=14_09.xlsx&amp;sheet=U0&amp;row=3785&amp;col=7&amp;number=0.0121&amp;sourceID=14","0.0121")</f>
        <v>0.0121</v>
      </c>
    </row>
    <row r="3786" spans="1:7">
      <c r="A3786" s="3"/>
      <c r="B3786" s="3"/>
      <c r="C3786" s="3"/>
      <c r="D3786" s="3"/>
      <c r="E3786" s="3">
        <v>3</v>
      </c>
      <c r="F3786" s="4" t="str">
        <f>HYPERLINK("http://141.218.60.56/~jnz1568/getInfo.php?workbook=14_09.xlsx&amp;sheet=U0&amp;row=3786&amp;col=6&amp;number=3.2&amp;sourceID=14","3.2")</f>
        <v>3.2</v>
      </c>
      <c r="G3786" s="4" t="str">
        <f>HYPERLINK("http://141.218.60.56/~jnz1568/getInfo.php?workbook=14_09.xlsx&amp;sheet=U0&amp;row=3786&amp;col=7&amp;number=0.0121&amp;sourceID=14","0.0121")</f>
        <v>0.0121</v>
      </c>
    </row>
    <row r="3787" spans="1:7">
      <c r="A3787" s="3"/>
      <c r="B3787" s="3"/>
      <c r="C3787" s="3"/>
      <c r="D3787" s="3"/>
      <c r="E3787" s="3">
        <v>4</v>
      </c>
      <c r="F3787" s="4" t="str">
        <f>HYPERLINK("http://141.218.60.56/~jnz1568/getInfo.php?workbook=14_09.xlsx&amp;sheet=U0&amp;row=3787&amp;col=6&amp;number=3.3&amp;sourceID=14","3.3")</f>
        <v>3.3</v>
      </c>
      <c r="G3787" s="4" t="str">
        <f>HYPERLINK("http://141.218.60.56/~jnz1568/getInfo.php?workbook=14_09.xlsx&amp;sheet=U0&amp;row=3787&amp;col=7&amp;number=0.0121&amp;sourceID=14","0.0121")</f>
        <v>0.0121</v>
      </c>
    </row>
    <row r="3788" spans="1:7">
      <c r="A3788" s="3"/>
      <c r="B3788" s="3"/>
      <c r="C3788" s="3"/>
      <c r="D3788" s="3"/>
      <c r="E3788" s="3">
        <v>5</v>
      </c>
      <c r="F3788" s="4" t="str">
        <f>HYPERLINK("http://141.218.60.56/~jnz1568/getInfo.php?workbook=14_09.xlsx&amp;sheet=U0&amp;row=3788&amp;col=6&amp;number=3.4&amp;sourceID=14","3.4")</f>
        <v>3.4</v>
      </c>
      <c r="G3788" s="4" t="str">
        <f>HYPERLINK("http://141.218.60.56/~jnz1568/getInfo.php?workbook=14_09.xlsx&amp;sheet=U0&amp;row=3788&amp;col=7&amp;number=0.0121&amp;sourceID=14","0.0121")</f>
        <v>0.0121</v>
      </c>
    </row>
    <row r="3789" spans="1:7">
      <c r="A3789" s="3"/>
      <c r="B3789" s="3"/>
      <c r="C3789" s="3"/>
      <c r="D3789" s="3"/>
      <c r="E3789" s="3">
        <v>6</v>
      </c>
      <c r="F3789" s="4" t="str">
        <f>HYPERLINK("http://141.218.60.56/~jnz1568/getInfo.php?workbook=14_09.xlsx&amp;sheet=U0&amp;row=3789&amp;col=6&amp;number=3.5&amp;sourceID=14","3.5")</f>
        <v>3.5</v>
      </c>
      <c r="G3789" s="4" t="str">
        <f>HYPERLINK("http://141.218.60.56/~jnz1568/getInfo.php?workbook=14_09.xlsx&amp;sheet=U0&amp;row=3789&amp;col=7&amp;number=0.0121&amp;sourceID=14","0.0121")</f>
        <v>0.0121</v>
      </c>
    </row>
    <row r="3790" spans="1:7">
      <c r="A3790" s="3"/>
      <c r="B3790" s="3"/>
      <c r="C3790" s="3"/>
      <c r="D3790" s="3"/>
      <c r="E3790" s="3">
        <v>7</v>
      </c>
      <c r="F3790" s="4" t="str">
        <f>HYPERLINK("http://141.218.60.56/~jnz1568/getInfo.php?workbook=14_09.xlsx&amp;sheet=U0&amp;row=3790&amp;col=6&amp;number=3.6&amp;sourceID=14","3.6")</f>
        <v>3.6</v>
      </c>
      <c r="G3790" s="4" t="str">
        <f>HYPERLINK("http://141.218.60.56/~jnz1568/getInfo.php?workbook=14_09.xlsx&amp;sheet=U0&amp;row=3790&amp;col=7&amp;number=0.0121&amp;sourceID=14","0.0121")</f>
        <v>0.0121</v>
      </c>
    </row>
    <row r="3791" spans="1:7">
      <c r="A3791" s="3"/>
      <c r="B3791" s="3"/>
      <c r="C3791" s="3"/>
      <c r="D3791" s="3"/>
      <c r="E3791" s="3">
        <v>8</v>
      </c>
      <c r="F3791" s="4" t="str">
        <f>HYPERLINK("http://141.218.60.56/~jnz1568/getInfo.php?workbook=14_09.xlsx&amp;sheet=U0&amp;row=3791&amp;col=6&amp;number=3.7&amp;sourceID=14","3.7")</f>
        <v>3.7</v>
      </c>
      <c r="G3791" s="4" t="str">
        <f>HYPERLINK("http://141.218.60.56/~jnz1568/getInfo.php?workbook=14_09.xlsx&amp;sheet=U0&amp;row=3791&amp;col=7&amp;number=0.0122&amp;sourceID=14","0.0122")</f>
        <v>0.0122</v>
      </c>
    </row>
    <row r="3792" spans="1:7">
      <c r="A3792" s="3"/>
      <c r="B3792" s="3"/>
      <c r="C3792" s="3"/>
      <c r="D3792" s="3"/>
      <c r="E3792" s="3">
        <v>9</v>
      </c>
      <c r="F3792" s="4" t="str">
        <f>HYPERLINK("http://141.218.60.56/~jnz1568/getInfo.php?workbook=14_09.xlsx&amp;sheet=U0&amp;row=3792&amp;col=6&amp;number=3.8&amp;sourceID=14","3.8")</f>
        <v>3.8</v>
      </c>
      <c r="G3792" s="4" t="str">
        <f>HYPERLINK("http://141.218.60.56/~jnz1568/getInfo.php?workbook=14_09.xlsx&amp;sheet=U0&amp;row=3792&amp;col=7&amp;number=0.0122&amp;sourceID=14","0.0122")</f>
        <v>0.0122</v>
      </c>
    </row>
    <row r="3793" spans="1:7">
      <c r="A3793" s="3"/>
      <c r="B3793" s="3"/>
      <c r="C3793" s="3"/>
      <c r="D3793" s="3"/>
      <c r="E3793" s="3">
        <v>10</v>
      </c>
      <c r="F3793" s="4" t="str">
        <f>HYPERLINK("http://141.218.60.56/~jnz1568/getInfo.php?workbook=14_09.xlsx&amp;sheet=U0&amp;row=3793&amp;col=6&amp;number=3.9&amp;sourceID=14","3.9")</f>
        <v>3.9</v>
      </c>
      <c r="G3793" s="4" t="str">
        <f>HYPERLINK("http://141.218.60.56/~jnz1568/getInfo.php?workbook=14_09.xlsx&amp;sheet=U0&amp;row=3793&amp;col=7&amp;number=0.0122&amp;sourceID=14","0.0122")</f>
        <v>0.0122</v>
      </c>
    </row>
    <row r="3794" spans="1:7">
      <c r="A3794" s="3"/>
      <c r="B3794" s="3"/>
      <c r="C3794" s="3"/>
      <c r="D3794" s="3"/>
      <c r="E3794" s="3">
        <v>11</v>
      </c>
      <c r="F3794" s="4" t="str">
        <f>HYPERLINK("http://141.218.60.56/~jnz1568/getInfo.php?workbook=14_09.xlsx&amp;sheet=U0&amp;row=3794&amp;col=6&amp;number=4&amp;sourceID=14","4")</f>
        <v>4</v>
      </c>
      <c r="G3794" s="4" t="str">
        <f>HYPERLINK("http://141.218.60.56/~jnz1568/getInfo.php?workbook=14_09.xlsx&amp;sheet=U0&amp;row=3794&amp;col=7&amp;number=0.0122&amp;sourceID=14","0.0122")</f>
        <v>0.0122</v>
      </c>
    </row>
    <row r="3795" spans="1:7">
      <c r="A3795" s="3"/>
      <c r="B3795" s="3"/>
      <c r="C3795" s="3"/>
      <c r="D3795" s="3"/>
      <c r="E3795" s="3">
        <v>12</v>
      </c>
      <c r="F3795" s="4" t="str">
        <f>HYPERLINK("http://141.218.60.56/~jnz1568/getInfo.php?workbook=14_09.xlsx&amp;sheet=U0&amp;row=3795&amp;col=6&amp;number=4.1&amp;sourceID=14","4.1")</f>
        <v>4.1</v>
      </c>
      <c r="G3795" s="4" t="str">
        <f>HYPERLINK("http://141.218.60.56/~jnz1568/getInfo.php?workbook=14_09.xlsx&amp;sheet=U0&amp;row=3795&amp;col=7&amp;number=0.0122&amp;sourceID=14","0.0122")</f>
        <v>0.0122</v>
      </c>
    </row>
    <row r="3796" spans="1:7">
      <c r="A3796" s="3"/>
      <c r="B3796" s="3"/>
      <c r="C3796" s="3"/>
      <c r="D3796" s="3"/>
      <c r="E3796" s="3">
        <v>13</v>
      </c>
      <c r="F3796" s="4" t="str">
        <f>HYPERLINK("http://141.218.60.56/~jnz1568/getInfo.php?workbook=14_09.xlsx&amp;sheet=U0&amp;row=3796&amp;col=6&amp;number=4.2&amp;sourceID=14","4.2")</f>
        <v>4.2</v>
      </c>
      <c r="G3796" s="4" t="str">
        <f>HYPERLINK("http://141.218.60.56/~jnz1568/getInfo.php?workbook=14_09.xlsx&amp;sheet=U0&amp;row=3796&amp;col=7&amp;number=0.0122&amp;sourceID=14","0.0122")</f>
        <v>0.0122</v>
      </c>
    </row>
    <row r="3797" spans="1:7">
      <c r="A3797" s="3"/>
      <c r="B3797" s="3"/>
      <c r="C3797" s="3"/>
      <c r="D3797" s="3"/>
      <c r="E3797" s="3">
        <v>14</v>
      </c>
      <c r="F3797" s="4" t="str">
        <f>HYPERLINK("http://141.218.60.56/~jnz1568/getInfo.php?workbook=14_09.xlsx&amp;sheet=U0&amp;row=3797&amp;col=6&amp;number=4.3&amp;sourceID=14","4.3")</f>
        <v>4.3</v>
      </c>
      <c r="G3797" s="4" t="str">
        <f>HYPERLINK("http://141.218.60.56/~jnz1568/getInfo.php?workbook=14_09.xlsx&amp;sheet=U0&amp;row=3797&amp;col=7&amp;number=0.0122&amp;sourceID=14","0.0122")</f>
        <v>0.0122</v>
      </c>
    </row>
    <row r="3798" spans="1:7">
      <c r="A3798" s="3"/>
      <c r="B3798" s="3"/>
      <c r="C3798" s="3"/>
      <c r="D3798" s="3"/>
      <c r="E3798" s="3">
        <v>15</v>
      </c>
      <c r="F3798" s="4" t="str">
        <f>HYPERLINK("http://141.218.60.56/~jnz1568/getInfo.php?workbook=14_09.xlsx&amp;sheet=U0&amp;row=3798&amp;col=6&amp;number=4.4&amp;sourceID=14","4.4")</f>
        <v>4.4</v>
      </c>
      <c r="G3798" s="4" t="str">
        <f>HYPERLINK("http://141.218.60.56/~jnz1568/getInfo.php?workbook=14_09.xlsx&amp;sheet=U0&amp;row=3798&amp;col=7&amp;number=0.0122&amp;sourceID=14","0.0122")</f>
        <v>0.0122</v>
      </c>
    </row>
    <row r="3799" spans="1:7">
      <c r="A3799" s="3"/>
      <c r="B3799" s="3"/>
      <c r="C3799" s="3"/>
      <c r="D3799" s="3"/>
      <c r="E3799" s="3">
        <v>16</v>
      </c>
      <c r="F3799" s="4" t="str">
        <f>HYPERLINK("http://141.218.60.56/~jnz1568/getInfo.php?workbook=14_09.xlsx&amp;sheet=U0&amp;row=3799&amp;col=6&amp;number=4.5&amp;sourceID=14","4.5")</f>
        <v>4.5</v>
      </c>
      <c r="G3799" s="4" t="str">
        <f>HYPERLINK("http://141.218.60.56/~jnz1568/getInfo.php?workbook=14_09.xlsx&amp;sheet=U0&amp;row=3799&amp;col=7&amp;number=0.0122&amp;sourceID=14","0.0122")</f>
        <v>0.0122</v>
      </c>
    </row>
    <row r="3800" spans="1:7">
      <c r="A3800" s="3"/>
      <c r="B3800" s="3"/>
      <c r="C3800" s="3"/>
      <c r="D3800" s="3"/>
      <c r="E3800" s="3">
        <v>17</v>
      </c>
      <c r="F3800" s="4" t="str">
        <f>HYPERLINK("http://141.218.60.56/~jnz1568/getInfo.php?workbook=14_09.xlsx&amp;sheet=U0&amp;row=3800&amp;col=6&amp;number=4.6&amp;sourceID=14","4.6")</f>
        <v>4.6</v>
      </c>
      <c r="G3800" s="4" t="str">
        <f>HYPERLINK("http://141.218.60.56/~jnz1568/getInfo.php?workbook=14_09.xlsx&amp;sheet=U0&amp;row=3800&amp;col=7&amp;number=0.0122&amp;sourceID=14","0.0122")</f>
        <v>0.0122</v>
      </c>
    </row>
    <row r="3801" spans="1:7">
      <c r="A3801" s="3"/>
      <c r="B3801" s="3"/>
      <c r="C3801" s="3"/>
      <c r="D3801" s="3"/>
      <c r="E3801" s="3">
        <v>18</v>
      </c>
      <c r="F3801" s="4" t="str">
        <f>HYPERLINK("http://141.218.60.56/~jnz1568/getInfo.php?workbook=14_09.xlsx&amp;sheet=U0&amp;row=3801&amp;col=6&amp;number=4.7&amp;sourceID=14","4.7")</f>
        <v>4.7</v>
      </c>
      <c r="G3801" s="4" t="str">
        <f>HYPERLINK("http://141.218.60.56/~jnz1568/getInfo.php?workbook=14_09.xlsx&amp;sheet=U0&amp;row=3801&amp;col=7&amp;number=0.0123&amp;sourceID=14","0.0123")</f>
        <v>0.0123</v>
      </c>
    </row>
    <row r="3802" spans="1:7">
      <c r="A3802" s="3"/>
      <c r="B3802" s="3"/>
      <c r="C3802" s="3"/>
      <c r="D3802" s="3"/>
      <c r="E3802" s="3">
        <v>19</v>
      </c>
      <c r="F3802" s="4" t="str">
        <f>HYPERLINK("http://141.218.60.56/~jnz1568/getInfo.php?workbook=14_09.xlsx&amp;sheet=U0&amp;row=3802&amp;col=6&amp;number=4.8&amp;sourceID=14","4.8")</f>
        <v>4.8</v>
      </c>
      <c r="G3802" s="4" t="str">
        <f>HYPERLINK("http://141.218.60.56/~jnz1568/getInfo.php?workbook=14_09.xlsx&amp;sheet=U0&amp;row=3802&amp;col=7&amp;number=0.0123&amp;sourceID=14","0.0123")</f>
        <v>0.0123</v>
      </c>
    </row>
    <row r="3803" spans="1:7">
      <c r="A3803" s="3"/>
      <c r="B3803" s="3"/>
      <c r="C3803" s="3"/>
      <c r="D3803" s="3"/>
      <c r="E3803" s="3">
        <v>20</v>
      </c>
      <c r="F3803" s="4" t="str">
        <f>HYPERLINK("http://141.218.60.56/~jnz1568/getInfo.php?workbook=14_09.xlsx&amp;sheet=U0&amp;row=3803&amp;col=6&amp;number=4.9&amp;sourceID=14","4.9")</f>
        <v>4.9</v>
      </c>
      <c r="G3803" s="4" t="str">
        <f>HYPERLINK("http://141.218.60.56/~jnz1568/getInfo.php?workbook=14_09.xlsx&amp;sheet=U0&amp;row=3803&amp;col=7&amp;number=0.0123&amp;sourceID=14","0.0123")</f>
        <v>0.0123</v>
      </c>
    </row>
    <row r="3804" spans="1:7">
      <c r="A3804" s="3">
        <v>14</v>
      </c>
      <c r="B3804" s="3">
        <v>9</v>
      </c>
      <c r="C3804" s="3">
        <v>1</v>
      </c>
      <c r="D3804" s="3">
        <v>192</v>
      </c>
      <c r="E3804" s="3">
        <v>1</v>
      </c>
      <c r="F3804" s="4" t="str">
        <f>HYPERLINK("http://141.218.60.56/~jnz1568/getInfo.php?workbook=14_09.xlsx&amp;sheet=U0&amp;row=3804&amp;col=6&amp;number=3&amp;sourceID=14","3")</f>
        <v>3</v>
      </c>
      <c r="G3804" s="4" t="str">
        <f>HYPERLINK("http://141.218.60.56/~jnz1568/getInfo.php?workbook=14_09.xlsx&amp;sheet=U0&amp;row=3804&amp;col=7&amp;number=0.00712&amp;sourceID=14","0.00712")</f>
        <v>0.00712</v>
      </c>
    </row>
    <row r="3805" spans="1:7">
      <c r="A3805" s="3"/>
      <c r="B3805" s="3"/>
      <c r="C3805" s="3"/>
      <c r="D3805" s="3"/>
      <c r="E3805" s="3">
        <v>2</v>
      </c>
      <c r="F3805" s="4" t="str">
        <f>HYPERLINK("http://141.218.60.56/~jnz1568/getInfo.php?workbook=14_09.xlsx&amp;sheet=U0&amp;row=3805&amp;col=6&amp;number=3.1&amp;sourceID=14","3.1")</f>
        <v>3.1</v>
      </c>
      <c r="G3805" s="4" t="str">
        <f>HYPERLINK("http://141.218.60.56/~jnz1568/getInfo.php?workbook=14_09.xlsx&amp;sheet=U0&amp;row=3805&amp;col=7&amp;number=0.00712&amp;sourceID=14","0.00712")</f>
        <v>0.00712</v>
      </c>
    </row>
    <row r="3806" spans="1:7">
      <c r="A3806" s="3"/>
      <c r="B3806" s="3"/>
      <c r="C3806" s="3"/>
      <c r="D3806" s="3"/>
      <c r="E3806" s="3">
        <v>3</v>
      </c>
      <c r="F3806" s="4" t="str">
        <f>HYPERLINK("http://141.218.60.56/~jnz1568/getInfo.php?workbook=14_09.xlsx&amp;sheet=U0&amp;row=3806&amp;col=6&amp;number=3.2&amp;sourceID=14","3.2")</f>
        <v>3.2</v>
      </c>
      <c r="G3806" s="4" t="str">
        <f>HYPERLINK("http://141.218.60.56/~jnz1568/getInfo.php?workbook=14_09.xlsx&amp;sheet=U0&amp;row=3806&amp;col=7&amp;number=0.00712&amp;sourceID=14","0.00712")</f>
        <v>0.00712</v>
      </c>
    </row>
    <row r="3807" spans="1:7">
      <c r="A3807" s="3"/>
      <c r="B3807" s="3"/>
      <c r="C3807" s="3"/>
      <c r="D3807" s="3"/>
      <c r="E3807" s="3">
        <v>4</v>
      </c>
      <c r="F3807" s="4" t="str">
        <f>HYPERLINK("http://141.218.60.56/~jnz1568/getInfo.php?workbook=14_09.xlsx&amp;sheet=U0&amp;row=3807&amp;col=6&amp;number=3.3&amp;sourceID=14","3.3")</f>
        <v>3.3</v>
      </c>
      <c r="G3807" s="4" t="str">
        <f>HYPERLINK("http://141.218.60.56/~jnz1568/getInfo.php?workbook=14_09.xlsx&amp;sheet=U0&amp;row=3807&amp;col=7&amp;number=0.00712&amp;sourceID=14","0.00712")</f>
        <v>0.00712</v>
      </c>
    </row>
    <row r="3808" spans="1:7">
      <c r="A3808" s="3"/>
      <c r="B3808" s="3"/>
      <c r="C3808" s="3"/>
      <c r="D3808" s="3"/>
      <c r="E3808" s="3">
        <v>5</v>
      </c>
      <c r="F3808" s="4" t="str">
        <f>HYPERLINK("http://141.218.60.56/~jnz1568/getInfo.php?workbook=14_09.xlsx&amp;sheet=U0&amp;row=3808&amp;col=6&amp;number=3.4&amp;sourceID=14","3.4")</f>
        <v>3.4</v>
      </c>
      <c r="G3808" s="4" t="str">
        <f>HYPERLINK("http://141.218.60.56/~jnz1568/getInfo.php?workbook=14_09.xlsx&amp;sheet=U0&amp;row=3808&amp;col=7&amp;number=0.00712&amp;sourceID=14","0.00712")</f>
        <v>0.00712</v>
      </c>
    </row>
    <row r="3809" spans="1:7">
      <c r="A3809" s="3"/>
      <c r="B3809" s="3"/>
      <c r="C3809" s="3"/>
      <c r="D3809" s="3"/>
      <c r="E3809" s="3">
        <v>6</v>
      </c>
      <c r="F3809" s="4" t="str">
        <f>HYPERLINK("http://141.218.60.56/~jnz1568/getInfo.php?workbook=14_09.xlsx&amp;sheet=U0&amp;row=3809&amp;col=6&amp;number=3.5&amp;sourceID=14","3.5")</f>
        <v>3.5</v>
      </c>
      <c r="G3809" s="4" t="str">
        <f>HYPERLINK("http://141.218.60.56/~jnz1568/getInfo.php?workbook=14_09.xlsx&amp;sheet=U0&amp;row=3809&amp;col=7&amp;number=0.00712&amp;sourceID=14","0.00712")</f>
        <v>0.00712</v>
      </c>
    </row>
    <row r="3810" spans="1:7">
      <c r="A3810" s="3"/>
      <c r="B3810" s="3"/>
      <c r="C3810" s="3"/>
      <c r="D3810" s="3"/>
      <c r="E3810" s="3">
        <v>7</v>
      </c>
      <c r="F3810" s="4" t="str">
        <f>HYPERLINK("http://141.218.60.56/~jnz1568/getInfo.php?workbook=14_09.xlsx&amp;sheet=U0&amp;row=3810&amp;col=6&amp;number=3.6&amp;sourceID=14","3.6")</f>
        <v>3.6</v>
      </c>
      <c r="G3810" s="4" t="str">
        <f>HYPERLINK("http://141.218.60.56/~jnz1568/getInfo.php?workbook=14_09.xlsx&amp;sheet=U0&amp;row=3810&amp;col=7&amp;number=0.00712&amp;sourceID=14","0.00712")</f>
        <v>0.00712</v>
      </c>
    </row>
    <row r="3811" spans="1:7">
      <c r="A3811" s="3"/>
      <c r="B3811" s="3"/>
      <c r="C3811" s="3"/>
      <c r="D3811" s="3"/>
      <c r="E3811" s="3">
        <v>8</v>
      </c>
      <c r="F3811" s="4" t="str">
        <f>HYPERLINK("http://141.218.60.56/~jnz1568/getInfo.php?workbook=14_09.xlsx&amp;sheet=U0&amp;row=3811&amp;col=6&amp;number=3.7&amp;sourceID=14","3.7")</f>
        <v>3.7</v>
      </c>
      <c r="G3811" s="4" t="str">
        <f>HYPERLINK("http://141.218.60.56/~jnz1568/getInfo.php?workbook=14_09.xlsx&amp;sheet=U0&amp;row=3811&amp;col=7&amp;number=0.00712&amp;sourceID=14","0.00712")</f>
        <v>0.00712</v>
      </c>
    </row>
    <row r="3812" spans="1:7">
      <c r="A3812" s="3"/>
      <c r="B3812" s="3"/>
      <c r="C3812" s="3"/>
      <c r="D3812" s="3"/>
      <c r="E3812" s="3">
        <v>9</v>
      </c>
      <c r="F3812" s="4" t="str">
        <f>HYPERLINK("http://141.218.60.56/~jnz1568/getInfo.php?workbook=14_09.xlsx&amp;sheet=U0&amp;row=3812&amp;col=6&amp;number=3.8&amp;sourceID=14","3.8")</f>
        <v>3.8</v>
      </c>
      <c r="G3812" s="4" t="str">
        <f>HYPERLINK("http://141.218.60.56/~jnz1568/getInfo.php?workbook=14_09.xlsx&amp;sheet=U0&amp;row=3812&amp;col=7&amp;number=0.00712&amp;sourceID=14","0.00712")</f>
        <v>0.00712</v>
      </c>
    </row>
    <row r="3813" spans="1:7">
      <c r="A3813" s="3"/>
      <c r="B3813" s="3"/>
      <c r="C3813" s="3"/>
      <c r="D3813" s="3"/>
      <c r="E3813" s="3">
        <v>10</v>
      </c>
      <c r="F3813" s="4" t="str">
        <f>HYPERLINK("http://141.218.60.56/~jnz1568/getInfo.php?workbook=14_09.xlsx&amp;sheet=U0&amp;row=3813&amp;col=6&amp;number=3.9&amp;sourceID=14","3.9")</f>
        <v>3.9</v>
      </c>
      <c r="G3813" s="4" t="str">
        <f>HYPERLINK("http://141.218.60.56/~jnz1568/getInfo.php?workbook=14_09.xlsx&amp;sheet=U0&amp;row=3813&amp;col=7&amp;number=0.00712&amp;sourceID=14","0.00712")</f>
        <v>0.00712</v>
      </c>
    </row>
    <row r="3814" spans="1:7">
      <c r="A3814" s="3"/>
      <c r="B3814" s="3"/>
      <c r="C3814" s="3"/>
      <c r="D3814" s="3"/>
      <c r="E3814" s="3">
        <v>11</v>
      </c>
      <c r="F3814" s="4" t="str">
        <f>HYPERLINK("http://141.218.60.56/~jnz1568/getInfo.php?workbook=14_09.xlsx&amp;sheet=U0&amp;row=3814&amp;col=6&amp;number=4&amp;sourceID=14","4")</f>
        <v>4</v>
      </c>
      <c r="G3814" s="4" t="str">
        <f>HYPERLINK("http://141.218.60.56/~jnz1568/getInfo.php?workbook=14_09.xlsx&amp;sheet=U0&amp;row=3814&amp;col=7&amp;number=0.00712&amp;sourceID=14","0.00712")</f>
        <v>0.00712</v>
      </c>
    </row>
    <row r="3815" spans="1:7">
      <c r="A3815" s="3"/>
      <c r="B3815" s="3"/>
      <c r="C3815" s="3"/>
      <c r="D3815" s="3"/>
      <c r="E3815" s="3">
        <v>12</v>
      </c>
      <c r="F3815" s="4" t="str">
        <f>HYPERLINK("http://141.218.60.56/~jnz1568/getInfo.php?workbook=14_09.xlsx&amp;sheet=U0&amp;row=3815&amp;col=6&amp;number=4.1&amp;sourceID=14","4.1")</f>
        <v>4.1</v>
      </c>
      <c r="G3815" s="4" t="str">
        <f>HYPERLINK("http://141.218.60.56/~jnz1568/getInfo.php?workbook=14_09.xlsx&amp;sheet=U0&amp;row=3815&amp;col=7&amp;number=0.00712&amp;sourceID=14","0.00712")</f>
        <v>0.00712</v>
      </c>
    </row>
    <row r="3816" spans="1:7">
      <c r="A3816" s="3"/>
      <c r="B3816" s="3"/>
      <c r="C3816" s="3"/>
      <c r="D3816" s="3"/>
      <c r="E3816" s="3">
        <v>13</v>
      </c>
      <c r="F3816" s="4" t="str">
        <f>HYPERLINK("http://141.218.60.56/~jnz1568/getInfo.php?workbook=14_09.xlsx&amp;sheet=U0&amp;row=3816&amp;col=6&amp;number=4.2&amp;sourceID=14","4.2")</f>
        <v>4.2</v>
      </c>
      <c r="G3816" s="4" t="str">
        <f>HYPERLINK("http://141.218.60.56/~jnz1568/getInfo.php?workbook=14_09.xlsx&amp;sheet=U0&amp;row=3816&amp;col=7&amp;number=0.00712&amp;sourceID=14","0.00712")</f>
        <v>0.00712</v>
      </c>
    </row>
    <row r="3817" spans="1:7">
      <c r="A3817" s="3"/>
      <c r="B3817" s="3"/>
      <c r="C3817" s="3"/>
      <c r="D3817" s="3"/>
      <c r="E3817" s="3">
        <v>14</v>
      </c>
      <c r="F3817" s="4" t="str">
        <f>HYPERLINK("http://141.218.60.56/~jnz1568/getInfo.php?workbook=14_09.xlsx&amp;sheet=U0&amp;row=3817&amp;col=6&amp;number=4.3&amp;sourceID=14","4.3")</f>
        <v>4.3</v>
      </c>
      <c r="G3817" s="4" t="str">
        <f>HYPERLINK("http://141.218.60.56/~jnz1568/getInfo.php?workbook=14_09.xlsx&amp;sheet=U0&amp;row=3817&amp;col=7&amp;number=0.00712&amp;sourceID=14","0.00712")</f>
        <v>0.00712</v>
      </c>
    </row>
    <row r="3818" spans="1:7">
      <c r="A3818" s="3"/>
      <c r="B3818" s="3"/>
      <c r="C3818" s="3"/>
      <c r="D3818" s="3"/>
      <c r="E3818" s="3">
        <v>15</v>
      </c>
      <c r="F3818" s="4" t="str">
        <f>HYPERLINK("http://141.218.60.56/~jnz1568/getInfo.php?workbook=14_09.xlsx&amp;sheet=U0&amp;row=3818&amp;col=6&amp;number=4.4&amp;sourceID=14","4.4")</f>
        <v>4.4</v>
      </c>
      <c r="G3818" s="4" t="str">
        <f>HYPERLINK("http://141.218.60.56/~jnz1568/getInfo.php?workbook=14_09.xlsx&amp;sheet=U0&amp;row=3818&amp;col=7&amp;number=0.00713&amp;sourceID=14","0.00713")</f>
        <v>0.00713</v>
      </c>
    </row>
    <row r="3819" spans="1:7">
      <c r="A3819" s="3"/>
      <c r="B3819" s="3"/>
      <c r="C3819" s="3"/>
      <c r="D3819" s="3"/>
      <c r="E3819" s="3">
        <v>16</v>
      </c>
      <c r="F3819" s="4" t="str">
        <f>HYPERLINK("http://141.218.60.56/~jnz1568/getInfo.php?workbook=14_09.xlsx&amp;sheet=U0&amp;row=3819&amp;col=6&amp;number=4.5&amp;sourceID=14","4.5")</f>
        <v>4.5</v>
      </c>
      <c r="G3819" s="4" t="str">
        <f>HYPERLINK("http://141.218.60.56/~jnz1568/getInfo.php?workbook=14_09.xlsx&amp;sheet=U0&amp;row=3819&amp;col=7&amp;number=0.00713&amp;sourceID=14","0.00713")</f>
        <v>0.00713</v>
      </c>
    </row>
    <row r="3820" spans="1:7">
      <c r="A3820" s="3"/>
      <c r="B3820" s="3"/>
      <c r="C3820" s="3"/>
      <c r="D3820" s="3"/>
      <c r="E3820" s="3">
        <v>17</v>
      </c>
      <c r="F3820" s="4" t="str">
        <f>HYPERLINK("http://141.218.60.56/~jnz1568/getInfo.php?workbook=14_09.xlsx&amp;sheet=U0&amp;row=3820&amp;col=6&amp;number=4.6&amp;sourceID=14","4.6")</f>
        <v>4.6</v>
      </c>
      <c r="G3820" s="4" t="str">
        <f>HYPERLINK("http://141.218.60.56/~jnz1568/getInfo.php?workbook=14_09.xlsx&amp;sheet=U0&amp;row=3820&amp;col=7&amp;number=0.00713&amp;sourceID=14","0.00713")</f>
        <v>0.00713</v>
      </c>
    </row>
    <row r="3821" spans="1:7">
      <c r="A3821" s="3"/>
      <c r="B3821" s="3"/>
      <c r="C3821" s="3"/>
      <c r="D3821" s="3"/>
      <c r="E3821" s="3">
        <v>18</v>
      </c>
      <c r="F3821" s="4" t="str">
        <f>HYPERLINK("http://141.218.60.56/~jnz1568/getInfo.php?workbook=14_09.xlsx&amp;sheet=U0&amp;row=3821&amp;col=6&amp;number=4.7&amp;sourceID=14","4.7")</f>
        <v>4.7</v>
      </c>
      <c r="G3821" s="4" t="str">
        <f>HYPERLINK("http://141.218.60.56/~jnz1568/getInfo.php?workbook=14_09.xlsx&amp;sheet=U0&amp;row=3821&amp;col=7&amp;number=0.00713&amp;sourceID=14","0.00713")</f>
        <v>0.00713</v>
      </c>
    </row>
    <row r="3822" spans="1:7">
      <c r="A3822" s="3"/>
      <c r="B3822" s="3"/>
      <c r="C3822" s="3"/>
      <c r="D3822" s="3"/>
      <c r="E3822" s="3">
        <v>19</v>
      </c>
      <c r="F3822" s="4" t="str">
        <f>HYPERLINK("http://141.218.60.56/~jnz1568/getInfo.php?workbook=14_09.xlsx&amp;sheet=U0&amp;row=3822&amp;col=6&amp;number=4.8&amp;sourceID=14","4.8")</f>
        <v>4.8</v>
      </c>
      <c r="G3822" s="4" t="str">
        <f>HYPERLINK("http://141.218.60.56/~jnz1568/getInfo.php?workbook=14_09.xlsx&amp;sheet=U0&amp;row=3822&amp;col=7&amp;number=0.00714&amp;sourceID=14","0.00714")</f>
        <v>0.00714</v>
      </c>
    </row>
    <row r="3823" spans="1:7">
      <c r="A3823" s="3"/>
      <c r="B3823" s="3"/>
      <c r="C3823" s="3"/>
      <c r="D3823" s="3"/>
      <c r="E3823" s="3">
        <v>20</v>
      </c>
      <c r="F3823" s="4" t="str">
        <f>HYPERLINK("http://141.218.60.56/~jnz1568/getInfo.php?workbook=14_09.xlsx&amp;sheet=U0&amp;row=3823&amp;col=6&amp;number=4.9&amp;sourceID=14","4.9")</f>
        <v>4.9</v>
      </c>
      <c r="G3823" s="4" t="str">
        <f>HYPERLINK("http://141.218.60.56/~jnz1568/getInfo.php?workbook=14_09.xlsx&amp;sheet=U0&amp;row=3823&amp;col=7&amp;number=0.00714&amp;sourceID=14","0.00714")</f>
        <v>0.00714</v>
      </c>
    </row>
    <row r="3824" spans="1:7">
      <c r="A3824" s="3">
        <v>14</v>
      </c>
      <c r="B3824" s="3">
        <v>9</v>
      </c>
      <c r="C3824" s="3">
        <v>1</v>
      </c>
      <c r="D3824" s="3">
        <v>193</v>
      </c>
      <c r="E3824" s="3">
        <v>1</v>
      </c>
      <c r="F3824" s="4" t="str">
        <f>HYPERLINK("http://141.218.60.56/~jnz1568/getInfo.php?workbook=14_09.xlsx&amp;sheet=U0&amp;row=3824&amp;col=6&amp;number=3&amp;sourceID=14","3")</f>
        <v>3</v>
      </c>
      <c r="G3824" s="4" t="str">
        <f>HYPERLINK("http://141.218.60.56/~jnz1568/getInfo.php?workbook=14_09.xlsx&amp;sheet=U0&amp;row=3824&amp;col=7&amp;number=0.00452&amp;sourceID=14","0.00452")</f>
        <v>0.00452</v>
      </c>
    </row>
    <row r="3825" spans="1:7">
      <c r="A3825" s="3"/>
      <c r="B3825" s="3"/>
      <c r="C3825" s="3"/>
      <c r="D3825" s="3"/>
      <c r="E3825" s="3">
        <v>2</v>
      </c>
      <c r="F3825" s="4" t="str">
        <f>HYPERLINK("http://141.218.60.56/~jnz1568/getInfo.php?workbook=14_09.xlsx&amp;sheet=U0&amp;row=3825&amp;col=6&amp;number=3.1&amp;sourceID=14","3.1")</f>
        <v>3.1</v>
      </c>
      <c r="G3825" s="4" t="str">
        <f>HYPERLINK("http://141.218.60.56/~jnz1568/getInfo.php?workbook=14_09.xlsx&amp;sheet=U0&amp;row=3825&amp;col=7&amp;number=0.00452&amp;sourceID=14","0.00452")</f>
        <v>0.00452</v>
      </c>
    </row>
    <row r="3826" spans="1:7">
      <c r="A3826" s="3"/>
      <c r="B3826" s="3"/>
      <c r="C3826" s="3"/>
      <c r="D3826" s="3"/>
      <c r="E3826" s="3">
        <v>3</v>
      </c>
      <c r="F3826" s="4" t="str">
        <f>HYPERLINK("http://141.218.60.56/~jnz1568/getInfo.php?workbook=14_09.xlsx&amp;sheet=U0&amp;row=3826&amp;col=6&amp;number=3.2&amp;sourceID=14","3.2")</f>
        <v>3.2</v>
      </c>
      <c r="G3826" s="4" t="str">
        <f>HYPERLINK("http://141.218.60.56/~jnz1568/getInfo.php?workbook=14_09.xlsx&amp;sheet=U0&amp;row=3826&amp;col=7&amp;number=0.00452&amp;sourceID=14","0.00452")</f>
        <v>0.00452</v>
      </c>
    </row>
    <row r="3827" spans="1:7">
      <c r="A3827" s="3"/>
      <c r="B3827" s="3"/>
      <c r="C3827" s="3"/>
      <c r="D3827" s="3"/>
      <c r="E3827" s="3">
        <v>4</v>
      </c>
      <c r="F3827" s="4" t="str">
        <f>HYPERLINK("http://141.218.60.56/~jnz1568/getInfo.php?workbook=14_09.xlsx&amp;sheet=U0&amp;row=3827&amp;col=6&amp;number=3.3&amp;sourceID=14","3.3")</f>
        <v>3.3</v>
      </c>
      <c r="G3827" s="4" t="str">
        <f>HYPERLINK("http://141.218.60.56/~jnz1568/getInfo.php?workbook=14_09.xlsx&amp;sheet=U0&amp;row=3827&amp;col=7&amp;number=0.00452&amp;sourceID=14","0.00452")</f>
        <v>0.00452</v>
      </c>
    </row>
    <row r="3828" spans="1:7">
      <c r="A3828" s="3"/>
      <c r="B3828" s="3"/>
      <c r="C3828" s="3"/>
      <c r="D3828" s="3"/>
      <c r="E3828" s="3">
        <v>5</v>
      </c>
      <c r="F3828" s="4" t="str">
        <f>HYPERLINK("http://141.218.60.56/~jnz1568/getInfo.php?workbook=14_09.xlsx&amp;sheet=U0&amp;row=3828&amp;col=6&amp;number=3.4&amp;sourceID=14","3.4")</f>
        <v>3.4</v>
      </c>
      <c r="G3828" s="4" t="str">
        <f>HYPERLINK("http://141.218.60.56/~jnz1568/getInfo.php?workbook=14_09.xlsx&amp;sheet=U0&amp;row=3828&amp;col=7&amp;number=0.00452&amp;sourceID=14","0.00452")</f>
        <v>0.00452</v>
      </c>
    </row>
    <row r="3829" spans="1:7">
      <c r="A3829" s="3"/>
      <c r="B3829" s="3"/>
      <c r="C3829" s="3"/>
      <c r="D3829" s="3"/>
      <c r="E3829" s="3">
        <v>6</v>
      </c>
      <c r="F3829" s="4" t="str">
        <f>HYPERLINK("http://141.218.60.56/~jnz1568/getInfo.php?workbook=14_09.xlsx&amp;sheet=U0&amp;row=3829&amp;col=6&amp;number=3.5&amp;sourceID=14","3.5")</f>
        <v>3.5</v>
      </c>
      <c r="G3829" s="4" t="str">
        <f>HYPERLINK("http://141.218.60.56/~jnz1568/getInfo.php?workbook=14_09.xlsx&amp;sheet=U0&amp;row=3829&amp;col=7&amp;number=0.00452&amp;sourceID=14","0.00452")</f>
        <v>0.00452</v>
      </c>
    </row>
    <row r="3830" spans="1:7">
      <c r="A3830" s="3"/>
      <c r="B3830" s="3"/>
      <c r="C3830" s="3"/>
      <c r="D3830" s="3"/>
      <c r="E3830" s="3">
        <v>7</v>
      </c>
      <c r="F3830" s="4" t="str">
        <f>HYPERLINK("http://141.218.60.56/~jnz1568/getInfo.php?workbook=14_09.xlsx&amp;sheet=U0&amp;row=3830&amp;col=6&amp;number=3.6&amp;sourceID=14","3.6")</f>
        <v>3.6</v>
      </c>
      <c r="G3830" s="4" t="str">
        <f>HYPERLINK("http://141.218.60.56/~jnz1568/getInfo.php?workbook=14_09.xlsx&amp;sheet=U0&amp;row=3830&amp;col=7&amp;number=0.00452&amp;sourceID=14","0.00452")</f>
        <v>0.00452</v>
      </c>
    </row>
    <row r="3831" spans="1:7">
      <c r="A3831" s="3"/>
      <c r="B3831" s="3"/>
      <c r="C3831" s="3"/>
      <c r="D3831" s="3"/>
      <c r="E3831" s="3">
        <v>8</v>
      </c>
      <c r="F3831" s="4" t="str">
        <f>HYPERLINK("http://141.218.60.56/~jnz1568/getInfo.php?workbook=14_09.xlsx&amp;sheet=U0&amp;row=3831&amp;col=6&amp;number=3.7&amp;sourceID=14","3.7")</f>
        <v>3.7</v>
      </c>
      <c r="G3831" s="4" t="str">
        <f>HYPERLINK("http://141.218.60.56/~jnz1568/getInfo.php?workbook=14_09.xlsx&amp;sheet=U0&amp;row=3831&amp;col=7&amp;number=0.00453&amp;sourceID=14","0.00453")</f>
        <v>0.00453</v>
      </c>
    </row>
    <row r="3832" spans="1:7">
      <c r="A3832" s="3"/>
      <c r="B3832" s="3"/>
      <c r="C3832" s="3"/>
      <c r="D3832" s="3"/>
      <c r="E3832" s="3">
        <v>9</v>
      </c>
      <c r="F3832" s="4" t="str">
        <f>HYPERLINK("http://141.218.60.56/~jnz1568/getInfo.php?workbook=14_09.xlsx&amp;sheet=U0&amp;row=3832&amp;col=6&amp;number=3.8&amp;sourceID=14","3.8")</f>
        <v>3.8</v>
      </c>
      <c r="G3832" s="4" t="str">
        <f>HYPERLINK("http://141.218.60.56/~jnz1568/getInfo.php?workbook=14_09.xlsx&amp;sheet=U0&amp;row=3832&amp;col=7&amp;number=0.00453&amp;sourceID=14","0.00453")</f>
        <v>0.00453</v>
      </c>
    </row>
    <row r="3833" spans="1:7">
      <c r="A3833" s="3"/>
      <c r="B3833" s="3"/>
      <c r="C3833" s="3"/>
      <c r="D3833" s="3"/>
      <c r="E3833" s="3">
        <v>10</v>
      </c>
      <c r="F3833" s="4" t="str">
        <f>HYPERLINK("http://141.218.60.56/~jnz1568/getInfo.php?workbook=14_09.xlsx&amp;sheet=U0&amp;row=3833&amp;col=6&amp;number=3.9&amp;sourceID=14","3.9")</f>
        <v>3.9</v>
      </c>
      <c r="G3833" s="4" t="str">
        <f>HYPERLINK("http://141.218.60.56/~jnz1568/getInfo.php?workbook=14_09.xlsx&amp;sheet=U0&amp;row=3833&amp;col=7&amp;number=0.00453&amp;sourceID=14","0.00453")</f>
        <v>0.00453</v>
      </c>
    </row>
    <row r="3834" spans="1:7">
      <c r="A3834" s="3"/>
      <c r="B3834" s="3"/>
      <c r="C3834" s="3"/>
      <c r="D3834" s="3"/>
      <c r="E3834" s="3">
        <v>11</v>
      </c>
      <c r="F3834" s="4" t="str">
        <f>HYPERLINK("http://141.218.60.56/~jnz1568/getInfo.php?workbook=14_09.xlsx&amp;sheet=U0&amp;row=3834&amp;col=6&amp;number=4&amp;sourceID=14","4")</f>
        <v>4</v>
      </c>
      <c r="G3834" s="4" t="str">
        <f>HYPERLINK("http://141.218.60.56/~jnz1568/getInfo.php?workbook=14_09.xlsx&amp;sheet=U0&amp;row=3834&amp;col=7&amp;number=0.00453&amp;sourceID=14","0.00453")</f>
        <v>0.00453</v>
      </c>
    </row>
    <row r="3835" spans="1:7">
      <c r="A3835" s="3"/>
      <c r="B3835" s="3"/>
      <c r="C3835" s="3"/>
      <c r="D3835" s="3"/>
      <c r="E3835" s="3">
        <v>12</v>
      </c>
      <c r="F3835" s="4" t="str">
        <f>HYPERLINK("http://141.218.60.56/~jnz1568/getInfo.php?workbook=14_09.xlsx&amp;sheet=U0&amp;row=3835&amp;col=6&amp;number=4.1&amp;sourceID=14","4.1")</f>
        <v>4.1</v>
      </c>
      <c r="G3835" s="4" t="str">
        <f>HYPERLINK("http://141.218.60.56/~jnz1568/getInfo.php?workbook=14_09.xlsx&amp;sheet=U0&amp;row=3835&amp;col=7&amp;number=0.00453&amp;sourceID=14","0.00453")</f>
        <v>0.00453</v>
      </c>
    </row>
    <row r="3836" spans="1:7">
      <c r="A3836" s="3"/>
      <c r="B3836" s="3"/>
      <c r="C3836" s="3"/>
      <c r="D3836" s="3"/>
      <c r="E3836" s="3">
        <v>13</v>
      </c>
      <c r="F3836" s="4" t="str">
        <f>HYPERLINK("http://141.218.60.56/~jnz1568/getInfo.php?workbook=14_09.xlsx&amp;sheet=U0&amp;row=3836&amp;col=6&amp;number=4.2&amp;sourceID=14","4.2")</f>
        <v>4.2</v>
      </c>
      <c r="G3836" s="4" t="str">
        <f>HYPERLINK("http://141.218.60.56/~jnz1568/getInfo.php?workbook=14_09.xlsx&amp;sheet=U0&amp;row=3836&amp;col=7&amp;number=0.00454&amp;sourceID=14","0.00454")</f>
        <v>0.00454</v>
      </c>
    </row>
    <row r="3837" spans="1:7">
      <c r="A3837" s="3"/>
      <c r="B3837" s="3"/>
      <c r="C3837" s="3"/>
      <c r="D3837" s="3"/>
      <c r="E3837" s="3">
        <v>14</v>
      </c>
      <c r="F3837" s="4" t="str">
        <f>HYPERLINK("http://141.218.60.56/~jnz1568/getInfo.php?workbook=14_09.xlsx&amp;sheet=U0&amp;row=3837&amp;col=6&amp;number=4.3&amp;sourceID=14","4.3")</f>
        <v>4.3</v>
      </c>
      <c r="G3837" s="4" t="str">
        <f>HYPERLINK("http://141.218.60.56/~jnz1568/getInfo.php?workbook=14_09.xlsx&amp;sheet=U0&amp;row=3837&amp;col=7&amp;number=0.00454&amp;sourceID=14","0.00454")</f>
        <v>0.00454</v>
      </c>
    </row>
    <row r="3838" spans="1:7">
      <c r="A3838" s="3"/>
      <c r="B3838" s="3"/>
      <c r="C3838" s="3"/>
      <c r="D3838" s="3"/>
      <c r="E3838" s="3">
        <v>15</v>
      </c>
      <c r="F3838" s="4" t="str">
        <f>HYPERLINK("http://141.218.60.56/~jnz1568/getInfo.php?workbook=14_09.xlsx&amp;sheet=U0&amp;row=3838&amp;col=6&amp;number=4.4&amp;sourceID=14","4.4")</f>
        <v>4.4</v>
      </c>
      <c r="G3838" s="4" t="str">
        <f>HYPERLINK("http://141.218.60.56/~jnz1568/getInfo.php?workbook=14_09.xlsx&amp;sheet=U0&amp;row=3838&amp;col=7&amp;number=0.00454&amp;sourceID=14","0.00454")</f>
        <v>0.00454</v>
      </c>
    </row>
    <row r="3839" spans="1:7">
      <c r="A3839" s="3"/>
      <c r="B3839" s="3"/>
      <c r="C3839" s="3"/>
      <c r="D3839" s="3"/>
      <c r="E3839" s="3">
        <v>16</v>
      </c>
      <c r="F3839" s="4" t="str">
        <f>HYPERLINK("http://141.218.60.56/~jnz1568/getInfo.php?workbook=14_09.xlsx&amp;sheet=U0&amp;row=3839&amp;col=6&amp;number=4.5&amp;sourceID=14","4.5")</f>
        <v>4.5</v>
      </c>
      <c r="G3839" s="4" t="str">
        <f>HYPERLINK("http://141.218.60.56/~jnz1568/getInfo.php?workbook=14_09.xlsx&amp;sheet=U0&amp;row=3839&amp;col=7&amp;number=0.00455&amp;sourceID=14","0.00455")</f>
        <v>0.00455</v>
      </c>
    </row>
    <row r="3840" spans="1:7">
      <c r="A3840" s="3"/>
      <c r="B3840" s="3"/>
      <c r="C3840" s="3"/>
      <c r="D3840" s="3"/>
      <c r="E3840" s="3">
        <v>17</v>
      </c>
      <c r="F3840" s="4" t="str">
        <f>HYPERLINK("http://141.218.60.56/~jnz1568/getInfo.php?workbook=14_09.xlsx&amp;sheet=U0&amp;row=3840&amp;col=6&amp;number=4.6&amp;sourceID=14","4.6")</f>
        <v>4.6</v>
      </c>
      <c r="G3840" s="4" t="str">
        <f>HYPERLINK("http://141.218.60.56/~jnz1568/getInfo.php?workbook=14_09.xlsx&amp;sheet=U0&amp;row=3840&amp;col=7&amp;number=0.00456&amp;sourceID=14","0.00456")</f>
        <v>0.00456</v>
      </c>
    </row>
    <row r="3841" spans="1:7">
      <c r="A3841" s="3"/>
      <c r="B3841" s="3"/>
      <c r="C3841" s="3"/>
      <c r="D3841" s="3"/>
      <c r="E3841" s="3">
        <v>18</v>
      </c>
      <c r="F3841" s="4" t="str">
        <f>HYPERLINK("http://141.218.60.56/~jnz1568/getInfo.php?workbook=14_09.xlsx&amp;sheet=U0&amp;row=3841&amp;col=6&amp;number=4.7&amp;sourceID=14","4.7")</f>
        <v>4.7</v>
      </c>
      <c r="G3841" s="4" t="str">
        <f>HYPERLINK("http://141.218.60.56/~jnz1568/getInfo.php?workbook=14_09.xlsx&amp;sheet=U0&amp;row=3841&amp;col=7&amp;number=0.00457&amp;sourceID=14","0.00457")</f>
        <v>0.00457</v>
      </c>
    </row>
    <row r="3842" spans="1:7">
      <c r="A3842" s="3"/>
      <c r="B3842" s="3"/>
      <c r="C3842" s="3"/>
      <c r="D3842" s="3"/>
      <c r="E3842" s="3">
        <v>19</v>
      </c>
      <c r="F3842" s="4" t="str">
        <f>HYPERLINK("http://141.218.60.56/~jnz1568/getInfo.php?workbook=14_09.xlsx&amp;sheet=U0&amp;row=3842&amp;col=6&amp;number=4.8&amp;sourceID=14","4.8")</f>
        <v>4.8</v>
      </c>
      <c r="G3842" s="4" t="str">
        <f>HYPERLINK("http://141.218.60.56/~jnz1568/getInfo.php?workbook=14_09.xlsx&amp;sheet=U0&amp;row=3842&amp;col=7&amp;number=0.00458&amp;sourceID=14","0.00458")</f>
        <v>0.00458</v>
      </c>
    </row>
    <row r="3843" spans="1:7">
      <c r="A3843" s="3"/>
      <c r="B3843" s="3"/>
      <c r="C3843" s="3"/>
      <c r="D3843" s="3"/>
      <c r="E3843" s="3">
        <v>20</v>
      </c>
      <c r="F3843" s="4" t="str">
        <f>HYPERLINK("http://141.218.60.56/~jnz1568/getInfo.php?workbook=14_09.xlsx&amp;sheet=U0&amp;row=3843&amp;col=6&amp;number=4.9&amp;sourceID=14","4.9")</f>
        <v>4.9</v>
      </c>
      <c r="G3843" s="4" t="str">
        <f>HYPERLINK("http://141.218.60.56/~jnz1568/getInfo.php?workbook=14_09.xlsx&amp;sheet=U0&amp;row=3843&amp;col=7&amp;number=0.0046&amp;sourceID=14","0.0046")</f>
        <v>0.0046</v>
      </c>
    </row>
    <row r="3844" spans="1:7">
      <c r="A3844" s="3">
        <v>14</v>
      </c>
      <c r="B3844" s="3">
        <v>9</v>
      </c>
      <c r="C3844" s="3">
        <v>1</v>
      </c>
      <c r="D3844" s="3">
        <v>194</v>
      </c>
      <c r="E3844" s="3">
        <v>1</v>
      </c>
      <c r="F3844" s="4" t="str">
        <f>HYPERLINK("http://141.218.60.56/~jnz1568/getInfo.php?workbook=14_09.xlsx&amp;sheet=U0&amp;row=3844&amp;col=6&amp;number=3&amp;sourceID=14","3")</f>
        <v>3</v>
      </c>
      <c r="G3844" s="4" t="str">
        <f>HYPERLINK("http://141.218.60.56/~jnz1568/getInfo.php?workbook=14_09.xlsx&amp;sheet=U0&amp;row=3844&amp;col=7&amp;number=0.00524&amp;sourceID=14","0.00524")</f>
        <v>0.00524</v>
      </c>
    </row>
    <row r="3845" spans="1:7">
      <c r="A3845" s="3"/>
      <c r="B3845" s="3"/>
      <c r="C3845" s="3"/>
      <c r="D3845" s="3"/>
      <c r="E3845" s="3">
        <v>2</v>
      </c>
      <c r="F3845" s="4" t="str">
        <f>HYPERLINK("http://141.218.60.56/~jnz1568/getInfo.php?workbook=14_09.xlsx&amp;sheet=U0&amp;row=3845&amp;col=6&amp;number=3.1&amp;sourceID=14","3.1")</f>
        <v>3.1</v>
      </c>
      <c r="G3845" s="4" t="str">
        <f>HYPERLINK("http://141.218.60.56/~jnz1568/getInfo.php?workbook=14_09.xlsx&amp;sheet=U0&amp;row=3845&amp;col=7&amp;number=0.00524&amp;sourceID=14","0.00524")</f>
        <v>0.00524</v>
      </c>
    </row>
    <row r="3846" spans="1:7">
      <c r="A3846" s="3"/>
      <c r="B3846" s="3"/>
      <c r="C3846" s="3"/>
      <c r="D3846" s="3"/>
      <c r="E3846" s="3">
        <v>3</v>
      </c>
      <c r="F3846" s="4" t="str">
        <f>HYPERLINK("http://141.218.60.56/~jnz1568/getInfo.php?workbook=14_09.xlsx&amp;sheet=U0&amp;row=3846&amp;col=6&amp;number=3.2&amp;sourceID=14","3.2")</f>
        <v>3.2</v>
      </c>
      <c r="G3846" s="4" t="str">
        <f>HYPERLINK("http://141.218.60.56/~jnz1568/getInfo.php?workbook=14_09.xlsx&amp;sheet=U0&amp;row=3846&amp;col=7&amp;number=0.00524&amp;sourceID=14","0.00524")</f>
        <v>0.00524</v>
      </c>
    </row>
    <row r="3847" spans="1:7">
      <c r="A3847" s="3"/>
      <c r="B3847" s="3"/>
      <c r="C3847" s="3"/>
      <c r="D3847" s="3"/>
      <c r="E3847" s="3">
        <v>4</v>
      </c>
      <c r="F3847" s="4" t="str">
        <f>HYPERLINK("http://141.218.60.56/~jnz1568/getInfo.php?workbook=14_09.xlsx&amp;sheet=U0&amp;row=3847&amp;col=6&amp;number=3.3&amp;sourceID=14","3.3")</f>
        <v>3.3</v>
      </c>
      <c r="G3847" s="4" t="str">
        <f>HYPERLINK("http://141.218.60.56/~jnz1568/getInfo.php?workbook=14_09.xlsx&amp;sheet=U0&amp;row=3847&amp;col=7&amp;number=0.00524&amp;sourceID=14","0.00524")</f>
        <v>0.00524</v>
      </c>
    </row>
    <row r="3848" spans="1:7">
      <c r="A3848" s="3"/>
      <c r="B3848" s="3"/>
      <c r="C3848" s="3"/>
      <c r="D3848" s="3"/>
      <c r="E3848" s="3">
        <v>5</v>
      </c>
      <c r="F3848" s="4" t="str">
        <f>HYPERLINK("http://141.218.60.56/~jnz1568/getInfo.php?workbook=14_09.xlsx&amp;sheet=U0&amp;row=3848&amp;col=6&amp;number=3.4&amp;sourceID=14","3.4")</f>
        <v>3.4</v>
      </c>
      <c r="G3848" s="4" t="str">
        <f>HYPERLINK("http://141.218.60.56/~jnz1568/getInfo.php?workbook=14_09.xlsx&amp;sheet=U0&amp;row=3848&amp;col=7&amp;number=0.00524&amp;sourceID=14","0.00524")</f>
        <v>0.00524</v>
      </c>
    </row>
    <row r="3849" spans="1:7">
      <c r="A3849" s="3"/>
      <c r="B3849" s="3"/>
      <c r="C3849" s="3"/>
      <c r="D3849" s="3"/>
      <c r="E3849" s="3">
        <v>6</v>
      </c>
      <c r="F3849" s="4" t="str">
        <f>HYPERLINK("http://141.218.60.56/~jnz1568/getInfo.php?workbook=14_09.xlsx&amp;sheet=U0&amp;row=3849&amp;col=6&amp;number=3.5&amp;sourceID=14","3.5")</f>
        <v>3.5</v>
      </c>
      <c r="G3849" s="4" t="str">
        <f>HYPERLINK("http://141.218.60.56/~jnz1568/getInfo.php?workbook=14_09.xlsx&amp;sheet=U0&amp;row=3849&amp;col=7&amp;number=0.00524&amp;sourceID=14","0.00524")</f>
        <v>0.00524</v>
      </c>
    </row>
    <row r="3850" spans="1:7">
      <c r="A3850" s="3"/>
      <c r="B3850" s="3"/>
      <c r="C3850" s="3"/>
      <c r="D3850" s="3"/>
      <c r="E3850" s="3">
        <v>7</v>
      </c>
      <c r="F3850" s="4" t="str">
        <f>HYPERLINK("http://141.218.60.56/~jnz1568/getInfo.php?workbook=14_09.xlsx&amp;sheet=U0&amp;row=3850&amp;col=6&amp;number=3.6&amp;sourceID=14","3.6")</f>
        <v>3.6</v>
      </c>
      <c r="G3850" s="4" t="str">
        <f>HYPERLINK("http://141.218.60.56/~jnz1568/getInfo.php?workbook=14_09.xlsx&amp;sheet=U0&amp;row=3850&amp;col=7&amp;number=0.00524&amp;sourceID=14","0.00524")</f>
        <v>0.00524</v>
      </c>
    </row>
    <row r="3851" spans="1:7">
      <c r="A3851" s="3"/>
      <c r="B3851" s="3"/>
      <c r="C3851" s="3"/>
      <c r="D3851" s="3"/>
      <c r="E3851" s="3">
        <v>8</v>
      </c>
      <c r="F3851" s="4" t="str">
        <f>HYPERLINK("http://141.218.60.56/~jnz1568/getInfo.php?workbook=14_09.xlsx&amp;sheet=U0&amp;row=3851&amp;col=6&amp;number=3.7&amp;sourceID=14","3.7")</f>
        <v>3.7</v>
      </c>
      <c r="G3851" s="4" t="str">
        <f>HYPERLINK("http://141.218.60.56/~jnz1568/getInfo.php?workbook=14_09.xlsx&amp;sheet=U0&amp;row=3851&amp;col=7&amp;number=0.00524&amp;sourceID=14","0.00524")</f>
        <v>0.00524</v>
      </c>
    </row>
    <row r="3852" spans="1:7">
      <c r="A3852" s="3"/>
      <c r="B3852" s="3"/>
      <c r="C3852" s="3"/>
      <c r="D3852" s="3"/>
      <c r="E3852" s="3">
        <v>9</v>
      </c>
      <c r="F3852" s="4" t="str">
        <f>HYPERLINK("http://141.218.60.56/~jnz1568/getInfo.php?workbook=14_09.xlsx&amp;sheet=U0&amp;row=3852&amp;col=6&amp;number=3.8&amp;sourceID=14","3.8")</f>
        <v>3.8</v>
      </c>
      <c r="G3852" s="4" t="str">
        <f>HYPERLINK("http://141.218.60.56/~jnz1568/getInfo.php?workbook=14_09.xlsx&amp;sheet=U0&amp;row=3852&amp;col=7&amp;number=0.00524&amp;sourceID=14","0.00524")</f>
        <v>0.00524</v>
      </c>
    </row>
    <row r="3853" spans="1:7">
      <c r="A3853" s="3"/>
      <c r="B3853" s="3"/>
      <c r="C3853" s="3"/>
      <c r="D3853" s="3"/>
      <c r="E3853" s="3">
        <v>10</v>
      </c>
      <c r="F3853" s="4" t="str">
        <f>HYPERLINK("http://141.218.60.56/~jnz1568/getInfo.php?workbook=14_09.xlsx&amp;sheet=U0&amp;row=3853&amp;col=6&amp;number=3.9&amp;sourceID=14","3.9")</f>
        <v>3.9</v>
      </c>
      <c r="G3853" s="4" t="str">
        <f>HYPERLINK("http://141.218.60.56/~jnz1568/getInfo.php?workbook=14_09.xlsx&amp;sheet=U0&amp;row=3853&amp;col=7&amp;number=0.00524&amp;sourceID=14","0.00524")</f>
        <v>0.00524</v>
      </c>
    </row>
    <row r="3854" spans="1:7">
      <c r="A3854" s="3"/>
      <c r="B3854" s="3"/>
      <c r="C3854" s="3"/>
      <c r="D3854" s="3"/>
      <c r="E3854" s="3">
        <v>11</v>
      </c>
      <c r="F3854" s="4" t="str">
        <f>HYPERLINK("http://141.218.60.56/~jnz1568/getInfo.php?workbook=14_09.xlsx&amp;sheet=U0&amp;row=3854&amp;col=6&amp;number=4&amp;sourceID=14","4")</f>
        <v>4</v>
      </c>
      <c r="G3854" s="4" t="str">
        <f>HYPERLINK("http://141.218.60.56/~jnz1568/getInfo.php?workbook=14_09.xlsx&amp;sheet=U0&amp;row=3854&amp;col=7&amp;number=0.00525&amp;sourceID=14","0.00525")</f>
        <v>0.00525</v>
      </c>
    </row>
    <row r="3855" spans="1:7">
      <c r="A3855" s="3"/>
      <c r="B3855" s="3"/>
      <c r="C3855" s="3"/>
      <c r="D3855" s="3"/>
      <c r="E3855" s="3">
        <v>12</v>
      </c>
      <c r="F3855" s="4" t="str">
        <f>HYPERLINK("http://141.218.60.56/~jnz1568/getInfo.php?workbook=14_09.xlsx&amp;sheet=U0&amp;row=3855&amp;col=6&amp;number=4.1&amp;sourceID=14","4.1")</f>
        <v>4.1</v>
      </c>
      <c r="G3855" s="4" t="str">
        <f>HYPERLINK("http://141.218.60.56/~jnz1568/getInfo.php?workbook=14_09.xlsx&amp;sheet=U0&amp;row=3855&amp;col=7&amp;number=0.00525&amp;sourceID=14","0.00525")</f>
        <v>0.00525</v>
      </c>
    </row>
    <row r="3856" spans="1:7">
      <c r="A3856" s="3"/>
      <c r="B3856" s="3"/>
      <c r="C3856" s="3"/>
      <c r="D3856" s="3"/>
      <c r="E3856" s="3">
        <v>13</v>
      </c>
      <c r="F3856" s="4" t="str">
        <f>HYPERLINK("http://141.218.60.56/~jnz1568/getInfo.php?workbook=14_09.xlsx&amp;sheet=U0&amp;row=3856&amp;col=6&amp;number=4.2&amp;sourceID=14","4.2")</f>
        <v>4.2</v>
      </c>
      <c r="G3856" s="4" t="str">
        <f>HYPERLINK("http://141.218.60.56/~jnz1568/getInfo.php?workbook=14_09.xlsx&amp;sheet=U0&amp;row=3856&amp;col=7&amp;number=0.00525&amp;sourceID=14","0.00525")</f>
        <v>0.00525</v>
      </c>
    </row>
    <row r="3857" spans="1:7">
      <c r="A3857" s="3"/>
      <c r="B3857" s="3"/>
      <c r="C3857" s="3"/>
      <c r="D3857" s="3"/>
      <c r="E3857" s="3">
        <v>14</v>
      </c>
      <c r="F3857" s="4" t="str">
        <f>HYPERLINK("http://141.218.60.56/~jnz1568/getInfo.php?workbook=14_09.xlsx&amp;sheet=U0&amp;row=3857&amp;col=6&amp;number=4.3&amp;sourceID=14","4.3")</f>
        <v>4.3</v>
      </c>
      <c r="G3857" s="4" t="str">
        <f>HYPERLINK("http://141.218.60.56/~jnz1568/getInfo.php?workbook=14_09.xlsx&amp;sheet=U0&amp;row=3857&amp;col=7&amp;number=0.00525&amp;sourceID=14","0.00525")</f>
        <v>0.00525</v>
      </c>
    </row>
    <row r="3858" spans="1:7">
      <c r="A3858" s="3"/>
      <c r="B3858" s="3"/>
      <c r="C3858" s="3"/>
      <c r="D3858" s="3"/>
      <c r="E3858" s="3">
        <v>15</v>
      </c>
      <c r="F3858" s="4" t="str">
        <f>HYPERLINK("http://141.218.60.56/~jnz1568/getInfo.php?workbook=14_09.xlsx&amp;sheet=U0&amp;row=3858&amp;col=6&amp;number=4.4&amp;sourceID=14","4.4")</f>
        <v>4.4</v>
      </c>
      <c r="G3858" s="4" t="str">
        <f>HYPERLINK("http://141.218.60.56/~jnz1568/getInfo.php?workbook=14_09.xlsx&amp;sheet=U0&amp;row=3858&amp;col=7&amp;number=0.00526&amp;sourceID=14","0.00526")</f>
        <v>0.00526</v>
      </c>
    </row>
    <row r="3859" spans="1:7">
      <c r="A3859" s="3"/>
      <c r="B3859" s="3"/>
      <c r="C3859" s="3"/>
      <c r="D3859" s="3"/>
      <c r="E3859" s="3">
        <v>16</v>
      </c>
      <c r="F3859" s="4" t="str">
        <f>HYPERLINK("http://141.218.60.56/~jnz1568/getInfo.php?workbook=14_09.xlsx&amp;sheet=U0&amp;row=3859&amp;col=6&amp;number=4.5&amp;sourceID=14","4.5")</f>
        <v>4.5</v>
      </c>
      <c r="G3859" s="4" t="str">
        <f>HYPERLINK("http://141.218.60.56/~jnz1568/getInfo.php?workbook=14_09.xlsx&amp;sheet=U0&amp;row=3859&amp;col=7&amp;number=0.00526&amp;sourceID=14","0.00526")</f>
        <v>0.00526</v>
      </c>
    </row>
    <row r="3860" spans="1:7">
      <c r="A3860" s="3"/>
      <c r="B3860" s="3"/>
      <c r="C3860" s="3"/>
      <c r="D3860" s="3"/>
      <c r="E3860" s="3">
        <v>17</v>
      </c>
      <c r="F3860" s="4" t="str">
        <f>HYPERLINK("http://141.218.60.56/~jnz1568/getInfo.php?workbook=14_09.xlsx&amp;sheet=U0&amp;row=3860&amp;col=6&amp;number=4.6&amp;sourceID=14","4.6")</f>
        <v>4.6</v>
      </c>
      <c r="G3860" s="4" t="str">
        <f>HYPERLINK("http://141.218.60.56/~jnz1568/getInfo.php?workbook=14_09.xlsx&amp;sheet=U0&amp;row=3860&amp;col=7&amp;number=0.00527&amp;sourceID=14","0.00527")</f>
        <v>0.00527</v>
      </c>
    </row>
    <row r="3861" spans="1:7">
      <c r="A3861" s="3"/>
      <c r="B3861" s="3"/>
      <c r="C3861" s="3"/>
      <c r="D3861" s="3"/>
      <c r="E3861" s="3">
        <v>18</v>
      </c>
      <c r="F3861" s="4" t="str">
        <f>HYPERLINK("http://141.218.60.56/~jnz1568/getInfo.php?workbook=14_09.xlsx&amp;sheet=U0&amp;row=3861&amp;col=6&amp;number=4.7&amp;sourceID=14","4.7")</f>
        <v>4.7</v>
      </c>
      <c r="G3861" s="4" t="str">
        <f>HYPERLINK("http://141.218.60.56/~jnz1568/getInfo.php?workbook=14_09.xlsx&amp;sheet=U0&amp;row=3861&amp;col=7&amp;number=0.00528&amp;sourceID=14","0.00528")</f>
        <v>0.00528</v>
      </c>
    </row>
    <row r="3862" spans="1:7">
      <c r="A3862" s="3"/>
      <c r="B3862" s="3"/>
      <c r="C3862" s="3"/>
      <c r="D3862" s="3"/>
      <c r="E3862" s="3">
        <v>19</v>
      </c>
      <c r="F3862" s="4" t="str">
        <f>HYPERLINK("http://141.218.60.56/~jnz1568/getInfo.php?workbook=14_09.xlsx&amp;sheet=U0&amp;row=3862&amp;col=6&amp;number=4.8&amp;sourceID=14","4.8")</f>
        <v>4.8</v>
      </c>
      <c r="G3862" s="4" t="str">
        <f>HYPERLINK("http://141.218.60.56/~jnz1568/getInfo.php?workbook=14_09.xlsx&amp;sheet=U0&amp;row=3862&amp;col=7&amp;number=0.00529&amp;sourceID=14","0.00529")</f>
        <v>0.00529</v>
      </c>
    </row>
    <row r="3863" spans="1:7">
      <c r="A3863" s="3"/>
      <c r="B3863" s="3"/>
      <c r="C3863" s="3"/>
      <c r="D3863" s="3"/>
      <c r="E3863" s="3">
        <v>20</v>
      </c>
      <c r="F3863" s="4" t="str">
        <f>HYPERLINK("http://141.218.60.56/~jnz1568/getInfo.php?workbook=14_09.xlsx&amp;sheet=U0&amp;row=3863&amp;col=6&amp;number=4.9&amp;sourceID=14","4.9")</f>
        <v>4.9</v>
      </c>
      <c r="G3863" s="4" t="str">
        <f>HYPERLINK("http://141.218.60.56/~jnz1568/getInfo.php?workbook=14_09.xlsx&amp;sheet=U0&amp;row=3863&amp;col=7&amp;number=0.0053&amp;sourceID=14","0.0053")</f>
        <v>0.0053</v>
      </c>
    </row>
    <row r="3864" spans="1:7">
      <c r="A3864" s="3">
        <v>14</v>
      </c>
      <c r="B3864" s="3">
        <v>9</v>
      </c>
      <c r="C3864" s="3">
        <v>1</v>
      </c>
      <c r="D3864" s="3">
        <v>195</v>
      </c>
      <c r="E3864" s="3">
        <v>1</v>
      </c>
      <c r="F3864" s="4" t="str">
        <f>HYPERLINK("http://141.218.60.56/~jnz1568/getInfo.php?workbook=14_09.xlsx&amp;sheet=U0&amp;row=3864&amp;col=6&amp;number=3&amp;sourceID=14","3")</f>
        <v>3</v>
      </c>
      <c r="G3864" s="4" t="str">
        <f>HYPERLINK("http://141.218.60.56/~jnz1568/getInfo.php?workbook=14_09.xlsx&amp;sheet=U0&amp;row=3864&amp;col=7&amp;number=0.00854&amp;sourceID=14","0.00854")</f>
        <v>0.00854</v>
      </c>
    </row>
    <row r="3865" spans="1:7">
      <c r="A3865" s="3"/>
      <c r="B3865" s="3"/>
      <c r="C3865" s="3"/>
      <c r="D3865" s="3"/>
      <c r="E3865" s="3">
        <v>2</v>
      </c>
      <c r="F3865" s="4" t="str">
        <f>HYPERLINK("http://141.218.60.56/~jnz1568/getInfo.php?workbook=14_09.xlsx&amp;sheet=U0&amp;row=3865&amp;col=6&amp;number=3.1&amp;sourceID=14","3.1")</f>
        <v>3.1</v>
      </c>
      <c r="G3865" s="4" t="str">
        <f>HYPERLINK("http://141.218.60.56/~jnz1568/getInfo.php?workbook=14_09.xlsx&amp;sheet=U0&amp;row=3865&amp;col=7&amp;number=0.00854&amp;sourceID=14","0.00854")</f>
        <v>0.00854</v>
      </c>
    </row>
    <row r="3866" spans="1:7">
      <c r="A3866" s="3"/>
      <c r="B3866" s="3"/>
      <c r="C3866" s="3"/>
      <c r="D3866" s="3"/>
      <c r="E3866" s="3">
        <v>3</v>
      </c>
      <c r="F3866" s="4" t="str">
        <f>HYPERLINK("http://141.218.60.56/~jnz1568/getInfo.php?workbook=14_09.xlsx&amp;sheet=U0&amp;row=3866&amp;col=6&amp;number=3.2&amp;sourceID=14","3.2")</f>
        <v>3.2</v>
      </c>
      <c r="G3866" s="4" t="str">
        <f>HYPERLINK("http://141.218.60.56/~jnz1568/getInfo.php?workbook=14_09.xlsx&amp;sheet=U0&amp;row=3866&amp;col=7&amp;number=0.00854&amp;sourceID=14","0.00854")</f>
        <v>0.00854</v>
      </c>
    </row>
    <row r="3867" spans="1:7">
      <c r="A3867" s="3"/>
      <c r="B3867" s="3"/>
      <c r="C3867" s="3"/>
      <c r="D3867" s="3"/>
      <c r="E3867" s="3">
        <v>4</v>
      </c>
      <c r="F3867" s="4" t="str">
        <f>HYPERLINK("http://141.218.60.56/~jnz1568/getInfo.php?workbook=14_09.xlsx&amp;sheet=U0&amp;row=3867&amp;col=6&amp;number=3.3&amp;sourceID=14","3.3")</f>
        <v>3.3</v>
      </c>
      <c r="G3867" s="4" t="str">
        <f>HYPERLINK("http://141.218.60.56/~jnz1568/getInfo.php?workbook=14_09.xlsx&amp;sheet=U0&amp;row=3867&amp;col=7&amp;number=0.00854&amp;sourceID=14","0.00854")</f>
        <v>0.00854</v>
      </c>
    </row>
    <row r="3868" spans="1:7">
      <c r="A3868" s="3"/>
      <c r="B3868" s="3"/>
      <c r="C3868" s="3"/>
      <c r="D3868" s="3"/>
      <c r="E3868" s="3">
        <v>5</v>
      </c>
      <c r="F3868" s="4" t="str">
        <f>HYPERLINK("http://141.218.60.56/~jnz1568/getInfo.php?workbook=14_09.xlsx&amp;sheet=U0&amp;row=3868&amp;col=6&amp;number=3.4&amp;sourceID=14","3.4")</f>
        <v>3.4</v>
      </c>
      <c r="G3868" s="4" t="str">
        <f>HYPERLINK("http://141.218.60.56/~jnz1568/getInfo.php?workbook=14_09.xlsx&amp;sheet=U0&amp;row=3868&amp;col=7&amp;number=0.00854&amp;sourceID=14","0.00854")</f>
        <v>0.00854</v>
      </c>
    </row>
    <row r="3869" spans="1:7">
      <c r="A3869" s="3"/>
      <c r="B3869" s="3"/>
      <c r="C3869" s="3"/>
      <c r="D3869" s="3"/>
      <c r="E3869" s="3">
        <v>6</v>
      </c>
      <c r="F3869" s="4" t="str">
        <f>HYPERLINK("http://141.218.60.56/~jnz1568/getInfo.php?workbook=14_09.xlsx&amp;sheet=U0&amp;row=3869&amp;col=6&amp;number=3.5&amp;sourceID=14","3.5")</f>
        <v>3.5</v>
      </c>
      <c r="G3869" s="4" t="str">
        <f>HYPERLINK("http://141.218.60.56/~jnz1568/getInfo.php?workbook=14_09.xlsx&amp;sheet=U0&amp;row=3869&amp;col=7&amp;number=0.00854&amp;sourceID=14","0.00854")</f>
        <v>0.00854</v>
      </c>
    </row>
    <row r="3870" spans="1:7">
      <c r="A3870" s="3"/>
      <c r="B3870" s="3"/>
      <c r="C3870" s="3"/>
      <c r="D3870" s="3"/>
      <c r="E3870" s="3">
        <v>7</v>
      </c>
      <c r="F3870" s="4" t="str">
        <f>HYPERLINK("http://141.218.60.56/~jnz1568/getInfo.php?workbook=14_09.xlsx&amp;sheet=U0&amp;row=3870&amp;col=6&amp;number=3.6&amp;sourceID=14","3.6")</f>
        <v>3.6</v>
      </c>
      <c r="G3870" s="4" t="str">
        <f>HYPERLINK("http://141.218.60.56/~jnz1568/getInfo.php?workbook=14_09.xlsx&amp;sheet=U0&amp;row=3870&amp;col=7&amp;number=0.00855&amp;sourceID=14","0.00855")</f>
        <v>0.00855</v>
      </c>
    </row>
    <row r="3871" spans="1:7">
      <c r="A3871" s="3"/>
      <c r="B3871" s="3"/>
      <c r="C3871" s="3"/>
      <c r="D3871" s="3"/>
      <c r="E3871" s="3">
        <v>8</v>
      </c>
      <c r="F3871" s="4" t="str">
        <f>HYPERLINK("http://141.218.60.56/~jnz1568/getInfo.php?workbook=14_09.xlsx&amp;sheet=U0&amp;row=3871&amp;col=6&amp;number=3.7&amp;sourceID=14","3.7")</f>
        <v>3.7</v>
      </c>
      <c r="G3871" s="4" t="str">
        <f>HYPERLINK("http://141.218.60.56/~jnz1568/getInfo.php?workbook=14_09.xlsx&amp;sheet=U0&amp;row=3871&amp;col=7&amp;number=0.00855&amp;sourceID=14","0.00855")</f>
        <v>0.00855</v>
      </c>
    </row>
    <row r="3872" spans="1:7">
      <c r="A3872" s="3"/>
      <c r="B3872" s="3"/>
      <c r="C3872" s="3"/>
      <c r="D3872" s="3"/>
      <c r="E3872" s="3">
        <v>9</v>
      </c>
      <c r="F3872" s="4" t="str">
        <f>HYPERLINK("http://141.218.60.56/~jnz1568/getInfo.php?workbook=14_09.xlsx&amp;sheet=U0&amp;row=3872&amp;col=6&amp;number=3.8&amp;sourceID=14","3.8")</f>
        <v>3.8</v>
      </c>
      <c r="G3872" s="4" t="str">
        <f>HYPERLINK("http://141.218.60.56/~jnz1568/getInfo.php?workbook=14_09.xlsx&amp;sheet=U0&amp;row=3872&amp;col=7&amp;number=0.00855&amp;sourceID=14","0.00855")</f>
        <v>0.00855</v>
      </c>
    </row>
    <row r="3873" spans="1:7">
      <c r="A3873" s="3"/>
      <c r="B3873" s="3"/>
      <c r="C3873" s="3"/>
      <c r="D3873" s="3"/>
      <c r="E3873" s="3">
        <v>10</v>
      </c>
      <c r="F3873" s="4" t="str">
        <f>HYPERLINK("http://141.218.60.56/~jnz1568/getInfo.php?workbook=14_09.xlsx&amp;sheet=U0&amp;row=3873&amp;col=6&amp;number=3.9&amp;sourceID=14","3.9")</f>
        <v>3.9</v>
      </c>
      <c r="G3873" s="4" t="str">
        <f>HYPERLINK("http://141.218.60.56/~jnz1568/getInfo.php?workbook=14_09.xlsx&amp;sheet=U0&amp;row=3873&amp;col=7&amp;number=0.00856&amp;sourceID=14","0.00856")</f>
        <v>0.00856</v>
      </c>
    </row>
    <row r="3874" spans="1:7">
      <c r="A3874" s="3"/>
      <c r="B3874" s="3"/>
      <c r="C3874" s="3"/>
      <c r="D3874" s="3"/>
      <c r="E3874" s="3">
        <v>11</v>
      </c>
      <c r="F3874" s="4" t="str">
        <f>HYPERLINK("http://141.218.60.56/~jnz1568/getInfo.php?workbook=14_09.xlsx&amp;sheet=U0&amp;row=3874&amp;col=6&amp;number=4&amp;sourceID=14","4")</f>
        <v>4</v>
      </c>
      <c r="G3874" s="4" t="str">
        <f>HYPERLINK("http://141.218.60.56/~jnz1568/getInfo.php?workbook=14_09.xlsx&amp;sheet=U0&amp;row=3874&amp;col=7&amp;number=0.00856&amp;sourceID=14","0.00856")</f>
        <v>0.00856</v>
      </c>
    </row>
    <row r="3875" spans="1:7">
      <c r="A3875" s="3"/>
      <c r="B3875" s="3"/>
      <c r="C3875" s="3"/>
      <c r="D3875" s="3"/>
      <c r="E3875" s="3">
        <v>12</v>
      </c>
      <c r="F3875" s="4" t="str">
        <f>HYPERLINK("http://141.218.60.56/~jnz1568/getInfo.php?workbook=14_09.xlsx&amp;sheet=U0&amp;row=3875&amp;col=6&amp;number=4.1&amp;sourceID=14","4.1")</f>
        <v>4.1</v>
      </c>
      <c r="G3875" s="4" t="str">
        <f>HYPERLINK("http://141.218.60.56/~jnz1568/getInfo.php?workbook=14_09.xlsx&amp;sheet=U0&amp;row=3875&amp;col=7&amp;number=0.00857&amp;sourceID=14","0.00857")</f>
        <v>0.00857</v>
      </c>
    </row>
    <row r="3876" spans="1:7">
      <c r="A3876" s="3"/>
      <c r="B3876" s="3"/>
      <c r="C3876" s="3"/>
      <c r="D3876" s="3"/>
      <c r="E3876" s="3">
        <v>13</v>
      </c>
      <c r="F3876" s="4" t="str">
        <f>HYPERLINK("http://141.218.60.56/~jnz1568/getInfo.php?workbook=14_09.xlsx&amp;sheet=U0&amp;row=3876&amp;col=6&amp;number=4.2&amp;sourceID=14","4.2")</f>
        <v>4.2</v>
      </c>
      <c r="G3876" s="4" t="str">
        <f>HYPERLINK("http://141.218.60.56/~jnz1568/getInfo.php?workbook=14_09.xlsx&amp;sheet=U0&amp;row=3876&amp;col=7&amp;number=0.00858&amp;sourceID=14","0.00858")</f>
        <v>0.00858</v>
      </c>
    </row>
    <row r="3877" spans="1:7">
      <c r="A3877" s="3"/>
      <c r="B3877" s="3"/>
      <c r="C3877" s="3"/>
      <c r="D3877" s="3"/>
      <c r="E3877" s="3">
        <v>14</v>
      </c>
      <c r="F3877" s="4" t="str">
        <f>HYPERLINK("http://141.218.60.56/~jnz1568/getInfo.php?workbook=14_09.xlsx&amp;sheet=U0&amp;row=3877&amp;col=6&amp;number=4.3&amp;sourceID=14","4.3")</f>
        <v>4.3</v>
      </c>
      <c r="G3877" s="4" t="str">
        <f>HYPERLINK("http://141.218.60.56/~jnz1568/getInfo.php?workbook=14_09.xlsx&amp;sheet=U0&amp;row=3877&amp;col=7&amp;number=0.00859&amp;sourceID=14","0.00859")</f>
        <v>0.00859</v>
      </c>
    </row>
    <row r="3878" spans="1:7">
      <c r="A3878" s="3"/>
      <c r="B3878" s="3"/>
      <c r="C3878" s="3"/>
      <c r="D3878" s="3"/>
      <c r="E3878" s="3">
        <v>15</v>
      </c>
      <c r="F3878" s="4" t="str">
        <f>HYPERLINK("http://141.218.60.56/~jnz1568/getInfo.php?workbook=14_09.xlsx&amp;sheet=U0&amp;row=3878&amp;col=6&amp;number=4.4&amp;sourceID=14","4.4")</f>
        <v>4.4</v>
      </c>
      <c r="G3878" s="4" t="str">
        <f>HYPERLINK("http://141.218.60.56/~jnz1568/getInfo.php?workbook=14_09.xlsx&amp;sheet=U0&amp;row=3878&amp;col=7&amp;number=0.0086&amp;sourceID=14","0.0086")</f>
        <v>0.0086</v>
      </c>
    </row>
    <row r="3879" spans="1:7">
      <c r="A3879" s="3"/>
      <c r="B3879" s="3"/>
      <c r="C3879" s="3"/>
      <c r="D3879" s="3"/>
      <c r="E3879" s="3">
        <v>16</v>
      </c>
      <c r="F3879" s="4" t="str">
        <f>HYPERLINK("http://141.218.60.56/~jnz1568/getInfo.php?workbook=14_09.xlsx&amp;sheet=U0&amp;row=3879&amp;col=6&amp;number=4.5&amp;sourceID=14","4.5")</f>
        <v>4.5</v>
      </c>
      <c r="G3879" s="4" t="str">
        <f>HYPERLINK("http://141.218.60.56/~jnz1568/getInfo.php?workbook=14_09.xlsx&amp;sheet=U0&amp;row=3879&amp;col=7&amp;number=0.00862&amp;sourceID=14","0.00862")</f>
        <v>0.00862</v>
      </c>
    </row>
    <row r="3880" spans="1:7">
      <c r="A3880" s="3"/>
      <c r="B3880" s="3"/>
      <c r="C3880" s="3"/>
      <c r="D3880" s="3"/>
      <c r="E3880" s="3">
        <v>17</v>
      </c>
      <c r="F3880" s="4" t="str">
        <f>HYPERLINK("http://141.218.60.56/~jnz1568/getInfo.php?workbook=14_09.xlsx&amp;sheet=U0&amp;row=3880&amp;col=6&amp;number=4.6&amp;sourceID=14","4.6")</f>
        <v>4.6</v>
      </c>
      <c r="G3880" s="4" t="str">
        <f>HYPERLINK("http://141.218.60.56/~jnz1568/getInfo.php?workbook=14_09.xlsx&amp;sheet=U0&amp;row=3880&amp;col=7&amp;number=0.00864&amp;sourceID=14","0.00864")</f>
        <v>0.00864</v>
      </c>
    </row>
    <row r="3881" spans="1:7">
      <c r="A3881" s="3"/>
      <c r="B3881" s="3"/>
      <c r="C3881" s="3"/>
      <c r="D3881" s="3"/>
      <c r="E3881" s="3">
        <v>18</v>
      </c>
      <c r="F3881" s="4" t="str">
        <f>HYPERLINK("http://141.218.60.56/~jnz1568/getInfo.php?workbook=14_09.xlsx&amp;sheet=U0&amp;row=3881&amp;col=6&amp;number=4.7&amp;sourceID=14","4.7")</f>
        <v>4.7</v>
      </c>
      <c r="G3881" s="4" t="str">
        <f>HYPERLINK("http://141.218.60.56/~jnz1568/getInfo.php?workbook=14_09.xlsx&amp;sheet=U0&amp;row=3881&amp;col=7&amp;number=0.00866&amp;sourceID=14","0.00866")</f>
        <v>0.00866</v>
      </c>
    </row>
    <row r="3882" spans="1:7">
      <c r="A3882" s="3"/>
      <c r="B3882" s="3"/>
      <c r="C3882" s="3"/>
      <c r="D3882" s="3"/>
      <c r="E3882" s="3">
        <v>19</v>
      </c>
      <c r="F3882" s="4" t="str">
        <f>HYPERLINK("http://141.218.60.56/~jnz1568/getInfo.php?workbook=14_09.xlsx&amp;sheet=U0&amp;row=3882&amp;col=6&amp;number=4.8&amp;sourceID=14","4.8")</f>
        <v>4.8</v>
      </c>
      <c r="G3882" s="4" t="str">
        <f>HYPERLINK("http://141.218.60.56/~jnz1568/getInfo.php?workbook=14_09.xlsx&amp;sheet=U0&amp;row=3882&amp;col=7&amp;number=0.00869&amp;sourceID=14","0.00869")</f>
        <v>0.00869</v>
      </c>
    </row>
    <row r="3883" spans="1:7">
      <c r="A3883" s="3"/>
      <c r="B3883" s="3"/>
      <c r="C3883" s="3"/>
      <c r="D3883" s="3"/>
      <c r="E3883" s="3">
        <v>20</v>
      </c>
      <c r="F3883" s="4" t="str">
        <f>HYPERLINK("http://141.218.60.56/~jnz1568/getInfo.php?workbook=14_09.xlsx&amp;sheet=U0&amp;row=3883&amp;col=6&amp;number=4.9&amp;sourceID=14","4.9")</f>
        <v>4.9</v>
      </c>
      <c r="G3883" s="4" t="str">
        <f>HYPERLINK("http://141.218.60.56/~jnz1568/getInfo.php?workbook=14_09.xlsx&amp;sheet=U0&amp;row=3883&amp;col=7&amp;number=0.00873&amp;sourceID=14","0.00873")</f>
        <v>0.00873</v>
      </c>
    </row>
    <row r="3884" spans="1:7">
      <c r="A3884" s="3">
        <v>14</v>
      </c>
      <c r="B3884" s="3">
        <v>9</v>
      </c>
      <c r="C3884" s="3">
        <v>2</v>
      </c>
      <c r="D3884" s="3">
        <v>3</v>
      </c>
      <c r="E3884" s="3">
        <v>1</v>
      </c>
      <c r="F3884" s="4" t="str">
        <f>HYPERLINK("http://141.218.60.56/~jnz1568/getInfo.php?workbook=14_09.xlsx&amp;sheet=U0&amp;row=3884&amp;col=6&amp;number=3&amp;sourceID=14","3")</f>
        <v>3</v>
      </c>
      <c r="G3884" s="4" t="str">
        <f>HYPERLINK("http://141.218.60.56/~jnz1568/getInfo.php?workbook=14_09.xlsx&amp;sheet=U0&amp;row=3884&amp;col=7&amp;number=0.381&amp;sourceID=14","0.381")</f>
        <v>0.381</v>
      </c>
    </row>
    <row r="3885" spans="1:7">
      <c r="A3885" s="3"/>
      <c r="B3885" s="3"/>
      <c r="C3885" s="3"/>
      <c r="D3885" s="3"/>
      <c r="E3885" s="3">
        <v>2</v>
      </c>
      <c r="F3885" s="4" t="str">
        <f>HYPERLINK("http://141.218.60.56/~jnz1568/getInfo.php?workbook=14_09.xlsx&amp;sheet=U0&amp;row=3885&amp;col=6&amp;number=3.1&amp;sourceID=14","3.1")</f>
        <v>3.1</v>
      </c>
      <c r="G3885" s="4" t="str">
        <f>HYPERLINK("http://141.218.60.56/~jnz1568/getInfo.php?workbook=14_09.xlsx&amp;sheet=U0&amp;row=3885&amp;col=7&amp;number=0.381&amp;sourceID=14","0.381")</f>
        <v>0.381</v>
      </c>
    </row>
    <row r="3886" spans="1:7">
      <c r="A3886" s="3"/>
      <c r="B3886" s="3"/>
      <c r="C3886" s="3"/>
      <c r="D3886" s="3"/>
      <c r="E3886" s="3">
        <v>3</v>
      </c>
      <c r="F3886" s="4" t="str">
        <f>HYPERLINK("http://141.218.60.56/~jnz1568/getInfo.php?workbook=14_09.xlsx&amp;sheet=U0&amp;row=3886&amp;col=6&amp;number=3.2&amp;sourceID=14","3.2")</f>
        <v>3.2</v>
      </c>
      <c r="G3886" s="4" t="str">
        <f>HYPERLINK("http://141.218.60.56/~jnz1568/getInfo.php?workbook=14_09.xlsx&amp;sheet=U0&amp;row=3886&amp;col=7&amp;number=0.381&amp;sourceID=14","0.381")</f>
        <v>0.381</v>
      </c>
    </row>
    <row r="3887" spans="1:7">
      <c r="A3887" s="3"/>
      <c r="B3887" s="3"/>
      <c r="C3887" s="3"/>
      <c r="D3887" s="3"/>
      <c r="E3887" s="3">
        <v>4</v>
      </c>
      <c r="F3887" s="4" t="str">
        <f>HYPERLINK("http://141.218.60.56/~jnz1568/getInfo.php?workbook=14_09.xlsx&amp;sheet=U0&amp;row=3887&amp;col=6&amp;number=3.3&amp;sourceID=14","3.3")</f>
        <v>3.3</v>
      </c>
      <c r="G3887" s="4" t="str">
        <f>HYPERLINK("http://141.218.60.56/~jnz1568/getInfo.php?workbook=14_09.xlsx&amp;sheet=U0&amp;row=3887&amp;col=7&amp;number=0.382&amp;sourceID=14","0.382")</f>
        <v>0.382</v>
      </c>
    </row>
    <row r="3888" spans="1:7">
      <c r="A3888" s="3"/>
      <c r="B3888" s="3"/>
      <c r="C3888" s="3"/>
      <c r="D3888" s="3"/>
      <c r="E3888" s="3">
        <v>5</v>
      </c>
      <c r="F3888" s="4" t="str">
        <f>HYPERLINK("http://141.218.60.56/~jnz1568/getInfo.php?workbook=14_09.xlsx&amp;sheet=U0&amp;row=3888&amp;col=6&amp;number=3.4&amp;sourceID=14","3.4")</f>
        <v>3.4</v>
      </c>
      <c r="G3888" s="4" t="str">
        <f>HYPERLINK("http://141.218.60.56/~jnz1568/getInfo.php?workbook=14_09.xlsx&amp;sheet=U0&amp;row=3888&amp;col=7&amp;number=0.382&amp;sourceID=14","0.382")</f>
        <v>0.382</v>
      </c>
    </row>
    <row r="3889" spans="1:7">
      <c r="A3889" s="3"/>
      <c r="B3889" s="3"/>
      <c r="C3889" s="3"/>
      <c r="D3889" s="3"/>
      <c r="E3889" s="3">
        <v>6</v>
      </c>
      <c r="F3889" s="4" t="str">
        <f>HYPERLINK("http://141.218.60.56/~jnz1568/getInfo.php?workbook=14_09.xlsx&amp;sheet=U0&amp;row=3889&amp;col=6&amp;number=3.5&amp;sourceID=14","3.5")</f>
        <v>3.5</v>
      </c>
      <c r="G3889" s="4" t="str">
        <f>HYPERLINK("http://141.218.60.56/~jnz1568/getInfo.php?workbook=14_09.xlsx&amp;sheet=U0&amp;row=3889&amp;col=7&amp;number=0.383&amp;sourceID=14","0.383")</f>
        <v>0.383</v>
      </c>
    </row>
    <row r="3890" spans="1:7">
      <c r="A3890" s="3"/>
      <c r="B3890" s="3"/>
      <c r="C3890" s="3"/>
      <c r="D3890" s="3"/>
      <c r="E3890" s="3">
        <v>7</v>
      </c>
      <c r="F3890" s="4" t="str">
        <f>HYPERLINK("http://141.218.60.56/~jnz1568/getInfo.php?workbook=14_09.xlsx&amp;sheet=U0&amp;row=3890&amp;col=6&amp;number=3.6&amp;sourceID=14","3.6")</f>
        <v>3.6</v>
      </c>
      <c r="G3890" s="4" t="str">
        <f>HYPERLINK("http://141.218.60.56/~jnz1568/getInfo.php?workbook=14_09.xlsx&amp;sheet=U0&amp;row=3890&amp;col=7&amp;number=0.383&amp;sourceID=14","0.383")</f>
        <v>0.383</v>
      </c>
    </row>
    <row r="3891" spans="1:7">
      <c r="A3891" s="3"/>
      <c r="B3891" s="3"/>
      <c r="C3891" s="3"/>
      <c r="D3891" s="3"/>
      <c r="E3891" s="3">
        <v>8</v>
      </c>
      <c r="F3891" s="4" t="str">
        <f>HYPERLINK("http://141.218.60.56/~jnz1568/getInfo.php?workbook=14_09.xlsx&amp;sheet=U0&amp;row=3891&amp;col=6&amp;number=3.7&amp;sourceID=14","3.7")</f>
        <v>3.7</v>
      </c>
      <c r="G3891" s="4" t="str">
        <f>HYPERLINK("http://141.218.60.56/~jnz1568/getInfo.php?workbook=14_09.xlsx&amp;sheet=U0&amp;row=3891&amp;col=7&amp;number=0.384&amp;sourceID=14","0.384")</f>
        <v>0.384</v>
      </c>
    </row>
    <row r="3892" spans="1:7">
      <c r="A3892" s="3"/>
      <c r="B3892" s="3"/>
      <c r="C3892" s="3"/>
      <c r="D3892" s="3"/>
      <c r="E3892" s="3">
        <v>9</v>
      </c>
      <c r="F3892" s="4" t="str">
        <f>HYPERLINK("http://141.218.60.56/~jnz1568/getInfo.php?workbook=14_09.xlsx&amp;sheet=U0&amp;row=3892&amp;col=6&amp;number=3.8&amp;sourceID=14","3.8")</f>
        <v>3.8</v>
      </c>
      <c r="G3892" s="4" t="str">
        <f>HYPERLINK("http://141.218.60.56/~jnz1568/getInfo.php?workbook=14_09.xlsx&amp;sheet=U0&amp;row=3892&amp;col=7&amp;number=0.385&amp;sourceID=14","0.385")</f>
        <v>0.385</v>
      </c>
    </row>
    <row r="3893" spans="1:7">
      <c r="A3893" s="3"/>
      <c r="B3893" s="3"/>
      <c r="C3893" s="3"/>
      <c r="D3893" s="3"/>
      <c r="E3893" s="3">
        <v>10</v>
      </c>
      <c r="F3893" s="4" t="str">
        <f>HYPERLINK("http://141.218.60.56/~jnz1568/getInfo.php?workbook=14_09.xlsx&amp;sheet=U0&amp;row=3893&amp;col=6&amp;number=3.9&amp;sourceID=14","3.9")</f>
        <v>3.9</v>
      </c>
      <c r="G3893" s="4" t="str">
        <f>HYPERLINK("http://141.218.60.56/~jnz1568/getInfo.php?workbook=14_09.xlsx&amp;sheet=U0&amp;row=3893&amp;col=7&amp;number=0.387&amp;sourceID=14","0.387")</f>
        <v>0.387</v>
      </c>
    </row>
    <row r="3894" spans="1:7">
      <c r="A3894" s="3"/>
      <c r="B3894" s="3"/>
      <c r="C3894" s="3"/>
      <c r="D3894" s="3"/>
      <c r="E3894" s="3">
        <v>11</v>
      </c>
      <c r="F3894" s="4" t="str">
        <f>HYPERLINK("http://141.218.60.56/~jnz1568/getInfo.php?workbook=14_09.xlsx&amp;sheet=U0&amp;row=3894&amp;col=6&amp;number=4&amp;sourceID=14","4")</f>
        <v>4</v>
      </c>
      <c r="G3894" s="4" t="str">
        <f>HYPERLINK("http://141.218.60.56/~jnz1568/getInfo.php?workbook=14_09.xlsx&amp;sheet=U0&amp;row=3894&amp;col=7&amp;number=0.388&amp;sourceID=14","0.388")</f>
        <v>0.388</v>
      </c>
    </row>
    <row r="3895" spans="1:7">
      <c r="A3895" s="3"/>
      <c r="B3895" s="3"/>
      <c r="C3895" s="3"/>
      <c r="D3895" s="3"/>
      <c r="E3895" s="3">
        <v>12</v>
      </c>
      <c r="F3895" s="4" t="str">
        <f>HYPERLINK("http://141.218.60.56/~jnz1568/getInfo.php?workbook=14_09.xlsx&amp;sheet=U0&amp;row=3895&amp;col=6&amp;number=4.1&amp;sourceID=14","4.1")</f>
        <v>4.1</v>
      </c>
      <c r="G3895" s="4" t="str">
        <f>HYPERLINK("http://141.218.60.56/~jnz1568/getInfo.php?workbook=14_09.xlsx&amp;sheet=U0&amp;row=3895&amp;col=7&amp;number=0.39&amp;sourceID=14","0.39")</f>
        <v>0.39</v>
      </c>
    </row>
    <row r="3896" spans="1:7">
      <c r="A3896" s="3"/>
      <c r="B3896" s="3"/>
      <c r="C3896" s="3"/>
      <c r="D3896" s="3"/>
      <c r="E3896" s="3">
        <v>13</v>
      </c>
      <c r="F3896" s="4" t="str">
        <f>HYPERLINK("http://141.218.60.56/~jnz1568/getInfo.php?workbook=14_09.xlsx&amp;sheet=U0&amp;row=3896&amp;col=6&amp;number=4.2&amp;sourceID=14","4.2")</f>
        <v>4.2</v>
      </c>
      <c r="G3896" s="4" t="str">
        <f>HYPERLINK("http://141.218.60.56/~jnz1568/getInfo.php?workbook=14_09.xlsx&amp;sheet=U0&amp;row=3896&amp;col=7&amp;number=0.392&amp;sourceID=14","0.392")</f>
        <v>0.392</v>
      </c>
    </row>
    <row r="3897" spans="1:7">
      <c r="A3897" s="3"/>
      <c r="B3897" s="3"/>
      <c r="C3897" s="3"/>
      <c r="D3897" s="3"/>
      <c r="E3897" s="3">
        <v>14</v>
      </c>
      <c r="F3897" s="4" t="str">
        <f>HYPERLINK("http://141.218.60.56/~jnz1568/getInfo.php?workbook=14_09.xlsx&amp;sheet=U0&amp;row=3897&amp;col=6&amp;number=4.3&amp;sourceID=14","4.3")</f>
        <v>4.3</v>
      </c>
      <c r="G3897" s="4" t="str">
        <f>HYPERLINK("http://141.218.60.56/~jnz1568/getInfo.php?workbook=14_09.xlsx&amp;sheet=U0&amp;row=3897&amp;col=7&amp;number=0.395&amp;sourceID=14","0.395")</f>
        <v>0.395</v>
      </c>
    </row>
    <row r="3898" spans="1:7">
      <c r="A3898" s="3"/>
      <c r="B3898" s="3"/>
      <c r="C3898" s="3"/>
      <c r="D3898" s="3"/>
      <c r="E3898" s="3">
        <v>15</v>
      </c>
      <c r="F3898" s="4" t="str">
        <f>HYPERLINK("http://141.218.60.56/~jnz1568/getInfo.php?workbook=14_09.xlsx&amp;sheet=U0&amp;row=3898&amp;col=6&amp;number=4.4&amp;sourceID=14","4.4")</f>
        <v>4.4</v>
      </c>
      <c r="G3898" s="4" t="str">
        <f>HYPERLINK("http://141.218.60.56/~jnz1568/getInfo.php?workbook=14_09.xlsx&amp;sheet=U0&amp;row=3898&amp;col=7&amp;number=0.398&amp;sourceID=14","0.398")</f>
        <v>0.398</v>
      </c>
    </row>
    <row r="3899" spans="1:7">
      <c r="A3899" s="3"/>
      <c r="B3899" s="3"/>
      <c r="C3899" s="3"/>
      <c r="D3899" s="3"/>
      <c r="E3899" s="3">
        <v>16</v>
      </c>
      <c r="F3899" s="4" t="str">
        <f>HYPERLINK("http://141.218.60.56/~jnz1568/getInfo.php?workbook=14_09.xlsx&amp;sheet=U0&amp;row=3899&amp;col=6&amp;number=4.5&amp;sourceID=14","4.5")</f>
        <v>4.5</v>
      </c>
      <c r="G3899" s="4" t="str">
        <f>HYPERLINK("http://141.218.60.56/~jnz1568/getInfo.php?workbook=14_09.xlsx&amp;sheet=U0&amp;row=3899&amp;col=7&amp;number=0.401&amp;sourceID=14","0.401")</f>
        <v>0.401</v>
      </c>
    </row>
    <row r="3900" spans="1:7">
      <c r="A3900" s="3"/>
      <c r="B3900" s="3"/>
      <c r="C3900" s="3"/>
      <c r="D3900" s="3"/>
      <c r="E3900" s="3">
        <v>17</v>
      </c>
      <c r="F3900" s="4" t="str">
        <f>HYPERLINK("http://141.218.60.56/~jnz1568/getInfo.php?workbook=14_09.xlsx&amp;sheet=U0&amp;row=3900&amp;col=6&amp;number=4.6&amp;sourceID=14","4.6")</f>
        <v>4.6</v>
      </c>
      <c r="G3900" s="4" t="str">
        <f>HYPERLINK("http://141.218.60.56/~jnz1568/getInfo.php?workbook=14_09.xlsx&amp;sheet=U0&amp;row=3900&amp;col=7&amp;number=0.403&amp;sourceID=14","0.403")</f>
        <v>0.403</v>
      </c>
    </row>
    <row r="3901" spans="1:7">
      <c r="A3901" s="3"/>
      <c r="B3901" s="3"/>
      <c r="C3901" s="3"/>
      <c r="D3901" s="3"/>
      <c r="E3901" s="3">
        <v>18</v>
      </c>
      <c r="F3901" s="4" t="str">
        <f>HYPERLINK("http://141.218.60.56/~jnz1568/getInfo.php?workbook=14_09.xlsx&amp;sheet=U0&amp;row=3901&amp;col=6&amp;number=4.7&amp;sourceID=14","4.7")</f>
        <v>4.7</v>
      </c>
      <c r="G3901" s="4" t="str">
        <f>HYPERLINK("http://141.218.60.56/~jnz1568/getInfo.php?workbook=14_09.xlsx&amp;sheet=U0&amp;row=3901&amp;col=7&amp;number=0.405&amp;sourceID=14","0.405")</f>
        <v>0.405</v>
      </c>
    </row>
    <row r="3902" spans="1:7">
      <c r="A3902" s="3"/>
      <c r="B3902" s="3"/>
      <c r="C3902" s="3"/>
      <c r="D3902" s="3"/>
      <c r="E3902" s="3">
        <v>19</v>
      </c>
      <c r="F3902" s="4" t="str">
        <f>HYPERLINK("http://141.218.60.56/~jnz1568/getInfo.php?workbook=14_09.xlsx&amp;sheet=U0&amp;row=3902&amp;col=6&amp;number=4.8&amp;sourceID=14","4.8")</f>
        <v>4.8</v>
      </c>
      <c r="G3902" s="4" t="str">
        <f>HYPERLINK("http://141.218.60.56/~jnz1568/getInfo.php?workbook=14_09.xlsx&amp;sheet=U0&amp;row=3902&amp;col=7&amp;number=0.407&amp;sourceID=14","0.407")</f>
        <v>0.407</v>
      </c>
    </row>
    <row r="3903" spans="1:7">
      <c r="A3903" s="3"/>
      <c r="B3903" s="3"/>
      <c r="C3903" s="3"/>
      <c r="D3903" s="3"/>
      <c r="E3903" s="3">
        <v>20</v>
      </c>
      <c r="F3903" s="4" t="str">
        <f>HYPERLINK("http://141.218.60.56/~jnz1568/getInfo.php?workbook=14_09.xlsx&amp;sheet=U0&amp;row=3903&amp;col=6&amp;number=4.9&amp;sourceID=14","4.9")</f>
        <v>4.9</v>
      </c>
      <c r="G3903" s="4" t="str">
        <f>HYPERLINK("http://141.218.60.56/~jnz1568/getInfo.php?workbook=14_09.xlsx&amp;sheet=U0&amp;row=3903&amp;col=7&amp;number=0.41&amp;sourceID=14","0.41")</f>
        <v>0.41</v>
      </c>
    </row>
    <row r="3904" spans="1:7">
      <c r="A3904" s="3">
        <v>14</v>
      </c>
      <c r="B3904" s="3">
        <v>9</v>
      </c>
      <c r="C3904" s="3">
        <v>2</v>
      </c>
      <c r="D3904" s="3">
        <v>4</v>
      </c>
      <c r="E3904" s="3">
        <v>1</v>
      </c>
      <c r="F3904" s="4" t="str">
        <f>HYPERLINK("http://141.218.60.56/~jnz1568/getInfo.php?workbook=14_09.xlsx&amp;sheet=U0&amp;row=3904&amp;col=6&amp;number=3&amp;sourceID=14","3")</f>
        <v>3</v>
      </c>
      <c r="G3904" s="4" t="str">
        <f>HYPERLINK("http://141.218.60.56/~jnz1568/getInfo.php?workbook=14_09.xlsx&amp;sheet=U0&amp;row=3904&amp;col=7&amp;number=0.319&amp;sourceID=14","0.319")</f>
        <v>0.319</v>
      </c>
    </row>
    <row r="3905" spans="1:7">
      <c r="A3905" s="3"/>
      <c r="B3905" s="3"/>
      <c r="C3905" s="3"/>
      <c r="D3905" s="3"/>
      <c r="E3905" s="3">
        <v>2</v>
      </c>
      <c r="F3905" s="4" t="str">
        <f>HYPERLINK("http://141.218.60.56/~jnz1568/getInfo.php?workbook=14_09.xlsx&amp;sheet=U0&amp;row=3905&amp;col=6&amp;number=3.1&amp;sourceID=14","3.1")</f>
        <v>3.1</v>
      </c>
      <c r="G3905" s="4" t="str">
        <f>HYPERLINK("http://141.218.60.56/~jnz1568/getInfo.php?workbook=14_09.xlsx&amp;sheet=U0&amp;row=3905&amp;col=7&amp;number=0.319&amp;sourceID=14","0.319")</f>
        <v>0.319</v>
      </c>
    </row>
    <row r="3906" spans="1:7">
      <c r="A3906" s="3"/>
      <c r="B3906" s="3"/>
      <c r="C3906" s="3"/>
      <c r="D3906" s="3"/>
      <c r="E3906" s="3">
        <v>3</v>
      </c>
      <c r="F3906" s="4" t="str">
        <f>HYPERLINK("http://141.218.60.56/~jnz1568/getInfo.php?workbook=14_09.xlsx&amp;sheet=U0&amp;row=3906&amp;col=6&amp;number=3.2&amp;sourceID=14","3.2")</f>
        <v>3.2</v>
      </c>
      <c r="G3906" s="4" t="str">
        <f>HYPERLINK("http://141.218.60.56/~jnz1568/getInfo.php?workbook=14_09.xlsx&amp;sheet=U0&amp;row=3906&amp;col=7&amp;number=0.318&amp;sourceID=14","0.318")</f>
        <v>0.318</v>
      </c>
    </row>
    <row r="3907" spans="1:7">
      <c r="A3907" s="3"/>
      <c r="B3907" s="3"/>
      <c r="C3907" s="3"/>
      <c r="D3907" s="3"/>
      <c r="E3907" s="3">
        <v>4</v>
      </c>
      <c r="F3907" s="4" t="str">
        <f>HYPERLINK("http://141.218.60.56/~jnz1568/getInfo.php?workbook=14_09.xlsx&amp;sheet=U0&amp;row=3907&amp;col=6&amp;number=3.3&amp;sourceID=14","3.3")</f>
        <v>3.3</v>
      </c>
      <c r="G3907" s="4" t="str">
        <f>HYPERLINK("http://141.218.60.56/~jnz1568/getInfo.php?workbook=14_09.xlsx&amp;sheet=U0&amp;row=3907&amp;col=7&amp;number=0.317&amp;sourceID=14","0.317")</f>
        <v>0.317</v>
      </c>
    </row>
    <row r="3908" spans="1:7">
      <c r="A3908" s="3"/>
      <c r="B3908" s="3"/>
      <c r="C3908" s="3"/>
      <c r="D3908" s="3"/>
      <c r="E3908" s="3">
        <v>5</v>
      </c>
      <c r="F3908" s="4" t="str">
        <f>HYPERLINK("http://141.218.60.56/~jnz1568/getInfo.php?workbook=14_09.xlsx&amp;sheet=U0&amp;row=3908&amp;col=6&amp;number=3.4&amp;sourceID=14","3.4")</f>
        <v>3.4</v>
      </c>
      <c r="G3908" s="4" t="str">
        <f>HYPERLINK("http://141.218.60.56/~jnz1568/getInfo.php?workbook=14_09.xlsx&amp;sheet=U0&amp;row=3908&amp;col=7&amp;number=0.315&amp;sourceID=14","0.315")</f>
        <v>0.315</v>
      </c>
    </row>
    <row r="3909" spans="1:7">
      <c r="A3909" s="3"/>
      <c r="B3909" s="3"/>
      <c r="C3909" s="3"/>
      <c r="D3909" s="3"/>
      <c r="E3909" s="3">
        <v>6</v>
      </c>
      <c r="F3909" s="4" t="str">
        <f>HYPERLINK("http://141.218.60.56/~jnz1568/getInfo.php?workbook=14_09.xlsx&amp;sheet=U0&amp;row=3909&amp;col=6&amp;number=3.5&amp;sourceID=14","3.5")</f>
        <v>3.5</v>
      </c>
      <c r="G3909" s="4" t="str">
        <f>HYPERLINK("http://141.218.60.56/~jnz1568/getInfo.php?workbook=14_09.xlsx&amp;sheet=U0&amp;row=3909&amp;col=7&amp;number=0.314&amp;sourceID=14","0.314")</f>
        <v>0.314</v>
      </c>
    </row>
    <row r="3910" spans="1:7">
      <c r="A3910" s="3"/>
      <c r="B3910" s="3"/>
      <c r="C3910" s="3"/>
      <c r="D3910" s="3"/>
      <c r="E3910" s="3">
        <v>7</v>
      </c>
      <c r="F3910" s="4" t="str">
        <f>HYPERLINK("http://141.218.60.56/~jnz1568/getInfo.php?workbook=14_09.xlsx&amp;sheet=U0&amp;row=3910&amp;col=6&amp;number=3.6&amp;sourceID=14","3.6")</f>
        <v>3.6</v>
      </c>
      <c r="G3910" s="4" t="str">
        <f>HYPERLINK("http://141.218.60.56/~jnz1568/getInfo.php?workbook=14_09.xlsx&amp;sheet=U0&amp;row=3910&amp;col=7&amp;number=0.312&amp;sourceID=14","0.312")</f>
        <v>0.312</v>
      </c>
    </row>
    <row r="3911" spans="1:7">
      <c r="A3911" s="3"/>
      <c r="B3911" s="3"/>
      <c r="C3911" s="3"/>
      <c r="D3911" s="3"/>
      <c r="E3911" s="3">
        <v>8</v>
      </c>
      <c r="F3911" s="4" t="str">
        <f>HYPERLINK("http://141.218.60.56/~jnz1568/getInfo.php?workbook=14_09.xlsx&amp;sheet=U0&amp;row=3911&amp;col=6&amp;number=3.7&amp;sourceID=14","3.7")</f>
        <v>3.7</v>
      </c>
      <c r="G3911" s="4" t="str">
        <f>HYPERLINK("http://141.218.60.56/~jnz1568/getInfo.php?workbook=14_09.xlsx&amp;sheet=U0&amp;row=3911&amp;col=7&amp;number=0.309&amp;sourceID=14","0.309")</f>
        <v>0.309</v>
      </c>
    </row>
    <row r="3912" spans="1:7">
      <c r="A3912" s="3"/>
      <c r="B3912" s="3"/>
      <c r="C3912" s="3"/>
      <c r="D3912" s="3"/>
      <c r="E3912" s="3">
        <v>9</v>
      </c>
      <c r="F3912" s="4" t="str">
        <f>HYPERLINK("http://141.218.60.56/~jnz1568/getInfo.php?workbook=14_09.xlsx&amp;sheet=U0&amp;row=3912&amp;col=6&amp;number=3.8&amp;sourceID=14","3.8")</f>
        <v>3.8</v>
      </c>
      <c r="G3912" s="4" t="str">
        <f>HYPERLINK("http://141.218.60.56/~jnz1568/getInfo.php?workbook=14_09.xlsx&amp;sheet=U0&amp;row=3912&amp;col=7&amp;number=0.305&amp;sourceID=14","0.305")</f>
        <v>0.305</v>
      </c>
    </row>
    <row r="3913" spans="1:7">
      <c r="A3913" s="3"/>
      <c r="B3913" s="3"/>
      <c r="C3913" s="3"/>
      <c r="D3913" s="3"/>
      <c r="E3913" s="3">
        <v>10</v>
      </c>
      <c r="F3913" s="4" t="str">
        <f>HYPERLINK("http://141.218.60.56/~jnz1568/getInfo.php?workbook=14_09.xlsx&amp;sheet=U0&amp;row=3913&amp;col=6&amp;number=3.9&amp;sourceID=14","3.9")</f>
        <v>3.9</v>
      </c>
      <c r="G3913" s="4" t="str">
        <f>HYPERLINK("http://141.218.60.56/~jnz1568/getInfo.php?workbook=14_09.xlsx&amp;sheet=U0&amp;row=3913&amp;col=7&amp;number=0.301&amp;sourceID=14","0.301")</f>
        <v>0.301</v>
      </c>
    </row>
    <row r="3914" spans="1:7">
      <c r="A3914" s="3"/>
      <c r="B3914" s="3"/>
      <c r="C3914" s="3"/>
      <c r="D3914" s="3"/>
      <c r="E3914" s="3">
        <v>11</v>
      </c>
      <c r="F3914" s="4" t="str">
        <f>HYPERLINK("http://141.218.60.56/~jnz1568/getInfo.php?workbook=14_09.xlsx&amp;sheet=U0&amp;row=3914&amp;col=6&amp;number=4&amp;sourceID=14","4")</f>
        <v>4</v>
      </c>
      <c r="G3914" s="4" t="str">
        <f>HYPERLINK("http://141.218.60.56/~jnz1568/getInfo.php?workbook=14_09.xlsx&amp;sheet=U0&amp;row=3914&amp;col=7&amp;number=0.296&amp;sourceID=14","0.296")</f>
        <v>0.296</v>
      </c>
    </row>
    <row r="3915" spans="1:7">
      <c r="A3915" s="3"/>
      <c r="B3915" s="3"/>
      <c r="C3915" s="3"/>
      <c r="D3915" s="3"/>
      <c r="E3915" s="3">
        <v>12</v>
      </c>
      <c r="F3915" s="4" t="str">
        <f>HYPERLINK("http://141.218.60.56/~jnz1568/getInfo.php?workbook=14_09.xlsx&amp;sheet=U0&amp;row=3915&amp;col=6&amp;number=4.1&amp;sourceID=14","4.1")</f>
        <v>4.1</v>
      </c>
      <c r="G3915" s="4" t="str">
        <f>HYPERLINK("http://141.218.60.56/~jnz1568/getInfo.php?workbook=14_09.xlsx&amp;sheet=U0&amp;row=3915&amp;col=7&amp;number=0.29&amp;sourceID=14","0.29")</f>
        <v>0.29</v>
      </c>
    </row>
    <row r="3916" spans="1:7">
      <c r="A3916" s="3"/>
      <c r="B3916" s="3"/>
      <c r="C3916" s="3"/>
      <c r="D3916" s="3"/>
      <c r="E3916" s="3">
        <v>13</v>
      </c>
      <c r="F3916" s="4" t="str">
        <f>HYPERLINK("http://141.218.60.56/~jnz1568/getInfo.php?workbook=14_09.xlsx&amp;sheet=U0&amp;row=3916&amp;col=6&amp;number=4.2&amp;sourceID=14","4.2")</f>
        <v>4.2</v>
      </c>
      <c r="G3916" s="4" t="str">
        <f>HYPERLINK("http://141.218.60.56/~jnz1568/getInfo.php?workbook=14_09.xlsx&amp;sheet=U0&amp;row=3916&amp;col=7&amp;number=0.282&amp;sourceID=14","0.282")</f>
        <v>0.282</v>
      </c>
    </row>
    <row r="3917" spans="1:7">
      <c r="A3917" s="3"/>
      <c r="B3917" s="3"/>
      <c r="C3917" s="3"/>
      <c r="D3917" s="3"/>
      <c r="E3917" s="3">
        <v>14</v>
      </c>
      <c r="F3917" s="4" t="str">
        <f>HYPERLINK("http://141.218.60.56/~jnz1568/getInfo.php?workbook=14_09.xlsx&amp;sheet=U0&amp;row=3917&amp;col=6&amp;number=4.3&amp;sourceID=14","4.3")</f>
        <v>4.3</v>
      </c>
      <c r="G3917" s="4" t="str">
        <f>HYPERLINK("http://141.218.60.56/~jnz1568/getInfo.php?workbook=14_09.xlsx&amp;sheet=U0&amp;row=3917&amp;col=7&amp;number=0.272&amp;sourceID=14","0.272")</f>
        <v>0.272</v>
      </c>
    </row>
    <row r="3918" spans="1:7">
      <c r="A3918" s="3"/>
      <c r="B3918" s="3"/>
      <c r="C3918" s="3"/>
      <c r="D3918" s="3"/>
      <c r="E3918" s="3">
        <v>15</v>
      </c>
      <c r="F3918" s="4" t="str">
        <f>HYPERLINK("http://141.218.60.56/~jnz1568/getInfo.php?workbook=14_09.xlsx&amp;sheet=U0&amp;row=3918&amp;col=6&amp;number=4.4&amp;sourceID=14","4.4")</f>
        <v>4.4</v>
      </c>
      <c r="G3918" s="4" t="str">
        <f>HYPERLINK("http://141.218.60.56/~jnz1568/getInfo.php?workbook=14_09.xlsx&amp;sheet=U0&amp;row=3918&amp;col=7&amp;number=0.26&amp;sourceID=14","0.26")</f>
        <v>0.26</v>
      </c>
    </row>
    <row r="3919" spans="1:7">
      <c r="A3919" s="3"/>
      <c r="B3919" s="3"/>
      <c r="C3919" s="3"/>
      <c r="D3919" s="3"/>
      <c r="E3919" s="3">
        <v>16</v>
      </c>
      <c r="F3919" s="4" t="str">
        <f>HYPERLINK("http://141.218.60.56/~jnz1568/getInfo.php?workbook=14_09.xlsx&amp;sheet=U0&amp;row=3919&amp;col=6&amp;number=4.5&amp;sourceID=14","4.5")</f>
        <v>4.5</v>
      </c>
      <c r="G3919" s="4" t="str">
        <f>HYPERLINK("http://141.218.60.56/~jnz1568/getInfo.php?workbook=14_09.xlsx&amp;sheet=U0&amp;row=3919&amp;col=7&amp;number=0.246&amp;sourceID=14","0.246")</f>
        <v>0.246</v>
      </c>
    </row>
    <row r="3920" spans="1:7">
      <c r="A3920" s="3"/>
      <c r="B3920" s="3"/>
      <c r="C3920" s="3"/>
      <c r="D3920" s="3"/>
      <c r="E3920" s="3">
        <v>17</v>
      </c>
      <c r="F3920" s="4" t="str">
        <f>HYPERLINK("http://141.218.60.56/~jnz1568/getInfo.php?workbook=14_09.xlsx&amp;sheet=U0&amp;row=3920&amp;col=6&amp;number=4.6&amp;sourceID=14","4.6")</f>
        <v>4.6</v>
      </c>
      <c r="G3920" s="4" t="str">
        <f>HYPERLINK("http://141.218.60.56/~jnz1568/getInfo.php?workbook=14_09.xlsx&amp;sheet=U0&amp;row=3920&amp;col=7&amp;number=0.229&amp;sourceID=14","0.229")</f>
        <v>0.229</v>
      </c>
    </row>
    <row r="3921" spans="1:7">
      <c r="A3921" s="3"/>
      <c r="B3921" s="3"/>
      <c r="C3921" s="3"/>
      <c r="D3921" s="3"/>
      <c r="E3921" s="3">
        <v>18</v>
      </c>
      <c r="F3921" s="4" t="str">
        <f>HYPERLINK("http://141.218.60.56/~jnz1568/getInfo.php?workbook=14_09.xlsx&amp;sheet=U0&amp;row=3921&amp;col=6&amp;number=4.7&amp;sourceID=14","4.7")</f>
        <v>4.7</v>
      </c>
      <c r="G3921" s="4" t="str">
        <f>HYPERLINK("http://141.218.60.56/~jnz1568/getInfo.php?workbook=14_09.xlsx&amp;sheet=U0&amp;row=3921&amp;col=7&amp;number=0.211&amp;sourceID=14","0.211")</f>
        <v>0.211</v>
      </c>
    </row>
    <row r="3922" spans="1:7">
      <c r="A3922" s="3"/>
      <c r="B3922" s="3"/>
      <c r="C3922" s="3"/>
      <c r="D3922" s="3"/>
      <c r="E3922" s="3">
        <v>19</v>
      </c>
      <c r="F3922" s="4" t="str">
        <f>HYPERLINK("http://141.218.60.56/~jnz1568/getInfo.php?workbook=14_09.xlsx&amp;sheet=U0&amp;row=3922&amp;col=6&amp;number=4.8&amp;sourceID=14","4.8")</f>
        <v>4.8</v>
      </c>
      <c r="G3922" s="4" t="str">
        <f>HYPERLINK("http://141.218.60.56/~jnz1568/getInfo.php?workbook=14_09.xlsx&amp;sheet=U0&amp;row=3922&amp;col=7&amp;number=0.191&amp;sourceID=14","0.191")</f>
        <v>0.191</v>
      </c>
    </row>
    <row r="3923" spans="1:7">
      <c r="A3923" s="3"/>
      <c r="B3923" s="3"/>
      <c r="C3923" s="3"/>
      <c r="D3923" s="3"/>
      <c r="E3923" s="3">
        <v>20</v>
      </c>
      <c r="F3923" s="4" t="str">
        <f>HYPERLINK("http://141.218.60.56/~jnz1568/getInfo.php?workbook=14_09.xlsx&amp;sheet=U0&amp;row=3923&amp;col=6&amp;number=4.9&amp;sourceID=14","4.9")</f>
        <v>4.9</v>
      </c>
      <c r="G3923" s="4" t="str">
        <f>HYPERLINK("http://141.218.60.56/~jnz1568/getInfo.php?workbook=14_09.xlsx&amp;sheet=U0&amp;row=3923&amp;col=7&amp;number=0.171&amp;sourceID=14","0.171")</f>
        <v>0.171</v>
      </c>
    </row>
    <row r="3924" spans="1:7">
      <c r="A3924" s="3">
        <v>14</v>
      </c>
      <c r="B3924" s="3">
        <v>9</v>
      </c>
      <c r="C3924" s="3">
        <v>2</v>
      </c>
      <c r="D3924" s="3">
        <v>5</v>
      </c>
      <c r="E3924" s="3">
        <v>1</v>
      </c>
      <c r="F3924" s="4" t="str">
        <f>HYPERLINK("http://141.218.60.56/~jnz1568/getInfo.php?workbook=14_09.xlsx&amp;sheet=U0&amp;row=3924&amp;col=6&amp;number=3&amp;sourceID=14","3")</f>
        <v>3</v>
      </c>
      <c r="G3924" s="4" t="str">
        <f>HYPERLINK("http://141.218.60.56/~jnz1568/getInfo.php?workbook=14_09.xlsx&amp;sheet=U0&amp;row=3924&amp;col=7&amp;number=0.164&amp;sourceID=14","0.164")</f>
        <v>0.164</v>
      </c>
    </row>
    <row r="3925" spans="1:7">
      <c r="A3925" s="3"/>
      <c r="B3925" s="3"/>
      <c r="C3925" s="3"/>
      <c r="D3925" s="3"/>
      <c r="E3925" s="3">
        <v>2</v>
      </c>
      <c r="F3925" s="4" t="str">
        <f>HYPERLINK("http://141.218.60.56/~jnz1568/getInfo.php?workbook=14_09.xlsx&amp;sheet=U0&amp;row=3925&amp;col=6&amp;number=3.1&amp;sourceID=14","3.1")</f>
        <v>3.1</v>
      </c>
      <c r="G3925" s="4" t="str">
        <f>HYPERLINK("http://141.218.60.56/~jnz1568/getInfo.php?workbook=14_09.xlsx&amp;sheet=U0&amp;row=3925&amp;col=7&amp;number=0.164&amp;sourceID=14","0.164")</f>
        <v>0.164</v>
      </c>
    </row>
    <row r="3926" spans="1:7">
      <c r="A3926" s="3"/>
      <c r="B3926" s="3"/>
      <c r="C3926" s="3"/>
      <c r="D3926" s="3"/>
      <c r="E3926" s="3">
        <v>3</v>
      </c>
      <c r="F3926" s="4" t="str">
        <f>HYPERLINK("http://141.218.60.56/~jnz1568/getInfo.php?workbook=14_09.xlsx&amp;sheet=U0&amp;row=3926&amp;col=6&amp;number=3.2&amp;sourceID=14","3.2")</f>
        <v>3.2</v>
      </c>
      <c r="G3926" s="4" t="str">
        <f>HYPERLINK("http://141.218.60.56/~jnz1568/getInfo.php?workbook=14_09.xlsx&amp;sheet=U0&amp;row=3926&amp;col=7&amp;number=0.164&amp;sourceID=14","0.164")</f>
        <v>0.164</v>
      </c>
    </row>
    <row r="3927" spans="1:7">
      <c r="A3927" s="3"/>
      <c r="B3927" s="3"/>
      <c r="C3927" s="3"/>
      <c r="D3927" s="3"/>
      <c r="E3927" s="3">
        <v>4</v>
      </c>
      <c r="F3927" s="4" t="str">
        <f>HYPERLINK("http://141.218.60.56/~jnz1568/getInfo.php?workbook=14_09.xlsx&amp;sheet=U0&amp;row=3927&amp;col=6&amp;number=3.3&amp;sourceID=14","3.3")</f>
        <v>3.3</v>
      </c>
      <c r="G3927" s="4" t="str">
        <f>HYPERLINK("http://141.218.60.56/~jnz1568/getInfo.php?workbook=14_09.xlsx&amp;sheet=U0&amp;row=3927&amp;col=7&amp;number=0.163&amp;sourceID=14","0.163")</f>
        <v>0.163</v>
      </c>
    </row>
    <row r="3928" spans="1:7">
      <c r="A3928" s="3"/>
      <c r="B3928" s="3"/>
      <c r="C3928" s="3"/>
      <c r="D3928" s="3"/>
      <c r="E3928" s="3">
        <v>5</v>
      </c>
      <c r="F3928" s="4" t="str">
        <f>HYPERLINK("http://141.218.60.56/~jnz1568/getInfo.php?workbook=14_09.xlsx&amp;sheet=U0&amp;row=3928&amp;col=6&amp;number=3.4&amp;sourceID=14","3.4")</f>
        <v>3.4</v>
      </c>
      <c r="G3928" s="4" t="str">
        <f>HYPERLINK("http://141.218.60.56/~jnz1568/getInfo.php?workbook=14_09.xlsx&amp;sheet=U0&amp;row=3928&amp;col=7&amp;number=0.163&amp;sourceID=14","0.163")</f>
        <v>0.163</v>
      </c>
    </row>
    <row r="3929" spans="1:7">
      <c r="A3929" s="3"/>
      <c r="B3929" s="3"/>
      <c r="C3929" s="3"/>
      <c r="D3929" s="3"/>
      <c r="E3929" s="3">
        <v>6</v>
      </c>
      <c r="F3929" s="4" t="str">
        <f>HYPERLINK("http://141.218.60.56/~jnz1568/getInfo.php?workbook=14_09.xlsx&amp;sheet=U0&amp;row=3929&amp;col=6&amp;number=3.5&amp;sourceID=14","3.5")</f>
        <v>3.5</v>
      </c>
      <c r="G3929" s="4" t="str">
        <f>HYPERLINK("http://141.218.60.56/~jnz1568/getInfo.php?workbook=14_09.xlsx&amp;sheet=U0&amp;row=3929&amp;col=7&amp;number=0.163&amp;sourceID=14","0.163")</f>
        <v>0.163</v>
      </c>
    </row>
    <row r="3930" spans="1:7">
      <c r="A3930" s="3"/>
      <c r="B3930" s="3"/>
      <c r="C3930" s="3"/>
      <c r="D3930" s="3"/>
      <c r="E3930" s="3">
        <v>7</v>
      </c>
      <c r="F3930" s="4" t="str">
        <f>HYPERLINK("http://141.218.60.56/~jnz1568/getInfo.php?workbook=14_09.xlsx&amp;sheet=U0&amp;row=3930&amp;col=6&amp;number=3.6&amp;sourceID=14","3.6")</f>
        <v>3.6</v>
      </c>
      <c r="G3930" s="4" t="str">
        <f>HYPERLINK("http://141.218.60.56/~jnz1568/getInfo.php?workbook=14_09.xlsx&amp;sheet=U0&amp;row=3930&amp;col=7&amp;number=0.163&amp;sourceID=14","0.163")</f>
        <v>0.163</v>
      </c>
    </row>
    <row r="3931" spans="1:7">
      <c r="A3931" s="3"/>
      <c r="B3931" s="3"/>
      <c r="C3931" s="3"/>
      <c r="D3931" s="3"/>
      <c r="E3931" s="3">
        <v>8</v>
      </c>
      <c r="F3931" s="4" t="str">
        <f>HYPERLINK("http://141.218.60.56/~jnz1568/getInfo.php?workbook=14_09.xlsx&amp;sheet=U0&amp;row=3931&amp;col=6&amp;number=3.7&amp;sourceID=14","3.7")</f>
        <v>3.7</v>
      </c>
      <c r="G3931" s="4" t="str">
        <f>HYPERLINK("http://141.218.60.56/~jnz1568/getInfo.php?workbook=14_09.xlsx&amp;sheet=U0&amp;row=3931&amp;col=7&amp;number=0.163&amp;sourceID=14","0.163")</f>
        <v>0.163</v>
      </c>
    </row>
    <row r="3932" spans="1:7">
      <c r="A3932" s="3"/>
      <c r="B3932" s="3"/>
      <c r="C3932" s="3"/>
      <c r="D3932" s="3"/>
      <c r="E3932" s="3">
        <v>9</v>
      </c>
      <c r="F3932" s="4" t="str">
        <f>HYPERLINK("http://141.218.60.56/~jnz1568/getInfo.php?workbook=14_09.xlsx&amp;sheet=U0&amp;row=3932&amp;col=6&amp;number=3.8&amp;sourceID=14","3.8")</f>
        <v>3.8</v>
      </c>
      <c r="G3932" s="4" t="str">
        <f>HYPERLINK("http://141.218.60.56/~jnz1568/getInfo.php?workbook=14_09.xlsx&amp;sheet=U0&amp;row=3932&amp;col=7&amp;number=0.163&amp;sourceID=14","0.163")</f>
        <v>0.163</v>
      </c>
    </row>
    <row r="3933" spans="1:7">
      <c r="A3933" s="3"/>
      <c r="B3933" s="3"/>
      <c r="C3933" s="3"/>
      <c r="D3933" s="3"/>
      <c r="E3933" s="3">
        <v>10</v>
      </c>
      <c r="F3933" s="4" t="str">
        <f>HYPERLINK("http://141.218.60.56/~jnz1568/getInfo.php?workbook=14_09.xlsx&amp;sheet=U0&amp;row=3933&amp;col=6&amp;number=3.9&amp;sourceID=14","3.9")</f>
        <v>3.9</v>
      </c>
      <c r="G3933" s="4" t="str">
        <f>HYPERLINK("http://141.218.60.56/~jnz1568/getInfo.php?workbook=14_09.xlsx&amp;sheet=U0&amp;row=3933&amp;col=7&amp;number=0.163&amp;sourceID=14","0.163")</f>
        <v>0.163</v>
      </c>
    </row>
    <row r="3934" spans="1:7">
      <c r="A3934" s="3"/>
      <c r="B3934" s="3"/>
      <c r="C3934" s="3"/>
      <c r="D3934" s="3"/>
      <c r="E3934" s="3">
        <v>11</v>
      </c>
      <c r="F3934" s="4" t="str">
        <f>HYPERLINK("http://141.218.60.56/~jnz1568/getInfo.php?workbook=14_09.xlsx&amp;sheet=U0&amp;row=3934&amp;col=6&amp;number=4&amp;sourceID=14","4")</f>
        <v>4</v>
      </c>
      <c r="G3934" s="4" t="str">
        <f>HYPERLINK("http://141.218.60.56/~jnz1568/getInfo.php?workbook=14_09.xlsx&amp;sheet=U0&amp;row=3934&amp;col=7&amp;number=0.162&amp;sourceID=14","0.162")</f>
        <v>0.162</v>
      </c>
    </row>
    <row r="3935" spans="1:7">
      <c r="A3935" s="3"/>
      <c r="B3935" s="3"/>
      <c r="C3935" s="3"/>
      <c r="D3935" s="3"/>
      <c r="E3935" s="3">
        <v>12</v>
      </c>
      <c r="F3935" s="4" t="str">
        <f>HYPERLINK("http://141.218.60.56/~jnz1568/getInfo.php?workbook=14_09.xlsx&amp;sheet=U0&amp;row=3935&amp;col=6&amp;number=4.1&amp;sourceID=14","4.1")</f>
        <v>4.1</v>
      </c>
      <c r="G3935" s="4" t="str">
        <f>HYPERLINK("http://141.218.60.56/~jnz1568/getInfo.php?workbook=14_09.xlsx&amp;sheet=U0&amp;row=3935&amp;col=7&amp;number=0.162&amp;sourceID=14","0.162")</f>
        <v>0.162</v>
      </c>
    </row>
    <row r="3936" spans="1:7">
      <c r="A3936" s="3"/>
      <c r="B3936" s="3"/>
      <c r="C3936" s="3"/>
      <c r="D3936" s="3"/>
      <c r="E3936" s="3">
        <v>13</v>
      </c>
      <c r="F3936" s="4" t="str">
        <f>HYPERLINK("http://141.218.60.56/~jnz1568/getInfo.php?workbook=14_09.xlsx&amp;sheet=U0&amp;row=3936&amp;col=6&amp;number=4.2&amp;sourceID=14","4.2")</f>
        <v>4.2</v>
      </c>
      <c r="G3936" s="4" t="str">
        <f>HYPERLINK("http://141.218.60.56/~jnz1568/getInfo.php?workbook=14_09.xlsx&amp;sheet=U0&amp;row=3936&amp;col=7&amp;number=0.161&amp;sourceID=14","0.161")</f>
        <v>0.161</v>
      </c>
    </row>
    <row r="3937" spans="1:7">
      <c r="A3937" s="3"/>
      <c r="B3937" s="3"/>
      <c r="C3937" s="3"/>
      <c r="D3937" s="3"/>
      <c r="E3937" s="3">
        <v>14</v>
      </c>
      <c r="F3937" s="4" t="str">
        <f>HYPERLINK("http://141.218.60.56/~jnz1568/getInfo.php?workbook=14_09.xlsx&amp;sheet=U0&amp;row=3937&amp;col=6&amp;number=4.3&amp;sourceID=14","4.3")</f>
        <v>4.3</v>
      </c>
      <c r="G3937" s="4" t="str">
        <f>HYPERLINK("http://141.218.60.56/~jnz1568/getInfo.php?workbook=14_09.xlsx&amp;sheet=U0&amp;row=3937&amp;col=7&amp;number=0.16&amp;sourceID=14","0.16")</f>
        <v>0.16</v>
      </c>
    </row>
    <row r="3938" spans="1:7">
      <c r="A3938" s="3"/>
      <c r="B3938" s="3"/>
      <c r="C3938" s="3"/>
      <c r="D3938" s="3"/>
      <c r="E3938" s="3">
        <v>15</v>
      </c>
      <c r="F3938" s="4" t="str">
        <f>HYPERLINK("http://141.218.60.56/~jnz1568/getInfo.php?workbook=14_09.xlsx&amp;sheet=U0&amp;row=3938&amp;col=6&amp;number=4.4&amp;sourceID=14","4.4")</f>
        <v>4.4</v>
      </c>
      <c r="G3938" s="4" t="str">
        <f>HYPERLINK("http://141.218.60.56/~jnz1568/getInfo.php?workbook=14_09.xlsx&amp;sheet=U0&amp;row=3938&amp;col=7&amp;number=0.159&amp;sourceID=14","0.159")</f>
        <v>0.159</v>
      </c>
    </row>
    <row r="3939" spans="1:7">
      <c r="A3939" s="3"/>
      <c r="B3939" s="3"/>
      <c r="C3939" s="3"/>
      <c r="D3939" s="3"/>
      <c r="E3939" s="3">
        <v>16</v>
      </c>
      <c r="F3939" s="4" t="str">
        <f>HYPERLINK("http://141.218.60.56/~jnz1568/getInfo.php?workbook=14_09.xlsx&amp;sheet=U0&amp;row=3939&amp;col=6&amp;number=4.5&amp;sourceID=14","4.5")</f>
        <v>4.5</v>
      </c>
      <c r="G3939" s="4" t="str">
        <f>HYPERLINK("http://141.218.60.56/~jnz1568/getInfo.php?workbook=14_09.xlsx&amp;sheet=U0&amp;row=3939&amp;col=7&amp;number=0.156&amp;sourceID=14","0.156")</f>
        <v>0.156</v>
      </c>
    </row>
    <row r="3940" spans="1:7">
      <c r="A3940" s="3"/>
      <c r="B3940" s="3"/>
      <c r="C3940" s="3"/>
      <c r="D3940" s="3"/>
      <c r="E3940" s="3">
        <v>17</v>
      </c>
      <c r="F3940" s="4" t="str">
        <f>HYPERLINK("http://141.218.60.56/~jnz1568/getInfo.php?workbook=14_09.xlsx&amp;sheet=U0&amp;row=3940&amp;col=6&amp;number=4.6&amp;sourceID=14","4.6")</f>
        <v>4.6</v>
      </c>
      <c r="G3940" s="4" t="str">
        <f>HYPERLINK("http://141.218.60.56/~jnz1568/getInfo.php?workbook=14_09.xlsx&amp;sheet=U0&amp;row=3940&amp;col=7&amp;number=0.152&amp;sourceID=14","0.152")</f>
        <v>0.152</v>
      </c>
    </row>
    <row r="3941" spans="1:7">
      <c r="A3941" s="3"/>
      <c r="B3941" s="3"/>
      <c r="C3941" s="3"/>
      <c r="D3941" s="3"/>
      <c r="E3941" s="3">
        <v>18</v>
      </c>
      <c r="F3941" s="4" t="str">
        <f>HYPERLINK("http://141.218.60.56/~jnz1568/getInfo.php?workbook=14_09.xlsx&amp;sheet=U0&amp;row=3941&amp;col=6&amp;number=4.7&amp;sourceID=14","4.7")</f>
        <v>4.7</v>
      </c>
      <c r="G3941" s="4" t="str">
        <f>HYPERLINK("http://141.218.60.56/~jnz1568/getInfo.php?workbook=14_09.xlsx&amp;sheet=U0&amp;row=3941&amp;col=7&amp;number=0.145&amp;sourceID=14","0.145")</f>
        <v>0.145</v>
      </c>
    </row>
    <row r="3942" spans="1:7">
      <c r="A3942" s="3"/>
      <c r="B3942" s="3"/>
      <c r="C3942" s="3"/>
      <c r="D3942" s="3"/>
      <c r="E3942" s="3">
        <v>19</v>
      </c>
      <c r="F3942" s="4" t="str">
        <f>HYPERLINK("http://141.218.60.56/~jnz1568/getInfo.php?workbook=14_09.xlsx&amp;sheet=U0&amp;row=3942&amp;col=6&amp;number=4.8&amp;sourceID=14","4.8")</f>
        <v>4.8</v>
      </c>
      <c r="G3942" s="4" t="str">
        <f>HYPERLINK("http://141.218.60.56/~jnz1568/getInfo.php?workbook=14_09.xlsx&amp;sheet=U0&amp;row=3942&amp;col=7&amp;number=0.135&amp;sourceID=14","0.135")</f>
        <v>0.135</v>
      </c>
    </row>
    <row r="3943" spans="1:7">
      <c r="A3943" s="3"/>
      <c r="B3943" s="3"/>
      <c r="C3943" s="3"/>
      <c r="D3943" s="3"/>
      <c r="E3943" s="3">
        <v>20</v>
      </c>
      <c r="F3943" s="4" t="str">
        <f>HYPERLINK("http://141.218.60.56/~jnz1568/getInfo.php?workbook=14_09.xlsx&amp;sheet=U0&amp;row=3943&amp;col=6&amp;number=4.9&amp;sourceID=14","4.9")</f>
        <v>4.9</v>
      </c>
      <c r="G3943" s="4" t="str">
        <f>HYPERLINK("http://141.218.60.56/~jnz1568/getInfo.php?workbook=14_09.xlsx&amp;sheet=U0&amp;row=3943&amp;col=7&amp;number=0.123&amp;sourceID=14","0.123")</f>
        <v>0.123</v>
      </c>
    </row>
    <row r="3944" spans="1:7">
      <c r="A3944" s="3">
        <v>14</v>
      </c>
      <c r="B3944" s="3">
        <v>9</v>
      </c>
      <c r="C3944" s="3">
        <v>2</v>
      </c>
      <c r="D3944" s="3">
        <v>6</v>
      </c>
      <c r="E3944" s="3">
        <v>1</v>
      </c>
      <c r="F3944" s="4" t="str">
        <f>HYPERLINK("http://141.218.60.56/~jnz1568/getInfo.php?workbook=14_09.xlsx&amp;sheet=U0&amp;row=3944&amp;col=6&amp;number=3&amp;sourceID=14","3")</f>
        <v>3</v>
      </c>
      <c r="G3944" s="4" t="str">
        <f>HYPERLINK("http://141.218.60.56/~jnz1568/getInfo.php?workbook=14_09.xlsx&amp;sheet=U0&amp;row=3944&amp;col=7&amp;number=0.093&amp;sourceID=14","0.093")</f>
        <v>0.093</v>
      </c>
    </row>
    <row r="3945" spans="1:7">
      <c r="A3945" s="3"/>
      <c r="B3945" s="3"/>
      <c r="C3945" s="3"/>
      <c r="D3945" s="3"/>
      <c r="E3945" s="3">
        <v>2</v>
      </c>
      <c r="F3945" s="4" t="str">
        <f>HYPERLINK("http://141.218.60.56/~jnz1568/getInfo.php?workbook=14_09.xlsx&amp;sheet=U0&amp;row=3945&amp;col=6&amp;number=3.1&amp;sourceID=14","3.1")</f>
        <v>3.1</v>
      </c>
      <c r="G3945" s="4" t="str">
        <f>HYPERLINK("http://141.218.60.56/~jnz1568/getInfo.php?workbook=14_09.xlsx&amp;sheet=U0&amp;row=3945&amp;col=7&amp;number=0.093&amp;sourceID=14","0.093")</f>
        <v>0.093</v>
      </c>
    </row>
    <row r="3946" spans="1:7">
      <c r="A3946" s="3"/>
      <c r="B3946" s="3"/>
      <c r="C3946" s="3"/>
      <c r="D3946" s="3"/>
      <c r="E3946" s="3">
        <v>3</v>
      </c>
      <c r="F3946" s="4" t="str">
        <f>HYPERLINK("http://141.218.60.56/~jnz1568/getInfo.php?workbook=14_09.xlsx&amp;sheet=U0&amp;row=3946&amp;col=6&amp;number=3.2&amp;sourceID=14","3.2")</f>
        <v>3.2</v>
      </c>
      <c r="G3946" s="4" t="str">
        <f>HYPERLINK("http://141.218.60.56/~jnz1568/getInfo.php?workbook=14_09.xlsx&amp;sheet=U0&amp;row=3946&amp;col=7&amp;number=0.0929&amp;sourceID=14","0.0929")</f>
        <v>0.0929</v>
      </c>
    </row>
    <row r="3947" spans="1:7">
      <c r="A3947" s="3"/>
      <c r="B3947" s="3"/>
      <c r="C3947" s="3"/>
      <c r="D3947" s="3"/>
      <c r="E3947" s="3">
        <v>4</v>
      </c>
      <c r="F3947" s="4" t="str">
        <f>HYPERLINK("http://141.218.60.56/~jnz1568/getInfo.php?workbook=14_09.xlsx&amp;sheet=U0&amp;row=3947&amp;col=6&amp;number=3.3&amp;sourceID=14","3.3")</f>
        <v>3.3</v>
      </c>
      <c r="G3947" s="4" t="str">
        <f>HYPERLINK("http://141.218.60.56/~jnz1568/getInfo.php?workbook=14_09.xlsx&amp;sheet=U0&amp;row=3947&amp;col=7&amp;number=0.0928&amp;sourceID=14","0.0928")</f>
        <v>0.0928</v>
      </c>
    </row>
    <row r="3948" spans="1:7">
      <c r="A3948" s="3"/>
      <c r="B3948" s="3"/>
      <c r="C3948" s="3"/>
      <c r="D3948" s="3"/>
      <c r="E3948" s="3">
        <v>5</v>
      </c>
      <c r="F3948" s="4" t="str">
        <f>HYPERLINK("http://141.218.60.56/~jnz1568/getInfo.php?workbook=14_09.xlsx&amp;sheet=U0&amp;row=3948&amp;col=6&amp;number=3.4&amp;sourceID=14","3.4")</f>
        <v>3.4</v>
      </c>
      <c r="G3948" s="4" t="str">
        <f>HYPERLINK("http://141.218.60.56/~jnz1568/getInfo.php?workbook=14_09.xlsx&amp;sheet=U0&amp;row=3948&amp;col=7&amp;number=0.0927&amp;sourceID=14","0.0927")</f>
        <v>0.0927</v>
      </c>
    </row>
    <row r="3949" spans="1:7">
      <c r="A3949" s="3"/>
      <c r="B3949" s="3"/>
      <c r="C3949" s="3"/>
      <c r="D3949" s="3"/>
      <c r="E3949" s="3">
        <v>6</v>
      </c>
      <c r="F3949" s="4" t="str">
        <f>HYPERLINK("http://141.218.60.56/~jnz1568/getInfo.php?workbook=14_09.xlsx&amp;sheet=U0&amp;row=3949&amp;col=6&amp;number=3.5&amp;sourceID=14","3.5")</f>
        <v>3.5</v>
      </c>
      <c r="G3949" s="4" t="str">
        <f>HYPERLINK("http://141.218.60.56/~jnz1568/getInfo.php?workbook=14_09.xlsx&amp;sheet=U0&amp;row=3949&amp;col=7&amp;number=0.0926&amp;sourceID=14","0.0926")</f>
        <v>0.0926</v>
      </c>
    </row>
    <row r="3950" spans="1:7">
      <c r="A3950" s="3"/>
      <c r="B3950" s="3"/>
      <c r="C3950" s="3"/>
      <c r="D3950" s="3"/>
      <c r="E3950" s="3">
        <v>7</v>
      </c>
      <c r="F3950" s="4" t="str">
        <f>HYPERLINK("http://141.218.60.56/~jnz1568/getInfo.php?workbook=14_09.xlsx&amp;sheet=U0&amp;row=3950&amp;col=6&amp;number=3.6&amp;sourceID=14","3.6")</f>
        <v>3.6</v>
      </c>
      <c r="G3950" s="4" t="str">
        <f>HYPERLINK("http://141.218.60.56/~jnz1568/getInfo.php?workbook=14_09.xlsx&amp;sheet=U0&amp;row=3950&amp;col=7&amp;number=0.0924&amp;sourceID=14","0.0924")</f>
        <v>0.0924</v>
      </c>
    </row>
    <row r="3951" spans="1:7">
      <c r="A3951" s="3"/>
      <c r="B3951" s="3"/>
      <c r="C3951" s="3"/>
      <c r="D3951" s="3"/>
      <c r="E3951" s="3">
        <v>8</v>
      </c>
      <c r="F3951" s="4" t="str">
        <f>HYPERLINK("http://141.218.60.56/~jnz1568/getInfo.php?workbook=14_09.xlsx&amp;sheet=U0&amp;row=3951&amp;col=6&amp;number=3.7&amp;sourceID=14","3.7")</f>
        <v>3.7</v>
      </c>
      <c r="G3951" s="4" t="str">
        <f>HYPERLINK("http://141.218.60.56/~jnz1568/getInfo.php?workbook=14_09.xlsx&amp;sheet=U0&amp;row=3951&amp;col=7&amp;number=0.0922&amp;sourceID=14","0.0922")</f>
        <v>0.0922</v>
      </c>
    </row>
    <row r="3952" spans="1:7">
      <c r="A3952" s="3"/>
      <c r="B3952" s="3"/>
      <c r="C3952" s="3"/>
      <c r="D3952" s="3"/>
      <c r="E3952" s="3">
        <v>9</v>
      </c>
      <c r="F3952" s="4" t="str">
        <f>HYPERLINK("http://141.218.60.56/~jnz1568/getInfo.php?workbook=14_09.xlsx&amp;sheet=U0&amp;row=3952&amp;col=6&amp;number=3.8&amp;sourceID=14","3.8")</f>
        <v>3.8</v>
      </c>
      <c r="G3952" s="4" t="str">
        <f>HYPERLINK("http://141.218.60.56/~jnz1568/getInfo.php?workbook=14_09.xlsx&amp;sheet=U0&amp;row=3952&amp;col=7&amp;number=0.092&amp;sourceID=14","0.092")</f>
        <v>0.092</v>
      </c>
    </row>
    <row r="3953" spans="1:7">
      <c r="A3953" s="3"/>
      <c r="B3953" s="3"/>
      <c r="C3953" s="3"/>
      <c r="D3953" s="3"/>
      <c r="E3953" s="3">
        <v>10</v>
      </c>
      <c r="F3953" s="4" t="str">
        <f>HYPERLINK("http://141.218.60.56/~jnz1568/getInfo.php?workbook=14_09.xlsx&amp;sheet=U0&amp;row=3953&amp;col=6&amp;number=3.9&amp;sourceID=14","3.9")</f>
        <v>3.9</v>
      </c>
      <c r="G3953" s="4" t="str">
        <f>HYPERLINK("http://141.218.60.56/~jnz1568/getInfo.php?workbook=14_09.xlsx&amp;sheet=U0&amp;row=3953&amp;col=7&amp;number=0.0917&amp;sourceID=14","0.0917")</f>
        <v>0.0917</v>
      </c>
    </row>
    <row r="3954" spans="1:7">
      <c r="A3954" s="3"/>
      <c r="B3954" s="3"/>
      <c r="C3954" s="3"/>
      <c r="D3954" s="3"/>
      <c r="E3954" s="3">
        <v>11</v>
      </c>
      <c r="F3954" s="4" t="str">
        <f>HYPERLINK("http://141.218.60.56/~jnz1568/getInfo.php?workbook=14_09.xlsx&amp;sheet=U0&amp;row=3954&amp;col=6&amp;number=4&amp;sourceID=14","4")</f>
        <v>4</v>
      </c>
      <c r="G3954" s="4" t="str">
        <f>HYPERLINK("http://141.218.60.56/~jnz1568/getInfo.php?workbook=14_09.xlsx&amp;sheet=U0&amp;row=3954&amp;col=7&amp;number=0.0912&amp;sourceID=14","0.0912")</f>
        <v>0.0912</v>
      </c>
    </row>
    <row r="3955" spans="1:7">
      <c r="A3955" s="3"/>
      <c r="B3955" s="3"/>
      <c r="C3955" s="3"/>
      <c r="D3955" s="3"/>
      <c r="E3955" s="3">
        <v>12</v>
      </c>
      <c r="F3955" s="4" t="str">
        <f>HYPERLINK("http://141.218.60.56/~jnz1568/getInfo.php?workbook=14_09.xlsx&amp;sheet=U0&amp;row=3955&amp;col=6&amp;number=4.1&amp;sourceID=14","4.1")</f>
        <v>4.1</v>
      </c>
      <c r="G3955" s="4" t="str">
        <f>HYPERLINK("http://141.218.60.56/~jnz1568/getInfo.php?workbook=14_09.xlsx&amp;sheet=U0&amp;row=3955&amp;col=7&amp;number=0.0907&amp;sourceID=14","0.0907")</f>
        <v>0.0907</v>
      </c>
    </row>
    <row r="3956" spans="1:7">
      <c r="A3956" s="3"/>
      <c r="B3956" s="3"/>
      <c r="C3956" s="3"/>
      <c r="D3956" s="3"/>
      <c r="E3956" s="3">
        <v>13</v>
      </c>
      <c r="F3956" s="4" t="str">
        <f>HYPERLINK("http://141.218.60.56/~jnz1568/getInfo.php?workbook=14_09.xlsx&amp;sheet=U0&amp;row=3956&amp;col=6&amp;number=4.2&amp;sourceID=14","4.2")</f>
        <v>4.2</v>
      </c>
      <c r="G3956" s="4" t="str">
        <f>HYPERLINK("http://141.218.60.56/~jnz1568/getInfo.php?workbook=14_09.xlsx&amp;sheet=U0&amp;row=3956&amp;col=7&amp;number=0.09&amp;sourceID=14","0.09")</f>
        <v>0.09</v>
      </c>
    </row>
    <row r="3957" spans="1:7">
      <c r="A3957" s="3"/>
      <c r="B3957" s="3"/>
      <c r="C3957" s="3"/>
      <c r="D3957" s="3"/>
      <c r="E3957" s="3">
        <v>14</v>
      </c>
      <c r="F3957" s="4" t="str">
        <f>HYPERLINK("http://141.218.60.56/~jnz1568/getInfo.php?workbook=14_09.xlsx&amp;sheet=U0&amp;row=3957&amp;col=6&amp;number=4.3&amp;sourceID=14","4.3")</f>
        <v>4.3</v>
      </c>
      <c r="G3957" s="4" t="str">
        <f>HYPERLINK("http://141.218.60.56/~jnz1568/getInfo.php?workbook=14_09.xlsx&amp;sheet=U0&amp;row=3957&amp;col=7&amp;number=0.089&amp;sourceID=14","0.089")</f>
        <v>0.089</v>
      </c>
    </row>
    <row r="3958" spans="1:7">
      <c r="A3958" s="3"/>
      <c r="B3958" s="3"/>
      <c r="C3958" s="3"/>
      <c r="D3958" s="3"/>
      <c r="E3958" s="3">
        <v>15</v>
      </c>
      <c r="F3958" s="4" t="str">
        <f>HYPERLINK("http://141.218.60.56/~jnz1568/getInfo.php?workbook=14_09.xlsx&amp;sheet=U0&amp;row=3958&amp;col=6&amp;number=4.4&amp;sourceID=14","4.4")</f>
        <v>4.4</v>
      </c>
      <c r="G3958" s="4" t="str">
        <f>HYPERLINK("http://141.218.60.56/~jnz1568/getInfo.php?workbook=14_09.xlsx&amp;sheet=U0&amp;row=3958&amp;col=7&amp;number=0.0877&amp;sourceID=14","0.0877")</f>
        <v>0.0877</v>
      </c>
    </row>
    <row r="3959" spans="1:7">
      <c r="A3959" s="3"/>
      <c r="B3959" s="3"/>
      <c r="C3959" s="3"/>
      <c r="D3959" s="3"/>
      <c r="E3959" s="3">
        <v>16</v>
      </c>
      <c r="F3959" s="4" t="str">
        <f>HYPERLINK("http://141.218.60.56/~jnz1568/getInfo.php?workbook=14_09.xlsx&amp;sheet=U0&amp;row=3959&amp;col=6&amp;number=4.5&amp;sourceID=14","4.5")</f>
        <v>4.5</v>
      </c>
      <c r="G3959" s="4" t="str">
        <f>HYPERLINK("http://141.218.60.56/~jnz1568/getInfo.php?workbook=14_09.xlsx&amp;sheet=U0&amp;row=3959&amp;col=7&amp;number=0.0858&amp;sourceID=14","0.0858")</f>
        <v>0.0858</v>
      </c>
    </row>
    <row r="3960" spans="1:7">
      <c r="A3960" s="3"/>
      <c r="B3960" s="3"/>
      <c r="C3960" s="3"/>
      <c r="D3960" s="3"/>
      <c r="E3960" s="3">
        <v>17</v>
      </c>
      <c r="F3960" s="4" t="str">
        <f>HYPERLINK("http://141.218.60.56/~jnz1568/getInfo.php?workbook=14_09.xlsx&amp;sheet=U0&amp;row=3960&amp;col=6&amp;number=4.6&amp;sourceID=14","4.6")</f>
        <v>4.6</v>
      </c>
      <c r="G3960" s="4" t="str">
        <f>HYPERLINK("http://141.218.60.56/~jnz1568/getInfo.php?workbook=14_09.xlsx&amp;sheet=U0&amp;row=3960&amp;col=7&amp;number=0.083&amp;sourceID=14","0.083")</f>
        <v>0.083</v>
      </c>
    </row>
    <row r="3961" spans="1:7">
      <c r="A3961" s="3"/>
      <c r="B3961" s="3"/>
      <c r="C3961" s="3"/>
      <c r="D3961" s="3"/>
      <c r="E3961" s="3">
        <v>18</v>
      </c>
      <c r="F3961" s="4" t="str">
        <f>HYPERLINK("http://141.218.60.56/~jnz1568/getInfo.php?workbook=14_09.xlsx&amp;sheet=U0&amp;row=3961&amp;col=6&amp;number=4.7&amp;sourceID=14","4.7")</f>
        <v>4.7</v>
      </c>
      <c r="G3961" s="4" t="str">
        <f>HYPERLINK("http://141.218.60.56/~jnz1568/getInfo.php?workbook=14_09.xlsx&amp;sheet=U0&amp;row=3961&amp;col=7&amp;number=0.079&amp;sourceID=14","0.079")</f>
        <v>0.079</v>
      </c>
    </row>
    <row r="3962" spans="1:7">
      <c r="A3962" s="3"/>
      <c r="B3962" s="3"/>
      <c r="C3962" s="3"/>
      <c r="D3962" s="3"/>
      <c r="E3962" s="3">
        <v>19</v>
      </c>
      <c r="F3962" s="4" t="str">
        <f>HYPERLINK("http://141.218.60.56/~jnz1568/getInfo.php?workbook=14_09.xlsx&amp;sheet=U0&amp;row=3962&amp;col=6&amp;number=4.8&amp;sourceID=14","4.8")</f>
        <v>4.8</v>
      </c>
      <c r="G3962" s="4" t="str">
        <f>HYPERLINK("http://141.218.60.56/~jnz1568/getInfo.php?workbook=14_09.xlsx&amp;sheet=U0&amp;row=3962&amp;col=7&amp;number=0.0734&amp;sourceID=14","0.0734")</f>
        <v>0.0734</v>
      </c>
    </row>
    <row r="3963" spans="1:7">
      <c r="A3963" s="3"/>
      <c r="B3963" s="3"/>
      <c r="C3963" s="3"/>
      <c r="D3963" s="3"/>
      <c r="E3963" s="3">
        <v>20</v>
      </c>
      <c r="F3963" s="4" t="str">
        <f>HYPERLINK("http://141.218.60.56/~jnz1568/getInfo.php?workbook=14_09.xlsx&amp;sheet=U0&amp;row=3963&amp;col=6&amp;number=4.9&amp;sourceID=14","4.9")</f>
        <v>4.9</v>
      </c>
      <c r="G3963" s="4" t="str">
        <f>HYPERLINK("http://141.218.60.56/~jnz1568/getInfo.php?workbook=14_09.xlsx&amp;sheet=U0&amp;row=3963&amp;col=7&amp;number=0.0667&amp;sourceID=14","0.0667")</f>
        <v>0.0667</v>
      </c>
    </row>
    <row r="3964" spans="1:7">
      <c r="A3964" s="3">
        <v>14</v>
      </c>
      <c r="B3964" s="3">
        <v>9</v>
      </c>
      <c r="C3964" s="3">
        <v>2</v>
      </c>
      <c r="D3964" s="3">
        <v>7</v>
      </c>
      <c r="E3964" s="3">
        <v>1</v>
      </c>
      <c r="F3964" s="4" t="str">
        <f>HYPERLINK("http://141.218.60.56/~jnz1568/getInfo.php?workbook=14_09.xlsx&amp;sheet=U0&amp;row=3964&amp;col=6&amp;number=3&amp;sourceID=14","3")</f>
        <v>3</v>
      </c>
      <c r="G3964" s="4" t="str">
        <f>HYPERLINK("http://141.218.60.56/~jnz1568/getInfo.php?workbook=14_09.xlsx&amp;sheet=U0&amp;row=3964&amp;col=7&amp;number=0.434&amp;sourceID=14","0.434")</f>
        <v>0.434</v>
      </c>
    </row>
    <row r="3965" spans="1:7">
      <c r="A3965" s="3"/>
      <c r="B3965" s="3"/>
      <c r="C3965" s="3"/>
      <c r="D3965" s="3"/>
      <c r="E3965" s="3">
        <v>2</v>
      </c>
      <c r="F3965" s="4" t="str">
        <f>HYPERLINK("http://141.218.60.56/~jnz1568/getInfo.php?workbook=14_09.xlsx&amp;sheet=U0&amp;row=3965&amp;col=6&amp;number=3.1&amp;sourceID=14","3.1")</f>
        <v>3.1</v>
      </c>
      <c r="G3965" s="4" t="str">
        <f>HYPERLINK("http://141.218.60.56/~jnz1568/getInfo.php?workbook=14_09.xlsx&amp;sheet=U0&amp;row=3965&amp;col=7&amp;number=0.433&amp;sourceID=14","0.433")</f>
        <v>0.433</v>
      </c>
    </row>
    <row r="3966" spans="1:7">
      <c r="A3966" s="3"/>
      <c r="B3966" s="3"/>
      <c r="C3966" s="3"/>
      <c r="D3966" s="3"/>
      <c r="E3966" s="3">
        <v>3</v>
      </c>
      <c r="F3966" s="4" t="str">
        <f>HYPERLINK("http://141.218.60.56/~jnz1568/getInfo.php?workbook=14_09.xlsx&amp;sheet=U0&amp;row=3966&amp;col=6&amp;number=3.2&amp;sourceID=14","3.2")</f>
        <v>3.2</v>
      </c>
      <c r="G3966" s="4" t="str">
        <f>HYPERLINK("http://141.218.60.56/~jnz1568/getInfo.php?workbook=14_09.xlsx&amp;sheet=U0&amp;row=3966&amp;col=7&amp;number=0.431&amp;sourceID=14","0.431")</f>
        <v>0.431</v>
      </c>
    </row>
    <row r="3967" spans="1:7">
      <c r="A3967" s="3"/>
      <c r="B3967" s="3"/>
      <c r="C3967" s="3"/>
      <c r="D3967" s="3"/>
      <c r="E3967" s="3">
        <v>4</v>
      </c>
      <c r="F3967" s="4" t="str">
        <f>HYPERLINK("http://141.218.60.56/~jnz1568/getInfo.php?workbook=14_09.xlsx&amp;sheet=U0&amp;row=3967&amp;col=6&amp;number=3.3&amp;sourceID=14","3.3")</f>
        <v>3.3</v>
      </c>
      <c r="G3967" s="4" t="str">
        <f>HYPERLINK("http://141.218.60.56/~jnz1568/getInfo.php?workbook=14_09.xlsx&amp;sheet=U0&amp;row=3967&amp;col=7&amp;number=0.43&amp;sourceID=14","0.43")</f>
        <v>0.43</v>
      </c>
    </row>
    <row r="3968" spans="1:7">
      <c r="A3968" s="3"/>
      <c r="B3968" s="3"/>
      <c r="C3968" s="3"/>
      <c r="D3968" s="3"/>
      <c r="E3968" s="3">
        <v>5</v>
      </c>
      <c r="F3968" s="4" t="str">
        <f>HYPERLINK("http://141.218.60.56/~jnz1568/getInfo.php?workbook=14_09.xlsx&amp;sheet=U0&amp;row=3968&amp;col=6&amp;number=3.4&amp;sourceID=14","3.4")</f>
        <v>3.4</v>
      </c>
      <c r="G3968" s="4" t="str">
        <f>HYPERLINK("http://141.218.60.56/~jnz1568/getInfo.php?workbook=14_09.xlsx&amp;sheet=U0&amp;row=3968&amp;col=7&amp;number=0.428&amp;sourceID=14","0.428")</f>
        <v>0.428</v>
      </c>
    </row>
    <row r="3969" spans="1:7">
      <c r="A3969" s="3"/>
      <c r="B3969" s="3"/>
      <c r="C3969" s="3"/>
      <c r="D3969" s="3"/>
      <c r="E3969" s="3">
        <v>6</v>
      </c>
      <c r="F3969" s="4" t="str">
        <f>HYPERLINK("http://141.218.60.56/~jnz1568/getInfo.php?workbook=14_09.xlsx&amp;sheet=U0&amp;row=3969&amp;col=6&amp;number=3.5&amp;sourceID=14","3.5")</f>
        <v>3.5</v>
      </c>
      <c r="G3969" s="4" t="str">
        <f>HYPERLINK("http://141.218.60.56/~jnz1568/getInfo.php?workbook=14_09.xlsx&amp;sheet=U0&amp;row=3969&amp;col=7&amp;number=0.425&amp;sourceID=14","0.425")</f>
        <v>0.425</v>
      </c>
    </row>
    <row r="3970" spans="1:7">
      <c r="A3970" s="3"/>
      <c r="B3970" s="3"/>
      <c r="C3970" s="3"/>
      <c r="D3970" s="3"/>
      <c r="E3970" s="3">
        <v>7</v>
      </c>
      <c r="F3970" s="4" t="str">
        <f>HYPERLINK("http://141.218.60.56/~jnz1568/getInfo.php?workbook=14_09.xlsx&amp;sheet=U0&amp;row=3970&amp;col=6&amp;number=3.6&amp;sourceID=14","3.6")</f>
        <v>3.6</v>
      </c>
      <c r="G3970" s="4" t="str">
        <f>HYPERLINK("http://141.218.60.56/~jnz1568/getInfo.php?workbook=14_09.xlsx&amp;sheet=U0&amp;row=3970&amp;col=7&amp;number=0.422&amp;sourceID=14","0.422")</f>
        <v>0.422</v>
      </c>
    </row>
    <row r="3971" spans="1:7">
      <c r="A3971" s="3"/>
      <c r="B3971" s="3"/>
      <c r="C3971" s="3"/>
      <c r="D3971" s="3"/>
      <c r="E3971" s="3">
        <v>8</v>
      </c>
      <c r="F3971" s="4" t="str">
        <f>HYPERLINK("http://141.218.60.56/~jnz1568/getInfo.php?workbook=14_09.xlsx&amp;sheet=U0&amp;row=3971&amp;col=6&amp;number=3.7&amp;sourceID=14","3.7")</f>
        <v>3.7</v>
      </c>
      <c r="G3971" s="4" t="str">
        <f>HYPERLINK("http://141.218.60.56/~jnz1568/getInfo.php?workbook=14_09.xlsx&amp;sheet=U0&amp;row=3971&amp;col=7&amp;number=0.418&amp;sourceID=14","0.418")</f>
        <v>0.418</v>
      </c>
    </row>
    <row r="3972" spans="1:7">
      <c r="A3972" s="3"/>
      <c r="B3972" s="3"/>
      <c r="C3972" s="3"/>
      <c r="D3972" s="3"/>
      <c r="E3972" s="3">
        <v>9</v>
      </c>
      <c r="F3972" s="4" t="str">
        <f>HYPERLINK("http://141.218.60.56/~jnz1568/getInfo.php?workbook=14_09.xlsx&amp;sheet=U0&amp;row=3972&amp;col=6&amp;number=3.8&amp;sourceID=14","3.8")</f>
        <v>3.8</v>
      </c>
      <c r="G3972" s="4" t="str">
        <f>HYPERLINK("http://141.218.60.56/~jnz1568/getInfo.php?workbook=14_09.xlsx&amp;sheet=U0&amp;row=3972&amp;col=7&amp;number=0.413&amp;sourceID=14","0.413")</f>
        <v>0.413</v>
      </c>
    </row>
    <row r="3973" spans="1:7">
      <c r="A3973" s="3"/>
      <c r="B3973" s="3"/>
      <c r="C3973" s="3"/>
      <c r="D3973" s="3"/>
      <c r="E3973" s="3">
        <v>10</v>
      </c>
      <c r="F3973" s="4" t="str">
        <f>HYPERLINK("http://141.218.60.56/~jnz1568/getInfo.php?workbook=14_09.xlsx&amp;sheet=U0&amp;row=3973&amp;col=6&amp;number=3.9&amp;sourceID=14","3.9")</f>
        <v>3.9</v>
      </c>
      <c r="G3973" s="4" t="str">
        <f>HYPERLINK("http://141.218.60.56/~jnz1568/getInfo.php?workbook=14_09.xlsx&amp;sheet=U0&amp;row=3973&amp;col=7&amp;number=0.406&amp;sourceID=14","0.406")</f>
        <v>0.406</v>
      </c>
    </row>
    <row r="3974" spans="1:7">
      <c r="A3974" s="3"/>
      <c r="B3974" s="3"/>
      <c r="C3974" s="3"/>
      <c r="D3974" s="3"/>
      <c r="E3974" s="3">
        <v>11</v>
      </c>
      <c r="F3974" s="4" t="str">
        <f>HYPERLINK("http://141.218.60.56/~jnz1568/getInfo.php?workbook=14_09.xlsx&amp;sheet=U0&amp;row=3974&amp;col=6&amp;number=4&amp;sourceID=14","4")</f>
        <v>4</v>
      </c>
      <c r="G3974" s="4" t="str">
        <f>HYPERLINK("http://141.218.60.56/~jnz1568/getInfo.php?workbook=14_09.xlsx&amp;sheet=U0&amp;row=3974&amp;col=7&amp;number=0.398&amp;sourceID=14","0.398")</f>
        <v>0.398</v>
      </c>
    </row>
    <row r="3975" spans="1:7">
      <c r="A3975" s="3"/>
      <c r="B3975" s="3"/>
      <c r="C3975" s="3"/>
      <c r="D3975" s="3"/>
      <c r="E3975" s="3">
        <v>12</v>
      </c>
      <c r="F3975" s="4" t="str">
        <f>HYPERLINK("http://141.218.60.56/~jnz1568/getInfo.php?workbook=14_09.xlsx&amp;sheet=U0&amp;row=3975&amp;col=6&amp;number=4.1&amp;sourceID=14","4.1")</f>
        <v>4.1</v>
      </c>
      <c r="G3975" s="4" t="str">
        <f>HYPERLINK("http://141.218.60.56/~jnz1568/getInfo.php?workbook=14_09.xlsx&amp;sheet=U0&amp;row=3975&amp;col=7&amp;number=0.389&amp;sourceID=14","0.389")</f>
        <v>0.389</v>
      </c>
    </row>
    <row r="3976" spans="1:7">
      <c r="A3976" s="3"/>
      <c r="B3976" s="3"/>
      <c r="C3976" s="3"/>
      <c r="D3976" s="3"/>
      <c r="E3976" s="3">
        <v>13</v>
      </c>
      <c r="F3976" s="4" t="str">
        <f>HYPERLINK("http://141.218.60.56/~jnz1568/getInfo.php?workbook=14_09.xlsx&amp;sheet=U0&amp;row=3976&amp;col=6&amp;number=4.2&amp;sourceID=14","4.2")</f>
        <v>4.2</v>
      </c>
      <c r="G3976" s="4" t="str">
        <f>HYPERLINK("http://141.218.60.56/~jnz1568/getInfo.php?workbook=14_09.xlsx&amp;sheet=U0&amp;row=3976&amp;col=7&amp;number=0.377&amp;sourceID=14","0.377")</f>
        <v>0.377</v>
      </c>
    </row>
    <row r="3977" spans="1:7">
      <c r="A3977" s="3"/>
      <c r="B3977" s="3"/>
      <c r="C3977" s="3"/>
      <c r="D3977" s="3"/>
      <c r="E3977" s="3">
        <v>14</v>
      </c>
      <c r="F3977" s="4" t="str">
        <f>HYPERLINK("http://141.218.60.56/~jnz1568/getInfo.php?workbook=14_09.xlsx&amp;sheet=U0&amp;row=3977&amp;col=6&amp;number=4.3&amp;sourceID=14","4.3")</f>
        <v>4.3</v>
      </c>
      <c r="G3977" s="4" t="str">
        <f>HYPERLINK("http://141.218.60.56/~jnz1568/getInfo.php?workbook=14_09.xlsx&amp;sheet=U0&amp;row=3977&amp;col=7&amp;number=0.362&amp;sourceID=14","0.362")</f>
        <v>0.362</v>
      </c>
    </row>
    <row r="3978" spans="1:7">
      <c r="A3978" s="3"/>
      <c r="B3978" s="3"/>
      <c r="C3978" s="3"/>
      <c r="D3978" s="3"/>
      <c r="E3978" s="3">
        <v>15</v>
      </c>
      <c r="F3978" s="4" t="str">
        <f>HYPERLINK("http://141.218.60.56/~jnz1568/getInfo.php?workbook=14_09.xlsx&amp;sheet=U0&amp;row=3978&amp;col=6&amp;number=4.4&amp;sourceID=14","4.4")</f>
        <v>4.4</v>
      </c>
      <c r="G3978" s="4" t="str">
        <f>HYPERLINK("http://141.218.60.56/~jnz1568/getInfo.php?workbook=14_09.xlsx&amp;sheet=U0&amp;row=3978&amp;col=7&amp;number=0.344&amp;sourceID=14","0.344")</f>
        <v>0.344</v>
      </c>
    </row>
    <row r="3979" spans="1:7">
      <c r="A3979" s="3"/>
      <c r="B3979" s="3"/>
      <c r="C3979" s="3"/>
      <c r="D3979" s="3"/>
      <c r="E3979" s="3">
        <v>16</v>
      </c>
      <c r="F3979" s="4" t="str">
        <f>HYPERLINK("http://141.218.60.56/~jnz1568/getInfo.php?workbook=14_09.xlsx&amp;sheet=U0&amp;row=3979&amp;col=6&amp;number=4.5&amp;sourceID=14","4.5")</f>
        <v>4.5</v>
      </c>
      <c r="G3979" s="4" t="str">
        <f>HYPERLINK("http://141.218.60.56/~jnz1568/getInfo.php?workbook=14_09.xlsx&amp;sheet=U0&amp;row=3979&amp;col=7&amp;number=0.322&amp;sourceID=14","0.322")</f>
        <v>0.322</v>
      </c>
    </row>
    <row r="3980" spans="1:7">
      <c r="A3980" s="3"/>
      <c r="B3980" s="3"/>
      <c r="C3980" s="3"/>
      <c r="D3980" s="3"/>
      <c r="E3980" s="3">
        <v>17</v>
      </c>
      <c r="F3980" s="4" t="str">
        <f>HYPERLINK("http://141.218.60.56/~jnz1568/getInfo.php?workbook=14_09.xlsx&amp;sheet=U0&amp;row=3980&amp;col=6&amp;number=4.6&amp;sourceID=14","4.6")</f>
        <v>4.6</v>
      </c>
      <c r="G3980" s="4" t="str">
        <f>HYPERLINK("http://141.218.60.56/~jnz1568/getInfo.php?workbook=14_09.xlsx&amp;sheet=U0&amp;row=3980&amp;col=7&amp;number=0.297&amp;sourceID=14","0.297")</f>
        <v>0.297</v>
      </c>
    </row>
    <row r="3981" spans="1:7">
      <c r="A3981" s="3"/>
      <c r="B3981" s="3"/>
      <c r="C3981" s="3"/>
      <c r="D3981" s="3"/>
      <c r="E3981" s="3">
        <v>18</v>
      </c>
      <c r="F3981" s="4" t="str">
        <f>HYPERLINK("http://141.218.60.56/~jnz1568/getInfo.php?workbook=14_09.xlsx&amp;sheet=U0&amp;row=3981&amp;col=6&amp;number=4.7&amp;sourceID=14","4.7")</f>
        <v>4.7</v>
      </c>
      <c r="G3981" s="4" t="str">
        <f>HYPERLINK("http://141.218.60.56/~jnz1568/getInfo.php?workbook=14_09.xlsx&amp;sheet=U0&amp;row=3981&amp;col=7&amp;number=0.269&amp;sourceID=14","0.269")</f>
        <v>0.269</v>
      </c>
    </row>
    <row r="3982" spans="1:7">
      <c r="A3982" s="3"/>
      <c r="B3982" s="3"/>
      <c r="C3982" s="3"/>
      <c r="D3982" s="3"/>
      <c r="E3982" s="3">
        <v>19</v>
      </c>
      <c r="F3982" s="4" t="str">
        <f>HYPERLINK("http://141.218.60.56/~jnz1568/getInfo.php?workbook=14_09.xlsx&amp;sheet=U0&amp;row=3982&amp;col=6&amp;number=4.8&amp;sourceID=14","4.8")</f>
        <v>4.8</v>
      </c>
      <c r="G3982" s="4" t="str">
        <f>HYPERLINK("http://141.218.60.56/~jnz1568/getInfo.php?workbook=14_09.xlsx&amp;sheet=U0&amp;row=3982&amp;col=7&amp;number=0.239&amp;sourceID=14","0.239")</f>
        <v>0.239</v>
      </c>
    </row>
    <row r="3983" spans="1:7">
      <c r="A3983" s="3"/>
      <c r="B3983" s="3"/>
      <c r="C3983" s="3"/>
      <c r="D3983" s="3"/>
      <c r="E3983" s="3">
        <v>20</v>
      </c>
      <c r="F3983" s="4" t="str">
        <f>HYPERLINK("http://141.218.60.56/~jnz1568/getInfo.php?workbook=14_09.xlsx&amp;sheet=U0&amp;row=3983&amp;col=6&amp;number=4.9&amp;sourceID=14","4.9")</f>
        <v>4.9</v>
      </c>
      <c r="G3983" s="4" t="str">
        <f>HYPERLINK("http://141.218.60.56/~jnz1568/getInfo.php?workbook=14_09.xlsx&amp;sheet=U0&amp;row=3983&amp;col=7&amp;number=0.21&amp;sourceID=14","0.21")</f>
        <v>0.21</v>
      </c>
    </row>
    <row r="3984" spans="1:7">
      <c r="A3984" s="3">
        <v>14</v>
      </c>
      <c r="B3984" s="3">
        <v>9</v>
      </c>
      <c r="C3984" s="3">
        <v>2</v>
      </c>
      <c r="D3984" s="3">
        <v>8</v>
      </c>
      <c r="E3984" s="3">
        <v>1</v>
      </c>
      <c r="F3984" s="4" t="str">
        <f>HYPERLINK("http://141.218.60.56/~jnz1568/getInfo.php?workbook=14_09.xlsx&amp;sheet=U0&amp;row=3984&amp;col=6&amp;number=3&amp;sourceID=14","3")</f>
        <v>3</v>
      </c>
      <c r="G3984" s="4" t="str">
        <f>HYPERLINK("http://141.218.60.56/~jnz1568/getInfo.php?workbook=14_09.xlsx&amp;sheet=U0&amp;row=3984&amp;col=7&amp;number=0.257&amp;sourceID=14","0.257")</f>
        <v>0.257</v>
      </c>
    </row>
    <row r="3985" spans="1:7">
      <c r="A3985" s="3"/>
      <c r="B3985" s="3"/>
      <c r="C3985" s="3"/>
      <c r="D3985" s="3"/>
      <c r="E3985" s="3">
        <v>2</v>
      </c>
      <c r="F3985" s="4" t="str">
        <f>HYPERLINK("http://141.218.60.56/~jnz1568/getInfo.php?workbook=14_09.xlsx&amp;sheet=U0&amp;row=3985&amp;col=6&amp;number=3.1&amp;sourceID=14","3.1")</f>
        <v>3.1</v>
      </c>
      <c r="G3985" s="4" t="str">
        <f>HYPERLINK("http://141.218.60.56/~jnz1568/getInfo.php?workbook=14_09.xlsx&amp;sheet=U0&amp;row=3985&amp;col=7&amp;number=0.256&amp;sourceID=14","0.256")</f>
        <v>0.256</v>
      </c>
    </row>
    <row r="3986" spans="1:7">
      <c r="A3986" s="3"/>
      <c r="B3986" s="3"/>
      <c r="C3986" s="3"/>
      <c r="D3986" s="3"/>
      <c r="E3986" s="3">
        <v>3</v>
      </c>
      <c r="F3986" s="4" t="str">
        <f>HYPERLINK("http://141.218.60.56/~jnz1568/getInfo.php?workbook=14_09.xlsx&amp;sheet=U0&amp;row=3986&amp;col=6&amp;number=3.2&amp;sourceID=14","3.2")</f>
        <v>3.2</v>
      </c>
      <c r="G3986" s="4" t="str">
        <f>HYPERLINK("http://141.218.60.56/~jnz1568/getInfo.php?workbook=14_09.xlsx&amp;sheet=U0&amp;row=3986&amp;col=7&amp;number=0.256&amp;sourceID=14","0.256")</f>
        <v>0.256</v>
      </c>
    </row>
    <row r="3987" spans="1:7">
      <c r="A3987" s="3"/>
      <c r="B3987" s="3"/>
      <c r="C3987" s="3"/>
      <c r="D3987" s="3"/>
      <c r="E3987" s="3">
        <v>4</v>
      </c>
      <c r="F3987" s="4" t="str">
        <f>HYPERLINK("http://141.218.60.56/~jnz1568/getInfo.php?workbook=14_09.xlsx&amp;sheet=U0&amp;row=3987&amp;col=6&amp;number=3.3&amp;sourceID=14","3.3")</f>
        <v>3.3</v>
      </c>
      <c r="G3987" s="4" t="str">
        <f>HYPERLINK("http://141.218.60.56/~jnz1568/getInfo.php?workbook=14_09.xlsx&amp;sheet=U0&amp;row=3987&amp;col=7&amp;number=0.255&amp;sourceID=14","0.255")</f>
        <v>0.255</v>
      </c>
    </row>
    <row r="3988" spans="1:7">
      <c r="A3988" s="3"/>
      <c r="B3988" s="3"/>
      <c r="C3988" s="3"/>
      <c r="D3988" s="3"/>
      <c r="E3988" s="3">
        <v>5</v>
      </c>
      <c r="F3988" s="4" t="str">
        <f>HYPERLINK("http://141.218.60.56/~jnz1568/getInfo.php?workbook=14_09.xlsx&amp;sheet=U0&amp;row=3988&amp;col=6&amp;number=3.4&amp;sourceID=14","3.4")</f>
        <v>3.4</v>
      </c>
      <c r="G3988" s="4" t="str">
        <f>HYPERLINK("http://141.218.60.56/~jnz1568/getInfo.php?workbook=14_09.xlsx&amp;sheet=U0&amp;row=3988&amp;col=7&amp;number=0.254&amp;sourceID=14","0.254")</f>
        <v>0.254</v>
      </c>
    </row>
    <row r="3989" spans="1:7">
      <c r="A3989" s="3"/>
      <c r="B3989" s="3"/>
      <c r="C3989" s="3"/>
      <c r="D3989" s="3"/>
      <c r="E3989" s="3">
        <v>6</v>
      </c>
      <c r="F3989" s="4" t="str">
        <f>HYPERLINK("http://141.218.60.56/~jnz1568/getInfo.php?workbook=14_09.xlsx&amp;sheet=U0&amp;row=3989&amp;col=6&amp;number=3.5&amp;sourceID=14","3.5")</f>
        <v>3.5</v>
      </c>
      <c r="G3989" s="4" t="str">
        <f>HYPERLINK("http://141.218.60.56/~jnz1568/getInfo.php?workbook=14_09.xlsx&amp;sheet=U0&amp;row=3989&amp;col=7&amp;number=0.252&amp;sourceID=14","0.252")</f>
        <v>0.252</v>
      </c>
    </row>
    <row r="3990" spans="1:7">
      <c r="A3990" s="3"/>
      <c r="B3990" s="3"/>
      <c r="C3990" s="3"/>
      <c r="D3990" s="3"/>
      <c r="E3990" s="3">
        <v>7</v>
      </c>
      <c r="F3990" s="4" t="str">
        <f>HYPERLINK("http://141.218.60.56/~jnz1568/getInfo.php?workbook=14_09.xlsx&amp;sheet=U0&amp;row=3990&amp;col=6&amp;number=3.6&amp;sourceID=14","3.6")</f>
        <v>3.6</v>
      </c>
      <c r="G3990" s="4" t="str">
        <f>HYPERLINK("http://141.218.60.56/~jnz1568/getInfo.php?workbook=14_09.xlsx&amp;sheet=U0&amp;row=3990&amp;col=7&amp;number=0.25&amp;sourceID=14","0.25")</f>
        <v>0.25</v>
      </c>
    </row>
    <row r="3991" spans="1:7">
      <c r="A3991" s="3"/>
      <c r="B3991" s="3"/>
      <c r="C3991" s="3"/>
      <c r="D3991" s="3"/>
      <c r="E3991" s="3">
        <v>8</v>
      </c>
      <c r="F3991" s="4" t="str">
        <f>HYPERLINK("http://141.218.60.56/~jnz1568/getInfo.php?workbook=14_09.xlsx&amp;sheet=U0&amp;row=3991&amp;col=6&amp;number=3.7&amp;sourceID=14","3.7")</f>
        <v>3.7</v>
      </c>
      <c r="G3991" s="4" t="str">
        <f>HYPERLINK("http://141.218.60.56/~jnz1568/getInfo.php?workbook=14_09.xlsx&amp;sheet=U0&amp;row=3991&amp;col=7&amp;number=0.248&amp;sourceID=14","0.248")</f>
        <v>0.248</v>
      </c>
    </row>
    <row r="3992" spans="1:7">
      <c r="A3992" s="3"/>
      <c r="B3992" s="3"/>
      <c r="C3992" s="3"/>
      <c r="D3992" s="3"/>
      <c r="E3992" s="3">
        <v>9</v>
      </c>
      <c r="F3992" s="4" t="str">
        <f>HYPERLINK("http://141.218.60.56/~jnz1568/getInfo.php?workbook=14_09.xlsx&amp;sheet=U0&amp;row=3992&amp;col=6&amp;number=3.8&amp;sourceID=14","3.8")</f>
        <v>3.8</v>
      </c>
      <c r="G3992" s="4" t="str">
        <f>HYPERLINK("http://141.218.60.56/~jnz1568/getInfo.php?workbook=14_09.xlsx&amp;sheet=U0&amp;row=3992&amp;col=7&amp;number=0.246&amp;sourceID=14","0.246")</f>
        <v>0.246</v>
      </c>
    </row>
    <row r="3993" spans="1:7">
      <c r="A3993" s="3"/>
      <c r="B3993" s="3"/>
      <c r="C3993" s="3"/>
      <c r="D3993" s="3"/>
      <c r="E3993" s="3">
        <v>10</v>
      </c>
      <c r="F3993" s="4" t="str">
        <f>HYPERLINK("http://141.218.60.56/~jnz1568/getInfo.php?workbook=14_09.xlsx&amp;sheet=U0&amp;row=3993&amp;col=6&amp;number=3.9&amp;sourceID=14","3.9")</f>
        <v>3.9</v>
      </c>
      <c r="G3993" s="4" t="str">
        <f>HYPERLINK("http://141.218.60.56/~jnz1568/getInfo.php?workbook=14_09.xlsx&amp;sheet=U0&amp;row=3993&amp;col=7&amp;number=0.242&amp;sourceID=14","0.242")</f>
        <v>0.242</v>
      </c>
    </row>
    <row r="3994" spans="1:7">
      <c r="A3994" s="3"/>
      <c r="B3994" s="3"/>
      <c r="C3994" s="3"/>
      <c r="D3994" s="3"/>
      <c r="E3994" s="3">
        <v>11</v>
      </c>
      <c r="F3994" s="4" t="str">
        <f>HYPERLINK("http://141.218.60.56/~jnz1568/getInfo.php?workbook=14_09.xlsx&amp;sheet=U0&amp;row=3994&amp;col=6&amp;number=4&amp;sourceID=14","4")</f>
        <v>4</v>
      </c>
      <c r="G3994" s="4" t="str">
        <f>HYPERLINK("http://141.218.60.56/~jnz1568/getInfo.php?workbook=14_09.xlsx&amp;sheet=U0&amp;row=3994&amp;col=7&amp;number=0.238&amp;sourceID=14","0.238")</f>
        <v>0.238</v>
      </c>
    </row>
    <row r="3995" spans="1:7">
      <c r="A3995" s="3"/>
      <c r="B3995" s="3"/>
      <c r="C3995" s="3"/>
      <c r="D3995" s="3"/>
      <c r="E3995" s="3">
        <v>12</v>
      </c>
      <c r="F3995" s="4" t="str">
        <f>HYPERLINK("http://141.218.60.56/~jnz1568/getInfo.php?workbook=14_09.xlsx&amp;sheet=U0&amp;row=3995&amp;col=6&amp;number=4.1&amp;sourceID=14","4.1")</f>
        <v>4.1</v>
      </c>
      <c r="G3995" s="4" t="str">
        <f>HYPERLINK("http://141.218.60.56/~jnz1568/getInfo.php?workbook=14_09.xlsx&amp;sheet=U0&amp;row=3995&amp;col=7&amp;number=0.233&amp;sourceID=14","0.233")</f>
        <v>0.233</v>
      </c>
    </row>
    <row r="3996" spans="1:7">
      <c r="A3996" s="3"/>
      <c r="B3996" s="3"/>
      <c r="C3996" s="3"/>
      <c r="D3996" s="3"/>
      <c r="E3996" s="3">
        <v>13</v>
      </c>
      <c r="F3996" s="4" t="str">
        <f>HYPERLINK("http://141.218.60.56/~jnz1568/getInfo.php?workbook=14_09.xlsx&amp;sheet=U0&amp;row=3996&amp;col=6&amp;number=4.2&amp;sourceID=14","4.2")</f>
        <v>4.2</v>
      </c>
      <c r="G3996" s="4" t="str">
        <f>HYPERLINK("http://141.218.60.56/~jnz1568/getInfo.php?workbook=14_09.xlsx&amp;sheet=U0&amp;row=3996&amp;col=7&amp;number=0.226&amp;sourceID=14","0.226")</f>
        <v>0.226</v>
      </c>
    </row>
    <row r="3997" spans="1:7">
      <c r="A3997" s="3"/>
      <c r="B3997" s="3"/>
      <c r="C3997" s="3"/>
      <c r="D3997" s="3"/>
      <c r="E3997" s="3">
        <v>14</v>
      </c>
      <c r="F3997" s="4" t="str">
        <f>HYPERLINK("http://141.218.60.56/~jnz1568/getInfo.php?workbook=14_09.xlsx&amp;sheet=U0&amp;row=3997&amp;col=6&amp;number=4.3&amp;sourceID=14","4.3")</f>
        <v>4.3</v>
      </c>
      <c r="G3997" s="4" t="str">
        <f>HYPERLINK("http://141.218.60.56/~jnz1568/getInfo.php?workbook=14_09.xlsx&amp;sheet=U0&amp;row=3997&amp;col=7&amp;number=0.218&amp;sourceID=14","0.218")</f>
        <v>0.218</v>
      </c>
    </row>
    <row r="3998" spans="1:7">
      <c r="A3998" s="3"/>
      <c r="B3998" s="3"/>
      <c r="C3998" s="3"/>
      <c r="D3998" s="3"/>
      <c r="E3998" s="3">
        <v>15</v>
      </c>
      <c r="F3998" s="4" t="str">
        <f>HYPERLINK("http://141.218.60.56/~jnz1568/getInfo.php?workbook=14_09.xlsx&amp;sheet=U0&amp;row=3998&amp;col=6&amp;number=4.4&amp;sourceID=14","4.4")</f>
        <v>4.4</v>
      </c>
      <c r="G3998" s="4" t="str">
        <f>HYPERLINK("http://141.218.60.56/~jnz1568/getInfo.php?workbook=14_09.xlsx&amp;sheet=U0&amp;row=3998&amp;col=7&amp;number=0.209&amp;sourceID=14","0.209")</f>
        <v>0.209</v>
      </c>
    </row>
    <row r="3999" spans="1:7">
      <c r="A3999" s="3"/>
      <c r="B3999" s="3"/>
      <c r="C3999" s="3"/>
      <c r="D3999" s="3"/>
      <c r="E3999" s="3">
        <v>16</v>
      </c>
      <c r="F3999" s="4" t="str">
        <f>HYPERLINK("http://141.218.60.56/~jnz1568/getInfo.php?workbook=14_09.xlsx&amp;sheet=U0&amp;row=3999&amp;col=6&amp;number=4.5&amp;sourceID=14","4.5")</f>
        <v>4.5</v>
      </c>
      <c r="G3999" s="4" t="str">
        <f>HYPERLINK("http://141.218.60.56/~jnz1568/getInfo.php?workbook=14_09.xlsx&amp;sheet=U0&amp;row=3999&amp;col=7&amp;number=0.197&amp;sourceID=14","0.197")</f>
        <v>0.197</v>
      </c>
    </row>
    <row r="4000" spans="1:7">
      <c r="A4000" s="3"/>
      <c r="B4000" s="3"/>
      <c r="C4000" s="3"/>
      <c r="D4000" s="3"/>
      <c r="E4000" s="3">
        <v>17</v>
      </c>
      <c r="F4000" s="4" t="str">
        <f>HYPERLINK("http://141.218.60.56/~jnz1568/getInfo.php?workbook=14_09.xlsx&amp;sheet=U0&amp;row=4000&amp;col=6&amp;number=4.6&amp;sourceID=14","4.6")</f>
        <v>4.6</v>
      </c>
      <c r="G4000" s="4" t="str">
        <f>HYPERLINK("http://141.218.60.56/~jnz1568/getInfo.php?workbook=14_09.xlsx&amp;sheet=U0&amp;row=4000&amp;col=7&amp;number=0.183&amp;sourceID=14","0.183")</f>
        <v>0.183</v>
      </c>
    </row>
    <row r="4001" spans="1:7">
      <c r="A4001" s="3"/>
      <c r="B4001" s="3"/>
      <c r="C4001" s="3"/>
      <c r="D4001" s="3"/>
      <c r="E4001" s="3">
        <v>18</v>
      </c>
      <c r="F4001" s="4" t="str">
        <f>HYPERLINK("http://141.218.60.56/~jnz1568/getInfo.php?workbook=14_09.xlsx&amp;sheet=U0&amp;row=4001&amp;col=6&amp;number=4.7&amp;sourceID=14","4.7")</f>
        <v>4.7</v>
      </c>
      <c r="G4001" s="4" t="str">
        <f>HYPERLINK("http://141.218.60.56/~jnz1568/getInfo.php?workbook=14_09.xlsx&amp;sheet=U0&amp;row=4001&amp;col=7&amp;number=0.168&amp;sourceID=14","0.168")</f>
        <v>0.168</v>
      </c>
    </row>
    <row r="4002" spans="1:7">
      <c r="A4002" s="3"/>
      <c r="B4002" s="3"/>
      <c r="C4002" s="3"/>
      <c r="D4002" s="3"/>
      <c r="E4002" s="3">
        <v>19</v>
      </c>
      <c r="F4002" s="4" t="str">
        <f>HYPERLINK("http://141.218.60.56/~jnz1568/getInfo.php?workbook=14_09.xlsx&amp;sheet=U0&amp;row=4002&amp;col=6&amp;number=4.8&amp;sourceID=14","4.8")</f>
        <v>4.8</v>
      </c>
      <c r="G4002" s="4" t="str">
        <f>HYPERLINK("http://141.218.60.56/~jnz1568/getInfo.php?workbook=14_09.xlsx&amp;sheet=U0&amp;row=4002&amp;col=7&amp;number=0.151&amp;sourceID=14","0.151")</f>
        <v>0.151</v>
      </c>
    </row>
    <row r="4003" spans="1:7">
      <c r="A4003" s="3"/>
      <c r="B4003" s="3"/>
      <c r="C4003" s="3"/>
      <c r="D4003" s="3"/>
      <c r="E4003" s="3">
        <v>20</v>
      </c>
      <c r="F4003" s="4" t="str">
        <f>HYPERLINK("http://141.218.60.56/~jnz1568/getInfo.php?workbook=14_09.xlsx&amp;sheet=U0&amp;row=4003&amp;col=6&amp;number=4.9&amp;sourceID=14","4.9")</f>
        <v>4.9</v>
      </c>
      <c r="G4003" s="4" t="str">
        <f>HYPERLINK("http://141.218.60.56/~jnz1568/getInfo.php?workbook=14_09.xlsx&amp;sheet=U0&amp;row=4003&amp;col=7&amp;number=0.135&amp;sourceID=14","0.135")</f>
        <v>0.135</v>
      </c>
    </row>
    <row r="4004" spans="1:7">
      <c r="A4004" s="3">
        <v>14</v>
      </c>
      <c r="B4004" s="3">
        <v>9</v>
      </c>
      <c r="C4004" s="3">
        <v>2</v>
      </c>
      <c r="D4004" s="3">
        <v>9</v>
      </c>
      <c r="E4004" s="3">
        <v>1</v>
      </c>
      <c r="F4004" s="4" t="str">
        <f>HYPERLINK("http://141.218.60.56/~jnz1568/getInfo.php?workbook=14_09.xlsx&amp;sheet=U0&amp;row=4004&amp;col=6&amp;number=3&amp;sourceID=14","3")</f>
        <v>3</v>
      </c>
      <c r="G4004" s="4" t="str">
        <f>HYPERLINK("http://141.218.60.56/~jnz1568/getInfo.php?workbook=14_09.xlsx&amp;sheet=U0&amp;row=4004&amp;col=7&amp;number=0.237&amp;sourceID=14","0.237")</f>
        <v>0.237</v>
      </c>
    </row>
    <row r="4005" spans="1:7">
      <c r="A4005" s="3"/>
      <c r="B4005" s="3"/>
      <c r="C4005" s="3"/>
      <c r="D4005" s="3"/>
      <c r="E4005" s="3">
        <v>2</v>
      </c>
      <c r="F4005" s="4" t="str">
        <f>HYPERLINK("http://141.218.60.56/~jnz1568/getInfo.php?workbook=14_09.xlsx&amp;sheet=U0&amp;row=4005&amp;col=6&amp;number=3.1&amp;sourceID=14","3.1")</f>
        <v>3.1</v>
      </c>
      <c r="G4005" s="4" t="str">
        <f>HYPERLINK("http://141.218.60.56/~jnz1568/getInfo.php?workbook=14_09.xlsx&amp;sheet=U0&amp;row=4005&amp;col=7&amp;number=0.236&amp;sourceID=14","0.236")</f>
        <v>0.236</v>
      </c>
    </row>
    <row r="4006" spans="1:7">
      <c r="A4006" s="3"/>
      <c r="B4006" s="3"/>
      <c r="C4006" s="3"/>
      <c r="D4006" s="3"/>
      <c r="E4006" s="3">
        <v>3</v>
      </c>
      <c r="F4006" s="4" t="str">
        <f>HYPERLINK("http://141.218.60.56/~jnz1568/getInfo.php?workbook=14_09.xlsx&amp;sheet=U0&amp;row=4006&amp;col=6&amp;number=3.2&amp;sourceID=14","3.2")</f>
        <v>3.2</v>
      </c>
      <c r="G4006" s="4" t="str">
        <f>HYPERLINK("http://141.218.60.56/~jnz1568/getInfo.php?workbook=14_09.xlsx&amp;sheet=U0&amp;row=4006&amp;col=7&amp;number=0.236&amp;sourceID=14","0.236")</f>
        <v>0.236</v>
      </c>
    </row>
    <row r="4007" spans="1:7">
      <c r="A4007" s="3"/>
      <c r="B4007" s="3"/>
      <c r="C4007" s="3"/>
      <c r="D4007" s="3"/>
      <c r="E4007" s="3">
        <v>4</v>
      </c>
      <c r="F4007" s="4" t="str">
        <f>HYPERLINK("http://141.218.60.56/~jnz1568/getInfo.php?workbook=14_09.xlsx&amp;sheet=U0&amp;row=4007&amp;col=6&amp;number=3.3&amp;sourceID=14","3.3")</f>
        <v>3.3</v>
      </c>
      <c r="G4007" s="4" t="str">
        <f>HYPERLINK("http://141.218.60.56/~jnz1568/getInfo.php?workbook=14_09.xlsx&amp;sheet=U0&amp;row=4007&amp;col=7&amp;number=0.235&amp;sourceID=14","0.235")</f>
        <v>0.235</v>
      </c>
    </row>
    <row r="4008" spans="1:7">
      <c r="A4008" s="3"/>
      <c r="B4008" s="3"/>
      <c r="C4008" s="3"/>
      <c r="D4008" s="3"/>
      <c r="E4008" s="3">
        <v>5</v>
      </c>
      <c r="F4008" s="4" t="str">
        <f>HYPERLINK("http://141.218.60.56/~jnz1568/getInfo.php?workbook=14_09.xlsx&amp;sheet=U0&amp;row=4008&amp;col=6&amp;number=3.4&amp;sourceID=14","3.4")</f>
        <v>3.4</v>
      </c>
      <c r="G4008" s="4" t="str">
        <f>HYPERLINK("http://141.218.60.56/~jnz1568/getInfo.php?workbook=14_09.xlsx&amp;sheet=U0&amp;row=4008&amp;col=7&amp;number=0.234&amp;sourceID=14","0.234")</f>
        <v>0.234</v>
      </c>
    </row>
    <row r="4009" spans="1:7">
      <c r="A4009" s="3"/>
      <c r="B4009" s="3"/>
      <c r="C4009" s="3"/>
      <c r="D4009" s="3"/>
      <c r="E4009" s="3">
        <v>6</v>
      </c>
      <c r="F4009" s="4" t="str">
        <f>HYPERLINK("http://141.218.60.56/~jnz1568/getInfo.php?workbook=14_09.xlsx&amp;sheet=U0&amp;row=4009&amp;col=6&amp;number=3.5&amp;sourceID=14","3.5")</f>
        <v>3.5</v>
      </c>
      <c r="G4009" s="4" t="str">
        <f>HYPERLINK("http://141.218.60.56/~jnz1568/getInfo.php?workbook=14_09.xlsx&amp;sheet=U0&amp;row=4009&amp;col=7&amp;number=0.233&amp;sourceID=14","0.233")</f>
        <v>0.233</v>
      </c>
    </row>
    <row r="4010" spans="1:7">
      <c r="A4010" s="3"/>
      <c r="B4010" s="3"/>
      <c r="C4010" s="3"/>
      <c r="D4010" s="3"/>
      <c r="E4010" s="3">
        <v>7</v>
      </c>
      <c r="F4010" s="4" t="str">
        <f>HYPERLINK("http://141.218.60.56/~jnz1568/getInfo.php?workbook=14_09.xlsx&amp;sheet=U0&amp;row=4010&amp;col=6&amp;number=3.6&amp;sourceID=14","3.6")</f>
        <v>3.6</v>
      </c>
      <c r="G4010" s="4" t="str">
        <f>HYPERLINK("http://141.218.60.56/~jnz1568/getInfo.php?workbook=14_09.xlsx&amp;sheet=U0&amp;row=4010&amp;col=7&amp;number=0.232&amp;sourceID=14","0.232")</f>
        <v>0.232</v>
      </c>
    </row>
    <row r="4011" spans="1:7">
      <c r="A4011" s="3"/>
      <c r="B4011" s="3"/>
      <c r="C4011" s="3"/>
      <c r="D4011" s="3"/>
      <c r="E4011" s="3">
        <v>8</v>
      </c>
      <c r="F4011" s="4" t="str">
        <f>HYPERLINK("http://141.218.60.56/~jnz1568/getInfo.php?workbook=14_09.xlsx&amp;sheet=U0&amp;row=4011&amp;col=6&amp;number=3.7&amp;sourceID=14","3.7")</f>
        <v>3.7</v>
      </c>
      <c r="G4011" s="4" t="str">
        <f>HYPERLINK("http://141.218.60.56/~jnz1568/getInfo.php?workbook=14_09.xlsx&amp;sheet=U0&amp;row=4011&amp;col=7&amp;number=0.231&amp;sourceID=14","0.231")</f>
        <v>0.231</v>
      </c>
    </row>
    <row r="4012" spans="1:7">
      <c r="A4012" s="3"/>
      <c r="B4012" s="3"/>
      <c r="C4012" s="3"/>
      <c r="D4012" s="3"/>
      <c r="E4012" s="3">
        <v>9</v>
      </c>
      <c r="F4012" s="4" t="str">
        <f>HYPERLINK("http://141.218.60.56/~jnz1568/getInfo.php?workbook=14_09.xlsx&amp;sheet=U0&amp;row=4012&amp;col=6&amp;number=3.8&amp;sourceID=14","3.8")</f>
        <v>3.8</v>
      </c>
      <c r="G4012" s="4" t="str">
        <f>HYPERLINK("http://141.218.60.56/~jnz1568/getInfo.php?workbook=14_09.xlsx&amp;sheet=U0&amp;row=4012&amp;col=7&amp;number=0.229&amp;sourceID=14","0.229")</f>
        <v>0.229</v>
      </c>
    </row>
    <row r="4013" spans="1:7">
      <c r="A4013" s="3"/>
      <c r="B4013" s="3"/>
      <c r="C4013" s="3"/>
      <c r="D4013" s="3"/>
      <c r="E4013" s="3">
        <v>10</v>
      </c>
      <c r="F4013" s="4" t="str">
        <f>HYPERLINK("http://141.218.60.56/~jnz1568/getInfo.php?workbook=14_09.xlsx&amp;sheet=U0&amp;row=4013&amp;col=6&amp;number=3.9&amp;sourceID=14","3.9")</f>
        <v>3.9</v>
      </c>
      <c r="G4013" s="4" t="str">
        <f>HYPERLINK("http://141.218.60.56/~jnz1568/getInfo.php?workbook=14_09.xlsx&amp;sheet=U0&amp;row=4013&amp;col=7&amp;number=0.226&amp;sourceID=14","0.226")</f>
        <v>0.226</v>
      </c>
    </row>
    <row r="4014" spans="1:7">
      <c r="A4014" s="3"/>
      <c r="B4014" s="3"/>
      <c r="C4014" s="3"/>
      <c r="D4014" s="3"/>
      <c r="E4014" s="3">
        <v>11</v>
      </c>
      <c r="F4014" s="4" t="str">
        <f>HYPERLINK("http://141.218.60.56/~jnz1568/getInfo.php?workbook=14_09.xlsx&amp;sheet=U0&amp;row=4014&amp;col=6&amp;number=4&amp;sourceID=14","4")</f>
        <v>4</v>
      </c>
      <c r="G4014" s="4" t="str">
        <f>HYPERLINK("http://141.218.60.56/~jnz1568/getInfo.php?workbook=14_09.xlsx&amp;sheet=U0&amp;row=4014&amp;col=7&amp;number=0.224&amp;sourceID=14","0.224")</f>
        <v>0.224</v>
      </c>
    </row>
    <row r="4015" spans="1:7">
      <c r="A4015" s="3"/>
      <c r="B4015" s="3"/>
      <c r="C4015" s="3"/>
      <c r="D4015" s="3"/>
      <c r="E4015" s="3">
        <v>12</v>
      </c>
      <c r="F4015" s="4" t="str">
        <f>HYPERLINK("http://141.218.60.56/~jnz1568/getInfo.php?workbook=14_09.xlsx&amp;sheet=U0&amp;row=4015&amp;col=6&amp;number=4.1&amp;sourceID=14","4.1")</f>
        <v>4.1</v>
      </c>
      <c r="G4015" s="4" t="str">
        <f>HYPERLINK("http://141.218.60.56/~jnz1568/getInfo.php?workbook=14_09.xlsx&amp;sheet=U0&amp;row=4015&amp;col=7&amp;number=0.22&amp;sourceID=14","0.22")</f>
        <v>0.22</v>
      </c>
    </row>
    <row r="4016" spans="1:7">
      <c r="A4016" s="3"/>
      <c r="B4016" s="3"/>
      <c r="C4016" s="3"/>
      <c r="D4016" s="3"/>
      <c r="E4016" s="3">
        <v>13</v>
      </c>
      <c r="F4016" s="4" t="str">
        <f>HYPERLINK("http://141.218.60.56/~jnz1568/getInfo.php?workbook=14_09.xlsx&amp;sheet=U0&amp;row=4016&amp;col=6&amp;number=4.2&amp;sourceID=14","4.2")</f>
        <v>4.2</v>
      </c>
      <c r="G4016" s="4" t="str">
        <f>HYPERLINK("http://141.218.60.56/~jnz1568/getInfo.php?workbook=14_09.xlsx&amp;sheet=U0&amp;row=4016&amp;col=7&amp;number=0.215&amp;sourceID=14","0.215")</f>
        <v>0.215</v>
      </c>
    </row>
    <row r="4017" spans="1:7">
      <c r="A4017" s="3"/>
      <c r="B4017" s="3"/>
      <c r="C4017" s="3"/>
      <c r="D4017" s="3"/>
      <c r="E4017" s="3">
        <v>14</v>
      </c>
      <c r="F4017" s="4" t="str">
        <f>HYPERLINK("http://141.218.60.56/~jnz1568/getInfo.php?workbook=14_09.xlsx&amp;sheet=U0&amp;row=4017&amp;col=6&amp;number=4.3&amp;sourceID=14","4.3")</f>
        <v>4.3</v>
      </c>
      <c r="G4017" s="4" t="str">
        <f>HYPERLINK("http://141.218.60.56/~jnz1568/getInfo.php?workbook=14_09.xlsx&amp;sheet=U0&amp;row=4017&amp;col=7&amp;number=0.21&amp;sourceID=14","0.21")</f>
        <v>0.21</v>
      </c>
    </row>
    <row r="4018" spans="1:7">
      <c r="A4018" s="3"/>
      <c r="B4018" s="3"/>
      <c r="C4018" s="3"/>
      <c r="D4018" s="3"/>
      <c r="E4018" s="3">
        <v>15</v>
      </c>
      <c r="F4018" s="4" t="str">
        <f>HYPERLINK("http://141.218.60.56/~jnz1568/getInfo.php?workbook=14_09.xlsx&amp;sheet=U0&amp;row=4018&amp;col=6&amp;number=4.4&amp;sourceID=14","4.4")</f>
        <v>4.4</v>
      </c>
      <c r="G4018" s="4" t="str">
        <f>HYPERLINK("http://141.218.60.56/~jnz1568/getInfo.php?workbook=14_09.xlsx&amp;sheet=U0&amp;row=4018&amp;col=7&amp;number=0.203&amp;sourceID=14","0.203")</f>
        <v>0.203</v>
      </c>
    </row>
    <row r="4019" spans="1:7">
      <c r="A4019" s="3"/>
      <c r="B4019" s="3"/>
      <c r="C4019" s="3"/>
      <c r="D4019" s="3"/>
      <c r="E4019" s="3">
        <v>16</v>
      </c>
      <c r="F4019" s="4" t="str">
        <f>HYPERLINK("http://141.218.60.56/~jnz1568/getInfo.php?workbook=14_09.xlsx&amp;sheet=U0&amp;row=4019&amp;col=6&amp;number=4.5&amp;sourceID=14","4.5")</f>
        <v>4.5</v>
      </c>
      <c r="G4019" s="4" t="str">
        <f>HYPERLINK("http://141.218.60.56/~jnz1568/getInfo.php?workbook=14_09.xlsx&amp;sheet=U0&amp;row=4019&amp;col=7&amp;number=0.195&amp;sourceID=14","0.195")</f>
        <v>0.195</v>
      </c>
    </row>
    <row r="4020" spans="1:7">
      <c r="A4020" s="3"/>
      <c r="B4020" s="3"/>
      <c r="C4020" s="3"/>
      <c r="D4020" s="3"/>
      <c r="E4020" s="3">
        <v>17</v>
      </c>
      <c r="F4020" s="4" t="str">
        <f>HYPERLINK("http://141.218.60.56/~jnz1568/getInfo.php?workbook=14_09.xlsx&amp;sheet=U0&amp;row=4020&amp;col=6&amp;number=4.6&amp;sourceID=14","4.6")</f>
        <v>4.6</v>
      </c>
      <c r="G4020" s="4" t="str">
        <f>HYPERLINK("http://141.218.60.56/~jnz1568/getInfo.php?workbook=14_09.xlsx&amp;sheet=U0&amp;row=4020&amp;col=7&amp;number=0.185&amp;sourceID=14","0.185")</f>
        <v>0.185</v>
      </c>
    </row>
    <row r="4021" spans="1:7">
      <c r="A4021" s="3"/>
      <c r="B4021" s="3"/>
      <c r="C4021" s="3"/>
      <c r="D4021" s="3"/>
      <c r="E4021" s="3">
        <v>18</v>
      </c>
      <c r="F4021" s="4" t="str">
        <f>HYPERLINK("http://141.218.60.56/~jnz1568/getInfo.php?workbook=14_09.xlsx&amp;sheet=U0&amp;row=4021&amp;col=6&amp;number=4.7&amp;sourceID=14","4.7")</f>
        <v>4.7</v>
      </c>
      <c r="G4021" s="4" t="str">
        <f>HYPERLINK("http://141.218.60.56/~jnz1568/getInfo.php?workbook=14_09.xlsx&amp;sheet=U0&amp;row=4021&amp;col=7&amp;number=0.174&amp;sourceID=14","0.174")</f>
        <v>0.174</v>
      </c>
    </row>
    <row r="4022" spans="1:7">
      <c r="A4022" s="3"/>
      <c r="B4022" s="3"/>
      <c r="C4022" s="3"/>
      <c r="D4022" s="3"/>
      <c r="E4022" s="3">
        <v>19</v>
      </c>
      <c r="F4022" s="4" t="str">
        <f>HYPERLINK("http://141.218.60.56/~jnz1568/getInfo.php?workbook=14_09.xlsx&amp;sheet=U0&amp;row=4022&amp;col=6&amp;number=4.8&amp;sourceID=14","4.8")</f>
        <v>4.8</v>
      </c>
      <c r="G4022" s="4" t="str">
        <f>HYPERLINK("http://141.218.60.56/~jnz1568/getInfo.php?workbook=14_09.xlsx&amp;sheet=U0&amp;row=4022&amp;col=7&amp;number=0.161&amp;sourceID=14","0.161")</f>
        <v>0.161</v>
      </c>
    </row>
    <row r="4023" spans="1:7">
      <c r="A4023" s="3"/>
      <c r="B4023" s="3"/>
      <c r="C4023" s="3"/>
      <c r="D4023" s="3"/>
      <c r="E4023" s="3">
        <v>20</v>
      </c>
      <c r="F4023" s="4" t="str">
        <f>HYPERLINK("http://141.218.60.56/~jnz1568/getInfo.php?workbook=14_09.xlsx&amp;sheet=U0&amp;row=4023&amp;col=6&amp;number=4.9&amp;sourceID=14","4.9")</f>
        <v>4.9</v>
      </c>
      <c r="G4023" s="4" t="str">
        <f>HYPERLINK("http://141.218.60.56/~jnz1568/getInfo.php?workbook=14_09.xlsx&amp;sheet=U0&amp;row=4023&amp;col=7&amp;number=0.147&amp;sourceID=14","0.147")</f>
        <v>0.147</v>
      </c>
    </row>
    <row r="4024" spans="1:7">
      <c r="A4024" s="3">
        <v>14</v>
      </c>
      <c r="B4024" s="3">
        <v>9</v>
      </c>
      <c r="C4024" s="3">
        <v>2</v>
      </c>
      <c r="D4024" s="3">
        <v>10</v>
      </c>
      <c r="E4024" s="3">
        <v>1</v>
      </c>
      <c r="F4024" s="4" t="str">
        <f>HYPERLINK("http://141.218.60.56/~jnz1568/getInfo.php?workbook=14_09.xlsx&amp;sheet=U0&amp;row=4024&amp;col=6&amp;number=3&amp;sourceID=14","3")</f>
        <v>3</v>
      </c>
      <c r="G4024" s="4" t="str">
        <f>HYPERLINK("http://141.218.60.56/~jnz1568/getInfo.php?workbook=14_09.xlsx&amp;sheet=U0&amp;row=4024&amp;col=7&amp;number=0.25&amp;sourceID=14","0.25")</f>
        <v>0.25</v>
      </c>
    </row>
    <row r="4025" spans="1:7">
      <c r="A4025" s="3"/>
      <c r="B4025" s="3"/>
      <c r="C4025" s="3"/>
      <c r="D4025" s="3"/>
      <c r="E4025" s="3">
        <v>2</v>
      </c>
      <c r="F4025" s="4" t="str">
        <f>HYPERLINK("http://141.218.60.56/~jnz1568/getInfo.php?workbook=14_09.xlsx&amp;sheet=U0&amp;row=4025&amp;col=6&amp;number=3.1&amp;sourceID=14","3.1")</f>
        <v>3.1</v>
      </c>
      <c r="G4025" s="4" t="str">
        <f>HYPERLINK("http://141.218.60.56/~jnz1568/getInfo.php?workbook=14_09.xlsx&amp;sheet=U0&amp;row=4025&amp;col=7&amp;number=0.249&amp;sourceID=14","0.249")</f>
        <v>0.249</v>
      </c>
    </row>
    <row r="4026" spans="1:7">
      <c r="A4026" s="3"/>
      <c r="B4026" s="3"/>
      <c r="C4026" s="3"/>
      <c r="D4026" s="3"/>
      <c r="E4026" s="3">
        <v>3</v>
      </c>
      <c r="F4026" s="4" t="str">
        <f>HYPERLINK("http://141.218.60.56/~jnz1568/getInfo.php?workbook=14_09.xlsx&amp;sheet=U0&amp;row=4026&amp;col=6&amp;number=3.2&amp;sourceID=14","3.2")</f>
        <v>3.2</v>
      </c>
      <c r="G4026" s="4" t="str">
        <f>HYPERLINK("http://141.218.60.56/~jnz1568/getInfo.php?workbook=14_09.xlsx&amp;sheet=U0&amp;row=4026&amp;col=7&amp;number=0.249&amp;sourceID=14","0.249")</f>
        <v>0.249</v>
      </c>
    </row>
    <row r="4027" spans="1:7">
      <c r="A4027" s="3"/>
      <c r="B4027" s="3"/>
      <c r="C4027" s="3"/>
      <c r="D4027" s="3"/>
      <c r="E4027" s="3">
        <v>4</v>
      </c>
      <c r="F4027" s="4" t="str">
        <f>HYPERLINK("http://141.218.60.56/~jnz1568/getInfo.php?workbook=14_09.xlsx&amp;sheet=U0&amp;row=4027&amp;col=6&amp;number=3.3&amp;sourceID=14","3.3")</f>
        <v>3.3</v>
      </c>
      <c r="G4027" s="4" t="str">
        <f>HYPERLINK("http://141.218.60.56/~jnz1568/getInfo.php?workbook=14_09.xlsx&amp;sheet=U0&amp;row=4027&amp;col=7&amp;number=0.248&amp;sourceID=14","0.248")</f>
        <v>0.248</v>
      </c>
    </row>
    <row r="4028" spans="1:7">
      <c r="A4028" s="3"/>
      <c r="B4028" s="3"/>
      <c r="C4028" s="3"/>
      <c r="D4028" s="3"/>
      <c r="E4028" s="3">
        <v>5</v>
      </c>
      <c r="F4028" s="4" t="str">
        <f>HYPERLINK("http://141.218.60.56/~jnz1568/getInfo.php?workbook=14_09.xlsx&amp;sheet=U0&amp;row=4028&amp;col=6&amp;number=3.4&amp;sourceID=14","3.4")</f>
        <v>3.4</v>
      </c>
      <c r="G4028" s="4" t="str">
        <f>HYPERLINK("http://141.218.60.56/~jnz1568/getInfo.php?workbook=14_09.xlsx&amp;sheet=U0&amp;row=4028&amp;col=7&amp;number=0.248&amp;sourceID=14","0.248")</f>
        <v>0.248</v>
      </c>
    </row>
    <row r="4029" spans="1:7">
      <c r="A4029" s="3"/>
      <c r="B4029" s="3"/>
      <c r="C4029" s="3"/>
      <c r="D4029" s="3"/>
      <c r="E4029" s="3">
        <v>6</v>
      </c>
      <c r="F4029" s="4" t="str">
        <f>HYPERLINK("http://141.218.60.56/~jnz1568/getInfo.php?workbook=14_09.xlsx&amp;sheet=U0&amp;row=4029&amp;col=6&amp;number=3.5&amp;sourceID=14","3.5")</f>
        <v>3.5</v>
      </c>
      <c r="G4029" s="4" t="str">
        <f>HYPERLINK("http://141.218.60.56/~jnz1568/getInfo.php?workbook=14_09.xlsx&amp;sheet=U0&amp;row=4029&amp;col=7&amp;number=0.247&amp;sourceID=14","0.247")</f>
        <v>0.247</v>
      </c>
    </row>
    <row r="4030" spans="1:7">
      <c r="A4030" s="3"/>
      <c r="B4030" s="3"/>
      <c r="C4030" s="3"/>
      <c r="D4030" s="3"/>
      <c r="E4030" s="3">
        <v>7</v>
      </c>
      <c r="F4030" s="4" t="str">
        <f>HYPERLINK("http://141.218.60.56/~jnz1568/getInfo.php?workbook=14_09.xlsx&amp;sheet=U0&amp;row=4030&amp;col=6&amp;number=3.6&amp;sourceID=14","3.6")</f>
        <v>3.6</v>
      </c>
      <c r="G4030" s="4" t="str">
        <f>HYPERLINK("http://141.218.60.56/~jnz1568/getInfo.php?workbook=14_09.xlsx&amp;sheet=U0&amp;row=4030&amp;col=7&amp;number=0.246&amp;sourceID=14","0.246")</f>
        <v>0.246</v>
      </c>
    </row>
    <row r="4031" spans="1:7">
      <c r="A4031" s="3"/>
      <c r="B4031" s="3"/>
      <c r="C4031" s="3"/>
      <c r="D4031" s="3"/>
      <c r="E4031" s="3">
        <v>8</v>
      </c>
      <c r="F4031" s="4" t="str">
        <f>HYPERLINK("http://141.218.60.56/~jnz1568/getInfo.php?workbook=14_09.xlsx&amp;sheet=U0&amp;row=4031&amp;col=6&amp;number=3.7&amp;sourceID=14","3.7")</f>
        <v>3.7</v>
      </c>
      <c r="G4031" s="4" t="str">
        <f>HYPERLINK("http://141.218.60.56/~jnz1568/getInfo.php?workbook=14_09.xlsx&amp;sheet=U0&amp;row=4031&amp;col=7&amp;number=0.244&amp;sourceID=14","0.244")</f>
        <v>0.244</v>
      </c>
    </row>
    <row r="4032" spans="1:7">
      <c r="A4032" s="3"/>
      <c r="B4032" s="3"/>
      <c r="C4032" s="3"/>
      <c r="D4032" s="3"/>
      <c r="E4032" s="3">
        <v>9</v>
      </c>
      <c r="F4032" s="4" t="str">
        <f>HYPERLINK("http://141.218.60.56/~jnz1568/getInfo.php?workbook=14_09.xlsx&amp;sheet=U0&amp;row=4032&amp;col=6&amp;number=3.8&amp;sourceID=14","3.8")</f>
        <v>3.8</v>
      </c>
      <c r="G4032" s="4" t="str">
        <f>HYPERLINK("http://141.218.60.56/~jnz1568/getInfo.php?workbook=14_09.xlsx&amp;sheet=U0&amp;row=4032&amp;col=7&amp;number=0.243&amp;sourceID=14","0.243")</f>
        <v>0.243</v>
      </c>
    </row>
    <row r="4033" spans="1:7">
      <c r="A4033" s="3"/>
      <c r="B4033" s="3"/>
      <c r="C4033" s="3"/>
      <c r="D4033" s="3"/>
      <c r="E4033" s="3">
        <v>10</v>
      </c>
      <c r="F4033" s="4" t="str">
        <f>HYPERLINK("http://141.218.60.56/~jnz1568/getInfo.php?workbook=14_09.xlsx&amp;sheet=U0&amp;row=4033&amp;col=6&amp;number=3.9&amp;sourceID=14","3.9")</f>
        <v>3.9</v>
      </c>
      <c r="G4033" s="4" t="str">
        <f>HYPERLINK("http://141.218.60.56/~jnz1568/getInfo.php?workbook=14_09.xlsx&amp;sheet=U0&amp;row=4033&amp;col=7&amp;number=0.24&amp;sourceID=14","0.24")</f>
        <v>0.24</v>
      </c>
    </row>
    <row r="4034" spans="1:7">
      <c r="A4034" s="3"/>
      <c r="B4034" s="3"/>
      <c r="C4034" s="3"/>
      <c r="D4034" s="3"/>
      <c r="E4034" s="3">
        <v>11</v>
      </c>
      <c r="F4034" s="4" t="str">
        <f>HYPERLINK("http://141.218.60.56/~jnz1568/getInfo.php?workbook=14_09.xlsx&amp;sheet=U0&amp;row=4034&amp;col=6&amp;number=4&amp;sourceID=14","4")</f>
        <v>4</v>
      </c>
      <c r="G4034" s="4" t="str">
        <f>HYPERLINK("http://141.218.60.56/~jnz1568/getInfo.php?workbook=14_09.xlsx&amp;sheet=U0&amp;row=4034&amp;col=7&amp;number=0.238&amp;sourceID=14","0.238")</f>
        <v>0.238</v>
      </c>
    </row>
    <row r="4035" spans="1:7">
      <c r="A4035" s="3"/>
      <c r="B4035" s="3"/>
      <c r="C4035" s="3"/>
      <c r="D4035" s="3"/>
      <c r="E4035" s="3">
        <v>12</v>
      </c>
      <c r="F4035" s="4" t="str">
        <f>HYPERLINK("http://141.218.60.56/~jnz1568/getInfo.php?workbook=14_09.xlsx&amp;sheet=U0&amp;row=4035&amp;col=6&amp;number=4.1&amp;sourceID=14","4.1")</f>
        <v>4.1</v>
      </c>
      <c r="G4035" s="4" t="str">
        <f>HYPERLINK("http://141.218.60.56/~jnz1568/getInfo.php?workbook=14_09.xlsx&amp;sheet=U0&amp;row=4035&amp;col=7&amp;number=0.234&amp;sourceID=14","0.234")</f>
        <v>0.234</v>
      </c>
    </row>
    <row r="4036" spans="1:7">
      <c r="A4036" s="3"/>
      <c r="B4036" s="3"/>
      <c r="C4036" s="3"/>
      <c r="D4036" s="3"/>
      <c r="E4036" s="3">
        <v>13</v>
      </c>
      <c r="F4036" s="4" t="str">
        <f>HYPERLINK("http://141.218.60.56/~jnz1568/getInfo.php?workbook=14_09.xlsx&amp;sheet=U0&amp;row=4036&amp;col=6&amp;number=4.2&amp;sourceID=14","4.2")</f>
        <v>4.2</v>
      </c>
      <c r="G4036" s="4" t="str">
        <f>HYPERLINK("http://141.218.60.56/~jnz1568/getInfo.php?workbook=14_09.xlsx&amp;sheet=U0&amp;row=4036&amp;col=7&amp;number=0.23&amp;sourceID=14","0.23")</f>
        <v>0.23</v>
      </c>
    </row>
    <row r="4037" spans="1:7">
      <c r="A4037" s="3"/>
      <c r="B4037" s="3"/>
      <c r="C4037" s="3"/>
      <c r="D4037" s="3"/>
      <c r="E4037" s="3">
        <v>14</v>
      </c>
      <c r="F4037" s="4" t="str">
        <f>HYPERLINK("http://141.218.60.56/~jnz1568/getInfo.php?workbook=14_09.xlsx&amp;sheet=U0&amp;row=4037&amp;col=6&amp;number=4.3&amp;sourceID=14","4.3")</f>
        <v>4.3</v>
      </c>
      <c r="G4037" s="4" t="str">
        <f>HYPERLINK("http://141.218.60.56/~jnz1568/getInfo.php?workbook=14_09.xlsx&amp;sheet=U0&amp;row=4037&amp;col=7&amp;number=0.225&amp;sourceID=14","0.225")</f>
        <v>0.225</v>
      </c>
    </row>
    <row r="4038" spans="1:7">
      <c r="A4038" s="3"/>
      <c r="B4038" s="3"/>
      <c r="C4038" s="3"/>
      <c r="D4038" s="3"/>
      <c r="E4038" s="3">
        <v>15</v>
      </c>
      <c r="F4038" s="4" t="str">
        <f>HYPERLINK("http://141.218.60.56/~jnz1568/getInfo.php?workbook=14_09.xlsx&amp;sheet=U0&amp;row=4038&amp;col=6&amp;number=4.4&amp;sourceID=14","4.4")</f>
        <v>4.4</v>
      </c>
      <c r="G4038" s="4" t="str">
        <f>HYPERLINK("http://141.218.60.56/~jnz1568/getInfo.php?workbook=14_09.xlsx&amp;sheet=U0&amp;row=4038&amp;col=7&amp;number=0.219&amp;sourceID=14","0.219")</f>
        <v>0.219</v>
      </c>
    </row>
    <row r="4039" spans="1:7">
      <c r="A4039" s="3"/>
      <c r="B4039" s="3"/>
      <c r="C4039" s="3"/>
      <c r="D4039" s="3"/>
      <c r="E4039" s="3">
        <v>16</v>
      </c>
      <c r="F4039" s="4" t="str">
        <f>HYPERLINK("http://141.218.60.56/~jnz1568/getInfo.php?workbook=14_09.xlsx&amp;sheet=U0&amp;row=4039&amp;col=6&amp;number=4.5&amp;sourceID=14","4.5")</f>
        <v>4.5</v>
      </c>
      <c r="G4039" s="4" t="str">
        <f>HYPERLINK("http://141.218.60.56/~jnz1568/getInfo.php?workbook=14_09.xlsx&amp;sheet=U0&amp;row=4039&amp;col=7&amp;number=0.211&amp;sourceID=14","0.211")</f>
        <v>0.211</v>
      </c>
    </row>
    <row r="4040" spans="1:7">
      <c r="A4040" s="3"/>
      <c r="B4040" s="3"/>
      <c r="C4040" s="3"/>
      <c r="D4040" s="3"/>
      <c r="E4040" s="3">
        <v>17</v>
      </c>
      <c r="F4040" s="4" t="str">
        <f>HYPERLINK("http://141.218.60.56/~jnz1568/getInfo.php?workbook=14_09.xlsx&amp;sheet=U0&amp;row=4040&amp;col=6&amp;number=4.6&amp;sourceID=14","4.6")</f>
        <v>4.6</v>
      </c>
      <c r="G4040" s="4" t="str">
        <f>HYPERLINK("http://141.218.60.56/~jnz1568/getInfo.php?workbook=14_09.xlsx&amp;sheet=U0&amp;row=4040&amp;col=7&amp;number=0.202&amp;sourceID=14","0.202")</f>
        <v>0.202</v>
      </c>
    </row>
    <row r="4041" spans="1:7">
      <c r="A4041" s="3"/>
      <c r="B4041" s="3"/>
      <c r="C4041" s="3"/>
      <c r="D4041" s="3"/>
      <c r="E4041" s="3">
        <v>18</v>
      </c>
      <c r="F4041" s="4" t="str">
        <f>HYPERLINK("http://141.218.60.56/~jnz1568/getInfo.php?workbook=14_09.xlsx&amp;sheet=U0&amp;row=4041&amp;col=6&amp;number=4.7&amp;sourceID=14","4.7")</f>
        <v>4.7</v>
      </c>
      <c r="G4041" s="4" t="str">
        <f>HYPERLINK("http://141.218.60.56/~jnz1568/getInfo.php?workbook=14_09.xlsx&amp;sheet=U0&amp;row=4041&amp;col=7&amp;number=0.191&amp;sourceID=14","0.191")</f>
        <v>0.191</v>
      </c>
    </row>
    <row r="4042" spans="1:7">
      <c r="A4042" s="3"/>
      <c r="B4042" s="3"/>
      <c r="C4042" s="3"/>
      <c r="D4042" s="3"/>
      <c r="E4042" s="3">
        <v>19</v>
      </c>
      <c r="F4042" s="4" t="str">
        <f>HYPERLINK("http://141.218.60.56/~jnz1568/getInfo.php?workbook=14_09.xlsx&amp;sheet=U0&amp;row=4042&amp;col=6&amp;number=4.8&amp;sourceID=14","4.8")</f>
        <v>4.8</v>
      </c>
      <c r="G4042" s="4" t="str">
        <f>HYPERLINK("http://141.218.60.56/~jnz1568/getInfo.php?workbook=14_09.xlsx&amp;sheet=U0&amp;row=4042&amp;col=7&amp;number=0.179&amp;sourceID=14","0.179")</f>
        <v>0.179</v>
      </c>
    </row>
    <row r="4043" spans="1:7">
      <c r="A4043" s="3"/>
      <c r="B4043" s="3"/>
      <c r="C4043" s="3"/>
      <c r="D4043" s="3"/>
      <c r="E4043" s="3">
        <v>20</v>
      </c>
      <c r="F4043" s="4" t="str">
        <f>HYPERLINK("http://141.218.60.56/~jnz1568/getInfo.php?workbook=14_09.xlsx&amp;sheet=U0&amp;row=4043&amp;col=6&amp;number=4.9&amp;sourceID=14","4.9")</f>
        <v>4.9</v>
      </c>
      <c r="G4043" s="4" t="str">
        <f>HYPERLINK("http://141.218.60.56/~jnz1568/getInfo.php?workbook=14_09.xlsx&amp;sheet=U0&amp;row=4043&amp;col=7&amp;number=0.165&amp;sourceID=14","0.165")</f>
        <v>0.165</v>
      </c>
    </row>
    <row r="4044" spans="1:7">
      <c r="A4044" s="3">
        <v>14</v>
      </c>
      <c r="B4044" s="3">
        <v>9</v>
      </c>
      <c r="C4044" s="3">
        <v>2</v>
      </c>
      <c r="D4044" s="3">
        <v>11</v>
      </c>
      <c r="E4044" s="3">
        <v>1</v>
      </c>
      <c r="F4044" s="4" t="str">
        <f>HYPERLINK("http://141.218.60.56/~jnz1568/getInfo.php?workbook=14_09.xlsx&amp;sheet=U0&amp;row=4044&amp;col=6&amp;number=3&amp;sourceID=14","3")</f>
        <v>3</v>
      </c>
      <c r="G4044" s="4" t="str">
        <f>HYPERLINK("http://141.218.60.56/~jnz1568/getInfo.php?workbook=14_09.xlsx&amp;sheet=U0&amp;row=4044&amp;col=7&amp;number=0.0707&amp;sourceID=14","0.0707")</f>
        <v>0.0707</v>
      </c>
    </row>
    <row r="4045" spans="1:7">
      <c r="A4045" s="3"/>
      <c r="B4045" s="3"/>
      <c r="C4045" s="3"/>
      <c r="D4045" s="3"/>
      <c r="E4045" s="3">
        <v>2</v>
      </c>
      <c r="F4045" s="4" t="str">
        <f>HYPERLINK("http://141.218.60.56/~jnz1568/getInfo.php?workbook=14_09.xlsx&amp;sheet=U0&amp;row=4045&amp;col=6&amp;number=3.1&amp;sourceID=14","3.1")</f>
        <v>3.1</v>
      </c>
      <c r="G4045" s="4" t="str">
        <f>HYPERLINK("http://141.218.60.56/~jnz1568/getInfo.php?workbook=14_09.xlsx&amp;sheet=U0&amp;row=4045&amp;col=7&amp;number=0.0705&amp;sourceID=14","0.0705")</f>
        <v>0.0705</v>
      </c>
    </row>
    <row r="4046" spans="1:7">
      <c r="A4046" s="3"/>
      <c r="B4046" s="3"/>
      <c r="C4046" s="3"/>
      <c r="D4046" s="3"/>
      <c r="E4046" s="3">
        <v>3</v>
      </c>
      <c r="F4046" s="4" t="str">
        <f>HYPERLINK("http://141.218.60.56/~jnz1568/getInfo.php?workbook=14_09.xlsx&amp;sheet=U0&amp;row=4046&amp;col=6&amp;number=3.2&amp;sourceID=14","3.2")</f>
        <v>3.2</v>
      </c>
      <c r="G4046" s="4" t="str">
        <f>HYPERLINK("http://141.218.60.56/~jnz1568/getInfo.php?workbook=14_09.xlsx&amp;sheet=U0&amp;row=4046&amp;col=7&amp;number=0.0704&amp;sourceID=14","0.0704")</f>
        <v>0.0704</v>
      </c>
    </row>
    <row r="4047" spans="1:7">
      <c r="A4047" s="3"/>
      <c r="B4047" s="3"/>
      <c r="C4047" s="3"/>
      <c r="D4047" s="3"/>
      <c r="E4047" s="3">
        <v>4</v>
      </c>
      <c r="F4047" s="4" t="str">
        <f>HYPERLINK("http://141.218.60.56/~jnz1568/getInfo.php?workbook=14_09.xlsx&amp;sheet=U0&amp;row=4047&amp;col=6&amp;number=3.3&amp;sourceID=14","3.3")</f>
        <v>3.3</v>
      </c>
      <c r="G4047" s="4" t="str">
        <f>HYPERLINK("http://141.218.60.56/~jnz1568/getInfo.php?workbook=14_09.xlsx&amp;sheet=U0&amp;row=4047&amp;col=7&amp;number=0.0701&amp;sourceID=14","0.0701")</f>
        <v>0.0701</v>
      </c>
    </row>
    <row r="4048" spans="1:7">
      <c r="A4048" s="3"/>
      <c r="B4048" s="3"/>
      <c r="C4048" s="3"/>
      <c r="D4048" s="3"/>
      <c r="E4048" s="3">
        <v>5</v>
      </c>
      <c r="F4048" s="4" t="str">
        <f>HYPERLINK("http://141.218.60.56/~jnz1568/getInfo.php?workbook=14_09.xlsx&amp;sheet=U0&amp;row=4048&amp;col=6&amp;number=3.4&amp;sourceID=14","3.4")</f>
        <v>3.4</v>
      </c>
      <c r="G4048" s="4" t="str">
        <f>HYPERLINK("http://141.218.60.56/~jnz1568/getInfo.php?workbook=14_09.xlsx&amp;sheet=U0&amp;row=4048&amp;col=7&amp;number=0.0699&amp;sourceID=14","0.0699")</f>
        <v>0.0699</v>
      </c>
    </row>
    <row r="4049" spans="1:7">
      <c r="A4049" s="3"/>
      <c r="B4049" s="3"/>
      <c r="C4049" s="3"/>
      <c r="D4049" s="3"/>
      <c r="E4049" s="3">
        <v>6</v>
      </c>
      <c r="F4049" s="4" t="str">
        <f>HYPERLINK("http://141.218.60.56/~jnz1568/getInfo.php?workbook=14_09.xlsx&amp;sheet=U0&amp;row=4049&amp;col=6&amp;number=3.5&amp;sourceID=14","3.5")</f>
        <v>3.5</v>
      </c>
      <c r="G4049" s="4" t="str">
        <f>HYPERLINK("http://141.218.60.56/~jnz1568/getInfo.php?workbook=14_09.xlsx&amp;sheet=U0&amp;row=4049&amp;col=7&amp;number=0.0696&amp;sourceID=14","0.0696")</f>
        <v>0.0696</v>
      </c>
    </row>
    <row r="4050" spans="1:7">
      <c r="A4050" s="3"/>
      <c r="B4050" s="3"/>
      <c r="C4050" s="3"/>
      <c r="D4050" s="3"/>
      <c r="E4050" s="3">
        <v>7</v>
      </c>
      <c r="F4050" s="4" t="str">
        <f>HYPERLINK("http://141.218.60.56/~jnz1568/getInfo.php?workbook=14_09.xlsx&amp;sheet=U0&amp;row=4050&amp;col=6&amp;number=3.6&amp;sourceID=14","3.6")</f>
        <v>3.6</v>
      </c>
      <c r="G4050" s="4" t="str">
        <f>HYPERLINK("http://141.218.60.56/~jnz1568/getInfo.php?workbook=14_09.xlsx&amp;sheet=U0&amp;row=4050&amp;col=7&amp;number=0.0692&amp;sourceID=14","0.0692")</f>
        <v>0.0692</v>
      </c>
    </row>
    <row r="4051" spans="1:7">
      <c r="A4051" s="3"/>
      <c r="B4051" s="3"/>
      <c r="C4051" s="3"/>
      <c r="D4051" s="3"/>
      <c r="E4051" s="3">
        <v>8</v>
      </c>
      <c r="F4051" s="4" t="str">
        <f>HYPERLINK("http://141.218.60.56/~jnz1568/getInfo.php?workbook=14_09.xlsx&amp;sheet=U0&amp;row=4051&amp;col=6&amp;number=3.7&amp;sourceID=14","3.7")</f>
        <v>3.7</v>
      </c>
      <c r="G4051" s="4" t="str">
        <f>HYPERLINK("http://141.218.60.56/~jnz1568/getInfo.php?workbook=14_09.xlsx&amp;sheet=U0&amp;row=4051&amp;col=7&amp;number=0.0686&amp;sourceID=14","0.0686")</f>
        <v>0.0686</v>
      </c>
    </row>
    <row r="4052" spans="1:7">
      <c r="A4052" s="3"/>
      <c r="B4052" s="3"/>
      <c r="C4052" s="3"/>
      <c r="D4052" s="3"/>
      <c r="E4052" s="3">
        <v>9</v>
      </c>
      <c r="F4052" s="4" t="str">
        <f>HYPERLINK("http://141.218.60.56/~jnz1568/getInfo.php?workbook=14_09.xlsx&amp;sheet=U0&amp;row=4052&amp;col=6&amp;number=3.8&amp;sourceID=14","3.8")</f>
        <v>3.8</v>
      </c>
      <c r="G4052" s="4" t="str">
        <f>HYPERLINK("http://141.218.60.56/~jnz1568/getInfo.php?workbook=14_09.xlsx&amp;sheet=U0&amp;row=4052&amp;col=7&amp;number=0.068&amp;sourceID=14","0.068")</f>
        <v>0.068</v>
      </c>
    </row>
    <row r="4053" spans="1:7">
      <c r="A4053" s="3"/>
      <c r="B4053" s="3"/>
      <c r="C4053" s="3"/>
      <c r="D4053" s="3"/>
      <c r="E4053" s="3">
        <v>10</v>
      </c>
      <c r="F4053" s="4" t="str">
        <f>HYPERLINK("http://141.218.60.56/~jnz1568/getInfo.php?workbook=14_09.xlsx&amp;sheet=U0&amp;row=4053&amp;col=6&amp;number=3.9&amp;sourceID=14","3.9")</f>
        <v>3.9</v>
      </c>
      <c r="G4053" s="4" t="str">
        <f>HYPERLINK("http://141.218.60.56/~jnz1568/getInfo.php?workbook=14_09.xlsx&amp;sheet=U0&amp;row=4053&amp;col=7&amp;number=0.0672&amp;sourceID=14","0.0672")</f>
        <v>0.0672</v>
      </c>
    </row>
    <row r="4054" spans="1:7">
      <c r="A4054" s="3"/>
      <c r="B4054" s="3"/>
      <c r="C4054" s="3"/>
      <c r="D4054" s="3"/>
      <c r="E4054" s="3">
        <v>11</v>
      </c>
      <c r="F4054" s="4" t="str">
        <f>HYPERLINK("http://141.218.60.56/~jnz1568/getInfo.php?workbook=14_09.xlsx&amp;sheet=U0&amp;row=4054&amp;col=6&amp;number=4&amp;sourceID=14","4")</f>
        <v>4</v>
      </c>
      <c r="G4054" s="4" t="str">
        <f>HYPERLINK("http://141.218.60.56/~jnz1568/getInfo.php?workbook=14_09.xlsx&amp;sheet=U0&amp;row=4054&amp;col=7&amp;number=0.0662&amp;sourceID=14","0.0662")</f>
        <v>0.0662</v>
      </c>
    </row>
    <row r="4055" spans="1:7">
      <c r="A4055" s="3"/>
      <c r="B4055" s="3"/>
      <c r="C4055" s="3"/>
      <c r="D4055" s="3"/>
      <c r="E4055" s="3">
        <v>12</v>
      </c>
      <c r="F4055" s="4" t="str">
        <f>HYPERLINK("http://141.218.60.56/~jnz1568/getInfo.php?workbook=14_09.xlsx&amp;sheet=U0&amp;row=4055&amp;col=6&amp;number=4.1&amp;sourceID=14","4.1")</f>
        <v>4.1</v>
      </c>
      <c r="G4055" s="4" t="str">
        <f>HYPERLINK("http://141.218.60.56/~jnz1568/getInfo.php?workbook=14_09.xlsx&amp;sheet=U0&amp;row=4055&amp;col=7&amp;number=0.065&amp;sourceID=14","0.065")</f>
        <v>0.065</v>
      </c>
    </row>
    <row r="4056" spans="1:7">
      <c r="A4056" s="3"/>
      <c r="B4056" s="3"/>
      <c r="C4056" s="3"/>
      <c r="D4056" s="3"/>
      <c r="E4056" s="3">
        <v>13</v>
      </c>
      <c r="F4056" s="4" t="str">
        <f>HYPERLINK("http://141.218.60.56/~jnz1568/getInfo.php?workbook=14_09.xlsx&amp;sheet=U0&amp;row=4056&amp;col=6&amp;number=4.2&amp;sourceID=14","4.2")</f>
        <v>4.2</v>
      </c>
      <c r="G4056" s="4" t="str">
        <f>HYPERLINK("http://141.218.60.56/~jnz1568/getInfo.php?workbook=14_09.xlsx&amp;sheet=U0&amp;row=4056&amp;col=7&amp;number=0.0634&amp;sourceID=14","0.0634")</f>
        <v>0.0634</v>
      </c>
    </row>
    <row r="4057" spans="1:7">
      <c r="A4057" s="3"/>
      <c r="B4057" s="3"/>
      <c r="C4057" s="3"/>
      <c r="D4057" s="3"/>
      <c r="E4057" s="3">
        <v>14</v>
      </c>
      <c r="F4057" s="4" t="str">
        <f>HYPERLINK("http://141.218.60.56/~jnz1568/getInfo.php?workbook=14_09.xlsx&amp;sheet=U0&amp;row=4057&amp;col=6&amp;number=4.3&amp;sourceID=14","4.3")</f>
        <v>4.3</v>
      </c>
      <c r="G4057" s="4" t="str">
        <f>HYPERLINK("http://141.218.60.56/~jnz1568/getInfo.php?workbook=14_09.xlsx&amp;sheet=U0&amp;row=4057&amp;col=7&amp;number=0.0616&amp;sourceID=14","0.0616")</f>
        <v>0.0616</v>
      </c>
    </row>
    <row r="4058" spans="1:7">
      <c r="A4058" s="3"/>
      <c r="B4058" s="3"/>
      <c r="C4058" s="3"/>
      <c r="D4058" s="3"/>
      <c r="E4058" s="3">
        <v>15</v>
      </c>
      <c r="F4058" s="4" t="str">
        <f>HYPERLINK("http://141.218.60.56/~jnz1568/getInfo.php?workbook=14_09.xlsx&amp;sheet=U0&amp;row=4058&amp;col=6&amp;number=4.4&amp;sourceID=14","4.4")</f>
        <v>4.4</v>
      </c>
      <c r="G4058" s="4" t="str">
        <f>HYPERLINK("http://141.218.60.56/~jnz1568/getInfo.php?workbook=14_09.xlsx&amp;sheet=U0&amp;row=4058&amp;col=7&amp;number=0.0593&amp;sourceID=14","0.0593")</f>
        <v>0.0593</v>
      </c>
    </row>
    <row r="4059" spans="1:7">
      <c r="A4059" s="3"/>
      <c r="B4059" s="3"/>
      <c r="C4059" s="3"/>
      <c r="D4059" s="3"/>
      <c r="E4059" s="3">
        <v>16</v>
      </c>
      <c r="F4059" s="4" t="str">
        <f>HYPERLINK("http://141.218.60.56/~jnz1568/getInfo.php?workbook=14_09.xlsx&amp;sheet=U0&amp;row=4059&amp;col=6&amp;number=4.5&amp;sourceID=14","4.5")</f>
        <v>4.5</v>
      </c>
      <c r="G4059" s="4" t="str">
        <f>HYPERLINK("http://141.218.60.56/~jnz1568/getInfo.php?workbook=14_09.xlsx&amp;sheet=U0&amp;row=4059&amp;col=7&amp;number=0.0566&amp;sourceID=14","0.0566")</f>
        <v>0.0566</v>
      </c>
    </row>
    <row r="4060" spans="1:7">
      <c r="A4060" s="3"/>
      <c r="B4060" s="3"/>
      <c r="C4060" s="3"/>
      <c r="D4060" s="3"/>
      <c r="E4060" s="3">
        <v>17</v>
      </c>
      <c r="F4060" s="4" t="str">
        <f>HYPERLINK("http://141.218.60.56/~jnz1568/getInfo.php?workbook=14_09.xlsx&amp;sheet=U0&amp;row=4060&amp;col=6&amp;number=4.6&amp;sourceID=14","4.6")</f>
        <v>4.6</v>
      </c>
      <c r="G4060" s="4" t="str">
        <f>HYPERLINK("http://141.218.60.56/~jnz1568/getInfo.php?workbook=14_09.xlsx&amp;sheet=U0&amp;row=4060&amp;col=7&amp;number=0.0535&amp;sourceID=14","0.0535")</f>
        <v>0.0535</v>
      </c>
    </row>
    <row r="4061" spans="1:7">
      <c r="A4061" s="3"/>
      <c r="B4061" s="3"/>
      <c r="C4061" s="3"/>
      <c r="D4061" s="3"/>
      <c r="E4061" s="3">
        <v>18</v>
      </c>
      <c r="F4061" s="4" t="str">
        <f>HYPERLINK("http://141.218.60.56/~jnz1568/getInfo.php?workbook=14_09.xlsx&amp;sheet=U0&amp;row=4061&amp;col=6&amp;number=4.7&amp;sourceID=14","4.7")</f>
        <v>4.7</v>
      </c>
      <c r="G4061" s="4" t="str">
        <f>HYPERLINK("http://141.218.60.56/~jnz1568/getInfo.php?workbook=14_09.xlsx&amp;sheet=U0&amp;row=4061&amp;col=7&amp;number=0.0499&amp;sourceID=14","0.0499")</f>
        <v>0.0499</v>
      </c>
    </row>
    <row r="4062" spans="1:7">
      <c r="A4062" s="3"/>
      <c r="B4062" s="3"/>
      <c r="C4062" s="3"/>
      <c r="D4062" s="3"/>
      <c r="E4062" s="3">
        <v>19</v>
      </c>
      <c r="F4062" s="4" t="str">
        <f>HYPERLINK("http://141.218.60.56/~jnz1568/getInfo.php?workbook=14_09.xlsx&amp;sheet=U0&amp;row=4062&amp;col=6&amp;number=4.8&amp;sourceID=14","4.8")</f>
        <v>4.8</v>
      </c>
      <c r="G4062" s="4" t="str">
        <f>HYPERLINK("http://141.218.60.56/~jnz1568/getInfo.php?workbook=14_09.xlsx&amp;sheet=U0&amp;row=4062&amp;col=7&amp;number=0.0462&amp;sourceID=14","0.0462")</f>
        <v>0.0462</v>
      </c>
    </row>
    <row r="4063" spans="1:7">
      <c r="A4063" s="3"/>
      <c r="B4063" s="3"/>
      <c r="C4063" s="3"/>
      <c r="D4063" s="3"/>
      <c r="E4063" s="3">
        <v>20</v>
      </c>
      <c r="F4063" s="4" t="str">
        <f>HYPERLINK("http://141.218.60.56/~jnz1568/getInfo.php?workbook=14_09.xlsx&amp;sheet=U0&amp;row=4063&amp;col=6&amp;number=4.9&amp;sourceID=14","4.9")</f>
        <v>4.9</v>
      </c>
      <c r="G4063" s="4" t="str">
        <f>HYPERLINK("http://141.218.60.56/~jnz1568/getInfo.php?workbook=14_09.xlsx&amp;sheet=U0&amp;row=4063&amp;col=7&amp;number=0.0425&amp;sourceID=14","0.0425")</f>
        <v>0.0425</v>
      </c>
    </row>
    <row r="4064" spans="1:7">
      <c r="A4064" s="3">
        <v>14</v>
      </c>
      <c r="B4064" s="3">
        <v>9</v>
      </c>
      <c r="C4064" s="3">
        <v>2</v>
      </c>
      <c r="D4064" s="3">
        <v>12</v>
      </c>
      <c r="E4064" s="3">
        <v>1</v>
      </c>
      <c r="F4064" s="4" t="str">
        <f>HYPERLINK("http://141.218.60.56/~jnz1568/getInfo.php?workbook=14_09.xlsx&amp;sheet=U0&amp;row=4064&amp;col=6&amp;number=3&amp;sourceID=14","3")</f>
        <v>3</v>
      </c>
      <c r="G4064" s="4" t="str">
        <f>HYPERLINK("http://141.218.60.56/~jnz1568/getInfo.php?workbook=14_09.xlsx&amp;sheet=U0&amp;row=4064&amp;col=7&amp;number=0.0764&amp;sourceID=14","0.0764")</f>
        <v>0.0764</v>
      </c>
    </row>
    <row r="4065" spans="1:7">
      <c r="A4065" s="3"/>
      <c r="B4065" s="3"/>
      <c r="C4065" s="3"/>
      <c r="D4065" s="3"/>
      <c r="E4065" s="3">
        <v>2</v>
      </c>
      <c r="F4065" s="4" t="str">
        <f>HYPERLINK("http://141.218.60.56/~jnz1568/getInfo.php?workbook=14_09.xlsx&amp;sheet=U0&amp;row=4065&amp;col=6&amp;number=3.1&amp;sourceID=14","3.1")</f>
        <v>3.1</v>
      </c>
      <c r="G4065" s="4" t="str">
        <f>HYPERLINK("http://141.218.60.56/~jnz1568/getInfo.php?workbook=14_09.xlsx&amp;sheet=U0&amp;row=4065&amp;col=7&amp;number=0.0762&amp;sourceID=14","0.0762")</f>
        <v>0.0762</v>
      </c>
    </row>
    <row r="4066" spans="1:7">
      <c r="A4066" s="3"/>
      <c r="B4066" s="3"/>
      <c r="C4066" s="3"/>
      <c r="D4066" s="3"/>
      <c r="E4066" s="3">
        <v>3</v>
      </c>
      <c r="F4066" s="4" t="str">
        <f>HYPERLINK("http://141.218.60.56/~jnz1568/getInfo.php?workbook=14_09.xlsx&amp;sheet=U0&amp;row=4066&amp;col=6&amp;number=3.2&amp;sourceID=14","3.2")</f>
        <v>3.2</v>
      </c>
      <c r="G4066" s="4" t="str">
        <f>HYPERLINK("http://141.218.60.56/~jnz1568/getInfo.php?workbook=14_09.xlsx&amp;sheet=U0&amp;row=4066&amp;col=7&amp;number=0.076&amp;sourceID=14","0.076")</f>
        <v>0.076</v>
      </c>
    </row>
    <row r="4067" spans="1:7">
      <c r="A4067" s="3"/>
      <c r="B4067" s="3"/>
      <c r="C4067" s="3"/>
      <c r="D4067" s="3"/>
      <c r="E4067" s="3">
        <v>4</v>
      </c>
      <c r="F4067" s="4" t="str">
        <f>HYPERLINK("http://141.218.60.56/~jnz1568/getInfo.php?workbook=14_09.xlsx&amp;sheet=U0&amp;row=4067&amp;col=6&amp;number=3.3&amp;sourceID=14","3.3")</f>
        <v>3.3</v>
      </c>
      <c r="G4067" s="4" t="str">
        <f>HYPERLINK("http://141.218.60.56/~jnz1568/getInfo.php?workbook=14_09.xlsx&amp;sheet=U0&amp;row=4067&amp;col=7&amp;number=0.0757&amp;sourceID=14","0.0757")</f>
        <v>0.0757</v>
      </c>
    </row>
    <row r="4068" spans="1:7">
      <c r="A4068" s="3"/>
      <c r="B4068" s="3"/>
      <c r="C4068" s="3"/>
      <c r="D4068" s="3"/>
      <c r="E4068" s="3">
        <v>5</v>
      </c>
      <c r="F4068" s="4" t="str">
        <f>HYPERLINK("http://141.218.60.56/~jnz1568/getInfo.php?workbook=14_09.xlsx&amp;sheet=U0&amp;row=4068&amp;col=6&amp;number=3.4&amp;sourceID=14","3.4")</f>
        <v>3.4</v>
      </c>
      <c r="G4068" s="4" t="str">
        <f>HYPERLINK("http://141.218.60.56/~jnz1568/getInfo.php?workbook=14_09.xlsx&amp;sheet=U0&amp;row=4068&amp;col=7&amp;number=0.0753&amp;sourceID=14","0.0753")</f>
        <v>0.0753</v>
      </c>
    </row>
    <row r="4069" spans="1:7">
      <c r="A4069" s="3"/>
      <c r="B4069" s="3"/>
      <c r="C4069" s="3"/>
      <c r="D4069" s="3"/>
      <c r="E4069" s="3">
        <v>6</v>
      </c>
      <c r="F4069" s="4" t="str">
        <f>HYPERLINK("http://141.218.60.56/~jnz1568/getInfo.php?workbook=14_09.xlsx&amp;sheet=U0&amp;row=4069&amp;col=6&amp;number=3.5&amp;sourceID=14","3.5")</f>
        <v>3.5</v>
      </c>
      <c r="G4069" s="4" t="str">
        <f>HYPERLINK("http://141.218.60.56/~jnz1568/getInfo.php?workbook=14_09.xlsx&amp;sheet=U0&amp;row=4069&amp;col=7&amp;number=0.0748&amp;sourceID=14","0.0748")</f>
        <v>0.0748</v>
      </c>
    </row>
    <row r="4070" spans="1:7">
      <c r="A4070" s="3"/>
      <c r="B4070" s="3"/>
      <c r="C4070" s="3"/>
      <c r="D4070" s="3"/>
      <c r="E4070" s="3">
        <v>7</v>
      </c>
      <c r="F4070" s="4" t="str">
        <f>HYPERLINK("http://141.218.60.56/~jnz1568/getInfo.php?workbook=14_09.xlsx&amp;sheet=U0&amp;row=4070&amp;col=6&amp;number=3.6&amp;sourceID=14","3.6")</f>
        <v>3.6</v>
      </c>
      <c r="G4070" s="4" t="str">
        <f>HYPERLINK("http://141.218.60.56/~jnz1568/getInfo.php?workbook=14_09.xlsx&amp;sheet=U0&amp;row=4070&amp;col=7&amp;number=0.0742&amp;sourceID=14","0.0742")</f>
        <v>0.0742</v>
      </c>
    </row>
    <row r="4071" spans="1:7">
      <c r="A4071" s="3"/>
      <c r="B4071" s="3"/>
      <c r="C4071" s="3"/>
      <c r="D4071" s="3"/>
      <c r="E4071" s="3">
        <v>8</v>
      </c>
      <c r="F4071" s="4" t="str">
        <f>HYPERLINK("http://141.218.60.56/~jnz1568/getInfo.php?workbook=14_09.xlsx&amp;sheet=U0&amp;row=4071&amp;col=6&amp;number=3.7&amp;sourceID=14","3.7")</f>
        <v>3.7</v>
      </c>
      <c r="G4071" s="4" t="str">
        <f>HYPERLINK("http://141.218.60.56/~jnz1568/getInfo.php?workbook=14_09.xlsx&amp;sheet=U0&amp;row=4071&amp;col=7&amp;number=0.0735&amp;sourceID=14","0.0735")</f>
        <v>0.0735</v>
      </c>
    </row>
    <row r="4072" spans="1:7">
      <c r="A4072" s="3"/>
      <c r="B4072" s="3"/>
      <c r="C4072" s="3"/>
      <c r="D4072" s="3"/>
      <c r="E4072" s="3">
        <v>9</v>
      </c>
      <c r="F4072" s="4" t="str">
        <f>HYPERLINK("http://141.218.60.56/~jnz1568/getInfo.php?workbook=14_09.xlsx&amp;sheet=U0&amp;row=4072&amp;col=6&amp;number=3.8&amp;sourceID=14","3.8")</f>
        <v>3.8</v>
      </c>
      <c r="G4072" s="4" t="str">
        <f>HYPERLINK("http://141.218.60.56/~jnz1568/getInfo.php?workbook=14_09.xlsx&amp;sheet=U0&amp;row=4072&amp;col=7&amp;number=0.0726&amp;sourceID=14","0.0726")</f>
        <v>0.0726</v>
      </c>
    </row>
    <row r="4073" spans="1:7">
      <c r="A4073" s="3"/>
      <c r="B4073" s="3"/>
      <c r="C4073" s="3"/>
      <c r="D4073" s="3"/>
      <c r="E4073" s="3">
        <v>10</v>
      </c>
      <c r="F4073" s="4" t="str">
        <f>HYPERLINK("http://141.218.60.56/~jnz1568/getInfo.php?workbook=14_09.xlsx&amp;sheet=U0&amp;row=4073&amp;col=6&amp;number=3.9&amp;sourceID=14","3.9")</f>
        <v>3.9</v>
      </c>
      <c r="G4073" s="4" t="str">
        <f>HYPERLINK("http://141.218.60.56/~jnz1568/getInfo.php?workbook=14_09.xlsx&amp;sheet=U0&amp;row=4073&amp;col=7&amp;number=0.0714&amp;sourceID=14","0.0714")</f>
        <v>0.0714</v>
      </c>
    </row>
    <row r="4074" spans="1:7">
      <c r="A4074" s="3"/>
      <c r="B4074" s="3"/>
      <c r="C4074" s="3"/>
      <c r="D4074" s="3"/>
      <c r="E4074" s="3">
        <v>11</v>
      </c>
      <c r="F4074" s="4" t="str">
        <f>HYPERLINK("http://141.218.60.56/~jnz1568/getInfo.php?workbook=14_09.xlsx&amp;sheet=U0&amp;row=4074&amp;col=6&amp;number=4&amp;sourceID=14","4")</f>
        <v>4</v>
      </c>
      <c r="G4074" s="4" t="str">
        <f>HYPERLINK("http://141.218.60.56/~jnz1568/getInfo.php?workbook=14_09.xlsx&amp;sheet=U0&amp;row=4074&amp;col=7&amp;number=0.07&amp;sourceID=14","0.07")</f>
        <v>0.07</v>
      </c>
    </row>
    <row r="4075" spans="1:7">
      <c r="A4075" s="3"/>
      <c r="B4075" s="3"/>
      <c r="C4075" s="3"/>
      <c r="D4075" s="3"/>
      <c r="E4075" s="3">
        <v>12</v>
      </c>
      <c r="F4075" s="4" t="str">
        <f>HYPERLINK("http://141.218.60.56/~jnz1568/getInfo.php?workbook=14_09.xlsx&amp;sheet=U0&amp;row=4075&amp;col=6&amp;number=4.1&amp;sourceID=14","4.1")</f>
        <v>4.1</v>
      </c>
      <c r="G4075" s="4" t="str">
        <f>HYPERLINK("http://141.218.60.56/~jnz1568/getInfo.php?workbook=14_09.xlsx&amp;sheet=U0&amp;row=4075&amp;col=7&amp;number=0.0683&amp;sourceID=14","0.0683")</f>
        <v>0.0683</v>
      </c>
    </row>
    <row r="4076" spans="1:7">
      <c r="A4076" s="3"/>
      <c r="B4076" s="3"/>
      <c r="C4076" s="3"/>
      <c r="D4076" s="3"/>
      <c r="E4076" s="3">
        <v>13</v>
      </c>
      <c r="F4076" s="4" t="str">
        <f>HYPERLINK("http://141.218.60.56/~jnz1568/getInfo.php?workbook=14_09.xlsx&amp;sheet=U0&amp;row=4076&amp;col=6&amp;number=4.2&amp;sourceID=14","4.2")</f>
        <v>4.2</v>
      </c>
      <c r="G4076" s="4" t="str">
        <f>HYPERLINK("http://141.218.60.56/~jnz1568/getInfo.php?workbook=14_09.xlsx&amp;sheet=U0&amp;row=4076&amp;col=7&amp;number=0.0662&amp;sourceID=14","0.0662")</f>
        <v>0.0662</v>
      </c>
    </row>
    <row r="4077" spans="1:7">
      <c r="A4077" s="3"/>
      <c r="B4077" s="3"/>
      <c r="C4077" s="3"/>
      <c r="D4077" s="3"/>
      <c r="E4077" s="3">
        <v>14</v>
      </c>
      <c r="F4077" s="4" t="str">
        <f>HYPERLINK("http://141.218.60.56/~jnz1568/getInfo.php?workbook=14_09.xlsx&amp;sheet=U0&amp;row=4077&amp;col=6&amp;number=4.3&amp;sourceID=14","4.3")</f>
        <v>4.3</v>
      </c>
      <c r="G4077" s="4" t="str">
        <f>HYPERLINK("http://141.218.60.56/~jnz1568/getInfo.php?workbook=14_09.xlsx&amp;sheet=U0&amp;row=4077&amp;col=7&amp;number=0.0637&amp;sourceID=14","0.0637")</f>
        <v>0.0637</v>
      </c>
    </row>
    <row r="4078" spans="1:7">
      <c r="A4078" s="3"/>
      <c r="B4078" s="3"/>
      <c r="C4078" s="3"/>
      <c r="D4078" s="3"/>
      <c r="E4078" s="3">
        <v>15</v>
      </c>
      <c r="F4078" s="4" t="str">
        <f>HYPERLINK("http://141.218.60.56/~jnz1568/getInfo.php?workbook=14_09.xlsx&amp;sheet=U0&amp;row=4078&amp;col=6&amp;number=4.4&amp;sourceID=14","4.4")</f>
        <v>4.4</v>
      </c>
      <c r="G4078" s="4" t="str">
        <f>HYPERLINK("http://141.218.60.56/~jnz1568/getInfo.php?workbook=14_09.xlsx&amp;sheet=U0&amp;row=4078&amp;col=7&amp;number=0.0608&amp;sourceID=14","0.0608")</f>
        <v>0.0608</v>
      </c>
    </row>
    <row r="4079" spans="1:7">
      <c r="A4079" s="3"/>
      <c r="B4079" s="3"/>
      <c r="C4079" s="3"/>
      <c r="D4079" s="3"/>
      <c r="E4079" s="3">
        <v>16</v>
      </c>
      <c r="F4079" s="4" t="str">
        <f>HYPERLINK("http://141.218.60.56/~jnz1568/getInfo.php?workbook=14_09.xlsx&amp;sheet=U0&amp;row=4079&amp;col=6&amp;number=4.5&amp;sourceID=14","4.5")</f>
        <v>4.5</v>
      </c>
      <c r="G4079" s="4" t="str">
        <f>HYPERLINK("http://141.218.60.56/~jnz1568/getInfo.php?workbook=14_09.xlsx&amp;sheet=U0&amp;row=4079&amp;col=7&amp;number=0.0574&amp;sourceID=14","0.0574")</f>
        <v>0.0574</v>
      </c>
    </row>
    <row r="4080" spans="1:7">
      <c r="A4080" s="3"/>
      <c r="B4080" s="3"/>
      <c r="C4080" s="3"/>
      <c r="D4080" s="3"/>
      <c r="E4080" s="3">
        <v>17</v>
      </c>
      <c r="F4080" s="4" t="str">
        <f>HYPERLINK("http://141.218.60.56/~jnz1568/getInfo.php?workbook=14_09.xlsx&amp;sheet=U0&amp;row=4080&amp;col=6&amp;number=4.6&amp;sourceID=14","4.6")</f>
        <v>4.6</v>
      </c>
      <c r="G4080" s="4" t="str">
        <f>HYPERLINK("http://141.218.60.56/~jnz1568/getInfo.php?workbook=14_09.xlsx&amp;sheet=U0&amp;row=4080&amp;col=7&amp;number=0.0539&amp;sourceID=14","0.0539")</f>
        <v>0.0539</v>
      </c>
    </row>
    <row r="4081" spans="1:7">
      <c r="A4081" s="3"/>
      <c r="B4081" s="3"/>
      <c r="C4081" s="3"/>
      <c r="D4081" s="3"/>
      <c r="E4081" s="3">
        <v>18</v>
      </c>
      <c r="F4081" s="4" t="str">
        <f>HYPERLINK("http://141.218.60.56/~jnz1568/getInfo.php?workbook=14_09.xlsx&amp;sheet=U0&amp;row=4081&amp;col=6&amp;number=4.7&amp;sourceID=14","4.7")</f>
        <v>4.7</v>
      </c>
      <c r="G4081" s="4" t="str">
        <f>HYPERLINK("http://141.218.60.56/~jnz1568/getInfo.php?workbook=14_09.xlsx&amp;sheet=U0&amp;row=4081&amp;col=7&amp;number=0.0504&amp;sourceID=14","0.0504")</f>
        <v>0.0504</v>
      </c>
    </row>
    <row r="4082" spans="1:7">
      <c r="A4082" s="3"/>
      <c r="B4082" s="3"/>
      <c r="C4082" s="3"/>
      <c r="D4082" s="3"/>
      <c r="E4082" s="3">
        <v>19</v>
      </c>
      <c r="F4082" s="4" t="str">
        <f>HYPERLINK("http://141.218.60.56/~jnz1568/getInfo.php?workbook=14_09.xlsx&amp;sheet=U0&amp;row=4082&amp;col=6&amp;number=4.8&amp;sourceID=14","4.8")</f>
        <v>4.8</v>
      </c>
      <c r="G4082" s="4" t="str">
        <f>HYPERLINK("http://141.218.60.56/~jnz1568/getInfo.php?workbook=14_09.xlsx&amp;sheet=U0&amp;row=4082&amp;col=7&amp;number=0.0473&amp;sourceID=14","0.0473")</f>
        <v>0.0473</v>
      </c>
    </row>
    <row r="4083" spans="1:7">
      <c r="A4083" s="3"/>
      <c r="B4083" s="3"/>
      <c r="C4083" s="3"/>
      <c r="D4083" s="3"/>
      <c r="E4083" s="3">
        <v>20</v>
      </c>
      <c r="F4083" s="4" t="str">
        <f>HYPERLINK("http://141.218.60.56/~jnz1568/getInfo.php?workbook=14_09.xlsx&amp;sheet=U0&amp;row=4083&amp;col=6&amp;number=4.9&amp;sourceID=14","4.9")</f>
        <v>4.9</v>
      </c>
      <c r="G4083" s="4" t="str">
        <f>HYPERLINK("http://141.218.60.56/~jnz1568/getInfo.php?workbook=14_09.xlsx&amp;sheet=U0&amp;row=4083&amp;col=7&amp;number=0.0446&amp;sourceID=14","0.0446")</f>
        <v>0.0446</v>
      </c>
    </row>
    <row r="4084" spans="1:7">
      <c r="A4084" s="3">
        <v>14</v>
      </c>
      <c r="B4084" s="3">
        <v>9</v>
      </c>
      <c r="C4084" s="3">
        <v>2</v>
      </c>
      <c r="D4084" s="3">
        <v>13</v>
      </c>
      <c r="E4084" s="3">
        <v>1</v>
      </c>
      <c r="F4084" s="4" t="str">
        <f>HYPERLINK("http://141.218.60.56/~jnz1568/getInfo.php?workbook=14_09.xlsx&amp;sheet=U0&amp;row=4084&amp;col=6&amp;number=3&amp;sourceID=14","3")</f>
        <v>3</v>
      </c>
      <c r="G4084" s="4" t="str">
        <f>HYPERLINK("http://141.218.60.56/~jnz1568/getInfo.php?workbook=14_09.xlsx&amp;sheet=U0&amp;row=4084&amp;col=7&amp;number=0.051&amp;sourceID=14","0.051")</f>
        <v>0.051</v>
      </c>
    </row>
    <row r="4085" spans="1:7">
      <c r="A4085" s="3"/>
      <c r="B4085" s="3"/>
      <c r="C4085" s="3"/>
      <c r="D4085" s="3"/>
      <c r="E4085" s="3">
        <v>2</v>
      </c>
      <c r="F4085" s="4" t="str">
        <f>HYPERLINK("http://141.218.60.56/~jnz1568/getInfo.php?workbook=14_09.xlsx&amp;sheet=U0&amp;row=4085&amp;col=6&amp;number=3.1&amp;sourceID=14","3.1")</f>
        <v>3.1</v>
      </c>
      <c r="G4085" s="4" t="str">
        <f>HYPERLINK("http://141.218.60.56/~jnz1568/getInfo.php?workbook=14_09.xlsx&amp;sheet=U0&amp;row=4085&amp;col=7&amp;number=0.0509&amp;sourceID=14","0.0509")</f>
        <v>0.0509</v>
      </c>
    </row>
    <row r="4086" spans="1:7">
      <c r="A4086" s="3"/>
      <c r="B4086" s="3"/>
      <c r="C4086" s="3"/>
      <c r="D4086" s="3"/>
      <c r="E4086" s="3">
        <v>3</v>
      </c>
      <c r="F4086" s="4" t="str">
        <f>HYPERLINK("http://141.218.60.56/~jnz1568/getInfo.php?workbook=14_09.xlsx&amp;sheet=U0&amp;row=4086&amp;col=6&amp;number=3.2&amp;sourceID=14","3.2")</f>
        <v>3.2</v>
      </c>
      <c r="G4086" s="4" t="str">
        <f>HYPERLINK("http://141.218.60.56/~jnz1568/getInfo.php?workbook=14_09.xlsx&amp;sheet=U0&amp;row=4086&amp;col=7&amp;number=0.0507&amp;sourceID=14","0.0507")</f>
        <v>0.0507</v>
      </c>
    </row>
    <row r="4087" spans="1:7">
      <c r="A4087" s="3"/>
      <c r="B4087" s="3"/>
      <c r="C4087" s="3"/>
      <c r="D4087" s="3"/>
      <c r="E4087" s="3">
        <v>4</v>
      </c>
      <c r="F4087" s="4" t="str">
        <f>HYPERLINK("http://141.218.60.56/~jnz1568/getInfo.php?workbook=14_09.xlsx&amp;sheet=U0&amp;row=4087&amp;col=6&amp;number=3.3&amp;sourceID=14","3.3")</f>
        <v>3.3</v>
      </c>
      <c r="G4087" s="4" t="str">
        <f>HYPERLINK("http://141.218.60.56/~jnz1568/getInfo.php?workbook=14_09.xlsx&amp;sheet=U0&amp;row=4087&amp;col=7&amp;number=0.0505&amp;sourceID=14","0.0505")</f>
        <v>0.0505</v>
      </c>
    </row>
    <row r="4088" spans="1:7">
      <c r="A4088" s="3"/>
      <c r="B4088" s="3"/>
      <c r="C4088" s="3"/>
      <c r="D4088" s="3"/>
      <c r="E4088" s="3">
        <v>5</v>
      </c>
      <c r="F4088" s="4" t="str">
        <f>HYPERLINK("http://141.218.60.56/~jnz1568/getInfo.php?workbook=14_09.xlsx&amp;sheet=U0&amp;row=4088&amp;col=6&amp;number=3.4&amp;sourceID=14","3.4")</f>
        <v>3.4</v>
      </c>
      <c r="G4088" s="4" t="str">
        <f>HYPERLINK("http://141.218.60.56/~jnz1568/getInfo.php?workbook=14_09.xlsx&amp;sheet=U0&amp;row=4088&amp;col=7&amp;number=0.0503&amp;sourceID=14","0.0503")</f>
        <v>0.0503</v>
      </c>
    </row>
    <row r="4089" spans="1:7">
      <c r="A4089" s="3"/>
      <c r="B4089" s="3"/>
      <c r="C4089" s="3"/>
      <c r="D4089" s="3"/>
      <c r="E4089" s="3">
        <v>6</v>
      </c>
      <c r="F4089" s="4" t="str">
        <f>HYPERLINK("http://141.218.60.56/~jnz1568/getInfo.php?workbook=14_09.xlsx&amp;sheet=U0&amp;row=4089&amp;col=6&amp;number=3.5&amp;sourceID=14","3.5")</f>
        <v>3.5</v>
      </c>
      <c r="G4089" s="4" t="str">
        <f>HYPERLINK("http://141.218.60.56/~jnz1568/getInfo.php?workbook=14_09.xlsx&amp;sheet=U0&amp;row=4089&amp;col=7&amp;number=0.0499&amp;sourceID=14","0.0499")</f>
        <v>0.0499</v>
      </c>
    </row>
    <row r="4090" spans="1:7">
      <c r="A4090" s="3"/>
      <c r="B4090" s="3"/>
      <c r="C4090" s="3"/>
      <c r="D4090" s="3"/>
      <c r="E4090" s="3">
        <v>7</v>
      </c>
      <c r="F4090" s="4" t="str">
        <f>HYPERLINK("http://141.218.60.56/~jnz1568/getInfo.php?workbook=14_09.xlsx&amp;sheet=U0&amp;row=4090&amp;col=6&amp;number=3.6&amp;sourceID=14","3.6")</f>
        <v>3.6</v>
      </c>
      <c r="G4090" s="4" t="str">
        <f>HYPERLINK("http://141.218.60.56/~jnz1568/getInfo.php?workbook=14_09.xlsx&amp;sheet=U0&amp;row=4090&amp;col=7&amp;number=0.0495&amp;sourceID=14","0.0495")</f>
        <v>0.0495</v>
      </c>
    </row>
    <row r="4091" spans="1:7">
      <c r="A4091" s="3"/>
      <c r="B4091" s="3"/>
      <c r="C4091" s="3"/>
      <c r="D4091" s="3"/>
      <c r="E4091" s="3">
        <v>8</v>
      </c>
      <c r="F4091" s="4" t="str">
        <f>HYPERLINK("http://141.218.60.56/~jnz1568/getInfo.php?workbook=14_09.xlsx&amp;sheet=U0&amp;row=4091&amp;col=6&amp;number=3.7&amp;sourceID=14","3.7")</f>
        <v>3.7</v>
      </c>
      <c r="G4091" s="4" t="str">
        <f>HYPERLINK("http://141.218.60.56/~jnz1568/getInfo.php?workbook=14_09.xlsx&amp;sheet=U0&amp;row=4091&amp;col=7&amp;number=0.049&amp;sourceID=14","0.049")</f>
        <v>0.049</v>
      </c>
    </row>
    <row r="4092" spans="1:7">
      <c r="A4092" s="3"/>
      <c r="B4092" s="3"/>
      <c r="C4092" s="3"/>
      <c r="D4092" s="3"/>
      <c r="E4092" s="3">
        <v>9</v>
      </c>
      <c r="F4092" s="4" t="str">
        <f>HYPERLINK("http://141.218.60.56/~jnz1568/getInfo.php?workbook=14_09.xlsx&amp;sheet=U0&amp;row=4092&amp;col=6&amp;number=3.8&amp;sourceID=14","3.8")</f>
        <v>3.8</v>
      </c>
      <c r="G4092" s="4" t="str">
        <f>HYPERLINK("http://141.218.60.56/~jnz1568/getInfo.php?workbook=14_09.xlsx&amp;sheet=U0&amp;row=4092&amp;col=7&amp;number=0.0484&amp;sourceID=14","0.0484")</f>
        <v>0.0484</v>
      </c>
    </row>
    <row r="4093" spans="1:7">
      <c r="A4093" s="3"/>
      <c r="B4093" s="3"/>
      <c r="C4093" s="3"/>
      <c r="D4093" s="3"/>
      <c r="E4093" s="3">
        <v>10</v>
      </c>
      <c r="F4093" s="4" t="str">
        <f>HYPERLINK("http://141.218.60.56/~jnz1568/getInfo.php?workbook=14_09.xlsx&amp;sheet=U0&amp;row=4093&amp;col=6&amp;number=3.9&amp;sourceID=14","3.9")</f>
        <v>3.9</v>
      </c>
      <c r="G4093" s="4" t="str">
        <f>HYPERLINK("http://141.218.60.56/~jnz1568/getInfo.php?workbook=14_09.xlsx&amp;sheet=U0&amp;row=4093&amp;col=7&amp;number=0.0476&amp;sourceID=14","0.0476")</f>
        <v>0.0476</v>
      </c>
    </row>
    <row r="4094" spans="1:7">
      <c r="A4094" s="3"/>
      <c r="B4094" s="3"/>
      <c r="C4094" s="3"/>
      <c r="D4094" s="3"/>
      <c r="E4094" s="3">
        <v>11</v>
      </c>
      <c r="F4094" s="4" t="str">
        <f>HYPERLINK("http://141.218.60.56/~jnz1568/getInfo.php?workbook=14_09.xlsx&amp;sheet=U0&amp;row=4094&amp;col=6&amp;number=4&amp;sourceID=14","4")</f>
        <v>4</v>
      </c>
      <c r="G4094" s="4" t="str">
        <f>HYPERLINK("http://141.218.60.56/~jnz1568/getInfo.php?workbook=14_09.xlsx&amp;sheet=U0&amp;row=4094&amp;col=7&amp;number=0.0466&amp;sourceID=14","0.0466")</f>
        <v>0.0466</v>
      </c>
    </row>
    <row r="4095" spans="1:7">
      <c r="A4095" s="3"/>
      <c r="B4095" s="3"/>
      <c r="C4095" s="3"/>
      <c r="D4095" s="3"/>
      <c r="E4095" s="3">
        <v>12</v>
      </c>
      <c r="F4095" s="4" t="str">
        <f>HYPERLINK("http://141.218.60.56/~jnz1568/getInfo.php?workbook=14_09.xlsx&amp;sheet=U0&amp;row=4095&amp;col=6&amp;number=4.1&amp;sourceID=14","4.1")</f>
        <v>4.1</v>
      </c>
      <c r="G4095" s="4" t="str">
        <f>HYPERLINK("http://141.218.60.56/~jnz1568/getInfo.php?workbook=14_09.xlsx&amp;sheet=U0&amp;row=4095&amp;col=7&amp;number=0.0454&amp;sourceID=14","0.0454")</f>
        <v>0.0454</v>
      </c>
    </row>
    <row r="4096" spans="1:7">
      <c r="A4096" s="3"/>
      <c r="B4096" s="3"/>
      <c r="C4096" s="3"/>
      <c r="D4096" s="3"/>
      <c r="E4096" s="3">
        <v>13</v>
      </c>
      <c r="F4096" s="4" t="str">
        <f>HYPERLINK("http://141.218.60.56/~jnz1568/getInfo.php?workbook=14_09.xlsx&amp;sheet=U0&amp;row=4096&amp;col=6&amp;number=4.2&amp;sourceID=14","4.2")</f>
        <v>4.2</v>
      </c>
      <c r="G4096" s="4" t="str">
        <f>HYPERLINK("http://141.218.60.56/~jnz1568/getInfo.php?workbook=14_09.xlsx&amp;sheet=U0&amp;row=4096&amp;col=7&amp;number=0.0439&amp;sourceID=14","0.0439")</f>
        <v>0.0439</v>
      </c>
    </row>
    <row r="4097" spans="1:7">
      <c r="A4097" s="3"/>
      <c r="B4097" s="3"/>
      <c r="C4097" s="3"/>
      <c r="D4097" s="3"/>
      <c r="E4097" s="3">
        <v>14</v>
      </c>
      <c r="F4097" s="4" t="str">
        <f>HYPERLINK("http://141.218.60.56/~jnz1568/getInfo.php?workbook=14_09.xlsx&amp;sheet=U0&amp;row=4097&amp;col=6&amp;number=4.3&amp;sourceID=14","4.3")</f>
        <v>4.3</v>
      </c>
      <c r="G4097" s="4" t="str">
        <f>HYPERLINK("http://141.218.60.56/~jnz1568/getInfo.php?workbook=14_09.xlsx&amp;sheet=U0&amp;row=4097&amp;col=7&amp;number=0.0422&amp;sourceID=14","0.0422")</f>
        <v>0.0422</v>
      </c>
    </row>
    <row r="4098" spans="1:7">
      <c r="A4098" s="3"/>
      <c r="B4098" s="3"/>
      <c r="C4098" s="3"/>
      <c r="D4098" s="3"/>
      <c r="E4098" s="3">
        <v>15</v>
      </c>
      <c r="F4098" s="4" t="str">
        <f>HYPERLINK("http://141.218.60.56/~jnz1568/getInfo.php?workbook=14_09.xlsx&amp;sheet=U0&amp;row=4098&amp;col=6&amp;number=4.4&amp;sourceID=14","4.4")</f>
        <v>4.4</v>
      </c>
      <c r="G4098" s="4" t="str">
        <f>HYPERLINK("http://141.218.60.56/~jnz1568/getInfo.php?workbook=14_09.xlsx&amp;sheet=U0&amp;row=4098&amp;col=7&amp;number=0.0401&amp;sourceID=14","0.0401")</f>
        <v>0.0401</v>
      </c>
    </row>
    <row r="4099" spans="1:7">
      <c r="A4099" s="3"/>
      <c r="B4099" s="3"/>
      <c r="C4099" s="3"/>
      <c r="D4099" s="3"/>
      <c r="E4099" s="3">
        <v>16</v>
      </c>
      <c r="F4099" s="4" t="str">
        <f>HYPERLINK("http://141.218.60.56/~jnz1568/getInfo.php?workbook=14_09.xlsx&amp;sheet=U0&amp;row=4099&amp;col=6&amp;number=4.5&amp;sourceID=14","4.5")</f>
        <v>4.5</v>
      </c>
      <c r="G4099" s="4" t="str">
        <f>HYPERLINK("http://141.218.60.56/~jnz1568/getInfo.php?workbook=14_09.xlsx&amp;sheet=U0&amp;row=4099&amp;col=7&amp;number=0.0379&amp;sourceID=14","0.0379")</f>
        <v>0.0379</v>
      </c>
    </row>
    <row r="4100" spans="1:7">
      <c r="A4100" s="3"/>
      <c r="B4100" s="3"/>
      <c r="C4100" s="3"/>
      <c r="D4100" s="3"/>
      <c r="E4100" s="3">
        <v>17</v>
      </c>
      <c r="F4100" s="4" t="str">
        <f>HYPERLINK("http://141.218.60.56/~jnz1568/getInfo.php?workbook=14_09.xlsx&amp;sheet=U0&amp;row=4100&amp;col=6&amp;number=4.6&amp;sourceID=14","4.6")</f>
        <v>4.6</v>
      </c>
      <c r="G4100" s="4" t="str">
        <f>HYPERLINK("http://141.218.60.56/~jnz1568/getInfo.php?workbook=14_09.xlsx&amp;sheet=U0&amp;row=4100&amp;col=7&amp;number=0.0355&amp;sourceID=14","0.0355")</f>
        <v>0.0355</v>
      </c>
    </row>
    <row r="4101" spans="1:7">
      <c r="A4101" s="3"/>
      <c r="B4101" s="3"/>
      <c r="C4101" s="3"/>
      <c r="D4101" s="3"/>
      <c r="E4101" s="3">
        <v>18</v>
      </c>
      <c r="F4101" s="4" t="str">
        <f>HYPERLINK("http://141.218.60.56/~jnz1568/getInfo.php?workbook=14_09.xlsx&amp;sheet=U0&amp;row=4101&amp;col=6&amp;number=4.7&amp;sourceID=14","4.7")</f>
        <v>4.7</v>
      </c>
      <c r="G4101" s="4" t="str">
        <f>HYPERLINK("http://141.218.60.56/~jnz1568/getInfo.php?workbook=14_09.xlsx&amp;sheet=U0&amp;row=4101&amp;col=7&amp;number=0.0332&amp;sourceID=14","0.0332")</f>
        <v>0.0332</v>
      </c>
    </row>
    <row r="4102" spans="1:7">
      <c r="A4102" s="3"/>
      <c r="B4102" s="3"/>
      <c r="C4102" s="3"/>
      <c r="D4102" s="3"/>
      <c r="E4102" s="3">
        <v>19</v>
      </c>
      <c r="F4102" s="4" t="str">
        <f>HYPERLINK("http://141.218.60.56/~jnz1568/getInfo.php?workbook=14_09.xlsx&amp;sheet=U0&amp;row=4102&amp;col=6&amp;number=4.8&amp;sourceID=14","4.8")</f>
        <v>4.8</v>
      </c>
      <c r="G4102" s="4" t="str">
        <f>HYPERLINK("http://141.218.60.56/~jnz1568/getInfo.php?workbook=14_09.xlsx&amp;sheet=U0&amp;row=4102&amp;col=7&amp;number=0.0313&amp;sourceID=14","0.0313")</f>
        <v>0.0313</v>
      </c>
    </row>
    <row r="4103" spans="1:7">
      <c r="A4103" s="3"/>
      <c r="B4103" s="3"/>
      <c r="C4103" s="3"/>
      <c r="D4103" s="3"/>
      <c r="E4103" s="3">
        <v>20</v>
      </c>
      <c r="F4103" s="4" t="str">
        <f>HYPERLINK("http://141.218.60.56/~jnz1568/getInfo.php?workbook=14_09.xlsx&amp;sheet=U0&amp;row=4103&amp;col=6&amp;number=4.9&amp;sourceID=14","4.9")</f>
        <v>4.9</v>
      </c>
      <c r="G4103" s="4" t="str">
        <f>HYPERLINK("http://141.218.60.56/~jnz1568/getInfo.php?workbook=14_09.xlsx&amp;sheet=U0&amp;row=4103&amp;col=7&amp;number=0.0296&amp;sourceID=14","0.0296")</f>
        <v>0.0296</v>
      </c>
    </row>
    <row r="4104" spans="1:7">
      <c r="A4104" s="3">
        <v>14</v>
      </c>
      <c r="B4104" s="3">
        <v>9</v>
      </c>
      <c r="C4104" s="3">
        <v>2</v>
      </c>
      <c r="D4104" s="3">
        <v>14</v>
      </c>
      <c r="E4104" s="3">
        <v>1</v>
      </c>
      <c r="F4104" s="4" t="str">
        <f>HYPERLINK("http://141.218.60.56/~jnz1568/getInfo.php?workbook=14_09.xlsx&amp;sheet=U0&amp;row=4104&amp;col=6&amp;number=3&amp;sourceID=14","3")</f>
        <v>3</v>
      </c>
      <c r="G4104" s="4" t="str">
        <f>HYPERLINK("http://141.218.60.56/~jnz1568/getInfo.php?workbook=14_09.xlsx&amp;sheet=U0&amp;row=4104&amp;col=7&amp;number=0.0558&amp;sourceID=14","0.0558")</f>
        <v>0.0558</v>
      </c>
    </row>
    <row r="4105" spans="1:7">
      <c r="A4105" s="3"/>
      <c r="B4105" s="3"/>
      <c r="C4105" s="3"/>
      <c r="D4105" s="3"/>
      <c r="E4105" s="3">
        <v>2</v>
      </c>
      <c r="F4105" s="4" t="str">
        <f>HYPERLINK("http://141.218.60.56/~jnz1568/getInfo.php?workbook=14_09.xlsx&amp;sheet=U0&amp;row=4105&amp;col=6&amp;number=3.1&amp;sourceID=14","3.1")</f>
        <v>3.1</v>
      </c>
      <c r="G4105" s="4" t="str">
        <f>HYPERLINK("http://141.218.60.56/~jnz1568/getInfo.php?workbook=14_09.xlsx&amp;sheet=U0&amp;row=4105&amp;col=7&amp;number=0.0557&amp;sourceID=14","0.0557")</f>
        <v>0.0557</v>
      </c>
    </row>
    <row r="4106" spans="1:7">
      <c r="A4106" s="3"/>
      <c r="B4106" s="3"/>
      <c r="C4106" s="3"/>
      <c r="D4106" s="3"/>
      <c r="E4106" s="3">
        <v>3</v>
      </c>
      <c r="F4106" s="4" t="str">
        <f>HYPERLINK("http://141.218.60.56/~jnz1568/getInfo.php?workbook=14_09.xlsx&amp;sheet=U0&amp;row=4106&amp;col=6&amp;number=3.2&amp;sourceID=14","3.2")</f>
        <v>3.2</v>
      </c>
      <c r="G4106" s="4" t="str">
        <f>HYPERLINK("http://141.218.60.56/~jnz1568/getInfo.php?workbook=14_09.xlsx&amp;sheet=U0&amp;row=4106&amp;col=7&amp;number=0.0556&amp;sourceID=14","0.0556")</f>
        <v>0.0556</v>
      </c>
    </row>
    <row r="4107" spans="1:7">
      <c r="A4107" s="3"/>
      <c r="B4107" s="3"/>
      <c r="C4107" s="3"/>
      <c r="D4107" s="3"/>
      <c r="E4107" s="3">
        <v>4</v>
      </c>
      <c r="F4107" s="4" t="str">
        <f>HYPERLINK("http://141.218.60.56/~jnz1568/getInfo.php?workbook=14_09.xlsx&amp;sheet=U0&amp;row=4107&amp;col=6&amp;number=3.3&amp;sourceID=14","3.3")</f>
        <v>3.3</v>
      </c>
      <c r="G4107" s="4" t="str">
        <f>HYPERLINK("http://141.218.60.56/~jnz1568/getInfo.php?workbook=14_09.xlsx&amp;sheet=U0&amp;row=4107&amp;col=7&amp;number=0.0555&amp;sourceID=14","0.0555")</f>
        <v>0.0555</v>
      </c>
    </row>
    <row r="4108" spans="1:7">
      <c r="A4108" s="3"/>
      <c r="B4108" s="3"/>
      <c r="C4108" s="3"/>
      <c r="D4108" s="3"/>
      <c r="E4108" s="3">
        <v>5</v>
      </c>
      <c r="F4108" s="4" t="str">
        <f>HYPERLINK("http://141.218.60.56/~jnz1568/getInfo.php?workbook=14_09.xlsx&amp;sheet=U0&amp;row=4108&amp;col=6&amp;number=3.4&amp;sourceID=14","3.4")</f>
        <v>3.4</v>
      </c>
      <c r="G4108" s="4" t="str">
        <f>HYPERLINK("http://141.218.60.56/~jnz1568/getInfo.php?workbook=14_09.xlsx&amp;sheet=U0&amp;row=4108&amp;col=7&amp;number=0.0553&amp;sourceID=14","0.0553")</f>
        <v>0.0553</v>
      </c>
    </row>
    <row r="4109" spans="1:7">
      <c r="A4109" s="3"/>
      <c r="B4109" s="3"/>
      <c r="C4109" s="3"/>
      <c r="D4109" s="3"/>
      <c r="E4109" s="3">
        <v>6</v>
      </c>
      <c r="F4109" s="4" t="str">
        <f>HYPERLINK("http://141.218.60.56/~jnz1568/getInfo.php?workbook=14_09.xlsx&amp;sheet=U0&amp;row=4109&amp;col=6&amp;number=3.5&amp;sourceID=14","3.5")</f>
        <v>3.5</v>
      </c>
      <c r="G4109" s="4" t="str">
        <f>HYPERLINK("http://141.218.60.56/~jnz1568/getInfo.php?workbook=14_09.xlsx&amp;sheet=U0&amp;row=4109&amp;col=7&amp;number=0.0551&amp;sourceID=14","0.0551")</f>
        <v>0.0551</v>
      </c>
    </row>
    <row r="4110" spans="1:7">
      <c r="A4110" s="3"/>
      <c r="B4110" s="3"/>
      <c r="C4110" s="3"/>
      <c r="D4110" s="3"/>
      <c r="E4110" s="3">
        <v>7</v>
      </c>
      <c r="F4110" s="4" t="str">
        <f>HYPERLINK("http://141.218.60.56/~jnz1568/getInfo.php?workbook=14_09.xlsx&amp;sheet=U0&amp;row=4110&amp;col=6&amp;number=3.6&amp;sourceID=14","3.6")</f>
        <v>3.6</v>
      </c>
      <c r="G4110" s="4" t="str">
        <f>HYPERLINK("http://141.218.60.56/~jnz1568/getInfo.php?workbook=14_09.xlsx&amp;sheet=U0&amp;row=4110&amp;col=7&amp;number=0.0549&amp;sourceID=14","0.0549")</f>
        <v>0.0549</v>
      </c>
    </row>
    <row r="4111" spans="1:7">
      <c r="A4111" s="3"/>
      <c r="B4111" s="3"/>
      <c r="C4111" s="3"/>
      <c r="D4111" s="3"/>
      <c r="E4111" s="3">
        <v>8</v>
      </c>
      <c r="F4111" s="4" t="str">
        <f>HYPERLINK("http://141.218.60.56/~jnz1568/getInfo.php?workbook=14_09.xlsx&amp;sheet=U0&amp;row=4111&amp;col=6&amp;number=3.7&amp;sourceID=14","3.7")</f>
        <v>3.7</v>
      </c>
      <c r="G4111" s="4" t="str">
        <f>HYPERLINK("http://141.218.60.56/~jnz1568/getInfo.php?workbook=14_09.xlsx&amp;sheet=U0&amp;row=4111&amp;col=7&amp;number=0.0545&amp;sourceID=14","0.0545")</f>
        <v>0.0545</v>
      </c>
    </row>
    <row r="4112" spans="1:7">
      <c r="A4112" s="3"/>
      <c r="B4112" s="3"/>
      <c r="C4112" s="3"/>
      <c r="D4112" s="3"/>
      <c r="E4112" s="3">
        <v>9</v>
      </c>
      <c r="F4112" s="4" t="str">
        <f>HYPERLINK("http://141.218.60.56/~jnz1568/getInfo.php?workbook=14_09.xlsx&amp;sheet=U0&amp;row=4112&amp;col=6&amp;number=3.8&amp;sourceID=14","3.8")</f>
        <v>3.8</v>
      </c>
      <c r="G4112" s="4" t="str">
        <f>HYPERLINK("http://141.218.60.56/~jnz1568/getInfo.php?workbook=14_09.xlsx&amp;sheet=U0&amp;row=4112&amp;col=7&amp;number=0.0541&amp;sourceID=14","0.0541")</f>
        <v>0.0541</v>
      </c>
    </row>
    <row r="4113" spans="1:7">
      <c r="A4113" s="3"/>
      <c r="B4113" s="3"/>
      <c r="C4113" s="3"/>
      <c r="D4113" s="3"/>
      <c r="E4113" s="3">
        <v>10</v>
      </c>
      <c r="F4113" s="4" t="str">
        <f>HYPERLINK("http://141.218.60.56/~jnz1568/getInfo.php?workbook=14_09.xlsx&amp;sheet=U0&amp;row=4113&amp;col=6&amp;number=3.9&amp;sourceID=14","3.9")</f>
        <v>3.9</v>
      </c>
      <c r="G4113" s="4" t="str">
        <f>HYPERLINK("http://141.218.60.56/~jnz1568/getInfo.php?workbook=14_09.xlsx&amp;sheet=U0&amp;row=4113&amp;col=7&amp;number=0.0537&amp;sourceID=14","0.0537")</f>
        <v>0.0537</v>
      </c>
    </row>
    <row r="4114" spans="1:7">
      <c r="A4114" s="3"/>
      <c r="B4114" s="3"/>
      <c r="C4114" s="3"/>
      <c r="D4114" s="3"/>
      <c r="E4114" s="3">
        <v>11</v>
      </c>
      <c r="F4114" s="4" t="str">
        <f>HYPERLINK("http://141.218.60.56/~jnz1568/getInfo.php?workbook=14_09.xlsx&amp;sheet=U0&amp;row=4114&amp;col=6&amp;number=4&amp;sourceID=14","4")</f>
        <v>4</v>
      </c>
      <c r="G4114" s="4" t="str">
        <f>HYPERLINK("http://141.218.60.56/~jnz1568/getInfo.php?workbook=14_09.xlsx&amp;sheet=U0&amp;row=4114&amp;col=7&amp;number=0.053&amp;sourceID=14","0.053")</f>
        <v>0.053</v>
      </c>
    </row>
    <row r="4115" spans="1:7">
      <c r="A4115" s="3"/>
      <c r="B4115" s="3"/>
      <c r="C4115" s="3"/>
      <c r="D4115" s="3"/>
      <c r="E4115" s="3">
        <v>12</v>
      </c>
      <c r="F4115" s="4" t="str">
        <f>HYPERLINK("http://141.218.60.56/~jnz1568/getInfo.php?workbook=14_09.xlsx&amp;sheet=U0&amp;row=4115&amp;col=6&amp;number=4.1&amp;sourceID=14","4.1")</f>
        <v>4.1</v>
      </c>
      <c r="G4115" s="4" t="str">
        <f>HYPERLINK("http://141.218.60.56/~jnz1568/getInfo.php?workbook=14_09.xlsx&amp;sheet=U0&amp;row=4115&amp;col=7&amp;number=0.0523&amp;sourceID=14","0.0523")</f>
        <v>0.0523</v>
      </c>
    </row>
    <row r="4116" spans="1:7">
      <c r="A4116" s="3"/>
      <c r="B4116" s="3"/>
      <c r="C4116" s="3"/>
      <c r="D4116" s="3"/>
      <c r="E4116" s="3">
        <v>13</v>
      </c>
      <c r="F4116" s="4" t="str">
        <f>HYPERLINK("http://141.218.60.56/~jnz1568/getInfo.php?workbook=14_09.xlsx&amp;sheet=U0&amp;row=4116&amp;col=6&amp;number=4.2&amp;sourceID=14","4.2")</f>
        <v>4.2</v>
      </c>
      <c r="G4116" s="4" t="str">
        <f>HYPERLINK("http://141.218.60.56/~jnz1568/getInfo.php?workbook=14_09.xlsx&amp;sheet=U0&amp;row=4116&amp;col=7&amp;number=0.0513&amp;sourceID=14","0.0513")</f>
        <v>0.0513</v>
      </c>
    </row>
    <row r="4117" spans="1:7">
      <c r="A4117" s="3"/>
      <c r="B4117" s="3"/>
      <c r="C4117" s="3"/>
      <c r="D4117" s="3"/>
      <c r="E4117" s="3">
        <v>14</v>
      </c>
      <c r="F4117" s="4" t="str">
        <f>HYPERLINK("http://141.218.60.56/~jnz1568/getInfo.php?workbook=14_09.xlsx&amp;sheet=U0&amp;row=4117&amp;col=6&amp;number=4.3&amp;sourceID=14","4.3")</f>
        <v>4.3</v>
      </c>
      <c r="G4117" s="4" t="str">
        <f>HYPERLINK("http://141.218.60.56/~jnz1568/getInfo.php?workbook=14_09.xlsx&amp;sheet=U0&amp;row=4117&amp;col=7&amp;number=0.0502&amp;sourceID=14","0.0502")</f>
        <v>0.0502</v>
      </c>
    </row>
    <row r="4118" spans="1:7">
      <c r="A4118" s="3"/>
      <c r="B4118" s="3"/>
      <c r="C4118" s="3"/>
      <c r="D4118" s="3"/>
      <c r="E4118" s="3">
        <v>15</v>
      </c>
      <c r="F4118" s="4" t="str">
        <f>HYPERLINK("http://141.218.60.56/~jnz1568/getInfo.php?workbook=14_09.xlsx&amp;sheet=U0&amp;row=4118&amp;col=6&amp;number=4.4&amp;sourceID=14","4.4")</f>
        <v>4.4</v>
      </c>
      <c r="G4118" s="4" t="str">
        <f>HYPERLINK("http://141.218.60.56/~jnz1568/getInfo.php?workbook=14_09.xlsx&amp;sheet=U0&amp;row=4118&amp;col=7&amp;number=0.0488&amp;sourceID=14","0.0488")</f>
        <v>0.0488</v>
      </c>
    </row>
    <row r="4119" spans="1:7">
      <c r="A4119" s="3"/>
      <c r="B4119" s="3"/>
      <c r="C4119" s="3"/>
      <c r="D4119" s="3"/>
      <c r="E4119" s="3">
        <v>16</v>
      </c>
      <c r="F4119" s="4" t="str">
        <f>HYPERLINK("http://141.218.60.56/~jnz1568/getInfo.php?workbook=14_09.xlsx&amp;sheet=U0&amp;row=4119&amp;col=6&amp;number=4.5&amp;sourceID=14","4.5")</f>
        <v>4.5</v>
      </c>
      <c r="G4119" s="4" t="str">
        <f>HYPERLINK("http://141.218.60.56/~jnz1568/getInfo.php?workbook=14_09.xlsx&amp;sheet=U0&amp;row=4119&amp;col=7&amp;number=0.0471&amp;sourceID=14","0.0471")</f>
        <v>0.0471</v>
      </c>
    </row>
    <row r="4120" spans="1:7">
      <c r="A4120" s="3"/>
      <c r="B4120" s="3"/>
      <c r="C4120" s="3"/>
      <c r="D4120" s="3"/>
      <c r="E4120" s="3">
        <v>17</v>
      </c>
      <c r="F4120" s="4" t="str">
        <f>HYPERLINK("http://141.218.60.56/~jnz1568/getInfo.php?workbook=14_09.xlsx&amp;sheet=U0&amp;row=4120&amp;col=6&amp;number=4.6&amp;sourceID=14","4.6")</f>
        <v>4.6</v>
      </c>
      <c r="G4120" s="4" t="str">
        <f>HYPERLINK("http://141.218.60.56/~jnz1568/getInfo.php?workbook=14_09.xlsx&amp;sheet=U0&amp;row=4120&amp;col=7&amp;number=0.0451&amp;sourceID=14","0.0451")</f>
        <v>0.0451</v>
      </c>
    </row>
    <row r="4121" spans="1:7">
      <c r="A4121" s="3"/>
      <c r="B4121" s="3"/>
      <c r="C4121" s="3"/>
      <c r="D4121" s="3"/>
      <c r="E4121" s="3">
        <v>18</v>
      </c>
      <c r="F4121" s="4" t="str">
        <f>HYPERLINK("http://141.218.60.56/~jnz1568/getInfo.php?workbook=14_09.xlsx&amp;sheet=U0&amp;row=4121&amp;col=6&amp;number=4.7&amp;sourceID=14","4.7")</f>
        <v>4.7</v>
      </c>
      <c r="G4121" s="4" t="str">
        <f>HYPERLINK("http://141.218.60.56/~jnz1568/getInfo.php?workbook=14_09.xlsx&amp;sheet=U0&amp;row=4121&amp;col=7&amp;number=0.0428&amp;sourceID=14","0.0428")</f>
        <v>0.0428</v>
      </c>
    </row>
    <row r="4122" spans="1:7">
      <c r="A4122" s="3"/>
      <c r="B4122" s="3"/>
      <c r="C4122" s="3"/>
      <c r="D4122" s="3"/>
      <c r="E4122" s="3">
        <v>19</v>
      </c>
      <c r="F4122" s="4" t="str">
        <f>HYPERLINK("http://141.218.60.56/~jnz1568/getInfo.php?workbook=14_09.xlsx&amp;sheet=U0&amp;row=4122&amp;col=6&amp;number=4.8&amp;sourceID=14","4.8")</f>
        <v>4.8</v>
      </c>
      <c r="G4122" s="4" t="str">
        <f>HYPERLINK("http://141.218.60.56/~jnz1568/getInfo.php?workbook=14_09.xlsx&amp;sheet=U0&amp;row=4122&amp;col=7&amp;number=0.0403&amp;sourceID=14","0.0403")</f>
        <v>0.0403</v>
      </c>
    </row>
    <row r="4123" spans="1:7">
      <c r="A4123" s="3"/>
      <c r="B4123" s="3"/>
      <c r="C4123" s="3"/>
      <c r="D4123" s="3"/>
      <c r="E4123" s="3">
        <v>20</v>
      </c>
      <c r="F4123" s="4" t="str">
        <f>HYPERLINK("http://141.218.60.56/~jnz1568/getInfo.php?workbook=14_09.xlsx&amp;sheet=U0&amp;row=4123&amp;col=6&amp;number=4.9&amp;sourceID=14","4.9")</f>
        <v>4.9</v>
      </c>
      <c r="G4123" s="4" t="str">
        <f>HYPERLINK("http://141.218.60.56/~jnz1568/getInfo.php?workbook=14_09.xlsx&amp;sheet=U0&amp;row=4123&amp;col=7&amp;number=0.0376&amp;sourceID=14","0.0376")</f>
        <v>0.0376</v>
      </c>
    </row>
    <row r="4124" spans="1:7">
      <c r="A4124" s="3">
        <v>14</v>
      </c>
      <c r="B4124" s="3">
        <v>9</v>
      </c>
      <c r="C4124" s="3">
        <v>2</v>
      </c>
      <c r="D4124" s="3">
        <v>15</v>
      </c>
      <c r="E4124" s="3">
        <v>1</v>
      </c>
      <c r="F4124" s="4" t="str">
        <f>HYPERLINK("http://141.218.60.56/~jnz1568/getInfo.php?workbook=14_09.xlsx&amp;sheet=U0&amp;row=4124&amp;col=6&amp;number=3&amp;sourceID=14","3")</f>
        <v>3</v>
      </c>
      <c r="G4124" s="4" t="str">
        <f>HYPERLINK("http://141.218.60.56/~jnz1568/getInfo.php?workbook=14_09.xlsx&amp;sheet=U0&amp;row=4124&amp;col=7&amp;number=0.0603&amp;sourceID=14","0.0603")</f>
        <v>0.0603</v>
      </c>
    </row>
    <row r="4125" spans="1:7">
      <c r="A4125" s="3"/>
      <c r="B4125" s="3"/>
      <c r="C4125" s="3"/>
      <c r="D4125" s="3"/>
      <c r="E4125" s="3">
        <v>2</v>
      </c>
      <c r="F4125" s="4" t="str">
        <f>HYPERLINK("http://141.218.60.56/~jnz1568/getInfo.php?workbook=14_09.xlsx&amp;sheet=U0&amp;row=4125&amp;col=6&amp;number=3.1&amp;sourceID=14","3.1")</f>
        <v>3.1</v>
      </c>
      <c r="G4125" s="4" t="str">
        <f>HYPERLINK("http://141.218.60.56/~jnz1568/getInfo.php?workbook=14_09.xlsx&amp;sheet=U0&amp;row=4125&amp;col=7&amp;number=0.0602&amp;sourceID=14","0.0602")</f>
        <v>0.0602</v>
      </c>
    </row>
    <row r="4126" spans="1:7">
      <c r="A4126" s="3"/>
      <c r="B4126" s="3"/>
      <c r="C4126" s="3"/>
      <c r="D4126" s="3"/>
      <c r="E4126" s="3">
        <v>3</v>
      </c>
      <c r="F4126" s="4" t="str">
        <f>HYPERLINK("http://141.218.60.56/~jnz1568/getInfo.php?workbook=14_09.xlsx&amp;sheet=U0&amp;row=4126&amp;col=6&amp;number=3.2&amp;sourceID=14","3.2")</f>
        <v>3.2</v>
      </c>
      <c r="G4126" s="4" t="str">
        <f>HYPERLINK("http://141.218.60.56/~jnz1568/getInfo.php?workbook=14_09.xlsx&amp;sheet=U0&amp;row=4126&amp;col=7&amp;number=0.0601&amp;sourceID=14","0.0601")</f>
        <v>0.0601</v>
      </c>
    </row>
    <row r="4127" spans="1:7">
      <c r="A4127" s="3"/>
      <c r="B4127" s="3"/>
      <c r="C4127" s="3"/>
      <c r="D4127" s="3"/>
      <c r="E4127" s="3">
        <v>4</v>
      </c>
      <c r="F4127" s="4" t="str">
        <f>HYPERLINK("http://141.218.60.56/~jnz1568/getInfo.php?workbook=14_09.xlsx&amp;sheet=U0&amp;row=4127&amp;col=6&amp;number=3.3&amp;sourceID=14","3.3")</f>
        <v>3.3</v>
      </c>
      <c r="G4127" s="4" t="str">
        <f>HYPERLINK("http://141.218.60.56/~jnz1568/getInfo.php?workbook=14_09.xlsx&amp;sheet=U0&amp;row=4127&amp;col=7&amp;number=0.06&amp;sourceID=14","0.06")</f>
        <v>0.06</v>
      </c>
    </row>
    <row r="4128" spans="1:7">
      <c r="A4128" s="3"/>
      <c r="B4128" s="3"/>
      <c r="C4128" s="3"/>
      <c r="D4128" s="3"/>
      <c r="E4128" s="3">
        <v>5</v>
      </c>
      <c r="F4128" s="4" t="str">
        <f>HYPERLINK("http://141.218.60.56/~jnz1568/getInfo.php?workbook=14_09.xlsx&amp;sheet=U0&amp;row=4128&amp;col=6&amp;number=3.4&amp;sourceID=14","3.4")</f>
        <v>3.4</v>
      </c>
      <c r="G4128" s="4" t="str">
        <f>HYPERLINK("http://141.218.60.56/~jnz1568/getInfo.php?workbook=14_09.xlsx&amp;sheet=U0&amp;row=4128&amp;col=7&amp;number=0.0599&amp;sourceID=14","0.0599")</f>
        <v>0.0599</v>
      </c>
    </row>
    <row r="4129" spans="1:7">
      <c r="A4129" s="3"/>
      <c r="B4129" s="3"/>
      <c r="C4129" s="3"/>
      <c r="D4129" s="3"/>
      <c r="E4129" s="3">
        <v>6</v>
      </c>
      <c r="F4129" s="4" t="str">
        <f>HYPERLINK("http://141.218.60.56/~jnz1568/getInfo.php?workbook=14_09.xlsx&amp;sheet=U0&amp;row=4129&amp;col=6&amp;number=3.5&amp;sourceID=14","3.5")</f>
        <v>3.5</v>
      </c>
      <c r="G4129" s="4" t="str">
        <f>HYPERLINK("http://141.218.60.56/~jnz1568/getInfo.php?workbook=14_09.xlsx&amp;sheet=U0&amp;row=4129&amp;col=7&amp;number=0.0597&amp;sourceID=14","0.0597")</f>
        <v>0.0597</v>
      </c>
    </row>
    <row r="4130" spans="1:7">
      <c r="A4130" s="3"/>
      <c r="B4130" s="3"/>
      <c r="C4130" s="3"/>
      <c r="D4130" s="3"/>
      <c r="E4130" s="3">
        <v>7</v>
      </c>
      <c r="F4130" s="4" t="str">
        <f>HYPERLINK("http://141.218.60.56/~jnz1568/getInfo.php?workbook=14_09.xlsx&amp;sheet=U0&amp;row=4130&amp;col=6&amp;number=3.6&amp;sourceID=14","3.6")</f>
        <v>3.6</v>
      </c>
      <c r="G4130" s="4" t="str">
        <f>HYPERLINK("http://141.218.60.56/~jnz1568/getInfo.php?workbook=14_09.xlsx&amp;sheet=U0&amp;row=4130&amp;col=7&amp;number=0.0595&amp;sourceID=14","0.0595")</f>
        <v>0.0595</v>
      </c>
    </row>
    <row r="4131" spans="1:7">
      <c r="A4131" s="3"/>
      <c r="B4131" s="3"/>
      <c r="C4131" s="3"/>
      <c r="D4131" s="3"/>
      <c r="E4131" s="3">
        <v>8</v>
      </c>
      <c r="F4131" s="4" t="str">
        <f>HYPERLINK("http://141.218.60.56/~jnz1568/getInfo.php?workbook=14_09.xlsx&amp;sheet=U0&amp;row=4131&amp;col=6&amp;number=3.7&amp;sourceID=14","3.7")</f>
        <v>3.7</v>
      </c>
      <c r="G4131" s="4" t="str">
        <f>HYPERLINK("http://141.218.60.56/~jnz1568/getInfo.php?workbook=14_09.xlsx&amp;sheet=U0&amp;row=4131&amp;col=7&amp;number=0.0592&amp;sourceID=14","0.0592")</f>
        <v>0.0592</v>
      </c>
    </row>
    <row r="4132" spans="1:7">
      <c r="A4132" s="3"/>
      <c r="B4132" s="3"/>
      <c r="C4132" s="3"/>
      <c r="D4132" s="3"/>
      <c r="E4132" s="3">
        <v>9</v>
      </c>
      <c r="F4132" s="4" t="str">
        <f>HYPERLINK("http://141.218.60.56/~jnz1568/getInfo.php?workbook=14_09.xlsx&amp;sheet=U0&amp;row=4132&amp;col=6&amp;number=3.8&amp;sourceID=14","3.8")</f>
        <v>3.8</v>
      </c>
      <c r="G4132" s="4" t="str">
        <f>HYPERLINK("http://141.218.60.56/~jnz1568/getInfo.php?workbook=14_09.xlsx&amp;sheet=U0&amp;row=4132&amp;col=7&amp;number=0.0588&amp;sourceID=14","0.0588")</f>
        <v>0.0588</v>
      </c>
    </row>
    <row r="4133" spans="1:7">
      <c r="A4133" s="3"/>
      <c r="B4133" s="3"/>
      <c r="C4133" s="3"/>
      <c r="D4133" s="3"/>
      <c r="E4133" s="3">
        <v>10</v>
      </c>
      <c r="F4133" s="4" t="str">
        <f>HYPERLINK("http://141.218.60.56/~jnz1568/getInfo.php?workbook=14_09.xlsx&amp;sheet=U0&amp;row=4133&amp;col=6&amp;number=3.9&amp;sourceID=14","3.9")</f>
        <v>3.9</v>
      </c>
      <c r="G4133" s="4" t="str">
        <f>HYPERLINK("http://141.218.60.56/~jnz1568/getInfo.php?workbook=14_09.xlsx&amp;sheet=U0&amp;row=4133&amp;col=7&amp;number=0.0584&amp;sourceID=14","0.0584")</f>
        <v>0.0584</v>
      </c>
    </row>
    <row r="4134" spans="1:7">
      <c r="A4134" s="3"/>
      <c r="B4134" s="3"/>
      <c r="C4134" s="3"/>
      <c r="D4134" s="3"/>
      <c r="E4134" s="3">
        <v>11</v>
      </c>
      <c r="F4134" s="4" t="str">
        <f>HYPERLINK("http://141.218.60.56/~jnz1568/getInfo.php?workbook=14_09.xlsx&amp;sheet=U0&amp;row=4134&amp;col=6&amp;number=4&amp;sourceID=14","4")</f>
        <v>4</v>
      </c>
      <c r="G4134" s="4" t="str">
        <f>HYPERLINK("http://141.218.60.56/~jnz1568/getInfo.php?workbook=14_09.xlsx&amp;sheet=U0&amp;row=4134&amp;col=7&amp;number=0.0578&amp;sourceID=14","0.0578")</f>
        <v>0.0578</v>
      </c>
    </row>
    <row r="4135" spans="1:7">
      <c r="A4135" s="3"/>
      <c r="B4135" s="3"/>
      <c r="C4135" s="3"/>
      <c r="D4135" s="3"/>
      <c r="E4135" s="3">
        <v>12</v>
      </c>
      <c r="F4135" s="4" t="str">
        <f>HYPERLINK("http://141.218.60.56/~jnz1568/getInfo.php?workbook=14_09.xlsx&amp;sheet=U0&amp;row=4135&amp;col=6&amp;number=4.1&amp;sourceID=14","4.1")</f>
        <v>4.1</v>
      </c>
      <c r="G4135" s="4" t="str">
        <f>HYPERLINK("http://141.218.60.56/~jnz1568/getInfo.php?workbook=14_09.xlsx&amp;sheet=U0&amp;row=4135&amp;col=7&amp;number=0.0571&amp;sourceID=14","0.0571")</f>
        <v>0.0571</v>
      </c>
    </row>
    <row r="4136" spans="1:7">
      <c r="A4136" s="3"/>
      <c r="B4136" s="3"/>
      <c r="C4136" s="3"/>
      <c r="D4136" s="3"/>
      <c r="E4136" s="3">
        <v>13</v>
      </c>
      <c r="F4136" s="4" t="str">
        <f>HYPERLINK("http://141.218.60.56/~jnz1568/getInfo.php?workbook=14_09.xlsx&amp;sheet=U0&amp;row=4136&amp;col=6&amp;number=4.2&amp;sourceID=14","4.2")</f>
        <v>4.2</v>
      </c>
      <c r="G4136" s="4" t="str">
        <f>HYPERLINK("http://141.218.60.56/~jnz1568/getInfo.php?workbook=14_09.xlsx&amp;sheet=U0&amp;row=4136&amp;col=7&amp;number=0.0563&amp;sourceID=14","0.0563")</f>
        <v>0.0563</v>
      </c>
    </row>
    <row r="4137" spans="1:7">
      <c r="A4137" s="3"/>
      <c r="B4137" s="3"/>
      <c r="C4137" s="3"/>
      <c r="D4137" s="3"/>
      <c r="E4137" s="3">
        <v>14</v>
      </c>
      <c r="F4137" s="4" t="str">
        <f>HYPERLINK("http://141.218.60.56/~jnz1568/getInfo.php?workbook=14_09.xlsx&amp;sheet=U0&amp;row=4137&amp;col=6&amp;number=4.3&amp;sourceID=14","4.3")</f>
        <v>4.3</v>
      </c>
      <c r="G4137" s="4" t="str">
        <f>HYPERLINK("http://141.218.60.56/~jnz1568/getInfo.php?workbook=14_09.xlsx&amp;sheet=U0&amp;row=4137&amp;col=7&amp;number=0.0552&amp;sourceID=14","0.0552")</f>
        <v>0.0552</v>
      </c>
    </row>
    <row r="4138" spans="1:7">
      <c r="A4138" s="3"/>
      <c r="B4138" s="3"/>
      <c r="C4138" s="3"/>
      <c r="D4138" s="3"/>
      <c r="E4138" s="3">
        <v>15</v>
      </c>
      <c r="F4138" s="4" t="str">
        <f>HYPERLINK("http://141.218.60.56/~jnz1568/getInfo.php?workbook=14_09.xlsx&amp;sheet=U0&amp;row=4138&amp;col=6&amp;number=4.4&amp;sourceID=14","4.4")</f>
        <v>4.4</v>
      </c>
      <c r="G4138" s="4" t="str">
        <f>HYPERLINK("http://141.218.60.56/~jnz1568/getInfo.php?workbook=14_09.xlsx&amp;sheet=U0&amp;row=4138&amp;col=7&amp;number=0.0539&amp;sourceID=14","0.0539")</f>
        <v>0.0539</v>
      </c>
    </row>
    <row r="4139" spans="1:7">
      <c r="A4139" s="3"/>
      <c r="B4139" s="3"/>
      <c r="C4139" s="3"/>
      <c r="D4139" s="3"/>
      <c r="E4139" s="3">
        <v>16</v>
      </c>
      <c r="F4139" s="4" t="str">
        <f>HYPERLINK("http://141.218.60.56/~jnz1568/getInfo.php?workbook=14_09.xlsx&amp;sheet=U0&amp;row=4139&amp;col=6&amp;number=4.5&amp;sourceID=14","4.5")</f>
        <v>4.5</v>
      </c>
      <c r="G4139" s="4" t="str">
        <f>HYPERLINK("http://141.218.60.56/~jnz1568/getInfo.php?workbook=14_09.xlsx&amp;sheet=U0&amp;row=4139&amp;col=7&amp;number=0.0524&amp;sourceID=14","0.0524")</f>
        <v>0.0524</v>
      </c>
    </row>
    <row r="4140" spans="1:7">
      <c r="A4140" s="3"/>
      <c r="B4140" s="3"/>
      <c r="C4140" s="3"/>
      <c r="D4140" s="3"/>
      <c r="E4140" s="3">
        <v>17</v>
      </c>
      <c r="F4140" s="4" t="str">
        <f>HYPERLINK("http://141.218.60.56/~jnz1568/getInfo.php?workbook=14_09.xlsx&amp;sheet=U0&amp;row=4140&amp;col=6&amp;number=4.6&amp;sourceID=14","4.6")</f>
        <v>4.6</v>
      </c>
      <c r="G4140" s="4" t="str">
        <f>HYPERLINK("http://141.218.60.56/~jnz1568/getInfo.php?workbook=14_09.xlsx&amp;sheet=U0&amp;row=4140&amp;col=7&amp;number=0.0506&amp;sourceID=14","0.0506")</f>
        <v>0.0506</v>
      </c>
    </row>
    <row r="4141" spans="1:7">
      <c r="A4141" s="3"/>
      <c r="B4141" s="3"/>
      <c r="C4141" s="3"/>
      <c r="D4141" s="3"/>
      <c r="E4141" s="3">
        <v>18</v>
      </c>
      <c r="F4141" s="4" t="str">
        <f>HYPERLINK("http://141.218.60.56/~jnz1568/getInfo.php?workbook=14_09.xlsx&amp;sheet=U0&amp;row=4141&amp;col=6&amp;number=4.7&amp;sourceID=14","4.7")</f>
        <v>4.7</v>
      </c>
      <c r="G4141" s="4" t="str">
        <f>HYPERLINK("http://141.218.60.56/~jnz1568/getInfo.php?workbook=14_09.xlsx&amp;sheet=U0&amp;row=4141&amp;col=7&amp;number=0.0484&amp;sourceID=14","0.0484")</f>
        <v>0.0484</v>
      </c>
    </row>
    <row r="4142" spans="1:7">
      <c r="A4142" s="3"/>
      <c r="B4142" s="3"/>
      <c r="C4142" s="3"/>
      <c r="D4142" s="3"/>
      <c r="E4142" s="3">
        <v>19</v>
      </c>
      <c r="F4142" s="4" t="str">
        <f>HYPERLINK("http://141.218.60.56/~jnz1568/getInfo.php?workbook=14_09.xlsx&amp;sheet=U0&amp;row=4142&amp;col=6&amp;number=4.8&amp;sourceID=14","4.8")</f>
        <v>4.8</v>
      </c>
      <c r="G4142" s="4" t="str">
        <f>HYPERLINK("http://141.218.60.56/~jnz1568/getInfo.php?workbook=14_09.xlsx&amp;sheet=U0&amp;row=4142&amp;col=7&amp;number=0.046&amp;sourceID=14","0.046")</f>
        <v>0.046</v>
      </c>
    </row>
    <row r="4143" spans="1:7">
      <c r="A4143" s="3"/>
      <c r="B4143" s="3"/>
      <c r="C4143" s="3"/>
      <c r="D4143" s="3"/>
      <c r="E4143" s="3">
        <v>20</v>
      </c>
      <c r="F4143" s="4" t="str">
        <f>HYPERLINK("http://141.218.60.56/~jnz1568/getInfo.php?workbook=14_09.xlsx&amp;sheet=U0&amp;row=4143&amp;col=6&amp;number=4.9&amp;sourceID=14","4.9")</f>
        <v>4.9</v>
      </c>
      <c r="G4143" s="4" t="str">
        <f>HYPERLINK("http://141.218.60.56/~jnz1568/getInfo.php?workbook=14_09.xlsx&amp;sheet=U0&amp;row=4143&amp;col=7&amp;number=0.0434&amp;sourceID=14","0.0434")</f>
        <v>0.0434</v>
      </c>
    </row>
    <row r="4144" spans="1:7">
      <c r="A4144" s="3">
        <v>14</v>
      </c>
      <c r="B4144" s="3">
        <v>9</v>
      </c>
      <c r="C4144" s="3">
        <v>2</v>
      </c>
      <c r="D4144" s="3">
        <v>16</v>
      </c>
      <c r="E4144" s="3">
        <v>1</v>
      </c>
      <c r="F4144" s="4" t="str">
        <f>HYPERLINK("http://141.218.60.56/~jnz1568/getInfo.php?workbook=14_09.xlsx&amp;sheet=U0&amp;row=4144&amp;col=6&amp;number=3&amp;sourceID=14","3")</f>
        <v>3</v>
      </c>
      <c r="G4144" s="4" t="str">
        <f>HYPERLINK("http://141.218.60.56/~jnz1568/getInfo.php?workbook=14_09.xlsx&amp;sheet=U0&amp;row=4144&amp;col=7&amp;number=0.0508&amp;sourceID=14","0.0508")</f>
        <v>0.0508</v>
      </c>
    </row>
    <row r="4145" spans="1:7">
      <c r="A4145" s="3"/>
      <c r="B4145" s="3"/>
      <c r="C4145" s="3"/>
      <c r="D4145" s="3"/>
      <c r="E4145" s="3">
        <v>2</v>
      </c>
      <c r="F4145" s="4" t="str">
        <f>HYPERLINK("http://141.218.60.56/~jnz1568/getInfo.php?workbook=14_09.xlsx&amp;sheet=U0&amp;row=4145&amp;col=6&amp;number=3.1&amp;sourceID=14","3.1")</f>
        <v>3.1</v>
      </c>
      <c r="G4145" s="4" t="str">
        <f>HYPERLINK("http://141.218.60.56/~jnz1568/getInfo.php?workbook=14_09.xlsx&amp;sheet=U0&amp;row=4145&amp;col=7&amp;number=0.0507&amp;sourceID=14","0.0507")</f>
        <v>0.0507</v>
      </c>
    </row>
    <row r="4146" spans="1:7">
      <c r="A4146" s="3"/>
      <c r="B4146" s="3"/>
      <c r="C4146" s="3"/>
      <c r="D4146" s="3"/>
      <c r="E4146" s="3">
        <v>3</v>
      </c>
      <c r="F4146" s="4" t="str">
        <f>HYPERLINK("http://141.218.60.56/~jnz1568/getInfo.php?workbook=14_09.xlsx&amp;sheet=U0&amp;row=4146&amp;col=6&amp;number=3.2&amp;sourceID=14","3.2")</f>
        <v>3.2</v>
      </c>
      <c r="G4146" s="4" t="str">
        <f>HYPERLINK("http://141.218.60.56/~jnz1568/getInfo.php?workbook=14_09.xlsx&amp;sheet=U0&amp;row=4146&amp;col=7&amp;number=0.0507&amp;sourceID=14","0.0507")</f>
        <v>0.0507</v>
      </c>
    </row>
    <row r="4147" spans="1:7">
      <c r="A4147" s="3"/>
      <c r="B4147" s="3"/>
      <c r="C4147" s="3"/>
      <c r="D4147" s="3"/>
      <c r="E4147" s="3">
        <v>4</v>
      </c>
      <c r="F4147" s="4" t="str">
        <f>HYPERLINK("http://141.218.60.56/~jnz1568/getInfo.php?workbook=14_09.xlsx&amp;sheet=U0&amp;row=4147&amp;col=6&amp;number=3.3&amp;sourceID=14","3.3")</f>
        <v>3.3</v>
      </c>
      <c r="G4147" s="4" t="str">
        <f>HYPERLINK("http://141.218.60.56/~jnz1568/getInfo.php?workbook=14_09.xlsx&amp;sheet=U0&amp;row=4147&amp;col=7&amp;number=0.0506&amp;sourceID=14","0.0506")</f>
        <v>0.0506</v>
      </c>
    </row>
    <row r="4148" spans="1:7">
      <c r="A4148" s="3"/>
      <c r="B4148" s="3"/>
      <c r="C4148" s="3"/>
      <c r="D4148" s="3"/>
      <c r="E4148" s="3">
        <v>5</v>
      </c>
      <c r="F4148" s="4" t="str">
        <f>HYPERLINK("http://141.218.60.56/~jnz1568/getInfo.php?workbook=14_09.xlsx&amp;sheet=U0&amp;row=4148&amp;col=6&amp;number=3.4&amp;sourceID=14","3.4")</f>
        <v>3.4</v>
      </c>
      <c r="G4148" s="4" t="str">
        <f>HYPERLINK("http://141.218.60.56/~jnz1568/getInfo.php?workbook=14_09.xlsx&amp;sheet=U0&amp;row=4148&amp;col=7&amp;number=0.0504&amp;sourceID=14","0.0504")</f>
        <v>0.0504</v>
      </c>
    </row>
    <row r="4149" spans="1:7">
      <c r="A4149" s="3"/>
      <c r="B4149" s="3"/>
      <c r="C4149" s="3"/>
      <c r="D4149" s="3"/>
      <c r="E4149" s="3">
        <v>6</v>
      </c>
      <c r="F4149" s="4" t="str">
        <f>HYPERLINK("http://141.218.60.56/~jnz1568/getInfo.php?workbook=14_09.xlsx&amp;sheet=U0&amp;row=4149&amp;col=6&amp;number=3.5&amp;sourceID=14","3.5")</f>
        <v>3.5</v>
      </c>
      <c r="G4149" s="4" t="str">
        <f>HYPERLINK("http://141.218.60.56/~jnz1568/getInfo.php?workbook=14_09.xlsx&amp;sheet=U0&amp;row=4149&amp;col=7&amp;number=0.0503&amp;sourceID=14","0.0503")</f>
        <v>0.0503</v>
      </c>
    </row>
    <row r="4150" spans="1:7">
      <c r="A4150" s="3"/>
      <c r="B4150" s="3"/>
      <c r="C4150" s="3"/>
      <c r="D4150" s="3"/>
      <c r="E4150" s="3">
        <v>7</v>
      </c>
      <c r="F4150" s="4" t="str">
        <f>HYPERLINK("http://141.218.60.56/~jnz1568/getInfo.php?workbook=14_09.xlsx&amp;sheet=U0&amp;row=4150&amp;col=6&amp;number=3.6&amp;sourceID=14","3.6")</f>
        <v>3.6</v>
      </c>
      <c r="G4150" s="4" t="str">
        <f>HYPERLINK("http://141.218.60.56/~jnz1568/getInfo.php?workbook=14_09.xlsx&amp;sheet=U0&amp;row=4150&amp;col=7&amp;number=0.0501&amp;sourceID=14","0.0501")</f>
        <v>0.0501</v>
      </c>
    </row>
    <row r="4151" spans="1:7">
      <c r="A4151" s="3"/>
      <c r="B4151" s="3"/>
      <c r="C4151" s="3"/>
      <c r="D4151" s="3"/>
      <c r="E4151" s="3">
        <v>8</v>
      </c>
      <c r="F4151" s="4" t="str">
        <f>HYPERLINK("http://141.218.60.56/~jnz1568/getInfo.php?workbook=14_09.xlsx&amp;sheet=U0&amp;row=4151&amp;col=6&amp;number=3.7&amp;sourceID=14","3.7")</f>
        <v>3.7</v>
      </c>
      <c r="G4151" s="4" t="str">
        <f>HYPERLINK("http://141.218.60.56/~jnz1568/getInfo.php?workbook=14_09.xlsx&amp;sheet=U0&amp;row=4151&amp;col=7&amp;number=0.0498&amp;sourceID=14","0.0498")</f>
        <v>0.0498</v>
      </c>
    </row>
    <row r="4152" spans="1:7">
      <c r="A4152" s="3"/>
      <c r="B4152" s="3"/>
      <c r="C4152" s="3"/>
      <c r="D4152" s="3"/>
      <c r="E4152" s="3">
        <v>9</v>
      </c>
      <c r="F4152" s="4" t="str">
        <f>HYPERLINK("http://141.218.60.56/~jnz1568/getInfo.php?workbook=14_09.xlsx&amp;sheet=U0&amp;row=4152&amp;col=6&amp;number=3.8&amp;sourceID=14","3.8")</f>
        <v>3.8</v>
      </c>
      <c r="G4152" s="4" t="str">
        <f>HYPERLINK("http://141.218.60.56/~jnz1568/getInfo.php?workbook=14_09.xlsx&amp;sheet=U0&amp;row=4152&amp;col=7&amp;number=0.0495&amp;sourceID=14","0.0495")</f>
        <v>0.0495</v>
      </c>
    </row>
    <row r="4153" spans="1:7">
      <c r="A4153" s="3"/>
      <c r="B4153" s="3"/>
      <c r="C4153" s="3"/>
      <c r="D4153" s="3"/>
      <c r="E4153" s="3">
        <v>10</v>
      </c>
      <c r="F4153" s="4" t="str">
        <f>HYPERLINK("http://141.218.60.56/~jnz1568/getInfo.php?workbook=14_09.xlsx&amp;sheet=U0&amp;row=4153&amp;col=6&amp;number=3.9&amp;sourceID=14","3.9")</f>
        <v>3.9</v>
      </c>
      <c r="G4153" s="4" t="str">
        <f>HYPERLINK("http://141.218.60.56/~jnz1568/getInfo.php?workbook=14_09.xlsx&amp;sheet=U0&amp;row=4153&amp;col=7&amp;number=0.0491&amp;sourceID=14","0.0491")</f>
        <v>0.0491</v>
      </c>
    </row>
    <row r="4154" spans="1:7">
      <c r="A4154" s="3"/>
      <c r="B4154" s="3"/>
      <c r="C4154" s="3"/>
      <c r="D4154" s="3"/>
      <c r="E4154" s="3">
        <v>11</v>
      </c>
      <c r="F4154" s="4" t="str">
        <f>HYPERLINK("http://141.218.60.56/~jnz1568/getInfo.php?workbook=14_09.xlsx&amp;sheet=U0&amp;row=4154&amp;col=6&amp;number=4&amp;sourceID=14","4")</f>
        <v>4</v>
      </c>
      <c r="G4154" s="4" t="str">
        <f>HYPERLINK("http://141.218.60.56/~jnz1568/getInfo.php?workbook=14_09.xlsx&amp;sheet=U0&amp;row=4154&amp;col=7&amp;number=0.0486&amp;sourceID=14","0.0486")</f>
        <v>0.0486</v>
      </c>
    </row>
    <row r="4155" spans="1:7">
      <c r="A4155" s="3"/>
      <c r="B4155" s="3"/>
      <c r="C4155" s="3"/>
      <c r="D4155" s="3"/>
      <c r="E4155" s="3">
        <v>12</v>
      </c>
      <c r="F4155" s="4" t="str">
        <f>HYPERLINK("http://141.218.60.56/~jnz1568/getInfo.php?workbook=14_09.xlsx&amp;sheet=U0&amp;row=4155&amp;col=6&amp;number=4.1&amp;sourceID=14","4.1")</f>
        <v>4.1</v>
      </c>
      <c r="G4155" s="4" t="str">
        <f>HYPERLINK("http://141.218.60.56/~jnz1568/getInfo.php?workbook=14_09.xlsx&amp;sheet=U0&amp;row=4155&amp;col=7&amp;number=0.048&amp;sourceID=14","0.048")</f>
        <v>0.048</v>
      </c>
    </row>
    <row r="4156" spans="1:7">
      <c r="A4156" s="3"/>
      <c r="B4156" s="3"/>
      <c r="C4156" s="3"/>
      <c r="D4156" s="3"/>
      <c r="E4156" s="3">
        <v>13</v>
      </c>
      <c r="F4156" s="4" t="str">
        <f>HYPERLINK("http://141.218.60.56/~jnz1568/getInfo.php?workbook=14_09.xlsx&amp;sheet=U0&amp;row=4156&amp;col=6&amp;number=4.2&amp;sourceID=14","4.2")</f>
        <v>4.2</v>
      </c>
      <c r="G4156" s="4" t="str">
        <f>HYPERLINK("http://141.218.60.56/~jnz1568/getInfo.php?workbook=14_09.xlsx&amp;sheet=U0&amp;row=4156&amp;col=7&amp;number=0.0472&amp;sourceID=14","0.0472")</f>
        <v>0.0472</v>
      </c>
    </row>
    <row r="4157" spans="1:7">
      <c r="A4157" s="3"/>
      <c r="B4157" s="3"/>
      <c r="C4157" s="3"/>
      <c r="D4157" s="3"/>
      <c r="E4157" s="3">
        <v>14</v>
      </c>
      <c r="F4157" s="4" t="str">
        <f>HYPERLINK("http://141.218.60.56/~jnz1568/getInfo.php?workbook=14_09.xlsx&amp;sheet=U0&amp;row=4157&amp;col=6&amp;number=4.3&amp;sourceID=14","4.3")</f>
        <v>4.3</v>
      </c>
      <c r="G4157" s="4" t="str">
        <f>HYPERLINK("http://141.218.60.56/~jnz1568/getInfo.php?workbook=14_09.xlsx&amp;sheet=U0&amp;row=4157&amp;col=7&amp;number=0.0462&amp;sourceID=14","0.0462")</f>
        <v>0.0462</v>
      </c>
    </row>
    <row r="4158" spans="1:7">
      <c r="A4158" s="3"/>
      <c r="B4158" s="3"/>
      <c r="C4158" s="3"/>
      <c r="D4158" s="3"/>
      <c r="E4158" s="3">
        <v>15</v>
      </c>
      <c r="F4158" s="4" t="str">
        <f>HYPERLINK("http://141.218.60.56/~jnz1568/getInfo.php?workbook=14_09.xlsx&amp;sheet=U0&amp;row=4158&amp;col=6&amp;number=4.4&amp;sourceID=14","4.4")</f>
        <v>4.4</v>
      </c>
      <c r="G4158" s="4" t="str">
        <f>HYPERLINK("http://141.218.60.56/~jnz1568/getInfo.php?workbook=14_09.xlsx&amp;sheet=U0&amp;row=4158&amp;col=7&amp;number=0.0451&amp;sourceID=14","0.0451")</f>
        <v>0.0451</v>
      </c>
    </row>
    <row r="4159" spans="1:7">
      <c r="A4159" s="3"/>
      <c r="B4159" s="3"/>
      <c r="C4159" s="3"/>
      <c r="D4159" s="3"/>
      <c r="E4159" s="3">
        <v>16</v>
      </c>
      <c r="F4159" s="4" t="str">
        <f>HYPERLINK("http://141.218.60.56/~jnz1568/getInfo.php?workbook=14_09.xlsx&amp;sheet=U0&amp;row=4159&amp;col=6&amp;number=4.5&amp;sourceID=14","4.5")</f>
        <v>4.5</v>
      </c>
      <c r="G4159" s="4" t="str">
        <f>HYPERLINK("http://141.218.60.56/~jnz1568/getInfo.php?workbook=14_09.xlsx&amp;sheet=U0&amp;row=4159&amp;col=7&amp;number=0.0437&amp;sourceID=14","0.0437")</f>
        <v>0.0437</v>
      </c>
    </row>
    <row r="4160" spans="1:7">
      <c r="A4160" s="3"/>
      <c r="B4160" s="3"/>
      <c r="C4160" s="3"/>
      <c r="D4160" s="3"/>
      <c r="E4160" s="3">
        <v>17</v>
      </c>
      <c r="F4160" s="4" t="str">
        <f>HYPERLINK("http://141.218.60.56/~jnz1568/getInfo.php?workbook=14_09.xlsx&amp;sheet=U0&amp;row=4160&amp;col=6&amp;number=4.6&amp;sourceID=14","4.6")</f>
        <v>4.6</v>
      </c>
      <c r="G4160" s="4" t="str">
        <f>HYPERLINK("http://141.218.60.56/~jnz1568/getInfo.php?workbook=14_09.xlsx&amp;sheet=U0&amp;row=4160&amp;col=7&amp;number=0.0421&amp;sourceID=14","0.0421")</f>
        <v>0.0421</v>
      </c>
    </row>
    <row r="4161" spans="1:7">
      <c r="A4161" s="3"/>
      <c r="B4161" s="3"/>
      <c r="C4161" s="3"/>
      <c r="D4161" s="3"/>
      <c r="E4161" s="3">
        <v>18</v>
      </c>
      <c r="F4161" s="4" t="str">
        <f>HYPERLINK("http://141.218.60.56/~jnz1568/getInfo.php?workbook=14_09.xlsx&amp;sheet=U0&amp;row=4161&amp;col=6&amp;number=4.7&amp;sourceID=14","4.7")</f>
        <v>4.7</v>
      </c>
      <c r="G4161" s="4" t="str">
        <f>HYPERLINK("http://141.218.60.56/~jnz1568/getInfo.php?workbook=14_09.xlsx&amp;sheet=U0&amp;row=4161&amp;col=7&amp;number=0.0402&amp;sourceID=14","0.0402")</f>
        <v>0.0402</v>
      </c>
    </row>
    <row r="4162" spans="1:7">
      <c r="A4162" s="3"/>
      <c r="B4162" s="3"/>
      <c r="C4162" s="3"/>
      <c r="D4162" s="3"/>
      <c r="E4162" s="3">
        <v>19</v>
      </c>
      <c r="F4162" s="4" t="str">
        <f>HYPERLINK("http://141.218.60.56/~jnz1568/getInfo.php?workbook=14_09.xlsx&amp;sheet=U0&amp;row=4162&amp;col=6&amp;number=4.8&amp;sourceID=14","4.8")</f>
        <v>4.8</v>
      </c>
      <c r="G4162" s="4" t="str">
        <f>HYPERLINK("http://141.218.60.56/~jnz1568/getInfo.php?workbook=14_09.xlsx&amp;sheet=U0&amp;row=4162&amp;col=7&amp;number=0.0381&amp;sourceID=14","0.0381")</f>
        <v>0.0381</v>
      </c>
    </row>
    <row r="4163" spans="1:7">
      <c r="A4163" s="3"/>
      <c r="B4163" s="3"/>
      <c r="C4163" s="3"/>
      <c r="D4163" s="3"/>
      <c r="E4163" s="3">
        <v>20</v>
      </c>
      <c r="F4163" s="4" t="str">
        <f>HYPERLINK("http://141.218.60.56/~jnz1568/getInfo.php?workbook=14_09.xlsx&amp;sheet=U0&amp;row=4163&amp;col=6&amp;number=4.9&amp;sourceID=14","4.9")</f>
        <v>4.9</v>
      </c>
      <c r="G4163" s="4" t="str">
        <f>HYPERLINK("http://141.218.60.56/~jnz1568/getInfo.php?workbook=14_09.xlsx&amp;sheet=U0&amp;row=4163&amp;col=7&amp;number=0.036&amp;sourceID=14","0.036")</f>
        <v>0.036</v>
      </c>
    </row>
    <row r="4164" spans="1:7">
      <c r="A4164" s="3">
        <v>14</v>
      </c>
      <c r="B4164" s="3">
        <v>9</v>
      </c>
      <c r="C4164" s="3">
        <v>2</v>
      </c>
      <c r="D4164" s="3">
        <v>17</v>
      </c>
      <c r="E4164" s="3">
        <v>1</v>
      </c>
      <c r="F4164" s="4" t="str">
        <f>HYPERLINK("http://141.218.60.56/~jnz1568/getInfo.php?workbook=14_09.xlsx&amp;sheet=U0&amp;row=4164&amp;col=6&amp;number=3&amp;sourceID=14","3")</f>
        <v>3</v>
      </c>
      <c r="G4164" s="4" t="str">
        <f>HYPERLINK("http://141.218.60.56/~jnz1568/getInfo.php?workbook=14_09.xlsx&amp;sheet=U0&amp;row=4164&amp;col=7&amp;number=0.0212&amp;sourceID=14","0.0212")</f>
        <v>0.0212</v>
      </c>
    </row>
    <row r="4165" spans="1:7">
      <c r="A4165" s="3"/>
      <c r="B4165" s="3"/>
      <c r="C4165" s="3"/>
      <c r="D4165" s="3"/>
      <c r="E4165" s="3">
        <v>2</v>
      </c>
      <c r="F4165" s="4" t="str">
        <f>HYPERLINK("http://141.218.60.56/~jnz1568/getInfo.php?workbook=14_09.xlsx&amp;sheet=U0&amp;row=4165&amp;col=6&amp;number=3.1&amp;sourceID=14","3.1")</f>
        <v>3.1</v>
      </c>
      <c r="G4165" s="4" t="str">
        <f>HYPERLINK("http://141.218.60.56/~jnz1568/getInfo.php?workbook=14_09.xlsx&amp;sheet=U0&amp;row=4165&amp;col=7&amp;number=0.0212&amp;sourceID=14","0.0212")</f>
        <v>0.0212</v>
      </c>
    </row>
    <row r="4166" spans="1:7">
      <c r="A4166" s="3"/>
      <c r="B4166" s="3"/>
      <c r="C4166" s="3"/>
      <c r="D4166" s="3"/>
      <c r="E4166" s="3">
        <v>3</v>
      </c>
      <c r="F4166" s="4" t="str">
        <f>HYPERLINK("http://141.218.60.56/~jnz1568/getInfo.php?workbook=14_09.xlsx&amp;sheet=U0&amp;row=4166&amp;col=6&amp;number=3.2&amp;sourceID=14","3.2")</f>
        <v>3.2</v>
      </c>
      <c r="G4166" s="4" t="str">
        <f>HYPERLINK("http://141.218.60.56/~jnz1568/getInfo.php?workbook=14_09.xlsx&amp;sheet=U0&amp;row=4166&amp;col=7&amp;number=0.0212&amp;sourceID=14","0.0212")</f>
        <v>0.0212</v>
      </c>
    </row>
    <row r="4167" spans="1:7">
      <c r="A4167" s="3"/>
      <c r="B4167" s="3"/>
      <c r="C4167" s="3"/>
      <c r="D4167" s="3"/>
      <c r="E4167" s="3">
        <v>4</v>
      </c>
      <c r="F4167" s="4" t="str">
        <f>HYPERLINK("http://141.218.60.56/~jnz1568/getInfo.php?workbook=14_09.xlsx&amp;sheet=U0&amp;row=4167&amp;col=6&amp;number=3.3&amp;sourceID=14","3.3")</f>
        <v>3.3</v>
      </c>
      <c r="G4167" s="4" t="str">
        <f>HYPERLINK("http://141.218.60.56/~jnz1568/getInfo.php?workbook=14_09.xlsx&amp;sheet=U0&amp;row=4167&amp;col=7&amp;number=0.0212&amp;sourceID=14","0.0212")</f>
        <v>0.0212</v>
      </c>
    </row>
    <row r="4168" spans="1:7">
      <c r="A4168" s="3"/>
      <c r="B4168" s="3"/>
      <c r="C4168" s="3"/>
      <c r="D4168" s="3"/>
      <c r="E4168" s="3">
        <v>5</v>
      </c>
      <c r="F4168" s="4" t="str">
        <f>HYPERLINK("http://141.218.60.56/~jnz1568/getInfo.php?workbook=14_09.xlsx&amp;sheet=U0&amp;row=4168&amp;col=6&amp;number=3.4&amp;sourceID=14","3.4")</f>
        <v>3.4</v>
      </c>
      <c r="G4168" s="4" t="str">
        <f>HYPERLINK("http://141.218.60.56/~jnz1568/getInfo.php?workbook=14_09.xlsx&amp;sheet=U0&amp;row=4168&amp;col=7&amp;number=0.0212&amp;sourceID=14","0.0212")</f>
        <v>0.0212</v>
      </c>
    </row>
    <row r="4169" spans="1:7">
      <c r="A4169" s="3"/>
      <c r="B4169" s="3"/>
      <c r="C4169" s="3"/>
      <c r="D4169" s="3"/>
      <c r="E4169" s="3">
        <v>6</v>
      </c>
      <c r="F4169" s="4" t="str">
        <f>HYPERLINK("http://141.218.60.56/~jnz1568/getInfo.php?workbook=14_09.xlsx&amp;sheet=U0&amp;row=4169&amp;col=6&amp;number=3.5&amp;sourceID=14","3.5")</f>
        <v>3.5</v>
      </c>
      <c r="G4169" s="4" t="str">
        <f>HYPERLINK("http://141.218.60.56/~jnz1568/getInfo.php?workbook=14_09.xlsx&amp;sheet=U0&amp;row=4169&amp;col=7&amp;number=0.0211&amp;sourceID=14","0.0211")</f>
        <v>0.0211</v>
      </c>
    </row>
    <row r="4170" spans="1:7">
      <c r="A4170" s="3"/>
      <c r="B4170" s="3"/>
      <c r="C4170" s="3"/>
      <c r="D4170" s="3"/>
      <c r="E4170" s="3">
        <v>7</v>
      </c>
      <c r="F4170" s="4" t="str">
        <f>HYPERLINK("http://141.218.60.56/~jnz1568/getInfo.php?workbook=14_09.xlsx&amp;sheet=U0&amp;row=4170&amp;col=6&amp;number=3.6&amp;sourceID=14","3.6")</f>
        <v>3.6</v>
      </c>
      <c r="G4170" s="4" t="str">
        <f>HYPERLINK("http://141.218.60.56/~jnz1568/getInfo.php?workbook=14_09.xlsx&amp;sheet=U0&amp;row=4170&amp;col=7&amp;number=0.0211&amp;sourceID=14","0.0211")</f>
        <v>0.0211</v>
      </c>
    </row>
    <row r="4171" spans="1:7">
      <c r="A4171" s="3"/>
      <c r="B4171" s="3"/>
      <c r="C4171" s="3"/>
      <c r="D4171" s="3"/>
      <c r="E4171" s="3">
        <v>8</v>
      </c>
      <c r="F4171" s="4" t="str">
        <f>HYPERLINK("http://141.218.60.56/~jnz1568/getInfo.php?workbook=14_09.xlsx&amp;sheet=U0&amp;row=4171&amp;col=6&amp;number=3.7&amp;sourceID=14","3.7")</f>
        <v>3.7</v>
      </c>
      <c r="G4171" s="4" t="str">
        <f>HYPERLINK("http://141.218.60.56/~jnz1568/getInfo.php?workbook=14_09.xlsx&amp;sheet=U0&amp;row=4171&amp;col=7&amp;number=0.021&amp;sourceID=14","0.021")</f>
        <v>0.021</v>
      </c>
    </row>
    <row r="4172" spans="1:7">
      <c r="A4172" s="3"/>
      <c r="B4172" s="3"/>
      <c r="C4172" s="3"/>
      <c r="D4172" s="3"/>
      <c r="E4172" s="3">
        <v>9</v>
      </c>
      <c r="F4172" s="4" t="str">
        <f>HYPERLINK("http://141.218.60.56/~jnz1568/getInfo.php?workbook=14_09.xlsx&amp;sheet=U0&amp;row=4172&amp;col=6&amp;number=3.8&amp;sourceID=14","3.8")</f>
        <v>3.8</v>
      </c>
      <c r="G4172" s="4" t="str">
        <f>HYPERLINK("http://141.218.60.56/~jnz1568/getInfo.php?workbook=14_09.xlsx&amp;sheet=U0&amp;row=4172&amp;col=7&amp;number=0.0209&amp;sourceID=14","0.0209")</f>
        <v>0.0209</v>
      </c>
    </row>
    <row r="4173" spans="1:7">
      <c r="A4173" s="3"/>
      <c r="B4173" s="3"/>
      <c r="C4173" s="3"/>
      <c r="D4173" s="3"/>
      <c r="E4173" s="3">
        <v>10</v>
      </c>
      <c r="F4173" s="4" t="str">
        <f>HYPERLINK("http://141.218.60.56/~jnz1568/getInfo.php?workbook=14_09.xlsx&amp;sheet=U0&amp;row=4173&amp;col=6&amp;number=3.9&amp;sourceID=14","3.9")</f>
        <v>3.9</v>
      </c>
      <c r="G4173" s="4" t="str">
        <f>HYPERLINK("http://141.218.60.56/~jnz1568/getInfo.php?workbook=14_09.xlsx&amp;sheet=U0&amp;row=4173&amp;col=7&amp;number=0.0209&amp;sourceID=14","0.0209")</f>
        <v>0.0209</v>
      </c>
    </row>
    <row r="4174" spans="1:7">
      <c r="A4174" s="3"/>
      <c r="B4174" s="3"/>
      <c r="C4174" s="3"/>
      <c r="D4174" s="3"/>
      <c r="E4174" s="3">
        <v>11</v>
      </c>
      <c r="F4174" s="4" t="str">
        <f>HYPERLINK("http://141.218.60.56/~jnz1568/getInfo.php?workbook=14_09.xlsx&amp;sheet=U0&amp;row=4174&amp;col=6&amp;number=4&amp;sourceID=14","4")</f>
        <v>4</v>
      </c>
      <c r="G4174" s="4" t="str">
        <f>HYPERLINK("http://141.218.60.56/~jnz1568/getInfo.php?workbook=14_09.xlsx&amp;sheet=U0&amp;row=4174&amp;col=7&amp;number=0.0207&amp;sourceID=14","0.0207")</f>
        <v>0.0207</v>
      </c>
    </row>
    <row r="4175" spans="1:7">
      <c r="A4175" s="3"/>
      <c r="B4175" s="3"/>
      <c r="C4175" s="3"/>
      <c r="D4175" s="3"/>
      <c r="E4175" s="3">
        <v>12</v>
      </c>
      <c r="F4175" s="4" t="str">
        <f>HYPERLINK("http://141.218.60.56/~jnz1568/getInfo.php?workbook=14_09.xlsx&amp;sheet=U0&amp;row=4175&amp;col=6&amp;number=4.1&amp;sourceID=14","4.1")</f>
        <v>4.1</v>
      </c>
      <c r="G4175" s="4" t="str">
        <f>HYPERLINK("http://141.218.60.56/~jnz1568/getInfo.php?workbook=14_09.xlsx&amp;sheet=U0&amp;row=4175&amp;col=7&amp;number=0.0206&amp;sourceID=14","0.0206")</f>
        <v>0.0206</v>
      </c>
    </row>
    <row r="4176" spans="1:7">
      <c r="A4176" s="3"/>
      <c r="B4176" s="3"/>
      <c r="C4176" s="3"/>
      <c r="D4176" s="3"/>
      <c r="E4176" s="3">
        <v>13</v>
      </c>
      <c r="F4176" s="4" t="str">
        <f>HYPERLINK("http://141.218.60.56/~jnz1568/getInfo.php?workbook=14_09.xlsx&amp;sheet=U0&amp;row=4176&amp;col=6&amp;number=4.2&amp;sourceID=14","4.2")</f>
        <v>4.2</v>
      </c>
      <c r="G4176" s="4" t="str">
        <f>HYPERLINK("http://141.218.60.56/~jnz1568/getInfo.php?workbook=14_09.xlsx&amp;sheet=U0&amp;row=4176&amp;col=7&amp;number=0.0204&amp;sourceID=14","0.0204")</f>
        <v>0.0204</v>
      </c>
    </row>
    <row r="4177" spans="1:7">
      <c r="A4177" s="3"/>
      <c r="B4177" s="3"/>
      <c r="C4177" s="3"/>
      <c r="D4177" s="3"/>
      <c r="E4177" s="3">
        <v>14</v>
      </c>
      <c r="F4177" s="4" t="str">
        <f>HYPERLINK("http://141.218.60.56/~jnz1568/getInfo.php?workbook=14_09.xlsx&amp;sheet=U0&amp;row=4177&amp;col=6&amp;number=4.3&amp;sourceID=14","4.3")</f>
        <v>4.3</v>
      </c>
      <c r="G4177" s="4" t="str">
        <f>HYPERLINK("http://141.218.60.56/~jnz1568/getInfo.php?workbook=14_09.xlsx&amp;sheet=U0&amp;row=4177&amp;col=7&amp;number=0.0202&amp;sourceID=14","0.0202")</f>
        <v>0.0202</v>
      </c>
    </row>
    <row r="4178" spans="1:7">
      <c r="A4178" s="3"/>
      <c r="B4178" s="3"/>
      <c r="C4178" s="3"/>
      <c r="D4178" s="3"/>
      <c r="E4178" s="3">
        <v>15</v>
      </c>
      <c r="F4178" s="4" t="str">
        <f>HYPERLINK("http://141.218.60.56/~jnz1568/getInfo.php?workbook=14_09.xlsx&amp;sheet=U0&amp;row=4178&amp;col=6&amp;number=4.4&amp;sourceID=14","4.4")</f>
        <v>4.4</v>
      </c>
      <c r="G4178" s="4" t="str">
        <f>HYPERLINK("http://141.218.60.56/~jnz1568/getInfo.php?workbook=14_09.xlsx&amp;sheet=U0&amp;row=4178&amp;col=7&amp;number=0.02&amp;sourceID=14","0.02")</f>
        <v>0.02</v>
      </c>
    </row>
    <row r="4179" spans="1:7">
      <c r="A4179" s="3"/>
      <c r="B4179" s="3"/>
      <c r="C4179" s="3"/>
      <c r="D4179" s="3"/>
      <c r="E4179" s="3">
        <v>16</v>
      </c>
      <c r="F4179" s="4" t="str">
        <f>HYPERLINK("http://141.218.60.56/~jnz1568/getInfo.php?workbook=14_09.xlsx&amp;sheet=U0&amp;row=4179&amp;col=6&amp;number=4.5&amp;sourceID=14","4.5")</f>
        <v>4.5</v>
      </c>
      <c r="G4179" s="4" t="str">
        <f>HYPERLINK("http://141.218.60.56/~jnz1568/getInfo.php?workbook=14_09.xlsx&amp;sheet=U0&amp;row=4179&amp;col=7&amp;number=0.0197&amp;sourceID=14","0.0197")</f>
        <v>0.0197</v>
      </c>
    </row>
    <row r="4180" spans="1:7">
      <c r="A4180" s="3"/>
      <c r="B4180" s="3"/>
      <c r="C4180" s="3"/>
      <c r="D4180" s="3"/>
      <c r="E4180" s="3">
        <v>17</v>
      </c>
      <c r="F4180" s="4" t="str">
        <f>HYPERLINK("http://141.218.60.56/~jnz1568/getInfo.php?workbook=14_09.xlsx&amp;sheet=U0&amp;row=4180&amp;col=6&amp;number=4.6&amp;sourceID=14","4.6")</f>
        <v>4.6</v>
      </c>
      <c r="G4180" s="4" t="str">
        <f>HYPERLINK("http://141.218.60.56/~jnz1568/getInfo.php?workbook=14_09.xlsx&amp;sheet=U0&amp;row=4180&amp;col=7&amp;number=0.0193&amp;sourceID=14","0.0193")</f>
        <v>0.0193</v>
      </c>
    </row>
    <row r="4181" spans="1:7">
      <c r="A4181" s="3"/>
      <c r="B4181" s="3"/>
      <c r="C4181" s="3"/>
      <c r="D4181" s="3"/>
      <c r="E4181" s="3">
        <v>18</v>
      </c>
      <c r="F4181" s="4" t="str">
        <f>HYPERLINK("http://141.218.60.56/~jnz1568/getInfo.php?workbook=14_09.xlsx&amp;sheet=U0&amp;row=4181&amp;col=6&amp;number=4.7&amp;sourceID=14","4.7")</f>
        <v>4.7</v>
      </c>
      <c r="G4181" s="4" t="str">
        <f>HYPERLINK("http://141.218.60.56/~jnz1568/getInfo.php?workbook=14_09.xlsx&amp;sheet=U0&amp;row=4181&amp;col=7&amp;number=0.0189&amp;sourceID=14","0.0189")</f>
        <v>0.0189</v>
      </c>
    </row>
    <row r="4182" spans="1:7">
      <c r="A4182" s="3"/>
      <c r="B4182" s="3"/>
      <c r="C4182" s="3"/>
      <c r="D4182" s="3"/>
      <c r="E4182" s="3">
        <v>19</v>
      </c>
      <c r="F4182" s="4" t="str">
        <f>HYPERLINK("http://141.218.60.56/~jnz1568/getInfo.php?workbook=14_09.xlsx&amp;sheet=U0&amp;row=4182&amp;col=6&amp;number=4.8&amp;sourceID=14","4.8")</f>
        <v>4.8</v>
      </c>
      <c r="G4182" s="4" t="str">
        <f>HYPERLINK("http://141.218.60.56/~jnz1568/getInfo.php?workbook=14_09.xlsx&amp;sheet=U0&amp;row=4182&amp;col=7&amp;number=0.0184&amp;sourceID=14","0.0184")</f>
        <v>0.0184</v>
      </c>
    </row>
    <row r="4183" spans="1:7">
      <c r="A4183" s="3"/>
      <c r="B4183" s="3"/>
      <c r="C4183" s="3"/>
      <c r="D4183" s="3"/>
      <c r="E4183" s="3">
        <v>20</v>
      </c>
      <c r="F4183" s="4" t="str">
        <f>HYPERLINK("http://141.218.60.56/~jnz1568/getInfo.php?workbook=14_09.xlsx&amp;sheet=U0&amp;row=4183&amp;col=6&amp;number=4.9&amp;sourceID=14","4.9")</f>
        <v>4.9</v>
      </c>
      <c r="G4183" s="4" t="str">
        <f>HYPERLINK("http://141.218.60.56/~jnz1568/getInfo.php?workbook=14_09.xlsx&amp;sheet=U0&amp;row=4183&amp;col=7&amp;number=0.0179&amp;sourceID=14","0.0179")</f>
        <v>0.0179</v>
      </c>
    </row>
    <row r="4184" spans="1:7">
      <c r="A4184" s="3">
        <v>14</v>
      </c>
      <c r="B4184" s="3">
        <v>9</v>
      </c>
      <c r="C4184" s="3">
        <v>2</v>
      </c>
      <c r="D4184" s="3">
        <v>18</v>
      </c>
      <c r="E4184" s="3">
        <v>1</v>
      </c>
      <c r="F4184" s="4" t="str">
        <f>HYPERLINK("http://141.218.60.56/~jnz1568/getInfo.php?workbook=14_09.xlsx&amp;sheet=U0&amp;row=4184&amp;col=6&amp;number=3&amp;sourceID=14","3")</f>
        <v>3</v>
      </c>
      <c r="G4184" s="4" t="str">
        <f>HYPERLINK("http://141.218.60.56/~jnz1568/getInfo.php?workbook=14_09.xlsx&amp;sheet=U0&amp;row=4184&amp;col=7&amp;number=0.0875&amp;sourceID=14","0.0875")</f>
        <v>0.0875</v>
      </c>
    </row>
    <row r="4185" spans="1:7">
      <c r="A4185" s="3"/>
      <c r="B4185" s="3"/>
      <c r="C4185" s="3"/>
      <c r="D4185" s="3"/>
      <c r="E4185" s="3">
        <v>2</v>
      </c>
      <c r="F4185" s="4" t="str">
        <f>HYPERLINK("http://141.218.60.56/~jnz1568/getInfo.php?workbook=14_09.xlsx&amp;sheet=U0&amp;row=4185&amp;col=6&amp;number=3.1&amp;sourceID=14","3.1")</f>
        <v>3.1</v>
      </c>
      <c r="G4185" s="4" t="str">
        <f>HYPERLINK("http://141.218.60.56/~jnz1568/getInfo.php?workbook=14_09.xlsx&amp;sheet=U0&amp;row=4185&amp;col=7&amp;number=0.0874&amp;sourceID=14","0.0874")</f>
        <v>0.0874</v>
      </c>
    </row>
    <row r="4186" spans="1:7">
      <c r="A4186" s="3"/>
      <c r="B4186" s="3"/>
      <c r="C4186" s="3"/>
      <c r="D4186" s="3"/>
      <c r="E4186" s="3">
        <v>3</v>
      </c>
      <c r="F4186" s="4" t="str">
        <f>HYPERLINK("http://141.218.60.56/~jnz1568/getInfo.php?workbook=14_09.xlsx&amp;sheet=U0&amp;row=4186&amp;col=6&amp;number=3.2&amp;sourceID=14","3.2")</f>
        <v>3.2</v>
      </c>
      <c r="G4186" s="4" t="str">
        <f>HYPERLINK("http://141.218.60.56/~jnz1568/getInfo.php?workbook=14_09.xlsx&amp;sheet=U0&amp;row=4186&amp;col=7&amp;number=0.0872&amp;sourceID=14","0.0872")</f>
        <v>0.0872</v>
      </c>
    </row>
    <row r="4187" spans="1:7">
      <c r="A4187" s="3"/>
      <c r="B4187" s="3"/>
      <c r="C4187" s="3"/>
      <c r="D4187" s="3"/>
      <c r="E4187" s="3">
        <v>4</v>
      </c>
      <c r="F4187" s="4" t="str">
        <f>HYPERLINK("http://141.218.60.56/~jnz1568/getInfo.php?workbook=14_09.xlsx&amp;sheet=U0&amp;row=4187&amp;col=6&amp;number=3.3&amp;sourceID=14","3.3")</f>
        <v>3.3</v>
      </c>
      <c r="G4187" s="4" t="str">
        <f>HYPERLINK("http://141.218.60.56/~jnz1568/getInfo.php?workbook=14_09.xlsx&amp;sheet=U0&amp;row=4187&amp;col=7&amp;number=0.0871&amp;sourceID=14","0.0871")</f>
        <v>0.0871</v>
      </c>
    </row>
    <row r="4188" spans="1:7">
      <c r="A4188" s="3"/>
      <c r="B4188" s="3"/>
      <c r="C4188" s="3"/>
      <c r="D4188" s="3"/>
      <c r="E4188" s="3">
        <v>5</v>
      </c>
      <c r="F4188" s="4" t="str">
        <f>HYPERLINK("http://141.218.60.56/~jnz1568/getInfo.php?workbook=14_09.xlsx&amp;sheet=U0&amp;row=4188&amp;col=6&amp;number=3.4&amp;sourceID=14","3.4")</f>
        <v>3.4</v>
      </c>
      <c r="G4188" s="4" t="str">
        <f>HYPERLINK("http://141.218.60.56/~jnz1568/getInfo.php?workbook=14_09.xlsx&amp;sheet=U0&amp;row=4188&amp;col=7&amp;number=0.0868&amp;sourceID=14","0.0868")</f>
        <v>0.0868</v>
      </c>
    </row>
    <row r="4189" spans="1:7">
      <c r="A4189" s="3"/>
      <c r="B4189" s="3"/>
      <c r="C4189" s="3"/>
      <c r="D4189" s="3"/>
      <c r="E4189" s="3">
        <v>6</v>
      </c>
      <c r="F4189" s="4" t="str">
        <f>HYPERLINK("http://141.218.60.56/~jnz1568/getInfo.php?workbook=14_09.xlsx&amp;sheet=U0&amp;row=4189&amp;col=6&amp;number=3.5&amp;sourceID=14","3.5")</f>
        <v>3.5</v>
      </c>
      <c r="G4189" s="4" t="str">
        <f>HYPERLINK("http://141.218.60.56/~jnz1568/getInfo.php?workbook=14_09.xlsx&amp;sheet=U0&amp;row=4189&amp;col=7&amp;number=0.0866&amp;sourceID=14","0.0866")</f>
        <v>0.0866</v>
      </c>
    </row>
    <row r="4190" spans="1:7">
      <c r="A4190" s="3"/>
      <c r="B4190" s="3"/>
      <c r="C4190" s="3"/>
      <c r="D4190" s="3"/>
      <c r="E4190" s="3">
        <v>7</v>
      </c>
      <c r="F4190" s="4" t="str">
        <f>HYPERLINK("http://141.218.60.56/~jnz1568/getInfo.php?workbook=14_09.xlsx&amp;sheet=U0&amp;row=4190&amp;col=6&amp;number=3.6&amp;sourceID=14","3.6")</f>
        <v>3.6</v>
      </c>
      <c r="G4190" s="4" t="str">
        <f>HYPERLINK("http://141.218.60.56/~jnz1568/getInfo.php?workbook=14_09.xlsx&amp;sheet=U0&amp;row=4190&amp;col=7&amp;number=0.0862&amp;sourceID=14","0.0862")</f>
        <v>0.0862</v>
      </c>
    </row>
    <row r="4191" spans="1:7">
      <c r="A4191" s="3"/>
      <c r="B4191" s="3"/>
      <c r="C4191" s="3"/>
      <c r="D4191" s="3"/>
      <c r="E4191" s="3">
        <v>8</v>
      </c>
      <c r="F4191" s="4" t="str">
        <f>HYPERLINK("http://141.218.60.56/~jnz1568/getInfo.php?workbook=14_09.xlsx&amp;sheet=U0&amp;row=4191&amp;col=6&amp;number=3.7&amp;sourceID=14","3.7")</f>
        <v>3.7</v>
      </c>
      <c r="G4191" s="4" t="str">
        <f>HYPERLINK("http://141.218.60.56/~jnz1568/getInfo.php?workbook=14_09.xlsx&amp;sheet=U0&amp;row=4191&amp;col=7&amp;number=0.0858&amp;sourceID=14","0.0858")</f>
        <v>0.0858</v>
      </c>
    </row>
    <row r="4192" spans="1:7">
      <c r="A4192" s="3"/>
      <c r="B4192" s="3"/>
      <c r="C4192" s="3"/>
      <c r="D4192" s="3"/>
      <c r="E4192" s="3">
        <v>9</v>
      </c>
      <c r="F4192" s="4" t="str">
        <f>HYPERLINK("http://141.218.60.56/~jnz1568/getInfo.php?workbook=14_09.xlsx&amp;sheet=U0&amp;row=4192&amp;col=6&amp;number=3.8&amp;sourceID=14","3.8")</f>
        <v>3.8</v>
      </c>
      <c r="G4192" s="4" t="str">
        <f>HYPERLINK("http://141.218.60.56/~jnz1568/getInfo.php?workbook=14_09.xlsx&amp;sheet=U0&amp;row=4192&amp;col=7&amp;number=0.0852&amp;sourceID=14","0.0852")</f>
        <v>0.0852</v>
      </c>
    </row>
    <row r="4193" spans="1:7">
      <c r="A4193" s="3"/>
      <c r="B4193" s="3"/>
      <c r="C4193" s="3"/>
      <c r="D4193" s="3"/>
      <c r="E4193" s="3">
        <v>10</v>
      </c>
      <c r="F4193" s="4" t="str">
        <f>HYPERLINK("http://141.218.60.56/~jnz1568/getInfo.php?workbook=14_09.xlsx&amp;sheet=U0&amp;row=4193&amp;col=6&amp;number=3.9&amp;sourceID=14","3.9")</f>
        <v>3.9</v>
      </c>
      <c r="G4193" s="4" t="str">
        <f>HYPERLINK("http://141.218.60.56/~jnz1568/getInfo.php?workbook=14_09.xlsx&amp;sheet=U0&amp;row=4193&amp;col=7&amp;number=0.0845&amp;sourceID=14","0.0845")</f>
        <v>0.0845</v>
      </c>
    </row>
    <row r="4194" spans="1:7">
      <c r="A4194" s="3"/>
      <c r="B4194" s="3"/>
      <c r="C4194" s="3"/>
      <c r="D4194" s="3"/>
      <c r="E4194" s="3">
        <v>11</v>
      </c>
      <c r="F4194" s="4" t="str">
        <f>HYPERLINK("http://141.218.60.56/~jnz1568/getInfo.php?workbook=14_09.xlsx&amp;sheet=U0&amp;row=4194&amp;col=6&amp;number=4&amp;sourceID=14","4")</f>
        <v>4</v>
      </c>
      <c r="G4194" s="4" t="str">
        <f>HYPERLINK("http://141.218.60.56/~jnz1568/getInfo.php?workbook=14_09.xlsx&amp;sheet=U0&amp;row=4194&amp;col=7&amp;number=0.0837&amp;sourceID=14","0.0837")</f>
        <v>0.0837</v>
      </c>
    </row>
    <row r="4195" spans="1:7">
      <c r="A4195" s="3"/>
      <c r="B4195" s="3"/>
      <c r="C4195" s="3"/>
      <c r="D4195" s="3"/>
      <c r="E4195" s="3">
        <v>12</v>
      </c>
      <c r="F4195" s="4" t="str">
        <f>HYPERLINK("http://141.218.60.56/~jnz1568/getInfo.php?workbook=14_09.xlsx&amp;sheet=U0&amp;row=4195&amp;col=6&amp;number=4.1&amp;sourceID=14","4.1")</f>
        <v>4.1</v>
      </c>
      <c r="G4195" s="4" t="str">
        <f>HYPERLINK("http://141.218.60.56/~jnz1568/getInfo.php?workbook=14_09.xlsx&amp;sheet=U0&amp;row=4195&amp;col=7&amp;number=0.0826&amp;sourceID=14","0.0826")</f>
        <v>0.0826</v>
      </c>
    </row>
    <row r="4196" spans="1:7">
      <c r="A4196" s="3"/>
      <c r="B4196" s="3"/>
      <c r="C4196" s="3"/>
      <c r="D4196" s="3"/>
      <c r="E4196" s="3">
        <v>13</v>
      </c>
      <c r="F4196" s="4" t="str">
        <f>HYPERLINK("http://141.218.60.56/~jnz1568/getInfo.php?workbook=14_09.xlsx&amp;sheet=U0&amp;row=4196&amp;col=6&amp;number=4.2&amp;sourceID=14","4.2")</f>
        <v>4.2</v>
      </c>
      <c r="G4196" s="4" t="str">
        <f>HYPERLINK("http://141.218.60.56/~jnz1568/getInfo.php?workbook=14_09.xlsx&amp;sheet=U0&amp;row=4196&amp;col=7&amp;number=0.0813&amp;sourceID=14","0.0813")</f>
        <v>0.0813</v>
      </c>
    </row>
    <row r="4197" spans="1:7">
      <c r="A4197" s="3"/>
      <c r="B4197" s="3"/>
      <c r="C4197" s="3"/>
      <c r="D4197" s="3"/>
      <c r="E4197" s="3">
        <v>14</v>
      </c>
      <c r="F4197" s="4" t="str">
        <f>HYPERLINK("http://141.218.60.56/~jnz1568/getInfo.php?workbook=14_09.xlsx&amp;sheet=U0&amp;row=4197&amp;col=6&amp;number=4.3&amp;sourceID=14","4.3")</f>
        <v>4.3</v>
      </c>
      <c r="G4197" s="4" t="str">
        <f>HYPERLINK("http://141.218.60.56/~jnz1568/getInfo.php?workbook=14_09.xlsx&amp;sheet=U0&amp;row=4197&amp;col=7&amp;number=0.0797&amp;sourceID=14","0.0797")</f>
        <v>0.0797</v>
      </c>
    </row>
    <row r="4198" spans="1:7">
      <c r="A4198" s="3"/>
      <c r="B4198" s="3"/>
      <c r="C4198" s="3"/>
      <c r="D4198" s="3"/>
      <c r="E4198" s="3">
        <v>15</v>
      </c>
      <c r="F4198" s="4" t="str">
        <f>HYPERLINK("http://141.218.60.56/~jnz1568/getInfo.php?workbook=14_09.xlsx&amp;sheet=U0&amp;row=4198&amp;col=6&amp;number=4.4&amp;sourceID=14","4.4")</f>
        <v>4.4</v>
      </c>
      <c r="G4198" s="4" t="str">
        <f>HYPERLINK("http://141.218.60.56/~jnz1568/getInfo.php?workbook=14_09.xlsx&amp;sheet=U0&amp;row=4198&amp;col=7&amp;number=0.0777&amp;sourceID=14","0.0777")</f>
        <v>0.0777</v>
      </c>
    </row>
    <row r="4199" spans="1:7">
      <c r="A4199" s="3"/>
      <c r="B4199" s="3"/>
      <c r="C4199" s="3"/>
      <c r="D4199" s="3"/>
      <c r="E4199" s="3">
        <v>16</v>
      </c>
      <c r="F4199" s="4" t="str">
        <f>HYPERLINK("http://141.218.60.56/~jnz1568/getInfo.php?workbook=14_09.xlsx&amp;sheet=U0&amp;row=4199&amp;col=6&amp;number=4.5&amp;sourceID=14","4.5")</f>
        <v>4.5</v>
      </c>
      <c r="G4199" s="4" t="str">
        <f>HYPERLINK("http://141.218.60.56/~jnz1568/getInfo.php?workbook=14_09.xlsx&amp;sheet=U0&amp;row=4199&amp;col=7&amp;number=0.0753&amp;sourceID=14","0.0753")</f>
        <v>0.0753</v>
      </c>
    </row>
    <row r="4200" spans="1:7">
      <c r="A4200" s="3"/>
      <c r="B4200" s="3"/>
      <c r="C4200" s="3"/>
      <c r="D4200" s="3"/>
      <c r="E4200" s="3">
        <v>17</v>
      </c>
      <c r="F4200" s="4" t="str">
        <f>HYPERLINK("http://141.218.60.56/~jnz1568/getInfo.php?workbook=14_09.xlsx&amp;sheet=U0&amp;row=4200&amp;col=6&amp;number=4.6&amp;sourceID=14","4.6")</f>
        <v>4.6</v>
      </c>
      <c r="G4200" s="4" t="str">
        <f>HYPERLINK("http://141.218.60.56/~jnz1568/getInfo.php?workbook=14_09.xlsx&amp;sheet=U0&amp;row=4200&amp;col=7&amp;number=0.0724&amp;sourceID=14","0.0724")</f>
        <v>0.0724</v>
      </c>
    </row>
    <row r="4201" spans="1:7">
      <c r="A4201" s="3"/>
      <c r="B4201" s="3"/>
      <c r="C4201" s="3"/>
      <c r="D4201" s="3"/>
      <c r="E4201" s="3">
        <v>18</v>
      </c>
      <c r="F4201" s="4" t="str">
        <f>HYPERLINK("http://141.218.60.56/~jnz1568/getInfo.php?workbook=14_09.xlsx&amp;sheet=U0&amp;row=4201&amp;col=6&amp;number=4.7&amp;sourceID=14","4.7")</f>
        <v>4.7</v>
      </c>
      <c r="G4201" s="4" t="str">
        <f>HYPERLINK("http://141.218.60.56/~jnz1568/getInfo.php?workbook=14_09.xlsx&amp;sheet=U0&amp;row=4201&amp;col=7&amp;number=0.0691&amp;sourceID=14","0.0691")</f>
        <v>0.0691</v>
      </c>
    </row>
    <row r="4202" spans="1:7">
      <c r="A4202" s="3"/>
      <c r="B4202" s="3"/>
      <c r="C4202" s="3"/>
      <c r="D4202" s="3"/>
      <c r="E4202" s="3">
        <v>19</v>
      </c>
      <c r="F4202" s="4" t="str">
        <f>HYPERLINK("http://141.218.60.56/~jnz1568/getInfo.php?workbook=14_09.xlsx&amp;sheet=U0&amp;row=4202&amp;col=6&amp;number=4.8&amp;sourceID=14","4.8")</f>
        <v>4.8</v>
      </c>
      <c r="G4202" s="4" t="str">
        <f>HYPERLINK("http://141.218.60.56/~jnz1568/getInfo.php?workbook=14_09.xlsx&amp;sheet=U0&amp;row=4202&amp;col=7&amp;number=0.0652&amp;sourceID=14","0.0652")</f>
        <v>0.0652</v>
      </c>
    </row>
    <row r="4203" spans="1:7">
      <c r="A4203" s="3"/>
      <c r="B4203" s="3"/>
      <c r="C4203" s="3"/>
      <c r="D4203" s="3"/>
      <c r="E4203" s="3">
        <v>20</v>
      </c>
      <c r="F4203" s="4" t="str">
        <f>HYPERLINK("http://141.218.60.56/~jnz1568/getInfo.php?workbook=14_09.xlsx&amp;sheet=U0&amp;row=4203&amp;col=6&amp;number=4.9&amp;sourceID=14","4.9")</f>
        <v>4.9</v>
      </c>
      <c r="G4203" s="4" t="str">
        <f>HYPERLINK("http://141.218.60.56/~jnz1568/getInfo.php?workbook=14_09.xlsx&amp;sheet=U0&amp;row=4203&amp;col=7&amp;number=0.061&amp;sourceID=14","0.061")</f>
        <v>0.061</v>
      </c>
    </row>
    <row r="4204" spans="1:7">
      <c r="A4204" s="3">
        <v>14</v>
      </c>
      <c r="B4204" s="3">
        <v>9</v>
      </c>
      <c r="C4204" s="3">
        <v>2</v>
      </c>
      <c r="D4204" s="3">
        <v>19</v>
      </c>
      <c r="E4204" s="3">
        <v>1</v>
      </c>
      <c r="F4204" s="4" t="str">
        <f>HYPERLINK("http://141.218.60.56/~jnz1568/getInfo.php?workbook=14_09.xlsx&amp;sheet=U0&amp;row=4204&amp;col=6&amp;number=3&amp;sourceID=14","3")</f>
        <v>3</v>
      </c>
      <c r="G4204" s="4" t="str">
        <f>HYPERLINK("http://141.218.60.56/~jnz1568/getInfo.php?workbook=14_09.xlsx&amp;sheet=U0&amp;row=4204&amp;col=7&amp;number=0.081&amp;sourceID=14","0.081")</f>
        <v>0.081</v>
      </c>
    </row>
    <row r="4205" spans="1:7">
      <c r="A4205" s="3"/>
      <c r="B4205" s="3"/>
      <c r="C4205" s="3"/>
      <c r="D4205" s="3"/>
      <c r="E4205" s="3">
        <v>2</v>
      </c>
      <c r="F4205" s="4" t="str">
        <f>HYPERLINK("http://141.218.60.56/~jnz1568/getInfo.php?workbook=14_09.xlsx&amp;sheet=U0&amp;row=4205&amp;col=6&amp;number=3.1&amp;sourceID=14","3.1")</f>
        <v>3.1</v>
      </c>
      <c r="G4205" s="4" t="str">
        <f>HYPERLINK("http://141.218.60.56/~jnz1568/getInfo.php?workbook=14_09.xlsx&amp;sheet=U0&amp;row=4205&amp;col=7&amp;number=0.0809&amp;sourceID=14","0.0809")</f>
        <v>0.0809</v>
      </c>
    </row>
    <row r="4206" spans="1:7">
      <c r="A4206" s="3"/>
      <c r="B4206" s="3"/>
      <c r="C4206" s="3"/>
      <c r="D4206" s="3"/>
      <c r="E4206" s="3">
        <v>3</v>
      </c>
      <c r="F4206" s="4" t="str">
        <f>HYPERLINK("http://141.218.60.56/~jnz1568/getInfo.php?workbook=14_09.xlsx&amp;sheet=U0&amp;row=4206&amp;col=6&amp;number=3.2&amp;sourceID=14","3.2")</f>
        <v>3.2</v>
      </c>
      <c r="G4206" s="4" t="str">
        <f>HYPERLINK("http://141.218.60.56/~jnz1568/getInfo.php?workbook=14_09.xlsx&amp;sheet=U0&amp;row=4206&amp;col=7&amp;number=0.0808&amp;sourceID=14","0.0808")</f>
        <v>0.0808</v>
      </c>
    </row>
    <row r="4207" spans="1:7">
      <c r="A4207" s="3"/>
      <c r="B4207" s="3"/>
      <c r="C4207" s="3"/>
      <c r="D4207" s="3"/>
      <c r="E4207" s="3">
        <v>4</v>
      </c>
      <c r="F4207" s="4" t="str">
        <f>HYPERLINK("http://141.218.60.56/~jnz1568/getInfo.php?workbook=14_09.xlsx&amp;sheet=U0&amp;row=4207&amp;col=6&amp;number=3.3&amp;sourceID=14","3.3")</f>
        <v>3.3</v>
      </c>
      <c r="G4207" s="4" t="str">
        <f>HYPERLINK("http://141.218.60.56/~jnz1568/getInfo.php?workbook=14_09.xlsx&amp;sheet=U0&amp;row=4207&amp;col=7&amp;number=0.0806&amp;sourceID=14","0.0806")</f>
        <v>0.0806</v>
      </c>
    </row>
    <row r="4208" spans="1:7">
      <c r="A4208" s="3"/>
      <c r="B4208" s="3"/>
      <c r="C4208" s="3"/>
      <c r="D4208" s="3"/>
      <c r="E4208" s="3">
        <v>5</v>
      </c>
      <c r="F4208" s="4" t="str">
        <f>HYPERLINK("http://141.218.60.56/~jnz1568/getInfo.php?workbook=14_09.xlsx&amp;sheet=U0&amp;row=4208&amp;col=6&amp;number=3.4&amp;sourceID=14","3.4")</f>
        <v>3.4</v>
      </c>
      <c r="G4208" s="4" t="str">
        <f>HYPERLINK("http://141.218.60.56/~jnz1568/getInfo.php?workbook=14_09.xlsx&amp;sheet=U0&amp;row=4208&amp;col=7&amp;number=0.0804&amp;sourceID=14","0.0804")</f>
        <v>0.0804</v>
      </c>
    </row>
    <row r="4209" spans="1:7">
      <c r="A4209" s="3"/>
      <c r="B4209" s="3"/>
      <c r="C4209" s="3"/>
      <c r="D4209" s="3"/>
      <c r="E4209" s="3">
        <v>6</v>
      </c>
      <c r="F4209" s="4" t="str">
        <f>HYPERLINK("http://141.218.60.56/~jnz1568/getInfo.php?workbook=14_09.xlsx&amp;sheet=U0&amp;row=4209&amp;col=6&amp;number=3.5&amp;sourceID=14","3.5")</f>
        <v>3.5</v>
      </c>
      <c r="G4209" s="4" t="str">
        <f>HYPERLINK("http://141.218.60.56/~jnz1568/getInfo.php?workbook=14_09.xlsx&amp;sheet=U0&amp;row=4209&amp;col=7&amp;number=0.0802&amp;sourceID=14","0.0802")</f>
        <v>0.0802</v>
      </c>
    </row>
    <row r="4210" spans="1:7">
      <c r="A4210" s="3"/>
      <c r="B4210" s="3"/>
      <c r="C4210" s="3"/>
      <c r="D4210" s="3"/>
      <c r="E4210" s="3">
        <v>7</v>
      </c>
      <c r="F4210" s="4" t="str">
        <f>HYPERLINK("http://141.218.60.56/~jnz1568/getInfo.php?workbook=14_09.xlsx&amp;sheet=U0&amp;row=4210&amp;col=6&amp;number=3.6&amp;sourceID=14","3.6")</f>
        <v>3.6</v>
      </c>
      <c r="G4210" s="4" t="str">
        <f>HYPERLINK("http://141.218.60.56/~jnz1568/getInfo.php?workbook=14_09.xlsx&amp;sheet=U0&amp;row=4210&amp;col=7&amp;number=0.0799&amp;sourceID=14","0.0799")</f>
        <v>0.0799</v>
      </c>
    </row>
    <row r="4211" spans="1:7">
      <c r="A4211" s="3"/>
      <c r="B4211" s="3"/>
      <c r="C4211" s="3"/>
      <c r="D4211" s="3"/>
      <c r="E4211" s="3">
        <v>8</v>
      </c>
      <c r="F4211" s="4" t="str">
        <f>HYPERLINK("http://141.218.60.56/~jnz1568/getInfo.php?workbook=14_09.xlsx&amp;sheet=U0&amp;row=4211&amp;col=6&amp;number=3.7&amp;sourceID=14","3.7")</f>
        <v>3.7</v>
      </c>
      <c r="G4211" s="4" t="str">
        <f>HYPERLINK("http://141.218.60.56/~jnz1568/getInfo.php?workbook=14_09.xlsx&amp;sheet=U0&amp;row=4211&amp;col=7&amp;number=0.0795&amp;sourceID=14","0.0795")</f>
        <v>0.0795</v>
      </c>
    </row>
    <row r="4212" spans="1:7">
      <c r="A4212" s="3"/>
      <c r="B4212" s="3"/>
      <c r="C4212" s="3"/>
      <c r="D4212" s="3"/>
      <c r="E4212" s="3">
        <v>9</v>
      </c>
      <c r="F4212" s="4" t="str">
        <f>HYPERLINK("http://141.218.60.56/~jnz1568/getInfo.php?workbook=14_09.xlsx&amp;sheet=U0&amp;row=4212&amp;col=6&amp;number=3.8&amp;sourceID=14","3.8")</f>
        <v>3.8</v>
      </c>
      <c r="G4212" s="4" t="str">
        <f>HYPERLINK("http://141.218.60.56/~jnz1568/getInfo.php?workbook=14_09.xlsx&amp;sheet=U0&amp;row=4212&amp;col=7&amp;number=0.079&amp;sourceID=14","0.079")</f>
        <v>0.079</v>
      </c>
    </row>
    <row r="4213" spans="1:7">
      <c r="A4213" s="3"/>
      <c r="B4213" s="3"/>
      <c r="C4213" s="3"/>
      <c r="D4213" s="3"/>
      <c r="E4213" s="3">
        <v>10</v>
      </c>
      <c r="F4213" s="4" t="str">
        <f>HYPERLINK("http://141.218.60.56/~jnz1568/getInfo.php?workbook=14_09.xlsx&amp;sheet=U0&amp;row=4213&amp;col=6&amp;number=3.9&amp;sourceID=14","3.9")</f>
        <v>3.9</v>
      </c>
      <c r="G4213" s="4" t="str">
        <f>HYPERLINK("http://141.218.60.56/~jnz1568/getInfo.php?workbook=14_09.xlsx&amp;sheet=U0&amp;row=4213&amp;col=7&amp;number=0.0784&amp;sourceID=14","0.0784")</f>
        <v>0.0784</v>
      </c>
    </row>
    <row r="4214" spans="1:7">
      <c r="A4214" s="3"/>
      <c r="B4214" s="3"/>
      <c r="C4214" s="3"/>
      <c r="D4214" s="3"/>
      <c r="E4214" s="3">
        <v>11</v>
      </c>
      <c r="F4214" s="4" t="str">
        <f>HYPERLINK("http://141.218.60.56/~jnz1568/getInfo.php?workbook=14_09.xlsx&amp;sheet=U0&amp;row=4214&amp;col=6&amp;number=4&amp;sourceID=14","4")</f>
        <v>4</v>
      </c>
      <c r="G4214" s="4" t="str">
        <f>HYPERLINK("http://141.218.60.56/~jnz1568/getInfo.php?workbook=14_09.xlsx&amp;sheet=U0&amp;row=4214&amp;col=7&amp;number=0.0777&amp;sourceID=14","0.0777")</f>
        <v>0.0777</v>
      </c>
    </row>
    <row r="4215" spans="1:7">
      <c r="A4215" s="3"/>
      <c r="B4215" s="3"/>
      <c r="C4215" s="3"/>
      <c r="D4215" s="3"/>
      <c r="E4215" s="3">
        <v>12</v>
      </c>
      <c r="F4215" s="4" t="str">
        <f>HYPERLINK("http://141.218.60.56/~jnz1568/getInfo.php?workbook=14_09.xlsx&amp;sheet=U0&amp;row=4215&amp;col=6&amp;number=4.1&amp;sourceID=14","4.1")</f>
        <v>4.1</v>
      </c>
      <c r="G4215" s="4" t="str">
        <f>HYPERLINK("http://141.218.60.56/~jnz1568/getInfo.php?workbook=14_09.xlsx&amp;sheet=U0&amp;row=4215&amp;col=7&amp;number=0.0767&amp;sourceID=14","0.0767")</f>
        <v>0.0767</v>
      </c>
    </row>
    <row r="4216" spans="1:7">
      <c r="A4216" s="3"/>
      <c r="B4216" s="3"/>
      <c r="C4216" s="3"/>
      <c r="D4216" s="3"/>
      <c r="E4216" s="3">
        <v>13</v>
      </c>
      <c r="F4216" s="4" t="str">
        <f>HYPERLINK("http://141.218.60.56/~jnz1568/getInfo.php?workbook=14_09.xlsx&amp;sheet=U0&amp;row=4216&amp;col=6&amp;number=4.2&amp;sourceID=14","4.2")</f>
        <v>4.2</v>
      </c>
      <c r="G4216" s="4" t="str">
        <f>HYPERLINK("http://141.218.60.56/~jnz1568/getInfo.php?workbook=14_09.xlsx&amp;sheet=U0&amp;row=4216&amp;col=7&amp;number=0.0756&amp;sourceID=14","0.0756")</f>
        <v>0.0756</v>
      </c>
    </row>
    <row r="4217" spans="1:7">
      <c r="A4217" s="3"/>
      <c r="B4217" s="3"/>
      <c r="C4217" s="3"/>
      <c r="D4217" s="3"/>
      <c r="E4217" s="3">
        <v>14</v>
      </c>
      <c r="F4217" s="4" t="str">
        <f>HYPERLINK("http://141.218.60.56/~jnz1568/getInfo.php?workbook=14_09.xlsx&amp;sheet=U0&amp;row=4217&amp;col=6&amp;number=4.3&amp;sourceID=14","4.3")</f>
        <v>4.3</v>
      </c>
      <c r="G4217" s="4" t="str">
        <f>HYPERLINK("http://141.218.60.56/~jnz1568/getInfo.php?workbook=14_09.xlsx&amp;sheet=U0&amp;row=4217&amp;col=7&amp;number=0.0741&amp;sourceID=14","0.0741")</f>
        <v>0.0741</v>
      </c>
    </row>
    <row r="4218" spans="1:7">
      <c r="A4218" s="3"/>
      <c r="B4218" s="3"/>
      <c r="C4218" s="3"/>
      <c r="D4218" s="3"/>
      <c r="E4218" s="3">
        <v>15</v>
      </c>
      <c r="F4218" s="4" t="str">
        <f>HYPERLINK("http://141.218.60.56/~jnz1568/getInfo.php?workbook=14_09.xlsx&amp;sheet=U0&amp;row=4218&amp;col=6&amp;number=4.4&amp;sourceID=14","4.4")</f>
        <v>4.4</v>
      </c>
      <c r="G4218" s="4" t="str">
        <f>HYPERLINK("http://141.218.60.56/~jnz1568/getInfo.php?workbook=14_09.xlsx&amp;sheet=U0&amp;row=4218&amp;col=7&amp;number=0.0724&amp;sourceID=14","0.0724")</f>
        <v>0.0724</v>
      </c>
    </row>
    <row r="4219" spans="1:7">
      <c r="A4219" s="3"/>
      <c r="B4219" s="3"/>
      <c r="C4219" s="3"/>
      <c r="D4219" s="3"/>
      <c r="E4219" s="3">
        <v>16</v>
      </c>
      <c r="F4219" s="4" t="str">
        <f>HYPERLINK("http://141.218.60.56/~jnz1568/getInfo.php?workbook=14_09.xlsx&amp;sheet=U0&amp;row=4219&amp;col=6&amp;number=4.5&amp;sourceID=14","4.5")</f>
        <v>4.5</v>
      </c>
      <c r="G4219" s="4" t="str">
        <f>HYPERLINK("http://141.218.60.56/~jnz1568/getInfo.php?workbook=14_09.xlsx&amp;sheet=U0&amp;row=4219&amp;col=7&amp;number=0.0703&amp;sourceID=14","0.0703")</f>
        <v>0.0703</v>
      </c>
    </row>
    <row r="4220" spans="1:7">
      <c r="A4220" s="3"/>
      <c r="B4220" s="3"/>
      <c r="C4220" s="3"/>
      <c r="D4220" s="3"/>
      <c r="E4220" s="3">
        <v>17</v>
      </c>
      <c r="F4220" s="4" t="str">
        <f>HYPERLINK("http://141.218.60.56/~jnz1568/getInfo.php?workbook=14_09.xlsx&amp;sheet=U0&amp;row=4220&amp;col=6&amp;number=4.6&amp;sourceID=14","4.6")</f>
        <v>4.6</v>
      </c>
      <c r="G4220" s="4" t="str">
        <f>HYPERLINK("http://141.218.60.56/~jnz1568/getInfo.php?workbook=14_09.xlsx&amp;sheet=U0&amp;row=4220&amp;col=7&amp;number=0.0677&amp;sourceID=14","0.0677")</f>
        <v>0.0677</v>
      </c>
    </row>
    <row r="4221" spans="1:7">
      <c r="A4221" s="3"/>
      <c r="B4221" s="3"/>
      <c r="C4221" s="3"/>
      <c r="D4221" s="3"/>
      <c r="E4221" s="3">
        <v>18</v>
      </c>
      <c r="F4221" s="4" t="str">
        <f>HYPERLINK("http://141.218.60.56/~jnz1568/getInfo.php?workbook=14_09.xlsx&amp;sheet=U0&amp;row=4221&amp;col=6&amp;number=4.7&amp;sourceID=14","4.7")</f>
        <v>4.7</v>
      </c>
      <c r="G4221" s="4" t="str">
        <f>HYPERLINK("http://141.218.60.56/~jnz1568/getInfo.php?workbook=14_09.xlsx&amp;sheet=U0&amp;row=4221&amp;col=7&amp;number=0.0647&amp;sourceID=14","0.0647")</f>
        <v>0.0647</v>
      </c>
    </row>
    <row r="4222" spans="1:7">
      <c r="A4222" s="3"/>
      <c r="B4222" s="3"/>
      <c r="C4222" s="3"/>
      <c r="D4222" s="3"/>
      <c r="E4222" s="3">
        <v>19</v>
      </c>
      <c r="F4222" s="4" t="str">
        <f>HYPERLINK("http://141.218.60.56/~jnz1568/getInfo.php?workbook=14_09.xlsx&amp;sheet=U0&amp;row=4222&amp;col=6&amp;number=4.8&amp;sourceID=14","4.8")</f>
        <v>4.8</v>
      </c>
      <c r="G4222" s="4" t="str">
        <f>HYPERLINK("http://141.218.60.56/~jnz1568/getInfo.php?workbook=14_09.xlsx&amp;sheet=U0&amp;row=4222&amp;col=7&amp;number=0.0613&amp;sourceID=14","0.0613")</f>
        <v>0.0613</v>
      </c>
    </row>
    <row r="4223" spans="1:7">
      <c r="A4223" s="3"/>
      <c r="B4223" s="3"/>
      <c r="C4223" s="3"/>
      <c r="D4223" s="3"/>
      <c r="E4223" s="3">
        <v>20</v>
      </c>
      <c r="F4223" s="4" t="str">
        <f>HYPERLINK("http://141.218.60.56/~jnz1568/getInfo.php?workbook=14_09.xlsx&amp;sheet=U0&amp;row=4223&amp;col=6&amp;number=4.9&amp;sourceID=14","4.9")</f>
        <v>4.9</v>
      </c>
      <c r="G4223" s="4" t="str">
        <f>HYPERLINK("http://141.218.60.56/~jnz1568/getInfo.php?workbook=14_09.xlsx&amp;sheet=U0&amp;row=4223&amp;col=7&amp;number=0.0575&amp;sourceID=14","0.0575")</f>
        <v>0.0575</v>
      </c>
    </row>
    <row r="4224" spans="1:7">
      <c r="A4224" s="3">
        <v>14</v>
      </c>
      <c r="B4224" s="3">
        <v>9</v>
      </c>
      <c r="C4224" s="3">
        <v>2</v>
      </c>
      <c r="D4224" s="3">
        <v>20</v>
      </c>
      <c r="E4224" s="3">
        <v>1</v>
      </c>
      <c r="F4224" s="4" t="str">
        <f>HYPERLINK("http://141.218.60.56/~jnz1568/getInfo.php?workbook=14_09.xlsx&amp;sheet=U0&amp;row=4224&amp;col=6&amp;number=3&amp;sourceID=14","3")</f>
        <v>3</v>
      </c>
      <c r="G4224" s="4" t="str">
        <f>HYPERLINK("http://141.218.60.56/~jnz1568/getInfo.php?workbook=14_09.xlsx&amp;sheet=U0&amp;row=4224&amp;col=7&amp;number=0.0517&amp;sourceID=14","0.0517")</f>
        <v>0.0517</v>
      </c>
    </row>
    <row r="4225" spans="1:7">
      <c r="A4225" s="3"/>
      <c r="B4225" s="3"/>
      <c r="C4225" s="3"/>
      <c r="D4225" s="3"/>
      <c r="E4225" s="3">
        <v>2</v>
      </c>
      <c r="F4225" s="4" t="str">
        <f>HYPERLINK("http://141.218.60.56/~jnz1568/getInfo.php?workbook=14_09.xlsx&amp;sheet=U0&amp;row=4225&amp;col=6&amp;number=3.1&amp;sourceID=14","3.1")</f>
        <v>3.1</v>
      </c>
      <c r="G4225" s="4" t="str">
        <f>HYPERLINK("http://141.218.60.56/~jnz1568/getInfo.php?workbook=14_09.xlsx&amp;sheet=U0&amp;row=4225&amp;col=7&amp;number=0.0517&amp;sourceID=14","0.0517")</f>
        <v>0.0517</v>
      </c>
    </row>
    <row r="4226" spans="1:7">
      <c r="A4226" s="3"/>
      <c r="B4226" s="3"/>
      <c r="C4226" s="3"/>
      <c r="D4226" s="3"/>
      <c r="E4226" s="3">
        <v>3</v>
      </c>
      <c r="F4226" s="4" t="str">
        <f>HYPERLINK("http://141.218.60.56/~jnz1568/getInfo.php?workbook=14_09.xlsx&amp;sheet=U0&amp;row=4226&amp;col=6&amp;number=3.2&amp;sourceID=14","3.2")</f>
        <v>3.2</v>
      </c>
      <c r="G4226" s="4" t="str">
        <f>HYPERLINK("http://141.218.60.56/~jnz1568/getInfo.php?workbook=14_09.xlsx&amp;sheet=U0&amp;row=4226&amp;col=7&amp;number=0.0516&amp;sourceID=14","0.0516")</f>
        <v>0.0516</v>
      </c>
    </row>
    <row r="4227" spans="1:7">
      <c r="A4227" s="3"/>
      <c r="B4227" s="3"/>
      <c r="C4227" s="3"/>
      <c r="D4227" s="3"/>
      <c r="E4227" s="3">
        <v>4</v>
      </c>
      <c r="F4227" s="4" t="str">
        <f>HYPERLINK("http://141.218.60.56/~jnz1568/getInfo.php?workbook=14_09.xlsx&amp;sheet=U0&amp;row=4227&amp;col=6&amp;number=3.3&amp;sourceID=14","3.3")</f>
        <v>3.3</v>
      </c>
      <c r="G4227" s="4" t="str">
        <f>HYPERLINK("http://141.218.60.56/~jnz1568/getInfo.php?workbook=14_09.xlsx&amp;sheet=U0&amp;row=4227&amp;col=7&amp;number=0.0516&amp;sourceID=14","0.0516")</f>
        <v>0.0516</v>
      </c>
    </row>
    <row r="4228" spans="1:7">
      <c r="A4228" s="3"/>
      <c r="B4228" s="3"/>
      <c r="C4228" s="3"/>
      <c r="D4228" s="3"/>
      <c r="E4228" s="3">
        <v>5</v>
      </c>
      <c r="F4228" s="4" t="str">
        <f>HYPERLINK("http://141.218.60.56/~jnz1568/getInfo.php?workbook=14_09.xlsx&amp;sheet=U0&amp;row=4228&amp;col=6&amp;number=3.4&amp;sourceID=14","3.4")</f>
        <v>3.4</v>
      </c>
      <c r="G4228" s="4" t="str">
        <f>HYPERLINK("http://141.218.60.56/~jnz1568/getInfo.php?workbook=14_09.xlsx&amp;sheet=U0&amp;row=4228&amp;col=7&amp;number=0.0515&amp;sourceID=14","0.0515")</f>
        <v>0.0515</v>
      </c>
    </row>
    <row r="4229" spans="1:7">
      <c r="A4229" s="3"/>
      <c r="B4229" s="3"/>
      <c r="C4229" s="3"/>
      <c r="D4229" s="3"/>
      <c r="E4229" s="3">
        <v>6</v>
      </c>
      <c r="F4229" s="4" t="str">
        <f>HYPERLINK("http://141.218.60.56/~jnz1568/getInfo.php?workbook=14_09.xlsx&amp;sheet=U0&amp;row=4229&amp;col=6&amp;number=3.5&amp;sourceID=14","3.5")</f>
        <v>3.5</v>
      </c>
      <c r="G4229" s="4" t="str">
        <f>HYPERLINK("http://141.218.60.56/~jnz1568/getInfo.php?workbook=14_09.xlsx&amp;sheet=U0&amp;row=4229&amp;col=7&amp;number=0.0515&amp;sourceID=14","0.0515")</f>
        <v>0.0515</v>
      </c>
    </row>
    <row r="4230" spans="1:7">
      <c r="A4230" s="3"/>
      <c r="B4230" s="3"/>
      <c r="C4230" s="3"/>
      <c r="D4230" s="3"/>
      <c r="E4230" s="3">
        <v>7</v>
      </c>
      <c r="F4230" s="4" t="str">
        <f>HYPERLINK("http://141.218.60.56/~jnz1568/getInfo.php?workbook=14_09.xlsx&amp;sheet=U0&amp;row=4230&amp;col=6&amp;number=3.6&amp;sourceID=14","3.6")</f>
        <v>3.6</v>
      </c>
      <c r="G4230" s="4" t="str">
        <f>HYPERLINK("http://141.218.60.56/~jnz1568/getInfo.php?workbook=14_09.xlsx&amp;sheet=U0&amp;row=4230&amp;col=7&amp;number=0.0514&amp;sourceID=14","0.0514")</f>
        <v>0.0514</v>
      </c>
    </row>
    <row r="4231" spans="1:7">
      <c r="A4231" s="3"/>
      <c r="B4231" s="3"/>
      <c r="C4231" s="3"/>
      <c r="D4231" s="3"/>
      <c r="E4231" s="3">
        <v>8</v>
      </c>
      <c r="F4231" s="4" t="str">
        <f>HYPERLINK("http://141.218.60.56/~jnz1568/getInfo.php?workbook=14_09.xlsx&amp;sheet=U0&amp;row=4231&amp;col=6&amp;number=3.7&amp;sourceID=14","3.7")</f>
        <v>3.7</v>
      </c>
      <c r="G4231" s="4" t="str">
        <f>HYPERLINK("http://141.218.60.56/~jnz1568/getInfo.php?workbook=14_09.xlsx&amp;sheet=U0&amp;row=4231&amp;col=7&amp;number=0.0513&amp;sourceID=14","0.0513")</f>
        <v>0.0513</v>
      </c>
    </row>
    <row r="4232" spans="1:7">
      <c r="A4232" s="3"/>
      <c r="B4232" s="3"/>
      <c r="C4232" s="3"/>
      <c r="D4232" s="3"/>
      <c r="E4232" s="3">
        <v>9</v>
      </c>
      <c r="F4232" s="4" t="str">
        <f>HYPERLINK("http://141.218.60.56/~jnz1568/getInfo.php?workbook=14_09.xlsx&amp;sheet=U0&amp;row=4232&amp;col=6&amp;number=3.8&amp;sourceID=14","3.8")</f>
        <v>3.8</v>
      </c>
      <c r="G4232" s="4" t="str">
        <f>HYPERLINK("http://141.218.60.56/~jnz1568/getInfo.php?workbook=14_09.xlsx&amp;sheet=U0&amp;row=4232&amp;col=7&amp;number=0.0511&amp;sourceID=14","0.0511")</f>
        <v>0.0511</v>
      </c>
    </row>
    <row r="4233" spans="1:7">
      <c r="A4233" s="3"/>
      <c r="B4233" s="3"/>
      <c r="C4233" s="3"/>
      <c r="D4233" s="3"/>
      <c r="E4233" s="3">
        <v>10</v>
      </c>
      <c r="F4233" s="4" t="str">
        <f>HYPERLINK("http://141.218.60.56/~jnz1568/getInfo.php?workbook=14_09.xlsx&amp;sheet=U0&amp;row=4233&amp;col=6&amp;number=3.9&amp;sourceID=14","3.9")</f>
        <v>3.9</v>
      </c>
      <c r="G4233" s="4" t="str">
        <f>HYPERLINK("http://141.218.60.56/~jnz1568/getInfo.php?workbook=14_09.xlsx&amp;sheet=U0&amp;row=4233&amp;col=7&amp;number=0.051&amp;sourceID=14","0.051")</f>
        <v>0.051</v>
      </c>
    </row>
    <row r="4234" spans="1:7">
      <c r="A4234" s="3"/>
      <c r="B4234" s="3"/>
      <c r="C4234" s="3"/>
      <c r="D4234" s="3"/>
      <c r="E4234" s="3">
        <v>11</v>
      </c>
      <c r="F4234" s="4" t="str">
        <f>HYPERLINK("http://141.218.60.56/~jnz1568/getInfo.php?workbook=14_09.xlsx&amp;sheet=U0&amp;row=4234&amp;col=6&amp;number=4&amp;sourceID=14","4")</f>
        <v>4</v>
      </c>
      <c r="G4234" s="4" t="str">
        <f>HYPERLINK("http://141.218.60.56/~jnz1568/getInfo.php?workbook=14_09.xlsx&amp;sheet=U0&amp;row=4234&amp;col=7&amp;number=0.0507&amp;sourceID=14","0.0507")</f>
        <v>0.0507</v>
      </c>
    </row>
    <row r="4235" spans="1:7">
      <c r="A4235" s="3"/>
      <c r="B4235" s="3"/>
      <c r="C4235" s="3"/>
      <c r="D4235" s="3"/>
      <c r="E4235" s="3">
        <v>12</v>
      </c>
      <c r="F4235" s="4" t="str">
        <f>HYPERLINK("http://141.218.60.56/~jnz1568/getInfo.php?workbook=14_09.xlsx&amp;sheet=U0&amp;row=4235&amp;col=6&amp;number=4.1&amp;sourceID=14","4.1")</f>
        <v>4.1</v>
      </c>
      <c r="G4235" s="4" t="str">
        <f>HYPERLINK("http://141.218.60.56/~jnz1568/getInfo.php?workbook=14_09.xlsx&amp;sheet=U0&amp;row=4235&amp;col=7&amp;number=0.0505&amp;sourceID=14","0.0505")</f>
        <v>0.0505</v>
      </c>
    </row>
    <row r="4236" spans="1:7">
      <c r="A4236" s="3"/>
      <c r="B4236" s="3"/>
      <c r="C4236" s="3"/>
      <c r="D4236" s="3"/>
      <c r="E4236" s="3">
        <v>13</v>
      </c>
      <c r="F4236" s="4" t="str">
        <f>HYPERLINK("http://141.218.60.56/~jnz1568/getInfo.php?workbook=14_09.xlsx&amp;sheet=U0&amp;row=4236&amp;col=6&amp;number=4.2&amp;sourceID=14","4.2")</f>
        <v>4.2</v>
      </c>
      <c r="G4236" s="4" t="str">
        <f>HYPERLINK("http://141.218.60.56/~jnz1568/getInfo.php?workbook=14_09.xlsx&amp;sheet=U0&amp;row=4236&amp;col=7&amp;number=0.0501&amp;sourceID=14","0.0501")</f>
        <v>0.0501</v>
      </c>
    </row>
    <row r="4237" spans="1:7">
      <c r="A4237" s="3"/>
      <c r="B4237" s="3"/>
      <c r="C4237" s="3"/>
      <c r="D4237" s="3"/>
      <c r="E4237" s="3">
        <v>14</v>
      </c>
      <c r="F4237" s="4" t="str">
        <f>HYPERLINK("http://141.218.60.56/~jnz1568/getInfo.php?workbook=14_09.xlsx&amp;sheet=U0&amp;row=4237&amp;col=6&amp;number=4.3&amp;sourceID=14","4.3")</f>
        <v>4.3</v>
      </c>
      <c r="G4237" s="4" t="str">
        <f>HYPERLINK("http://141.218.60.56/~jnz1568/getInfo.php?workbook=14_09.xlsx&amp;sheet=U0&amp;row=4237&amp;col=7&amp;number=0.0497&amp;sourceID=14","0.0497")</f>
        <v>0.0497</v>
      </c>
    </row>
    <row r="4238" spans="1:7">
      <c r="A4238" s="3"/>
      <c r="B4238" s="3"/>
      <c r="C4238" s="3"/>
      <c r="D4238" s="3"/>
      <c r="E4238" s="3">
        <v>15</v>
      </c>
      <c r="F4238" s="4" t="str">
        <f>HYPERLINK("http://141.218.60.56/~jnz1568/getInfo.php?workbook=14_09.xlsx&amp;sheet=U0&amp;row=4238&amp;col=6&amp;number=4.4&amp;sourceID=14","4.4")</f>
        <v>4.4</v>
      </c>
      <c r="G4238" s="4" t="str">
        <f>HYPERLINK("http://141.218.60.56/~jnz1568/getInfo.php?workbook=14_09.xlsx&amp;sheet=U0&amp;row=4238&amp;col=7&amp;number=0.0492&amp;sourceID=14","0.0492")</f>
        <v>0.0492</v>
      </c>
    </row>
    <row r="4239" spans="1:7">
      <c r="A4239" s="3"/>
      <c r="B4239" s="3"/>
      <c r="C4239" s="3"/>
      <c r="D4239" s="3"/>
      <c r="E4239" s="3">
        <v>16</v>
      </c>
      <c r="F4239" s="4" t="str">
        <f>HYPERLINK("http://141.218.60.56/~jnz1568/getInfo.php?workbook=14_09.xlsx&amp;sheet=U0&amp;row=4239&amp;col=6&amp;number=4.5&amp;sourceID=14","4.5")</f>
        <v>4.5</v>
      </c>
      <c r="G4239" s="4" t="str">
        <f>HYPERLINK("http://141.218.60.56/~jnz1568/getInfo.php?workbook=14_09.xlsx&amp;sheet=U0&amp;row=4239&amp;col=7&amp;number=0.0485&amp;sourceID=14","0.0485")</f>
        <v>0.0485</v>
      </c>
    </row>
    <row r="4240" spans="1:7">
      <c r="A4240" s="3"/>
      <c r="B4240" s="3"/>
      <c r="C4240" s="3"/>
      <c r="D4240" s="3"/>
      <c r="E4240" s="3">
        <v>17</v>
      </c>
      <c r="F4240" s="4" t="str">
        <f>HYPERLINK("http://141.218.60.56/~jnz1568/getInfo.php?workbook=14_09.xlsx&amp;sheet=U0&amp;row=4240&amp;col=6&amp;number=4.6&amp;sourceID=14","4.6")</f>
        <v>4.6</v>
      </c>
      <c r="G4240" s="4" t="str">
        <f>HYPERLINK("http://141.218.60.56/~jnz1568/getInfo.php?workbook=14_09.xlsx&amp;sheet=U0&amp;row=4240&amp;col=7&amp;number=0.0477&amp;sourceID=14","0.0477")</f>
        <v>0.0477</v>
      </c>
    </row>
    <row r="4241" spans="1:7">
      <c r="A4241" s="3"/>
      <c r="B4241" s="3"/>
      <c r="C4241" s="3"/>
      <c r="D4241" s="3"/>
      <c r="E4241" s="3">
        <v>18</v>
      </c>
      <c r="F4241" s="4" t="str">
        <f>HYPERLINK("http://141.218.60.56/~jnz1568/getInfo.php?workbook=14_09.xlsx&amp;sheet=U0&amp;row=4241&amp;col=6&amp;number=4.7&amp;sourceID=14","4.7")</f>
        <v>4.7</v>
      </c>
      <c r="G4241" s="4" t="str">
        <f>HYPERLINK("http://141.218.60.56/~jnz1568/getInfo.php?workbook=14_09.xlsx&amp;sheet=U0&amp;row=4241&amp;col=7&amp;number=0.0467&amp;sourceID=14","0.0467")</f>
        <v>0.0467</v>
      </c>
    </row>
    <row r="4242" spans="1:7">
      <c r="A4242" s="3"/>
      <c r="B4242" s="3"/>
      <c r="C4242" s="3"/>
      <c r="D4242" s="3"/>
      <c r="E4242" s="3">
        <v>19</v>
      </c>
      <c r="F4242" s="4" t="str">
        <f>HYPERLINK("http://141.218.60.56/~jnz1568/getInfo.php?workbook=14_09.xlsx&amp;sheet=U0&amp;row=4242&amp;col=6&amp;number=4.8&amp;sourceID=14","4.8")</f>
        <v>4.8</v>
      </c>
      <c r="G4242" s="4" t="str">
        <f>HYPERLINK("http://141.218.60.56/~jnz1568/getInfo.php?workbook=14_09.xlsx&amp;sheet=U0&amp;row=4242&amp;col=7&amp;number=0.0453&amp;sourceID=14","0.0453")</f>
        <v>0.0453</v>
      </c>
    </row>
    <row r="4243" spans="1:7">
      <c r="A4243" s="3"/>
      <c r="B4243" s="3"/>
      <c r="C4243" s="3"/>
      <c r="D4243" s="3"/>
      <c r="E4243" s="3">
        <v>20</v>
      </c>
      <c r="F4243" s="4" t="str">
        <f>HYPERLINK("http://141.218.60.56/~jnz1568/getInfo.php?workbook=14_09.xlsx&amp;sheet=U0&amp;row=4243&amp;col=6&amp;number=4.9&amp;sourceID=14","4.9")</f>
        <v>4.9</v>
      </c>
      <c r="G4243" s="4" t="str">
        <f>HYPERLINK("http://141.218.60.56/~jnz1568/getInfo.php?workbook=14_09.xlsx&amp;sheet=U0&amp;row=4243&amp;col=7&amp;number=0.0436&amp;sourceID=14","0.0436")</f>
        <v>0.0436</v>
      </c>
    </row>
    <row r="4244" spans="1:7">
      <c r="A4244" s="3">
        <v>14</v>
      </c>
      <c r="B4244" s="3">
        <v>9</v>
      </c>
      <c r="C4244" s="3">
        <v>2</v>
      </c>
      <c r="D4244" s="3">
        <v>21</v>
      </c>
      <c r="E4244" s="3">
        <v>1</v>
      </c>
      <c r="F4244" s="4" t="str">
        <f>HYPERLINK("http://141.218.60.56/~jnz1568/getInfo.php?workbook=14_09.xlsx&amp;sheet=U0&amp;row=4244&amp;col=6&amp;number=3&amp;sourceID=14","3")</f>
        <v>3</v>
      </c>
      <c r="G4244" s="4" t="str">
        <f>HYPERLINK("http://141.218.60.56/~jnz1568/getInfo.php?workbook=14_09.xlsx&amp;sheet=U0&amp;row=4244&amp;col=7&amp;number=0.0335&amp;sourceID=14","0.0335")</f>
        <v>0.0335</v>
      </c>
    </row>
    <row r="4245" spans="1:7">
      <c r="A4245" s="3"/>
      <c r="B4245" s="3"/>
      <c r="C4245" s="3"/>
      <c r="D4245" s="3"/>
      <c r="E4245" s="3">
        <v>2</v>
      </c>
      <c r="F4245" s="4" t="str">
        <f>HYPERLINK("http://141.218.60.56/~jnz1568/getInfo.php?workbook=14_09.xlsx&amp;sheet=U0&amp;row=4245&amp;col=6&amp;number=3.1&amp;sourceID=14","3.1")</f>
        <v>3.1</v>
      </c>
      <c r="G4245" s="4" t="str">
        <f>HYPERLINK("http://141.218.60.56/~jnz1568/getInfo.php?workbook=14_09.xlsx&amp;sheet=U0&amp;row=4245&amp;col=7&amp;number=0.0335&amp;sourceID=14","0.0335")</f>
        <v>0.0335</v>
      </c>
    </row>
    <row r="4246" spans="1:7">
      <c r="A4246" s="3"/>
      <c r="B4246" s="3"/>
      <c r="C4246" s="3"/>
      <c r="D4246" s="3"/>
      <c r="E4246" s="3">
        <v>3</v>
      </c>
      <c r="F4246" s="4" t="str">
        <f>HYPERLINK("http://141.218.60.56/~jnz1568/getInfo.php?workbook=14_09.xlsx&amp;sheet=U0&amp;row=4246&amp;col=6&amp;number=3.2&amp;sourceID=14","3.2")</f>
        <v>3.2</v>
      </c>
      <c r="G4246" s="4" t="str">
        <f>HYPERLINK("http://141.218.60.56/~jnz1568/getInfo.php?workbook=14_09.xlsx&amp;sheet=U0&amp;row=4246&amp;col=7&amp;number=0.0335&amp;sourceID=14","0.0335")</f>
        <v>0.0335</v>
      </c>
    </row>
    <row r="4247" spans="1:7">
      <c r="A4247" s="3"/>
      <c r="B4247" s="3"/>
      <c r="C4247" s="3"/>
      <c r="D4247" s="3"/>
      <c r="E4247" s="3">
        <v>4</v>
      </c>
      <c r="F4247" s="4" t="str">
        <f>HYPERLINK("http://141.218.60.56/~jnz1568/getInfo.php?workbook=14_09.xlsx&amp;sheet=U0&amp;row=4247&amp;col=6&amp;number=3.3&amp;sourceID=14","3.3")</f>
        <v>3.3</v>
      </c>
      <c r="G4247" s="4" t="str">
        <f>HYPERLINK("http://141.218.60.56/~jnz1568/getInfo.php?workbook=14_09.xlsx&amp;sheet=U0&amp;row=4247&amp;col=7&amp;number=0.0335&amp;sourceID=14","0.0335")</f>
        <v>0.0335</v>
      </c>
    </row>
    <row r="4248" spans="1:7">
      <c r="A4248" s="3"/>
      <c r="B4248" s="3"/>
      <c r="C4248" s="3"/>
      <c r="D4248" s="3"/>
      <c r="E4248" s="3">
        <v>5</v>
      </c>
      <c r="F4248" s="4" t="str">
        <f>HYPERLINK("http://141.218.60.56/~jnz1568/getInfo.php?workbook=14_09.xlsx&amp;sheet=U0&amp;row=4248&amp;col=6&amp;number=3.4&amp;sourceID=14","3.4")</f>
        <v>3.4</v>
      </c>
      <c r="G4248" s="4" t="str">
        <f>HYPERLINK("http://141.218.60.56/~jnz1568/getInfo.php?workbook=14_09.xlsx&amp;sheet=U0&amp;row=4248&amp;col=7&amp;number=0.0335&amp;sourceID=14","0.0335")</f>
        <v>0.0335</v>
      </c>
    </row>
    <row r="4249" spans="1:7">
      <c r="A4249" s="3"/>
      <c r="B4249" s="3"/>
      <c r="C4249" s="3"/>
      <c r="D4249" s="3"/>
      <c r="E4249" s="3">
        <v>6</v>
      </c>
      <c r="F4249" s="4" t="str">
        <f>HYPERLINK("http://141.218.60.56/~jnz1568/getInfo.php?workbook=14_09.xlsx&amp;sheet=U0&amp;row=4249&amp;col=6&amp;number=3.5&amp;sourceID=14","3.5")</f>
        <v>3.5</v>
      </c>
      <c r="G4249" s="4" t="str">
        <f>HYPERLINK("http://141.218.60.56/~jnz1568/getInfo.php?workbook=14_09.xlsx&amp;sheet=U0&amp;row=4249&amp;col=7&amp;number=0.0335&amp;sourceID=14","0.0335")</f>
        <v>0.0335</v>
      </c>
    </row>
    <row r="4250" spans="1:7">
      <c r="A4250" s="3"/>
      <c r="B4250" s="3"/>
      <c r="C4250" s="3"/>
      <c r="D4250" s="3"/>
      <c r="E4250" s="3">
        <v>7</v>
      </c>
      <c r="F4250" s="4" t="str">
        <f>HYPERLINK("http://141.218.60.56/~jnz1568/getInfo.php?workbook=14_09.xlsx&amp;sheet=U0&amp;row=4250&amp;col=6&amp;number=3.6&amp;sourceID=14","3.6")</f>
        <v>3.6</v>
      </c>
      <c r="G4250" s="4" t="str">
        <f>HYPERLINK("http://141.218.60.56/~jnz1568/getInfo.php?workbook=14_09.xlsx&amp;sheet=U0&amp;row=4250&amp;col=7&amp;number=0.0335&amp;sourceID=14","0.0335")</f>
        <v>0.0335</v>
      </c>
    </row>
    <row r="4251" spans="1:7">
      <c r="A4251" s="3"/>
      <c r="B4251" s="3"/>
      <c r="C4251" s="3"/>
      <c r="D4251" s="3"/>
      <c r="E4251" s="3">
        <v>8</v>
      </c>
      <c r="F4251" s="4" t="str">
        <f>HYPERLINK("http://141.218.60.56/~jnz1568/getInfo.php?workbook=14_09.xlsx&amp;sheet=U0&amp;row=4251&amp;col=6&amp;number=3.7&amp;sourceID=14","3.7")</f>
        <v>3.7</v>
      </c>
      <c r="G4251" s="4" t="str">
        <f>HYPERLINK("http://141.218.60.56/~jnz1568/getInfo.php?workbook=14_09.xlsx&amp;sheet=U0&amp;row=4251&amp;col=7&amp;number=0.0334&amp;sourceID=14","0.0334")</f>
        <v>0.0334</v>
      </c>
    </row>
    <row r="4252" spans="1:7">
      <c r="A4252" s="3"/>
      <c r="B4252" s="3"/>
      <c r="C4252" s="3"/>
      <c r="D4252" s="3"/>
      <c r="E4252" s="3">
        <v>9</v>
      </c>
      <c r="F4252" s="4" t="str">
        <f>HYPERLINK("http://141.218.60.56/~jnz1568/getInfo.php?workbook=14_09.xlsx&amp;sheet=U0&amp;row=4252&amp;col=6&amp;number=3.8&amp;sourceID=14","3.8")</f>
        <v>3.8</v>
      </c>
      <c r="G4252" s="4" t="str">
        <f>HYPERLINK("http://141.218.60.56/~jnz1568/getInfo.php?workbook=14_09.xlsx&amp;sheet=U0&amp;row=4252&amp;col=7&amp;number=0.0334&amp;sourceID=14","0.0334")</f>
        <v>0.0334</v>
      </c>
    </row>
    <row r="4253" spans="1:7">
      <c r="A4253" s="3"/>
      <c r="B4253" s="3"/>
      <c r="C4253" s="3"/>
      <c r="D4253" s="3"/>
      <c r="E4253" s="3">
        <v>10</v>
      </c>
      <c r="F4253" s="4" t="str">
        <f>HYPERLINK("http://141.218.60.56/~jnz1568/getInfo.php?workbook=14_09.xlsx&amp;sheet=U0&amp;row=4253&amp;col=6&amp;number=3.9&amp;sourceID=14","3.9")</f>
        <v>3.9</v>
      </c>
      <c r="G4253" s="4" t="str">
        <f>HYPERLINK("http://141.218.60.56/~jnz1568/getInfo.php?workbook=14_09.xlsx&amp;sheet=U0&amp;row=4253&amp;col=7&amp;number=0.0334&amp;sourceID=14","0.0334")</f>
        <v>0.0334</v>
      </c>
    </row>
    <row r="4254" spans="1:7">
      <c r="A4254" s="3"/>
      <c r="B4254" s="3"/>
      <c r="C4254" s="3"/>
      <c r="D4254" s="3"/>
      <c r="E4254" s="3">
        <v>11</v>
      </c>
      <c r="F4254" s="4" t="str">
        <f>HYPERLINK("http://141.218.60.56/~jnz1568/getInfo.php?workbook=14_09.xlsx&amp;sheet=U0&amp;row=4254&amp;col=6&amp;number=4&amp;sourceID=14","4")</f>
        <v>4</v>
      </c>
      <c r="G4254" s="4" t="str">
        <f>HYPERLINK("http://141.218.60.56/~jnz1568/getInfo.php?workbook=14_09.xlsx&amp;sheet=U0&amp;row=4254&amp;col=7&amp;number=0.0333&amp;sourceID=14","0.0333")</f>
        <v>0.0333</v>
      </c>
    </row>
    <row r="4255" spans="1:7">
      <c r="A4255" s="3"/>
      <c r="B4255" s="3"/>
      <c r="C4255" s="3"/>
      <c r="D4255" s="3"/>
      <c r="E4255" s="3">
        <v>12</v>
      </c>
      <c r="F4255" s="4" t="str">
        <f>HYPERLINK("http://141.218.60.56/~jnz1568/getInfo.php?workbook=14_09.xlsx&amp;sheet=U0&amp;row=4255&amp;col=6&amp;number=4.1&amp;sourceID=14","4.1")</f>
        <v>4.1</v>
      </c>
      <c r="G4255" s="4" t="str">
        <f>HYPERLINK("http://141.218.60.56/~jnz1568/getInfo.php?workbook=14_09.xlsx&amp;sheet=U0&amp;row=4255&amp;col=7&amp;number=0.0333&amp;sourceID=14","0.0333")</f>
        <v>0.0333</v>
      </c>
    </row>
    <row r="4256" spans="1:7">
      <c r="A4256" s="3"/>
      <c r="B4256" s="3"/>
      <c r="C4256" s="3"/>
      <c r="D4256" s="3"/>
      <c r="E4256" s="3">
        <v>13</v>
      </c>
      <c r="F4256" s="4" t="str">
        <f>HYPERLINK("http://141.218.60.56/~jnz1568/getInfo.php?workbook=14_09.xlsx&amp;sheet=U0&amp;row=4256&amp;col=6&amp;number=4.2&amp;sourceID=14","4.2")</f>
        <v>4.2</v>
      </c>
      <c r="G4256" s="4" t="str">
        <f>HYPERLINK("http://141.218.60.56/~jnz1568/getInfo.php?workbook=14_09.xlsx&amp;sheet=U0&amp;row=4256&amp;col=7&amp;number=0.0332&amp;sourceID=14","0.0332")</f>
        <v>0.0332</v>
      </c>
    </row>
    <row r="4257" spans="1:7">
      <c r="A4257" s="3"/>
      <c r="B4257" s="3"/>
      <c r="C4257" s="3"/>
      <c r="D4257" s="3"/>
      <c r="E4257" s="3">
        <v>14</v>
      </c>
      <c r="F4257" s="4" t="str">
        <f>HYPERLINK("http://141.218.60.56/~jnz1568/getInfo.php?workbook=14_09.xlsx&amp;sheet=U0&amp;row=4257&amp;col=6&amp;number=4.3&amp;sourceID=14","4.3")</f>
        <v>4.3</v>
      </c>
      <c r="G4257" s="4" t="str">
        <f>HYPERLINK("http://141.218.60.56/~jnz1568/getInfo.php?workbook=14_09.xlsx&amp;sheet=U0&amp;row=4257&amp;col=7&amp;number=0.0331&amp;sourceID=14","0.0331")</f>
        <v>0.0331</v>
      </c>
    </row>
    <row r="4258" spans="1:7">
      <c r="A4258" s="3"/>
      <c r="B4258" s="3"/>
      <c r="C4258" s="3"/>
      <c r="D4258" s="3"/>
      <c r="E4258" s="3">
        <v>15</v>
      </c>
      <c r="F4258" s="4" t="str">
        <f>HYPERLINK("http://141.218.60.56/~jnz1568/getInfo.php?workbook=14_09.xlsx&amp;sheet=U0&amp;row=4258&amp;col=6&amp;number=4.4&amp;sourceID=14","4.4")</f>
        <v>4.4</v>
      </c>
      <c r="G4258" s="4" t="str">
        <f>HYPERLINK("http://141.218.60.56/~jnz1568/getInfo.php?workbook=14_09.xlsx&amp;sheet=U0&amp;row=4258&amp;col=7&amp;number=0.033&amp;sourceID=14","0.033")</f>
        <v>0.033</v>
      </c>
    </row>
    <row r="4259" spans="1:7">
      <c r="A4259" s="3"/>
      <c r="B4259" s="3"/>
      <c r="C4259" s="3"/>
      <c r="D4259" s="3"/>
      <c r="E4259" s="3">
        <v>16</v>
      </c>
      <c r="F4259" s="4" t="str">
        <f>HYPERLINK("http://141.218.60.56/~jnz1568/getInfo.php?workbook=14_09.xlsx&amp;sheet=U0&amp;row=4259&amp;col=6&amp;number=4.5&amp;sourceID=14","4.5")</f>
        <v>4.5</v>
      </c>
      <c r="G4259" s="4" t="str">
        <f>HYPERLINK("http://141.218.60.56/~jnz1568/getInfo.php?workbook=14_09.xlsx&amp;sheet=U0&amp;row=4259&amp;col=7&amp;number=0.0328&amp;sourceID=14","0.0328")</f>
        <v>0.0328</v>
      </c>
    </row>
    <row r="4260" spans="1:7">
      <c r="A4260" s="3"/>
      <c r="B4260" s="3"/>
      <c r="C4260" s="3"/>
      <c r="D4260" s="3"/>
      <c r="E4260" s="3">
        <v>17</v>
      </c>
      <c r="F4260" s="4" t="str">
        <f>HYPERLINK("http://141.218.60.56/~jnz1568/getInfo.php?workbook=14_09.xlsx&amp;sheet=U0&amp;row=4260&amp;col=6&amp;number=4.6&amp;sourceID=14","4.6")</f>
        <v>4.6</v>
      </c>
      <c r="G4260" s="4" t="str">
        <f>HYPERLINK("http://141.218.60.56/~jnz1568/getInfo.php?workbook=14_09.xlsx&amp;sheet=U0&amp;row=4260&amp;col=7&amp;number=0.0325&amp;sourceID=14","0.0325")</f>
        <v>0.0325</v>
      </c>
    </row>
    <row r="4261" spans="1:7">
      <c r="A4261" s="3"/>
      <c r="B4261" s="3"/>
      <c r="C4261" s="3"/>
      <c r="D4261" s="3"/>
      <c r="E4261" s="3">
        <v>18</v>
      </c>
      <c r="F4261" s="4" t="str">
        <f>HYPERLINK("http://141.218.60.56/~jnz1568/getInfo.php?workbook=14_09.xlsx&amp;sheet=U0&amp;row=4261&amp;col=6&amp;number=4.7&amp;sourceID=14","4.7")</f>
        <v>4.7</v>
      </c>
      <c r="G4261" s="4" t="str">
        <f>HYPERLINK("http://141.218.60.56/~jnz1568/getInfo.php?workbook=14_09.xlsx&amp;sheet=U0&amp;row=4261&amp;col=7&amp;number=0.0321&amp;sourceID=14","0.0321")</f>
        <v>0.0321</v>
      </c>
    </row>
    <row r="4262" spans="1:7">
      <c r="A4262" s="3"/>
      <c r="B4262" s="3"/>
      <c r="C4262" s="3"/>
      <c r="D4262" s="3"/>
      <c r="E4262" s="3">
        <v>19</v>
      </c>
      <c r="F4262" s="4" t="str">
        <f>HYPERLINK("http://141.218.60.56/~jnz1568/getInfo.php?workbook=14_09.xlsx&amp;sheet=U0&amp;row=4262&amp;col=6&amp;number=4.8&amp;sourceID=14","4.8")</f>
        <v>4.8</v>
      </c>
      <c r="G4262" s="4" t="str">
        <f>HYPERLINK("http://141.218.60.56/~jnz1568/getInfo.php?workbook=14_09.xlsx&amp;sheet=U0&amp;row=4262&amp;col=7&amp;number=0.0314&amp;sourceID=14","0.0314")</f>
        <v>0.0314</v>
      </c>
    </row>
    <row r="4263" spans="1:7">
      <c r="A4263" s="3"/>
      <c r="B4263" s="3"/>
      <c r="C4263" s="3"/>
      <c r="D4263" s="3"/>
      <c r="E4263" s="3">
        <v>20</v>
      </c>
      <c r="F4263" s="4" t="str">
        <f>HYPERLINK("http://141.218.60.56/~jnz1568/getInfo.php?workbook=14_09.xlsx&amp;sheet=U0&amp;row=4263&amp;col=6&amp;number=4.9&amp;sourceID=14","4.9")</f>
        <v>4.9</v>
      </c>
      <c r="G4263" s="4" t="str">
        <f>HYPERLINK("http://141.218.60.56/~jnz1568/getInfo.php?workbook=14_09.xlsx&amp;sheet=U0&amp;row=4263&amp;col=7&amp;number=0.0304&amp;sourceID=14","0.0304")</f>
        <v>0.0304</v>
      </c>
    </row>
    <row r="4264" spans="1:7">
      <c r="A4264" s="3">
        <v>14</v>
      </c>
      <c r="B4264" s="3">
        <v>9</v>
      </c>
      <c r="C4264" s="3">
        <v>2</v>
      </c>
      <c r="D4264" s="3">
        <v>22</v>
      </c>
      <c r="E4264" s="3">
        <v>1</v>
      </c>
      <c r="F4264" s="4" t="str">
        <f>HYPERLINK("http://141.218.60.56/~jnz1568/getInfo.php?workbook=14_09.xlsx&amp;sheet=U0&amp;row=4264&amp;col=6&amp;number=3&amp;sourceID=14","3")</f>
        <v>3</v>
      </c>
      <c r="G4264" s="4" t="str">
        <f>HYPERLINK("http://141.218.60.56/~jnz1568/getInfo.php?workbook=14_09.xlsx&amp;sheet=U0&amp;row=4264&amp;col=7&amp;number=0.0722&amp;sourceID=14","0.0722")</f>
        <v>0.0722</v>
      </c>
    </row>
    <row r="4265" spans="1:7">
      <c r="A4265" s="3"/>
      <c r="B4265" s="3"/>
      <c r="C4265" s="3"/>
      <c r="D4265" s="3"/>
      <c r="E4265" s="3">
        <v>2</v>
      </c>
      <c r="F4265" s="4" t="str">
        <f>HYPERLINK("http://141.218.60.56/~jnz1568/getInfo.php?workbook=14_09.xlsx&amp;sheet=U0&amp;row=4265&amp;col=6&amp;number=3.1&amp;sourceID=14","3.1")</f>
        <v>3.1</v>
      </c>
      <c r="G4265" s="4" t="str">
        <f>HYPERLINK("http://141.218.60.56/~jnz1568/getInfo.php?workbook=14_09.xlsx&amp;sheet=U0&amp;row=4265&amp;col=7&amp;number=0.0721&amp;sourceID=14","0.0721")</f>
        <v>0.0721</v>
      </c>
    </row>
    <row r="4266" spans="1:7">
      <c r="A4266" s="3"/>
      <c r="B4266" s="3"/>
      <c r="C4266" s="3"/>
      <c r="D4266" s="3"/>
      <c r="E4266" s="3">
        <v>3</v>
      </c>
      <c r="F4266" s="4" t="str">
        <f>HYPERLINK("http://141.218.60.56/~jnz1568/getInfo.php?workbook=14_09.xlsx&amp;sheet=U0&amp;row=4266&amp;col=6&amp;number=3.2&amp;sourceID=14","3.2")</f>
        <v>3.2</v>
      </c>
      <c r="G4266" s="4" t="str">
        <f>HYPERLINK("http://141.218.60.56/~jnz1568/getInfo.php?workbook=14_09.xlsx&amp;sheet=U0&amp;row=4266&amp;col=7&amp;number=0.0721&amp;sourceID=14","0.0721")</f>
        <v>0.0721</v>
      </c>
    </row>
    <row r="4267" spans="1:7">
      <c r="A4267" s="3"/>
      <c r="B4267" s="3"/>
      <c r="C4267" s="3"/>
      <c r="D4267" s="3"/>
      <c r="E4267" s="3">
        <v>4</v>
      </c>
      <c r="F4267" s="4" t="str">
        <f>HYPERLINK("http://141.218.60.56/~jnz1568/getInfo.php?workbook=14_09.xlsx&amp;sheet=U0&amp;row=4267&amp;col=6&amp;number=3.3&amp;sourceID=14","3.3")</f>
        <v>3.3</v>
      </c>
      <c r="G4267" s="4" t="str">
        <f>HYPERLINK("http://141.218.60.56/~jnz1568/getInfo.php?workbook=14_09.xlsx&amp;sheet=U0&amp;row=4267&amp;col=7&amp;number=0.072&amp;sourceID=14","0.072")</f>
        <v>0.072</v>
      </c>
    </row>
    <row r="4268" spans="1:7">
      <c r="A4268" s="3"/>
      <c r="B4268" s="3"/>
      <c r="C4268" s="3"/>
      <c r="D4268" s="3"/>
      <c r="E4268" s="3">
        <v>5</v>
      </c>
      <c r="F4268" s="4" t="str">
        <f>HYPERLINK("http://141.218.60.56/~jnz1568/getInfo.php?workbook=14_09.xlsx&amp;sheet=U0&amp;row=4268&amp;col=6&amp;number=3.4&amp;sourceID=14","3.4")</f>
        <v>3.4</v>
      </c>
      <c r="G4268" s="4" t="str">
        <f>HYPERLINK("http://141.218.60.56/~jnz1568/getInfo.php?workbook=14_09.xlsx&amp;sheet=U0&amp;row=4268&amp;col=7&amp;number=0.0719&amp;sourceID=14","0.0719")</f>
        <v>0.0719</v>
      </c>
    </row>
    <row r="4269" spans="1:7">
      <c r="A4269" s="3"/>
      <c r="B4269" s="3"/>
      <c r="C4269" s="3"/>
      <c r="D4269" s="3"/>
      <c r="E4269" s="3">
        <v>6</v>
      </c>
      <c r="F4269" s="4" t="str">
        <f>HYPERLINK("http://141.218.60.56/~jnz1568/getInfo.php?workbook=14_09.xlsx&amp;sheet=U0&amp;row=4269&amp;col=6&amp;number=3.5&amp;sourceID=14","3.5")</f>
        <v>3.5</v>
      </c>
      <c r="G4269" s="4" t="str">
        <f>HYPERLINK("http://141.218.60.56/~jnz1568/getInfo.php?workbook=14_09.xlsx&amp;sheet=U0&amp;row=4269&amp;col=7&amp;number=0.0718&amp;sourceID=14","0.0718")</f>
        <v>0.0718</v>
      </c>
    </row>
    <row r="4270" spans="1:7">
      <c r="A4270" s="3"/>
      <c r="B4270" s="3"/>
      <c r="C4270" s="3"/>
      <c r="D4270" s="3"/>
      <c r="E4270" s="3">
        <v>7</v>
      </c>
      <c r="F4270" s="4" t="str">
        <f>HYPERLINK("http://141.218.60.56/~jnz1568/getInfo.php?workbook=14_09.xlsx&amp;sheet=U0&amp;row=4270&amp;col=6&amp;number=3.6&amp;sourceID=14","3.6")</f>
        <v>3.6</v>
      </c>
      <c r="G4270" s="4" t="str">
        <f>HYPERLINK("http://141.218.60.56/~jnz1568/getInfo.php?workbook=14_09.xlsx&amp;sheet=U0&amp;row=4270&amp;col=7&amp;number=0.0717&amp;sourceID=14","0.0717")</f>
        <v>0.0717</v>
      </c>
    </row>
    <row r="4271" spans="1:7">
      <c r="A4271" s="3"/>
      <c r="B4271" s="3"/>
      <c r="C4271" s="3"/>
      <c r="D4271" s="3"/>
      <c r="E4271" s="3">
        <v>8</v>
      </c>
      <c r="F4271" s="4" t="str">
        <f>HYPERLINK("http://141.218.60.56/~jnz1568/getInfo.php?workbook=14_09.xlsx&amp;sheet=U0&amp;row=4271&amp;col=6&amp;number=3.7&amp;sourceID=14","3.7")</f>
        <v>3.7</v>
      </c>
      <c r="G4271" s="4" t="str">
        <f>HYPERLINK("http://141.218.60.56/~jnz1568/getInfo.php?workbook=14_09.xlsx&amp;sheet=U0&amp;row=4271&amp;col=7&amp;number=0.0715&amp;sourceID=14","0.0715")</f>
        <v>0.0715</v>
      </c>
    </row>
    <row r="4272" spans="1:7">
      <c r="A4272" s="3"/>
      <c r="B4272" s="3"/>
      <c r="C4272" s="3"/>
      <c r="D4272" s="3"/>
      <c r="E4272" s="3">
        <v>9</v>
      </c>
      <c r="F4272" s="4" t="str">
        <f>HYPERLINK("http://141.218.60.56/~jnz1568/getInfo.php?workbook=14_09.xlsx&amp;sheet=U0&amp;row=4272&amp;col=6&amp;number=3.8&amp;sourceID=14","3.8")</f>
        <v>3.8</v>
      </c>
      <c r="G4272" s="4" t="str">
        <f>HYPERLINK("http://141.218.60.56/~jnz1568/getInfo.php?workbook=14_09.xlsx&amp;sheet=U0&amp;row=4272&amp;col=7&amp;number=0.0713&amp;sourceID=14","0.0713")</f>
        <v>0.0713</v>
      </c>
    </row>
    <row r="4273" spans="1:7">
      <c r="A4273" s="3"/>
      <c r="B4273" s="3"/>
      <c r="C4273" s="3"/>
      <c r="D4273" s="3"/>
      <c r="E4273" s="3">
        <v>10</v>
      </c>
      <c r="F4273" s="4" t="str">
        <f>HYPERLINK("http://141.218.60.56/~jnz1568/getInfo.php?workbook=14_09.xlsx&amp;sheet=U0&amp;row=4273&amp;col=6&amp;number=3.9&amp;sourceID=14","3.9")</f>
        <v>3.9</v>
      </c>
      <c r="G4273" s="4" t="str">
        <f>HYPERLINK("http://141.218.60.56/~jnz1568/getInfo.php?workbook=14_09.xlsx&amp;sheet=U0&amp;row=4273&amp;col=7&amp;number=0.0711&amp;sourceID=14","0.0711")</f>
        <v>0.0711</v>
      </c>
    </row>
    <row r="4274" spans="1:7">
      <c r="A4274" s="3"/>
      <c r="B4274" s="3"/>
      <c r="C4274" s="3"/>
      <c r="D4274" s="3"/>
      <c r="E4274" s="3">
        <v>11</v>
      </c>
      <c r="F4274" s="4" t="str">
        <f>HYPERLINK("http://141.218.60.56/~jnz1568/getInfo.php?workbook=14_09.xlsx&amp;sheet=U0&amp;row=4274&amp;col=6&amp;number=4&amp;sourceID=14","4")</f>
        <v>4</v>
      </c>
      <c r="G4274" s="4" t="str">
        <f>HYPERLINK("http://141.218.60.56/~jnz1568/getInfo.php?workbook=14_09.xlsx&amp;sheet=U0&amp;row=4274&amp;col=7&amp;number=0.0707&amp;sourceID=14","0.0707")</f>
        <v>0.0707</v>
      </c>
    </row>
    <row r="4275" spans="1:7">
      <c r="A4275" s="3"/>
      <c r="B4275" s="3"/>
      <c r="C4275" s="3"/>
      <c r="D4275" s="3"/>
      <c r="E4275" s="3">
        <v>12</v>
      </c>
      <c r="F4275" s="4" t="str">
        <f>HYPERLINK("http://141.218.60.56/~jnz1568/getInfo.php?workbook=14_09.xlsx&amp;sheet=U0&amp;row=4275&amp;col=6&amp;number=4.1&amp;sourceID=14","4.1")</f>
        <v>4.1</v>
      </c>
      <c r="G4275" s="4" t="str">
        <f>HYPERLINK("http://141.218.60.56/~jnz1568/getInfo.php?workbook=14_09.xlsx&amp;sheet=U0&amp;row=4275&amp;col=7&amp;number=0.0703&amp;sourceID=14","0.0703")</f>
        <v>0.0703</v>
      </c>
    </row>
    <row r="4276" spans="1:7">
      <c r="A4276" s="3"/>
      <c r="B4276" s="3"/>
      <c r="C4276" s="3"/>
      <c r="D4276" s="3"/>
      <c r="E4276" s="3">
        <v>13</v>
      </c>
      <c r="F4276" s="4" t="str">
        <f>HYPERLINK("http://141.218.60.56/~jnz1568/getInfo.php?workbook=14_09.xlsx&amp;sheet=U0&amp;row=4276&amp;col=6&amp;number=4.2&amp;sourceID=14","4.2")</f>
        <v>4.2</v>
      </c>
      <c r="G4276" s="4" t="str">
        <f>HYPERLINK("http://141.218.60.56/~jnz1568/getInfo.php?workbook=14_09.xlsx&amp;sheet=U0&amp;row=4276&amp;col=7&amp;number=0.0698&amp;sourceID=14","0.0698")</f>
        <v>0.0698</v>
      </c>
    </row>
    <row r="4277" spans="1:7">
      <c r="A4277" s="3"/>
      <c r="B4277" s="3"/>
      <c r="C4277" s="3"/>
      <c r="D4277" s="3"/>
      <c r="E4277" s="3">
        <v>14</v>
      </c>
      <c r="F4277" s="4" t="str">
        <f>HYPERLINK("http://141.218.60.56/~jnz1568/getInfo.php?workbook=14_09.xlsx&amp;sheet=U0&amp;row=4277&amp;col=6&amp;number=4.3&amp;sourceID=14","4.3")</f>
        <v>4.3</v>
      </c>
      <c r="G4277" s="4" t="str">
        <f>HYPERLINK("http://141.218.60.56/~jnz1568/getInfo.php?workbook=14_09.xlsx&amp;sheet=U0&amp;row=4277&amp;col=7&amp;number=0.0692&amp;sourceID=14","0.0692")</f>
        <v>0.0692</v>
      </c>
    </row>
    <row r="4278" spans="1:7">
      <c r="A4278" s="3"/>
      <c r="B4278" s="3"/>
      <c r="C4278" s="3"/>
      <c r="D4278" s="3"/>
      <c r="E4278" s="3">
        <v>15</v>
      </c>
      <c r="F4278" s="4" t="str">
        <f>HYPERLINK("http://141.218.60.56/~jnz1568/getInfo.php?workbook=14_09.xlsx&amp;sheet=U0&amp;row=4278&amp;col=6&amp;number=4.4&amp;sourceID=14","4.4")</f>
        <v>4.4</v>
      </c>
      <c r="G4278" s="4" t="str">
        <f>HYPERLINK("http://141.218.60.56/~jnz1568/getInfo.php?workbook=14_09.xlsx&amp;sheet=U0&amp;row=4278&amp;col=7&amp;number=0.0684&amp;sourceID=14","0.0684")</f>
        <v>0.0684</v>
      </c>
    </row>
    <row r="4279" spans="1:7">
      <c r="A4279" s="3"/>
      <c r="B4279" s="3"/>
      <c r="C4279" s="3"/>
      <c r="D4279" s="3"/>
      <c r="E4279" s="3">
        <v>16</v>
      </c>
      <c r="F4279" s="4" t="str">
        <f>HYPERLINK("http://141.218.60.56/~jnz1568/getInfo.php?workbook=14_09.xlsx&amp;sheet=U0&amp;row=4279&amp;col=6&amp;number=4.5&amp;sourceID=14","4.5")</f>
        <v>4.5</v>
      </c>
      <c r="G4279" s="4" t="str">
        <f>HYPERLINK("http://141.218.60.56/~jnz1568/getInfo.php?workbook=14_09.xlsx&amp;sheet=U0&amp;row=4279&amp;col=7&amp;number=0.0673&amp;sourceID=14","0.0673")</f>
        <v>0.0673</v>
      </c>
    </row>
    <row r="4280" spans="1:7">
      <c r="A4280" s="3"/>
      <c r="B4280" s="3"/>
      <c r="C4280" s="3"/>
      <c r="D4280" s="3"/>
      <c r="E4280" s="3">
        <v>17</v>
      </c>
      <c r="F4280" s="4" t="str">
        <f>HYPERLINK("http://141.218.60.56/~jnz1568/getInfo.php?workbook=14_09.xlsx&amp;sheet=U0&amp;row=4280&amp;col=6&amp;number=4.6&amp;sourceID=14","4.6")</f>
        <v>4.6</v>
      </c>
      <c r="G4280" s="4" t="str">
        <f>HYPERLINK("http://141.218.60.56/~jnz1568/getInfo.php?workbook=14_09.xlsx&amp;sheet=U0&amp;row=4280&amp;col=7&amp;number=0.0661&amp;sourceID=14","0.0661")</f>
        <v>0.0661</v>
      </c>
    </row>
    <row r="4281" spans="1:7">
      <c r="A4281" s="3"/>
      <c r="B4281" s="3"/>
      <c r="C4281" s="3"/>
      <c r="D4281" s="3"/>
      <c r="E4281" s="3">
        <v>18</v>
      </c>
      <c r="F4281" s="4" t="str">
        <f>HYPERLINK("http://141.218.60.56/~jnz1568/getInfo.php?workbook=14_09.xlsx&amp;sheet=U0&amp;row=4281&amp;col=6&amp;number=4.7&amp;sourceID=14","4.7")</f>
        <v>4.7</v>
      </c>
      <c r="G4281" s="4" t="str">
        <f>HYPERLINK("http://141.218.60.56/~jnz1568/getInfo.php?workbook=14_09.xlsx&amp;sheet=U0&amp;row=4281&amp;col=7&amp;number=0.0646&amp;sourceID=14","0.0646")</f>
        <v>0.0646</v>
      </c>
    </row>
    <row r="4282" spans="1:7">
      <c r="A4282" s="3"/>
      <c r="B4282" s="3"/>
      <c r="C4282" s="3"/>
      <c r="D4282" s="3"/>
      <c r="E4282" s="3">
        <v>19</v>
      </c>
      <c r="F4282" s="4" t="str">
        <f>HYPERLINK("http://141.218.60.56/~jnz1568/getInfo.php?workbook=14_09.xlsx&amp;sheet=U0&amp;row=4282&amp;col=6&amp;number=4.8&amp;sourceID=14","4.8")</f>
        <v>4.8</v>
      </c>
      <c r="G4282" s="4" t="str">
        <f>HYPERLINK("http://141.218.60.56/~jnz1568/getInfo.php?workbook=14_09.xlsx&amp;sheet=U0&amp;row=4282&amp;col=7&amp;number=0.0626&amp;sourceID=14","0.0626")</f>
        <v>0.0626</v>
      </c>
    </row>
    <row r="4283" spans="1:7">
      <c r="A4283" s="3"/>
      <c r="B4283" s="3"/>
      <c r="C4283" s="3"/>
      <c r="D4283" s="3"/>
      <c r="E4283" s="3">
        <v>20</v>
      </c>
      <c r="F4283" s="4" t="str">
        <f>HYPERLINK("http://141.218.60.56/~jnz1568/getInfo.php?workbook=14_09.xlsx&amp;sheet=U0&amp;row=4283&amp;col=6&amp;number=4.9&amp;sourceID=14","4.9")</f>
        <v>4.9</v>
      </c>
      <c r="G4283" s="4" t="str">
        <f>HYPERLINK("http://141.218.60.56/~jnz1568/getInfo.php?workbook=14_09.xlsx&amp;sheet=U0&amp;row=4283&amp;col=7&amp;number=0.0603&amp;sourceID=14","0.0603")</f>
        <v>0.0603</v>
      </c>
    </row>
    <row r="4284" spans="1:7">
      <c r="A4284" s="3">
        <v>14</v>
      </c>
      <c r="B4284" s="3">
        <v>9</v>
      </c>
      <c r="C4284" s="3">
        <v>2</v>
      </c>
      <c r="D4284" s="3">
        <v>23</v>
      </c>
      <c r="E4284" s="3">
        <v>1</v>
      </c>
      <c r="F4284" s="4" t="str">
        <f>HYPERLINK("http://141.218.60.56/~jnz1568/getInfo.php?workbook=14_09.xlsx&amp;sheet=U0&amp;row=4284&amp;col=6&amp;number=3&amp;sourceID=14","3")</f>
        <v>3</v>
      </c>
      <c r="G4284" s="4" t="str">
        <f>HYPERLINK("http://141.218.60.56/~jnz1568/getInfo.php?workbook=14_09.xlsx&amp;sheet=U0&amp;row=4284&amp;col=7&amp;number=0.0484&amp;sourceID=14","0.0484")</f>
        <v>0.0484</v>
      </c>
    </row>
    <row r="4285" spans="1:7">
      <c r="A4285" s="3"/>
      <c r="B4285" s="3"/>
      <c r="C4285" s="3"/>
      <c r="D4285" s="3"/>
      <c r="E4285" s="3">
        <v>2</v>
      </c>
      <c r="F4285" s="4" t="str">
        <f>HYPERLINK("http://141.218.60.56/~jnz1568/getInfo.php?workbook=14_09.xlsx&amp;sheet=U0&amp;row=4285&amp;col=6&amp;number=3.1&amp;sourceID=14","3.1")</f>
        <v>3.1</v>
      </c>
      <c r="G4285" s="4" t="str">
        <f>HYPERLINK("http://141.218.60.56/~jnz1568/getInfo.php?workbook=14_09.xlsx&amp;sheet=U0&amp;row=4285&amp;col=7&amp;number=0.0484&amp;sourceID=14","0.0484")</f>
        <v>0.0484</v>
      </c>
    </row>
    <row r="4286" spans="1:7">
      <c r="A4286" s="3"/>
      <c r="B4286" s="3"/>
      <c r="C4286" s="3"/>
      <c r="D4286" s="3"/>
      <c r="E4286" s="3">
        <v>3</v>
      </c>
      <c r="F4286" s="4" t="str">
        <f>HYPERLINK("http://141.218.60.56/~jnz1568/getInfo.php?workbook=14_09.xlsx&amp;sheet=U0&amp;row=4286&amp;col=6&amp;number=3.2&amp;sourceID=14","3.2")</f>
        <v>3.2</v>
      </c>
      <c r="G4286" s="4" t="str">
        <f>HYPERLINK("http://141.218.60.56/~jnz1568/getInfo.php?workbook=14_09.xlsx&amp;sheet=U0&amp;row=4286&amp;col=7&amp;number=0.0484&amp;sourceID=14","0.0484")</f>
        <v>0.0484</v>
      </c>
    </row>
    <row r="4287" spans="1:7">
      <c r="A4287" s="3"/>
      <c r="B4287" s="3"/>
      <c r="C4287" s="3"/>
      <c r="D4287" s="3"/>
      <c r="E4287" s="3">
        <v>4</v>
      </c>
      <c r="F4287" s="4" t="str">
        <f>HYPERLINK("http://141.218.60.56/~jnz1568/getInfo.php?workbook=14_09.xlsx&amp;sheet=U0&amp;row=4287&amp;col=6&amp;number=3.3&amp;sourceID=14","3.3")</f>
        <v>3.3</v>
      </c>
      <c r="G4287" s="4" t="str">
        <f>HYPERLINK("http://141.218.60.56/~jnz1568/getInfo.php?workbook=14_09.xlsx&amp;sheet=U0&amp;row=4287&amp;col=7&amp;number=0.0483&amp;sourceID=14","0.0483")</f>
        <v>0.0483</v>
      </c>
    </row>
    <row r="4288" spans="1:7">
      <c r="A4288" s="3"/>
      <c r="B4288" s="3"/>
      <c r="C4288" s="3"/>
      <c r="D4288" s="3"/>
      <c r="E4288" s="3">
        <v>5</v>
      </c>
      <c r="F4288" s="4" t="str">
        <f>HYPERLINK("http://141.218.60.56/~jnz1568/getInfo.php?workbook=14_09.xlsx&amp;sheet=U0&amp;row=4288&amp;col=6&amp;number=3.4&amp;sourceID=14","3.4")</f>
        <v>3.4</v>
      </c>
      <c r="G4288" s="4" t="str">
        <f>HYPERLINK("http://141.218.60.56/~jnz1568/getInfo.php?workbook=14_09.xlsx&amp;sheet=U0&amp;row=4288&amp;col=7&amp;number=0.0483&amp;sourceID=14","0.0483")</f>
        <v>0.0483</v>
      </c>
    </row>
    <row r="4289" spans="1:7">
      <c r="A4289" s="3"/>
      <c r="B4289" s="3"/>
      <c r="C4289" s="3"/>
      <c r="D4289" s="3"/>
      <c r="E4289" s="3">
        <v>6</v>
      </c>
      <c r="F4289" s="4" t="str">
        <f>HYPERLINK("http://141.218.60.56/~jnz1568/getInfo.php?workbook=14_09.xlsx&amp;sheet=U0&amp;row=4289&amp;col=6&amp;number=3.5&amp;sourceID=14","3.5")</f>
        <v>3.5</v>
      </c>
      <c r="G4289" s="4" t="str">
        <f>HYPERLINK("http://141.218.60.56/~jnz1568/getInfo.php?workbook=14_09.xlsx&amp;sheet=U0&amp;row=4289&amp;col=7&amp;number=0.0483&amp;sourceID=14","0.0483")</f>
        <v>0.0483</v>
      </c>
    </row>
    <row r="4290" spans="1:7">
      <c r="A4290" s="3"/>
      <c r="B4290" s="3"/>
      <c r="C4290" s="3"/>
      <c r="D4290" s="3"/>
      <c r="E4290" s="3">
        <v>7</v>
      </c>
      <c r="F4290" s="4" t="str">
        <f>HYPERLINK("http://141.218.60.56/~jnz1568/getInfo.php?workbook=14_09.xlsx&amp;sheet=U0&amp;row=4290&amp;col=6&amp;number=3.6&amp;sourceID=14","3.6")</f>
        <v>3.6</v>
      </c>
      <c r="G4290" s="4" t="str">
        <f>HYPERLINK("http://141.218.60.56/~jnz1568/getInfo.php?workbook=14_09.xlsx&amp;sheet=U0&amp;row=4290&amp;col=7&amp;number=0.0482&amp;sourceID=14","0.0482")</f>
        <v>0.0482</v>
      </c>
    </row>
    <row r="4291" spans="1:7">
      <c r="A4291" s="3"/>
      <c r="B4291" s="3"/>
      <c r="C4291" s="3"/>
      <c r="D4291" s="3"/>
      <c r="E4291" s="3">
        <v>8</v>
      </c>
      <c r="F4291" s="4" t="str">
        <f>HYPERLINK("http://141.218.60.56/~jnz1568/getInfo.php?workbook=14_09.xlsx&amp;sheet=U0&amp;row=4291&amp;col=6&amp;number=3.7&amp;sourceID=14","3.7")</f>
        <v>3.7</v>
      </c>
      <c r="G4291" s="4" t="str">
        <f>HYPERLINK("http://141.218.60.56/~jnz1568/getInfo.php?workbook=14_09.xlsx&amp;sheet=U0&amp;row=4291&amp;col=7&amp;number=0.0482&amp;sourceID=14","0.0482")</f>
        <v>0.0482</v>
      </c>
    </row>
    <row r="4292" spans="1:7">
      <c r="A4292" s="3"/>
      <c r="B4292" s="3"/>
      <c r="C4292" s="3"/>
      <c r="D4292" s="3"/>
      <c r="E4292" s="3">
        <v>9</v>
      </c>
      <c r="F4292" s="4" t="str">
        <f>HYPERLINK("http://141.218.60.56/~jnz1568/getInfo.php?workbook=14_09.xlsx&amp;sheet=U0&amp;row=4292&amp;col=6&amp;number=3.8&amp;sourceID=14","3.8")</f>
        <v>3.8</v>
      </c>
      <c r="G4292" s="4" t="str">
        <f>HYPERLINK("http://141.218.60.56/~jnz1568/getInfo.php?workbook=14_09.xlsx&amp;sheet=U0&amp;row=4292&amp;col=7&amp;number=0.0481&amp;sourceID=14","0.0481")</f>
        <v>0.0481</v>
      </c>
    </row>
    <row r="4293" spans="1:7">
      <c r="A4293" s="3"/>
      <c r="B4293" s="3"/>
      <c r="C4293" s="3"/>
      <c r="D4293" s="3"/>
      <c r="E4293" s="3">
        <v>10</v>
      </c>
      <c r="F4293" s="4" t="str">
        <f>HYPERLINK("http://141.218.60.56/~jnz1568/getInfo.php?workbook=14_09.xlsx&amp;sheet=U0&amp;row=4293&amp;col=6&amp;number=3.9&amp;sourceID=14","3.9")</f>
        <v>3.9</v>
      </c>
      <c r="G4293" s="4" t="str">
        <f>HYPERLINK("http://141.218.60.56/~jnz1568/getInfo.php?workbook=14_09.xlsx&amp;sheet=U0&amp;row=4293&amp;col=7&amp;number=0.0481&amp;sourceID=14","0.0481")</f>
        <v>0.0481</v>
      </c>
    </row>
    <row r="4294" spans="1:7">
      <c r="A4294" s="3"/>
      <c r="B4294" s="3"/>
      <c r="C4294" s="3"/>
      <c r="D4294" s="3"/>
      <c r="E4294" s="3">
        <v>11</v>
      </c>
      <c r="F4294" s="4" t="str">
        <f>HYPERLINK("http://141.218.60.56/~jnz1568/getInfo.php?workbook=14_09.xlsx&amp;sheet=U0&amp;row=4294&amp;col=6&amp;number=4&amp;sourceID=14","4")</f>
        <v>4</v>
      </c>
      <c r="G4294" s="4" t="str">
        <f>HYPERLINK("http://141.218.60.56/~jnz1568/getInfo.php?workbook=14_09.xlsx&amp;sheet=U0&amp;row=4294&amp;col=7&amp;number=0.048&amp;sourceID=14","0.048")</f>
        <v>0.048</v>
      </c>
    </row>
    <row r="4295" spans="1:7">
      <c r="A4295" s="3"/>
      <c r="B4295" s="3"/>
      <c r="C4295" s="3"/>
      <c r="D4295" s="3"/>
      <c r="E4295" s="3">
        <v>12</v>
      </c>
      <c r="F4295" s="4" t="str">
        <f>HYPERLINK("http://141.218.60.56/~jnz1568/getInfo.php?workbook=14_09.xlsx&amp;sheet=U0&amp;row=4295&amp;col=6&amp;number=4.1&amp;sourceID=14","4.1")</f>
        <v>4.1</v>
      </c>
      <c r="G4295" s="4" t="str">
        <f>HYPERLINK("http://141.218.60.56/~jnz1568/getInfo.php?workbook=14_09.xlsx&amp;sheet=U0&amp;row=4295&amp;col=7&amp;number=0.0479&amp;sourceID=14","0.0479")</f>
        <v>0.0479</v>
      </c>
    </row>
    <row r="4296" spans="1:7">
      <c r="A4296" s="3"/>
      <c r="B4296" s="3"/>
      <c r="C4296" s="3"/>
      <c r="D4296" s="3"/>
      <c r="E4296" s="3">
        <v>13</v>
      </c>
      <c r="F4296" s="4" t="str">
        <f>HYPERLINK("http://141.218.60.56/~jnz1568/getInfo.php?workbook=14_09.xlsx&amp;sheet=U0&amp;row=4296&amp;col=6&amp;number=4.2&amp;sourceID=14","4.2")</f>
        <v>4.2</v>
      </c>
      <c r="G4296" s="4" t="str">
        <f>HYPERLINK("http://141.218.60.56/~jnz1568/getInfo.php?workbook=14_09.xlsx&amp;sheet=U0&amp;row=4296&amp;col=7&amp;number=0.0477&amp;sourceID=14","0.0477")</f>
        <v>0.0477</v>
      </c>
    </row>
    <row r="4297" spans="1:7">
      <c r="A4297" s="3"/>
      <c r="B4297" s="3"/>
      <c r="C4297" s="3"/>
      <c r="D4297" s="3"/>
      <c r="E4297" s="3">
        <v>14</v>
      </c>
      <c r="F4297" s="4" t="str">
        <f>HYPERLINK("http://141.218.60.56/~jnz1568/getInfo.php?workbook=14_09.xlsx&amp;sheet=U0&amp;row=4297&amp;col=6&amp;number=4.3&amp;sourceID=14","4.3")</f>
        <v>4.3</v>
      </c>
      <c r="G4297" s="4" t="str">
        <f>HYPERLINK("http://141.218.60.56/~jnz1568/getInfo.php?workbook=14_09.xlsx&amp;sheet=U0&amp;row=4297&amp;col=7&amp;number=0.0475&amp;sourceID=14","0.0475")</f>
        <v>0.0475</v>
      </c>
    </row>
    <row r="4298" spans="1:7">
      <c r="A4298" s="3"/>
      <c r="B4298" s="3"/>
      <c r="C4298" s="3"/>
      <c r="D4298" s="3"/>
      <c r="E4298" s="3">
        <v>15</v>
      </c>
      <c r="F4298" s="4" t="str">
        <f>HYPERLINK("http://141.218.60.56/~jnz1568/getInfo.php?workbook=14_09.xlsx&amp;sheet=U0&amp;row=4298&amp;col=6&amp;number=4.4&amp;sourceID=14","4.4")</f>
        <v>4.4</v>
      </c>
      <c r="G4298" s="4" t="str">
        <f>HYPERLINK("http://141.218.60.56/~jnz1568/getInfo.php?workbook=14_09.xlsx&amp;sheet=U0&amp;row=4298&amp;col=7&amp;number=0.0473&amp;sourceID=14","0.0473")</f>
        <v>0.0473</v>
      </c>
    </row>
    <row r="4299" spans="1:7">
      <c r="A4299" s="3"/>
      <c r="B4299" s="3"/>
      <c r="C4299" s="3"/>
      <c r="D4299" s="3"/>
      <c r="E4299" s="3">
        <v>16</v>
      </c>
      <c r="F4299" s="4" t="str">
        <f>HYPERLINK("http://141.218.60.56/~jnz1568/getInfo.php?workbook=14_09.xlsx&amp;sheet=U0&amp;row=4299&amp;col=6&amp;number=4.5&amp;sourceID=14","4.5")</f>
        <v>4.5</v>
      </c>
      <c r="G4299" s="4" t="str">
        <f>HYPERLINK("http://141.218.60.56/~jnz1568/getInfo.php?workbook=14_09.xlsx&amp;sheet=U0&amp;row=4299&amp;col=7&amp;number=0.047&amp;sourceID=14","0.047")</f>
        <v>0.047</v>
      </c>
    </row>
    <row r="4300" spans="1:7">
      <c r="A4300" s="3"/>
      <c r="B4300" s="3"/>
      <c r="C4300" s="3"/>
      <c r="D4300" s="3"/>
      <c r="E4300" s="3">
        <v>17</v>
      </c>
      <c r="F4300" s="4" t="str">
        <f>HYPERLINK("http://141.218.60.56/~jnz1568/getInfo.php?workbook=14_09.xlsx&amp;sheet=U0&amp;row=4300&amp;col=6&amp;number=4.6&amp;sourceID=14","4.6")</f>
        <v>4.6</v>
      </c>
      <c r="G4300" s="4" t="str">
        <f>HYPERLINK("http://141.218.60.56/~jnz1568/getInfo.php?workbook=14_09.xlsx&amp;sheet=U0&amp;row=4300&amp;col=7&amp;number=0.0466&amp;sourceID=14","0.0466")</f>
        <v>0.0466</v>
      </c>
    </row>
    <row r="4301" spans="1:7">
      <c r="A4301" s="3"/>
      <c r="B4301" s="3"/>
      <c r="C4301" s="3"/>
      <c r="D4301" s="3"/>
      <c r="E4301" s="3">
        <v>18</v>
      </c>
      <c r="F4301" s="4" t="str">
        <f>HYPERLINK("http://141.218.60.56/~jnz1568/getInfo.php?workbook=14_09.xlsx&amp;sheet=U0&amp;row=4301&amp;col=6&amp;number=4.7&amp;sourceID=14","4.7")</f>
        <v>4.7</v>
      </c>
      <c r="G4301" s="4" t="str">
        <f>HYPERLINK("http://141.218.60.56/~jnz1568/getInfo.php?workbook=14_09.xlsx&amp;sheet=U0&amp;row=4301&amp;col=7&amp;number=0.0461&amp;sourceID=14","0.0461")</f>
        <v>0.0461</v>
      </c>
    </row>
    <row r="4302" spans="1:7">
      <c r="A4302" s="3"/>
      <c r="B4302" s="3"/>
      <c r="C4302" s="3"/>
      <c r="D4302" s="3"/>
      <c r="E4302" s="3">
        <v>19</v>
      </c>
      <c r="F4302" s="4" t="str">
        <f>HYPERLINK("http://141.218.60.56/~jnz1568/getInfo.php?workbook=14_09.xlsx&amp;sheet=U0&amp;row=4302&amp;col=6&amp;number=4.8&amp;sourceID=14","4.8")</f>
        <v>4.8</v>
      </c>
      <c r="G4302" s="4" t="str">
        <f>HYPERLINK("http://141.218.60.56/~jnz1568/getInfo.php?workbook=14_09.xlsx&amp;sheet=U0&amp;row=4302&amp;col=7&amp;number=0.0455&amp;sourceID=14","0.0455")</f>
        <v>0.0455</v>
      </c>
    </row>
    <row r="4303" spans="1:7">
      <c r="A4303" s="3"/>
      <c r="B4303" s="3"/>
      <c r="C4303" s="3"/>
      <c r="D4303" s="3"/>
      <c r="E4303" s="3">
        <v>20</v>
      </c>
      <c r="F4303" s="4" t="str">
        <f>HYPERLINK("http://141.218.60.56/~jnz1568/getInfo.php?workbook=14_09.xlsx&amp;sheet=U0&amp;row=4303&amp;col=6&amp;number=4.9&amp;sourceID=14","4.9")</f>
        <v>4.9</v>
      </c>
      <c r="G4303" s="4" t="str">
        <f>HYPERLINK("http://141.218.60.56/~jnz1568/getInfo.php?workbook=14_09.xlsx&amp;sheet=U0&amp;row=4303&amp;col=7&amp;number=0.0447&amp;sourceID=14","0.0447")</f>
        <v>0.0447</v>
      </c>
    </row>
    <row r="4304" spans="1:7">
      <c r="A4304" s="3">
        <v>14</v>
      </c>
      <c r="B4304" s="3">
        <v>9</v>
      </c>
      <c r="C4304" s="3">
        <v>2</v>
      </c>
      <c r="D4304" s="3">
        <v>24</v>
      </c>
      <c r="E4304" s="3">
        <v>1</v>
      </c>
      <c r="F4304" s="4" t="str">
        <f>HYPERLINK("http://141.218.60.56/~jnz1568/getInfo.php?workbook=14_09.xlsx&amp;sheet=U0&amp;row=4304&amp;col=6&amp;number=3&amp;sourceID=14","3")</f>
        <v>3</v>
      </c>
      <c r="G4304" s="4" t="str">
        <f>HYPERLINK("http://141.218.60.56/~jnz1568/getInfo.php?workbook=14_09.xlsx&amp;sheet=U0&amp;row=4304&amp;col=7&amp;number=0.0752&amp;sourceID=14","0.0752")</f>
        <v>0.0752</v>
      </c>
    </row>
    <row r="4305" spans="1:7">
      <c r="A4305" s="3"/>
      <c r="B4305" s="3"/>
      <c r="C4305" s="3"/>
      <c r="D4305" s="3"/>
      <c r="E4305" s="3">
        <v>2</v>
      </c>
      <c r="F4305" s="4" t="str">
        <f>HYPERLINK("http://141.218.60.56/~jnz1568/getInfo.php?workbook=14_09.xlsx&amp;sheet=U0&amp;row=4305&amp;col=6&amp;number=3.1&amp;sourceID=14","3.1")</f>
        <v>3.1</v>
      </c>
      <c r="G4305" s="4" t="str">
        <f>HYPERLINK("http://141.218.60.56/~jnz1568/getInfo.php?workbook=14_09.xlsx&amp;sheet=U0&amp;row=4305&amp;col=7&amp;number=0.0751&amp;sourceID=14","0.0751")</f>
        <v>0.0751</v>
      </c>
    </row>
    <row r="4306" spans="1:7">
      <c r="A4306" s="3"/>
      <c r="B4306" s="3"/>
      <c r="C4306" s="3"/>
      <c r="D4306" s="3"/>
      <c r="E4306" s="3">
        <v>3</v>
      </c>
      <c r="F4306" s="4" t="str">
        <f>HYPERLINK("http://141.218.60.56/~jnz1568/getInfo.php?workbook=14_09.xlsx&amp;sheet=U0&amp;row=4306&amp;col=6&amp;number=3.2&amp;sourceID=14","3.2")</f>
        <v>3.2</v>
      </c>
      <c r="G4306" s="4" t="str">
        <f>HYPERLINK("http://141.218.60.56/~jnz1568/getInfo.php?workbook=14_09.xlsx&amp;sheet=U0&amp;row=4306&amp;col=7&amp;number=0.075&amp;sourceID=14","0.075")</f>
        <v>0.075</v>
      </c>
    </row>
    <row r="4307" spans="1:7">
      <c r="A4307" s="3"/>
      <c r="B4307" s="3"/>
      <c r="C4307" s="3"/>
      <c r="D4307" s="3"/>
      <c r="E4307" s="3">
        <v>4</v>
      </c>
      <c r="F4307" s="4" t="str">
        <f>HYPERLINK("http://141.218.60.56/~jnz1568/getInfo.php?workbook=14_09.xlsx&amp;sheet=U0&amp;row=4307&amp;col=6&amp;number=3.3&amp;sourceID=14","3.3")</f>
        <v>3.3</v>
      </c>
      <c r="G4307" s="4" t="str">
        <f>HYPERLINK("http://141.218.60.56/~jnz1568/getInfo.php?workbook=14_09.xlsx&amp;sheet=U0&amp;row=4307&amp;col=7&amp;number=0.0749&amp;sourceID=14","0.0749")</f>
        <v>0.0749</v>
      </c>
    </row>
    <row r="4308" spans="1:7">
      <c r="A4308" s="3"/>
      <c r="B4308" s="3"/>
      <c r="C4308" s="3"/>
      <c r="D4308" s="3"/>
      <c r="E4308" s="3">
        <v>5</v>
      </c>
      <c r="F4308" s="4" t="str">
        <f>HYPERLINK("http://141.218.60.56/~jnz1568/getInfo.php?workbook=14_09.xlsx&amp;sheet=U0&amp;row=4308&amp;col=6&amp;number=3.4&amp;sourceID=14","3.4")</f>
        <v>3.4</v>
      </c>
      <c r="G4308" s="4" t="str">
        <f>HYPERLINK("http://141.218.60.56/~jnz1568/getInfo.php?workbook=14_09.xlsx&amp;sheet=U0&amp;row=4308&amp;col=7&amp;number=0.0747&amp;sourceID=14","0.0747")</f>
        <v>0.0747</v>
      </c>
    </row>
    <row r="4309" spans="1:7">
      <c r="A4309" s="3"/>
      <c r="B4309" s="3"/>
      <c r="C4309" s="3"/>
      <c r="D4309" s="3"/>
      <c r="E4309" s="3">
        <v>6</v>
      </c>
      <c r="F4309" s="4" t="str">
        <f>HYPERLINK("http://141.218.60.56/~jnz1568/getInfo.php?workbook=14_09.xlsx&amp;sheet=U0&amp;row=4309&amp;col=6&amp;number=3.5&amp;sourceID=14","3.5")</f>
        <v>3.5</v>
      </c>
      <c r="G4309" s="4" t="str">
        <f>HYPERLINK("http://141.218.60.56/~jnz1568/getInfo.php?workbook=14_09.xlsx&amp;sheet=U0&amp;row=4309&amp;col=7&amp;number=0.0745&amp;sourceID=14","0.0745")</f>
        <v>0.0745</v>
      </c>
    </row>
    <row r="4310" spans="1:7">
      <c r="A4310" s="3"/>
      <c r="B4310" s="3"/>
      <c r="C4310" s="3"/>
      <c r="D4310" s="3"/>
      <c r="E4310" s="3">
        <v>7</v>
      </c>
      <c r="F4310" s="4" t="str">
        <f>HYPERLINK("http://141.218.60.56/~jnz1568/getInfo.php?workbook=14_09.xlsx&amp;sheet=U0&amp;row=4310&amp;col=6&amp;number=3.6&amp;sourceID=14","3.6")</f>
        <v>3.6</v>
      </c>
      <c r="G4310" s="4" t="str">
        <f>HYPERLINK("http://141.218.60.56/~jnz1568/getInfo.php?workbook=14_09.xlsx&amp;sheet=U0&amp;row=4310&amp;col=7&amp;number=0.0742&amp;sourceID=14","0.0742")</f>
        <v>0.0742</v>
      </c>
    </row>
    <row r="4311" spans="1:7">
      <c r="A4311" s="3"/>
      <c r="B4311" s="3"/>
      <c r="C4311" s="3"/>
      <c r="D4311" s="3"/>
      <c r="E4311" s="3">
        <v>8</v>
      </c>
      <c r="F4311" s="4" t="str">
        <f>HYPERLINK("http://141.218.60.56/~jnz1568/getInfo.php?workbook=14_09.xlsx&amp;sheet=U0&amp;row=4311&amp;col=6&amp;number=3.7&amp;sourceID=14","3.7")</f>
        <v>3.7</v>
      </c>
      <c r="G4311" s="4" t="str">
        <f>HYPERLINK("http://141.218.60.56/~jnz1568/getInfo.php?workbook=14_09.xlsx&amp;sheet=U0&amp;row=4311&amp;col=7&amp;number=0.0739&amp;sourceID=14","0.0739")</f>
        <v>0.0739</v>
      </c>
    </row>
    <row r="4312" spans="1:7">
      <c r="A4312" s="3"/>
      <c r="B4312" s="3"/>
      <c r="C4312" s="3"/>
      <c r="D4312" s="3"/>
      <c r="E4312" s="3">
        <v>9</v>
      </c>
      <c r="F4312" s="4" t="str">
        <f>HYPERLINK("http://141.218.60.56/~jnz1568/getInfo.php?workbook=14_09.xlsx&amp;sheet=U0&amp;row=4312&amp;col=6&amp;number=3.8&amp;sourceID=14","3.8")</f>
        <v>3.8</v>
      </c>
      <c r="G4312" s="4" t="str">
        <f>HYPERLINK("http://141.218.60.56/~jnz1568/getInfo.php?workbook=14_09.xlsx&amp;sheet=U0&amp;row=4312&amp;col=7&amp;number=0.0735&amp;sourceID=14","0.0735")</f>
        <v>0.0735</v>
      </c>
    </row>
    <row r="4313" spans="1:7">
      <c r="A4313" s="3"/>
      <c r="B4313" s="3"/>
      <c r="C4313" s="3"/>
      <c r="D4313" s="3"/>
      <c r="E4313" s="3">
        <v>10</v>
      </c>
      <c r="F4313" s="4" t="str">
        <f>HYPERLINK("http://141.218.60.56/~jnz1568/getInfo.php?workbook=14_09.xlsx&amp;sheet=U0&amp;row=4313&amp;col=6&amp;number=3.9&amp;sourceID=14","3.9")</f>
        <v>3.9</v>
      </c>
      <c r="G4313" s="4" t="str">
        <f>HYPERLINK("http://141.218.60.56/~jnz1568/getInfo.php?workbook=14_09.xlsx&amp;sheet=U0&amp;row=4313&amp;col=7&amp;number=0.0729&amp;sourceID=14","0.0729")</f>
        <v>0.0729</v>
      </c>
    </row>
    <row r="4314" spans="1:7">
      <c r="A4314" s="3"/>
      <c r="B4314" s="3"/>
      <c r="C4314" s="3"/>
      <c r="D4314" s="3"/>
      <c r="E4314" s="3">
        <v>11</v>
      </c>
      <c r="F4314" s="4" t="str">
        <f>HYPERLINK("http://141.218.60.56/~jnz1568/getInfo.php?workbook=14_09.xlsx&amp;sheet=U0&amp;row=4314&amp;col=6&amp;number=4&amp;sourceID=14","4")</f>
        <v>4</v>
      </c>
      <c r="G4314" s="4" t="str">
        <f>HYPERLINK("http://141.218.60.56/~jnz1568/getInfo.php?workbook=14_09.xlsx&amp;sheet=U0&amp;row=4314&amp;col=7&amp;number=0.0722&amp;sourceID=14","0.0722")</f>
        <v>0.0722</v>
      </c>
    </row>
    <row r="4315" spans="1:7">
      <c r="A4315" s="3"/>
      <c r="B4315" s="3"/>
      <c r="C4315" s="3"/>
      <c r="D4315" s="3"/>
      <c r="E4315" s="3">
        <v>12</v>
      </c>
      <c r="F4315" s="4" t="str">
        <f>HYPERLINK("http://141.218.60.56/~jnz1568/getInfo.php?workbook=14_09.xlsx&amp;sheet=U0&amp;row=4315&amp;col=6&amp;number=4.1&amp;sourceID=14","4.1")</f>
        <v>4.1</v>
      </c>
      <c r="G4315" s="4" t="str">
        <f>HYPERLINK("http://141.218.60.56/~jnz1568/getInfo.php?workbook=14_09.xlsx&amp;sheet=U0&amp;row=4315&amp;col=7&amp;number=0.0714&amp;sourceID=14","0.0714")</f>
        <v>0.0714</v>
      </c>
    </row>
    <row r="4316" spans="1:7">
      <c r="A4316" s="3"/>
      <c r="B4316" s="3"/>
      <c r="C4316" s="3"/>
      <c r="D4316" s="3"/>
      <c r="E4316" s="3">
        <v>13</v>
      </c>
      <c r="F4316" s="4" t="str">
        <f>HYPERLINK("http://141.218.60.56/~jnz1568/getInfo.php?workbook=14_09.xlsx&amp;sheet=U0&amp;row=4316&amp;col=6&amp;number=4.2&amp;sourceID=14","4.2")</f>
        <v>4.2</v>
      </c>
      <c r="G4316" s="4" t="str">
        <f>HYPERLINK("http://141.218.60.56/~jnz1568/getInfo.php?workbook=14_09.xlsx&amp;sheet=U0&amp;row=4316&amp;col=7&amp;number=0.0704&amp;sourceID=14","0.0704")</f>
        <v>0.0704</v>
      </c>
    </row>
    <row r="4317" spans="1:7">
      <c r="A4317" s="3"/>
      <c r="B4317" s="3"/>
      <c r="C4317" s="3"/>
      <c r="D4317" s="3"/>
      <c r="E4317" s="3">
        <v>14</v>
      </c>
      <c r="F4317" s="4" t="str">
        <f>HYPERLINK("http://141.218.60.56/~jnz1568/getInfo.php?workbook=14_09.xlsx&amp;sheet=U0&amp;row=4317&amp;col=6&amp;number=4.3&amp;sourceID=14","4.3")</f>
        <v>4.3</v>
      </c>
      <c r="G4317" s="4" t="str">
        <f>HYPERLINK("http://141.218.60.56/~jnz1568/getInfo.php?workbook=14_09.xlsx&amp;sheet=U0&amp;row=4317&amp;col=7&amp;number=0.0691&amp;sourceID=14","0.0691")</f>
        <v>0.0691</v>
      </c>
    </row>
    <row r="4318" spans="1:7">
      <c r="A4318" s="3"/>
      <c r="B4318" s="3"/>
      <c r="C4318" s="3"/>
      <c r="D4318" s="3"/>
      <c r="E4318" s="3">
        <v>15</v>
      </c>
      <c r="F4318" s="4" t="str">
        <f>HYPERLINK("http://141.218.60.56/~jnz1568/getInfo.php?workbook=14_09.xlsx&amp;sheet=U0&amp;row=4318&amp;col=6&amp;number=4.4&amp;sourceID=14","4.4")</f>
        <v>4.4</v>
      </c>
      <c r="G4318" s="4" t="str">
        <f>HYPERLINK("http://141.218.60.56/~jnz1568/getInfo.php?workbook=14_09.xlsx&amp;sheet=U0&amp;row=4318&amp;col=7&amp;number=0.0675&amp;sourceID=14","0.0675")</f>
        <v>0.0675</v>
      </c>
    </row>
    <row r="4319" spans="1:7">
      <c r="A4319" s="3"/>
      <c r="B4319" s="3"/>
      <c r="C4319" s="3"/>
      <c r="D4319" s="3"/>
      <c r="E4319" s="3">
        <v>16</v>
      </c>
      <c r="F4319" s="4" t="str">
        <f>HYPERLINK("http://141.218.60.56/~jnz1568/getInfo.php?workbook=14_09.xlsx&amp;sheet=U0&amp;row=4319&amp;col=6&amp;number=4.5&amp;sourceID=14","4.5")</f>
        <v>4.5</v>
      </c>
      <c r="G4319" s="4" t="str">
        <f>HYPERLINK("http://141.218.60.56/~jnz1568/getInfo.php?workbook=14_09.xlsx&amp;sheet=U0&amp;row=4319&amp;col=7&amp;number=0.0655&amp;sourceID=14","0.0655")</f>
        <v>0.0655</v>
      </c>
    </row>
    <row r="4320" spans="1:7">
      <c r="A4320" s="3"/>
      <c r="B4320" s="3"/>
      <c r="C4320" s="3"/>
      <c r="D4320" s="3"/>
      <c r="E4320" s="3">
        <v>17</v>
      </c>
      <c r="F4320" s="4" t="str">
        <f>HYPERLINK("http://141.218.60.56/~jnz1568/getInfo.php?workbook=14_09.xlsx&amp;sheet=U0&amp;row=4320&amp;col=6&amp;number=4.6&amp;sourceID=14","4.6")</f>
        <v>4.6</v>
      </c>
      <c r="G4320" s="4" t="str">
        <f>HYPERLINK("http://141.218.60.56/~jnz1568/getInfo.php?workbook=14_09.xlsx&amp;sheet=U0&amp;row=4320&amp;col=7&amp;number=0.0631&amp;sourceID=14","0.0631")</f>
        <v>0.0631</v>
      </c>
    </row>
    <row r="4321" spans="1:7">
      <c r="A4321" s="3"/>
      <c r="B4321" s="3"/>
      <c r="C4321" s="3"/>
      <c r="D4321" s="3"/>
      <c r="E4321" s="3">
        <v>18</v>
      </c>
      <c r="F4321" s="4" t="str">
        <f>HYPERLINK("http://141.218.60.56/~jnz1568/getInfo.php?workbook=14_09.xlsx&amp;sheet=U0&amp;row=4321&amp;col=6&amp;number=4.7&amp;sourceID=14","4.7")</f>
        <v>4.7</v>
      </c>
      <c r="G4321" s="4" t="str">
        <f>HYPERLINK("http://141.218.60.56/~jnz1568/getInfo.php?workbook=14_09.xlsx&amp;sheet=U0&amp;row=4321&amp;col=7&amp;number=0.0603&amp;sourceID=14","0.0603")</f>
        <v>0.0603</v>
      </c>
    </row>
    <row r="4322" spans="1:7">
      <c r="A4322" s="3"/>
      <c r="B4322" s="3"/>
      <c r="C4322" s="3"/>
      <c r="D4322" s="3"/>
      <c r="E4322" s="3">
        <v>19</v>
      </c>
      <c r="F4322" s="4" t="str">
        <f>HYPERLINK("http://141.218.60.56/~jnz1568/getInfo.php?workbook=14_09.xlsx&amp;sheet=U0&amp;row=4322&amp;col=6&amp;number=4.8&amp;sourceID=14","4.8")</f>
        <v>4.8</v>
      </c>
      <c r="G4322" s="4" t="str">
        <f>HYPERLINK("http://141.218.60.56/~jnz1568/getInfo.php?workbook=14_09.xlsx&amp;sheet=U0&amp;row=4322&amp;col=7&amp;number=0.0569&amp;sourceID=14","0.0569")</f>
        <v>0.0569</v>
      </c>
    </row>
    <row r="4323" spans="1:7">
      <c r="A4323" s="3"/>
      <c r="B4323" s="3"/>
      <c r="C4323" s="3"/>
      <c r="D4323" s="3"/>
      <c r="E4323" s="3">
        <v>20</v>
      </c>
      <c r="F4323" s="4" t="str">
        <f>HYPERLINK("http://141.218.60.56/~jnz1568/getInfo.php?workbook=14_09.xlsx&amp;sheet=U0&amp;row=4323&amp;col=6&amp;number=4.9&amp;sourceID=14","4.9")</f>
        <v>4.9</v>
      </c>
      <c r="G4323" s="4" t="str">
        <f>HYPERLINK("http://141.218.60.56/~jnz1568/getInfo.php?workbook=14_09.xlsx&amp;sheet=U0&amp;row=4323&amp;col=7&amp;number=0.053&amp;sourceID=14","0.053")</f>
        <v>0.053</v>
      </c>
    </row>
    <row r="4324" spans="1:7">
      <c r="A4324" s="3">
        <v>14</v>
      </c>
      <c r="B4324" s="3">
        <v>9</v>
      </c>
      <c r="C4324" s="3">
        <v>2</v>
      </c>
      <c r="D4324" s="3">
        <v>25</v>
      </c>
      <c r="E4324" s="3">
        <v>1</v>
      </c>
      <c r="F4324" s="4" t="str">
        <f>HYPERLINK("http://141.218.60.56/~jnz1568/getInfo.php?workbook=14_09.xlsx&amp;sheet=U0&amp;row=4324&amp;col=6&amp;number=3&amp;sourceID=14","3")</f>
        <v>3</v>
      </c>
      <c r="G4324" s="4" t="str">
        <f>HYPERLINK("http://141.218.60.56/~jnz1568/getInfo.php?workbook=14_09.xlsx&amp;sheet=U0&amp;row=4324&amp;col=7&amp;number=0.115&amp;sourceID=14","0.115")</f>
        <v>0.115</v>
      </c>
    </row>
    <row r="4325" spans="1:7">
      <c r="A4325" s="3"/>
      <c r="B4325" s="3"/>
      <c r="C4325" s="3"/>
      <c r="D4325" s="3"/>
      <c r="E4325" s="3">
        <v>2</v>
      </c>
      <c r="F4325" s="4" t="str">
        <f>HYPERLINK("http://141.218.60.56/~jnz1568/getInfo.php?workbook=14_09.xlsx&amp;sheet=U0&amp;row=4325&amp;col=6&amp;number=3.1&amp;sourceID=14","3.1")</f>
        <v>3.1</v>
      </c>
      <c r="G4325" s="4" t="str">
        <f>HYPERLINK("http://141.218.60.56/~jnz1568/getInfo.php?workbook=14_09.xlsx&amp;sheet=U0&amp;row=4325&amp;col=7&amp;number=0.115&amp;sourceID=14","0.115")</f>
        <v>0.115</v>
      </c>
    </row>
    <row r="4326" spans="1:7">
      <c r="A4326" s="3"/>
      <c r="B4326" s="3"/>
      <c r="C4326" s="3"/>
      <c r="D4326" s="3"/>
      <c r="E4326" s="3">
        <v>3</v>
      </c>
      <c r="F4326" s="4" t="str">
        <f>HYPERLINK("http://141.218.60.56/~jnz1568/getInfo.php?workbook=14_09.xlsx&amp;sheet=U0&amp;row=4326&amp;col=6&amp;number=3.2&amp;sourceID=14","3.2")</f>
        <v>3.2</v>
      </c>
      <c r="G4326" s="4" t="str">
        <f>HYPERLINK("http://141.218.60.56/~jnz1568/getInfo.php?workbook=14_09.xlsx&amp;sheet=U0&amp;row=4326&amp;col=7&amp;number=0.115&amp;sourceID=14","0.115")</f>
        <v>0.115</v>
      </c>
    </row>
    <row r="4327" spans="1:7">
      <c r="A4327" s="3"/>
      <c r="B4327" s="3"/>
      <c r="C4327" s="3"/>
      <c r="D4327" s="3"/>
      <c r="E4327" s="3">
        <v>4</v>
      </c>
      <c r="F4327" s="4" t="str">
        <f>HYPERLINK("http://141.218.60.56/~jnz1568/getInfo.php?workbook=14_09.xlsx&amp;sheet=U0&amp;row=4327&amp;col=6&amp;number=3.3&amp;sourceID=14","3.3")</f>
        <v>3.3</v>
      </c>
      <c r="G4327" s="4" t="str">
        <f>HYPERLINK("http://141.218.60.56/~jnz1568/getInfo.php?workbook=14_09.xlsx&amp;sheet=U0&amp;row=4327&amp;col=7&amp;number=0.115&amp;sourceID=14","0.115")</f>
        <v>0.115</v>
      </c>
    </row>
    <row r="4328" spans="1:7">
      <c r="A4328" s="3"/>
      <c r="B4328" s="3"/>
      <c r="C4328" s="3"/>
      <c r="D4328" s="3"/>
      <c r="E4328" s="3">
        <v>5</v>
      </c>
      <c r="F4328" s="4" t="str">
        <f>HYPERLINK("http://141.218.60.56/~jnz1568/getInfo.php?workbook=14_09.xlsx&amp;sheet=U0&amp;row=4328&amp;col=6&amp;number=3.4&amp;sourceID=14","3.4")</f>
        <v>3.4</v>
      </c>
      <c r="G4328" s="4" t="str">
        <f>HYPERLINK("http://141.218.60.56/~jnz1568/getInfo.php?workbook=14_09.xlsx&amp;sheet=U0&amp;row=4328&amp;col=7&amp;number=0.114&amp;sourceID=14","0.114")</f>
        <v>0.114</v>
      </c>
    </row>
    <row r="4329" spans="1:7">
      <c r="A4329" s="3"/>
      <c r="B4329" s="3"/>
      <c r="C4329" s="3"/>
      <c r="D4329" s="3"/>
      <c r="E4329" s="3">
        <v>6</v>
      </c>
      <c r="F4329" s="4" t="str">
        <f>HYPERLINK("http://141.218.60.56/~jnz1568/getInfo.php?workbook=14_09.xlsx&amp;sheet=U0&amp;row=4329&amp;col=6&amp;number=3.5&amp;sourceID=14","3.5")</f>
        <v>3.5</v>
      </c>
      <c r="G4329" s="4" t="str">
        <f>HYPERLINK("http://141.218.60.56/~jnz1568/getInfo.php?workbook=14_09.xlsx&amp;sheet=U0&amp;row=4329&amp;col=7&amp;number=0.114&amp;sourceID=14","0.114")</f>
        <v>0.114</v>
      </c>
    </row>
    <row r="4330" spans="1:7">
      <c r="A4330" s="3"/>
      <c r="B4330" s="3"/>
      <c r="C4330" s="3"/>
      <c r="D4330" s="3"/>
      <c r="E4330" s="3">
        <v>7</v>
      </c>
      <c r="F4330" s="4" t="str">
        <f>HYPERLINK("http://141.218.60.56/~jnz1568/getInfo.php?workbook=14_09.xlsx&amp;sheet=U0&amp;row=4330&amp;col=6&amp;number=3.6&amp;sourceID=14","3.6")</f>
        <v>3.6</v>
      </c>
      <c r="G4330" s="4" t="str">
        <f>HYPERLINK("http://141.218.60.56/~jnz1568/getInfo.php?workbook=14_09.xlsx&amp;sheet=U0&amp;row=4330&amp;col=7&amp;number=0.113&amp;sourceID=14","0.113")</f>
        <v>0.113</v>
      </c>
    </row>
    <row r="4331" spans="1:7">
      <c r="A4331" s="3"/>
      <c r="B4331" s="3"/>
      <c r="C4331" s="3"/>
      <c r="D4331" s="3"/>
      <c r="E4331" s="3">
        <v>8</v>
      </c>
      <c r="F4331" s="4" t="str">
        <f>HYPERLINK("http://141.218.60.56/~jnz1568/getInfo.php?workbook=14_09.xlsx&amp;sheet=U0&amp;row=4331&amp;col=6&amp;number=3.7&amp;sourceID=14","3.7")</f>
        <v>3.7</v>
      </c>
      <c r="G4331" s="4" t="str">
        <f>HYPERLINK("http://141.218.60.56/~jnz1568/getInfo.php?workbook=14_09.xlsx&amp;sheet=U0&amp;row=4331&amp;col=7&amp;number=0.112&amp;sourceID=14","0.112")</f>
        <v>0.112</v>
      </c>
    </row>
    <row r="4332" spans="1:7">
      <c r="A4332" s="3"/>
      <c r="B4332" s="3"/>
      <c r="C4332" s="3"/>
      <c r="D4332" s="3"/>
      <c r="E4332" s="3">
        <v>9</v>
      </c>
      <c r="F4332" s="4" t="str">
        <f>HYPERLINK("http://141.218.60.56/~jnz1568/getInfo.php?workbook=14_09.xlsx&amp;sheet=U0&amp;row=4332&amp;col=6&amp;number=3.8&amp;sourceID=14","3.8")</f>
        <v>3.8</v>
      </c>
      <c r="G4332" s="4" t="str">
        <f>HYPERLINK("http://141.218.60.56/~jnz1568/getInfo.php?workbook=14_09.xlsx&amp;sheet=U0&amp;row=4332&amp;col=7&amp;number=0.111&amp;sourceID=14","0.111")</f>
        <v>0.111</v>
      </c>
    </row>
    <row r="4333" spans="1:7">
      <c r="A4333" s="3"/>
      <c r="B4333" s="3"/>
      <c r="C4333" s="3"/>
      <c r="D4333" s="3"/>
      <c r="E4333" s="3">
        <v>10</v>
      </c>
      <c r="F4333" s="4" t="str">
        <f>HYPERLINK("http://141.218.60.56/~jnz1568/getInfo.php?workbook=14_09.xlsx&amp;sheet=U0&amp;row=4333&amp;col=6&amp;number=3.9&amp;sourceID=14","3.9")</f>
        <v>3.9</v>
      </c>
      <c r="G4333" s="4" t="str">
        <f>HYPERLINK("http://141.218.60.56/~jnz1568/getInfo.php?workbook=14_09.xlsx&amp;sheet=U0&amp;row=4333&amp;col=7&amp;number=0.11&amp;sourceID=14","0.11")</f>
        <v>0.11</v>
      </c>
    </row>
    <row r="4334" spans="1:7">
      <c r="A4334" s="3"/>
      <c r="B4334" s="3"/>
      <c r="C4334" s="3"/>
      <c r="D4334" s="3"/>
      <c r="E4334" s="3">
        <v>11</v>
      </c>
      <c r="F4334" s="4" t="str">
        <f>HYPERLINK("http://141.218.60.56/~jnz1568/getInfo.php?workbook=14_09.xlsx&amp;sheet=U0&amp;row=4334&amp;col=6&amp;number=4&amp;sourceID=14","4")</f>
        <v>4</v>
      </c>
      <c r="G4334" s="4" t="str">
        <f>HYPERLINK("http://141.218.60.56/~jnz1568/getInfo.php?workbook=14_09.xlsx&amp;sheet=U0&amp;row=4334&amp;col=7&amp;number=0.108&amp;sourceID=14","0.108")</f>
        <v>0.108</v>
      </c>
    </row>
    <row r="4335" spans="1:7">
      <c r="A4335" s="3"/>
      <c r="B4335" s="3"/>
      <c r="C4335" s="3"/>
      <c r="D4335" s="3"/>
      <c r="E4335" s="3">
        <v>12</v>
      </c>
      <c r="F4335" s="4" t="str">
        <f>HYPERLINK("http://141.218.60.56/~jnz1568/getInfo.php?workbook=14_09.xlsx&amp;sheet=U0&amp;row=4335&amp;col=6&amp;number=4.1&amp;sourceID=14","4.1")</f>
        <v>4.1</v>
      </c>
      <c r="G4335" s="4" t="str">
        <f>HYPERLINK("http://141.218.60.56/~jnz1568/getInfo.php?workbook=14_09.xlsx&amp;sheet=U0&amp;row=4335&amp;col=7&amp;number=0.106&amp;sourceID=14","0.106")</f>
        <v>0.106</v>
      </c>
    </row>
    <row r="4336" spans="1:7">
      <c r="A4336" s="3"/>
      <c r="B4336" s="3"/>
      <c r="C4336" s="3"/>
      <c r="D4336" s="3"/>
      <c r="E4336" s="3">
        <v>13</v>
      </c>
      <c r="F4336" s="4" t="str">
        <f>HYPERLINK("http://141.218.60.56/~jnz1568/getInfo.php?workbook=14_09.xlsx&amp;sheet=U0&amp;row=4336&amp;col=6&amp;number=4.2&amp;sourceID=14","4.2")</f>
        <v>4.2</v>
      </c>
      <c r="G4336" s="4" t="str">
        <f>HYPERLINK("http://141.218.60.56/~jnz1568/getInfo.php?workbook=14_09.xlsx&amp;sheet=U0&amp;row=4336&amp;col=7&amp;number=0.104&amp;sourceID=14","0.104")</f>
        <v>0.104</v>
      </c>
    </row>
    <row r="4337" spans="1:7">
      <c r="A4337" s="3"/>
      <c r="B4337" s="3"/>
      <c r="C4337" s="3"/>
      <c r="D4337" s="3"/>
      <c r="E4337" s="3">
        <v>14</v>
      </c>
      <c r="F4337" s="4" t="str">
        <f>HYPERLINK("http://141.218.60.56/~jnz1568/getInfo.php?workbook=14_09.xlsx&amp;sheet=U0&amp;row=4337&amp;col=6&amp;number=4.3&amp;sourceID=14","4.3")</f>
        <v>4.3</v>
      </c>
      <c r="G4337" s="4" t="str">
        <f>HYPERLINK("http://141.218.60.56/~jnz1568/getInfo.php?workbook=14_09.xlsx&amp;sheet=U0&amp;row=4337&amp;col=7&amp;number=0.101&amp;sourceID=14","0.101")</f>
        <v>0.101</v>
      </c>
    </row>
    <row r="4338" spans="1:7">
      <c r="A4338" s="3"/>
      <c r="B4338" s="3"/>
      <c r="C4338" s="3"/>
      <c r="D4338" s="3"/>
      <c r="E4338" s="3">
        <v>15</v>
      </c>
      <c r="F4338" s="4" t="str">
        <f>HYPERLINK("http://141.218.60.56/~jnz1568/getInfo.php?workbook=14_09.xlsx&amp;sheet=U0&amp;row=4338&amp;col=6&amp;number=4.4&amp;sourceID=14","4.4")</f>
        <v>4.4</v>
      </c>
      <c r="G4338" s="4" t="str">
        <f>HYPERLINK("http://141.218.60.56/~jnz1568/getInfo.php?workbook=14_09.xlsx&amp;sheet=U0&amp;row=4338&amp;col=7&amp;number=0.097&amp;sourceID=14","0.097")</f>
        <v>0.097</v>
      </c>
    </row>
    <row r="4339" spans="1:7">
      <c r="A4339" s="3"/>
      <c r="B4339" s="3"/>
      <c r="C4339" s="3"/>
      <c r="D4339" s="3"/>
      <c r="E4339" s="3">
        <v>16</v>
      </c>
      <c r="F4339" s="4" t="str">
        <f>HYPERLINK("http://141.218.60.56/~jnz1568/getInfo.php?workbook=14_09.xlsx&amp;sheet=U0&amp;row=4339&amp;col=6&amp;number=4.5&amp;sourceID=14","4.5")</f>
        <v>4.5</v>
      </c>
      <c r="G4339" s="4" t="str">
        <f>HYPERLINK("http://141.218.60.56/~jnz1568/getInfo.php?workbook=14_09.xlsx&amp;sheet=U0&amp;row=4339&amp;col=7&amp;number=0.0926&amp;sourceID=14","0.0926")</f>
        <v>0.0926</v>
      </c>
    </row>
    <row r="4340" spans="1:7">
      <c r="A4340" s="3"/>
      <c r="B4340" s="3"/>
      <c r="C4340" s="3"/>
      <c r="D4340" s="3"/>
      <c r="E4340" s="3">
        <v>17</v>
      </c>
      <c r="F4340" s="4" t="str">
        <f>HYPERLINK("http://141.218.60.56/~jnz1568/getInfo.php?workbook=14_09.xlsx&amp;sheet=U0&amp;row=4340&amp;col=6&amp;number=4.6&amp;sourceID=14","4.6")</f>
        <v>4.6</v>
      </c>
      <c r="G4340" s="4" t="str">
        <f>HYPERLINK("http://141.218.60.56/~jnz1568/getInfo.php?workbook=14_09.xlsx&amp;sheet=U0&amp;row=4340&amp;col=7&amp;number=0.0875&amp;sourceID=14","0.0875")</f>
        <v>0.0875</v>
      </c>
    </row>
    <row r="4341" spans="1:7">
      <c r="A4341" s="3"/>
      <c r="B4341" s="3"/>
      <c r="C4341" s="3"/>
      <c r="D4341" s="3"/>
      <c r="E4341" s="3">
        <v>18</v>
      </c>
      <c r="F4341" s="4" t="str">
        <f>HYPERLINK("http://141.218.60.56/~jnz1568/getInfo.php?workbook=14_09.xlsx&amp;sheet=U0&amp;row=4341&amp;col=6&amp;number=4.7&amp;sourceID=14","4.7")</f>
        <v>4.7</v>
      </c>
      <c r="G4341" s="4" t="str">
        <f>HYPERLINK("http://141.218.60.56/~jnz1568/getInfo.php?workbook=14_09.xlsx&amp;sheet=U0&amp;row=4341&amp;col=7&amp;number=0.0816&amp;sourceID=14","0.0816")</f>
        <v>0.0816</v>
      </c>
    </row>
    <row r="4342" spans="1:7">
      <c r="A4342" s="3"/>
      <c r="B4342" s="3"/>
      <c r="C4342" s="3"/>
      <c r="D4342" s="3"/>
      <c r="E4342" s="3">
        <v>19</v>
      </c>
      <c r="F4342" s="4" t="str">
        <f>HYPERLINK("http://141.218.60.56/~jnz1568/getInfo.php?workbook=14_09.xlsx&amp;sheet=U0&amp;row=4342&amp;col=6&amp;number=4.8&amp;sourceID=14","4.8")</f>
        <v>4.8</v>
      </c>
      <c r="G4342" s="4" t="str">
        <f>HYPERLINK("http://141.218.60.56/~jnz1568/getInfo.php?workbook=14_09.xlsx&amp;sheet=U0&amp;row=4342&amp;col=7&amp;number=0.0753&amp;sourceID=14","0.0753")</f>
        <v>0.0753</v>
      </c>
    </row>
    <row r="4343" spans="1:7">
      <c r="A4343" s="3"/>
      <c r="B4343" s="3"/>
      <c r="C4343" s="3"/>
      <c r="D4343" s="3"/>
      <c r="E4343" s="3">
        <v>20</v>
      </c>
      <c r="F4343" s="4" t="str">
        <f>HYPERLINK("http://141.218.60.56/~jnz1568/getInfo.php?workbook=14_09.xlsx&amp;sheet=U0&amp;row=4343&amp;col=6&amp;number=4.9&amp;sourceID=14","4.9")</f>
        <v>4.9</v>
      </c>
      <c r="G4343" s="4" t="str">
        <f>HYPERLINK("http://141.218.60.56/~jnz1568/getInfo.php?workbook=14_09.xlsx&amp;sheet=U0&amp;row=4343&amp;col=7&amp;number=0.069&amp;sourceID=14","0.069")</f>
        <v>0.069</v>
      </c>
    </row>
    <row r="4344" spans="1:7">
      <c r="A4344" s="3">
        <v>14</v>
      </c>
      <c r="B4344" s="3">
        <v>9</v>
      </c>
      <c r="C4344" s="3">
        <v>2</v>
      </c>
      <c r="D4344" s="3">
        <v>26</v>
      </c>
      <c r="E4344" s="3">
        <v>1</v>
      </c>
      <c r="F4344" s="4" t="str">
        <f>HYPERLINK("http://141.218.60.56/~jnz1568/getInfo.php?workbook=14_09.xlsx&amp;sheet=U0&amp;row=4344&amp;col=6&amp;number=3&amp;sourceID=14","3")</f>
        <v>3</v>
      </c>
      <c r="G4344" s="4" t="str">
        <f>HYPERLINK("http://141.218.60.56/~jnz1568/getInfo.php?workbook=14_09.xlsx&amp;sheet=U0&amp;row=4344&amp;col=7&amp;number=0.108&amp;sourceID=14","0.108")</f>
        <v>0.108</v>
      </c>
    </row>
    <row r="4345" spans="1:7">
      <c r="A4345" s="3"/>
      <c r="B4345" s="3"/>
      <c r="C4345" s="3"/>
      <c r="D4345" s="3"/>
      <c r="E4345" s="3">
        <v>2</v>
      </c>
      <c r="F4345" s="4" t="str">
        <f>HYPERLINK("http://141.218.60.56/~jnz1568/getInfo.php?workbook=14_09.xlsx&amp;sheet=U0&amp;row=4345&amp;col=6&amp;number=3.1&amp;sourceID=14","3.1")</f>
        <v>3.1</v>
      </c>
      <c r="G4345" s="4" t="str">
        <f>HYPERLINK("http://141.218.60.56/~jnz1568/getInfo.php?workbook=14_09.xlsx&amp;sheet=U0&amp;row=4345&amp;col=7&amp;number=0.108&amp;sourceID=14","0.108")</f>
        <v>0.108</v>
      </c>
    </row>
    <row r="4346" spans="1:7">
      <c r="A4346" s="3"/>
      <c r="B4346" s="3"/>
      <c r="C4346" s="3"/>
      <c r="D4346" s="3"/>
      <c r="E4346" s="3">
        <v>3</v>
      </c>
      <c r="F4346" s="4" t="str">
        <f>HYPERLINK("http://141.218.60.56/~jnz1568/getInfo.php?workbook=14_09.xlsx&amp;sheet=U0&amp;row=4346&amp;col=6&amp;number=3.2&amp;sourceID=14","3.2")</f>
        <v>3.2</v>
      </c>
      <c r="G4346" s="4" t="str">
        <f>HYPERLINK("http://141.218.60.56/~jnz1568/getInfo.php?workbook=14_09.xlsx&amp;sheet=U0&amp;row=4346&amp;col=7&amp;number=0.108&amp;sourceID=14","0.108")</f>
        <v>0.108</v>
      </c>
    </row>
    <row r="4347" spans="1:7">
      <c r="A4347" s="3"/>
      <c r="B4347" s="3"/>
      <c r="C4347" s="3"/>
      <c r="D4347" s="3"/>
      <c r="E4347" s="3">
        <v>4</v>
      </c>
      <c r="F4347" s="4" t="str">
        <f>HYPERLINK("http://141.218.60.56/~jnz1568/getInfo.php?workbook=14_09.xlsx&amp;sheet=U0&amp;row=4347&amp;col=6&amp;number=3.3&amp;sourceID=14","3.3")</f>
        <v>3.3</v>
      </c>
      <c r="G4347" s="4" t="str">
        <f>HYPERLINK("http://141.218.60.56/~jnz1568/getInfo.php?workbook=14_09.xlsx&amp;sheet=U0&amp;row=4347&amp;col=7&amp;number=0.107&amp;sourceID=14","0.107")</f>
        <v>0.107</v>
      </c>
    </row>
    <row r="4348" spans="1:7">
      <c r="A4348" s="3"/>
      <c r="B4348" s="3"/>
      <c r="C4348" s="3"/>
      <c r="D4348" s="3"/>
      <c r="E4348" s="3">
        <v>5</v>
      </c>
      <c r="F4348" s="4" t="str">
        <f>HYPERLINK("http://141.218.60.56/~jnz1568/getInfo.php?workbook=14_09.xlsx&amp;sheet=U0&amp;row=4348&amp;col=6&amp;number=3.4&amp;sourceID=14","3.4")</f>
        <v>3.4</v>
      </c>
      <c r="G4348" s="4" t="str">
        <f>HYPERLINK("http://141.218.60.56/~jnz1568/getInfo.php?workbook=14_09.xlsx&amp;sheet=U0&amp;row=4348&amp;col=7&amp;number=0.107&amp;sourceID=14","0.107")</f>
        <v>0.107</v>
      </c>
    </row>
    <row r="4349" spans="1:7">
      <c r="A4349" s="3"/>
      <c r="B4349" s="3"/>
      <c r="C4349" s="3"/>
      <c r="D4349" s="3"/>
      <c r="E4349" s="3">
        <v>6</v>
      </c>
      <c r="F4349" s="4" t="str">
        <f>HYPERLINK("http://141.218.60.56/~jnz1568/getInfo.php?workbook=14_09.xlsx&amp;sheet=U0&amp;row=4349&amp;col=6&amp;number=3.5&amp;sourceID=14","3.5")</f>
        <v>3.5</v>
      </c>
      <c r="G4349" s="4" t="str">
        <f>HYPERLINK("http://141.218.60.56/~jnz1568/getInfo.php?workbook=14_09.xlsx&amp;sheet=U0&amp;row=4349&amp;col=7&amp;number=0.107&amp;sourceID=14","0.107")</f>
        <v>0.107</v>
      </c>
    </row>
    <row r="4350" spans="1:7">
      <c r="A4350" s="3"/>
      <c r="B4350" s="3"/>
      <c r="C4350" s="3"/>
      <c r="D4350" s="3"/>
      <c r="E4350" s="3">
        <v>7</v>
      </c>
      <c r="F4350" s="4" t="str">
        <f>HYPERLINK("http://141.218.60.56/~jnz1568/getInfo.php?workbook=14_09.xlsx&amp;sheet=U0&amp;row=4350&amp;col=6&amp;number=3.6&amp;sourceID=14","3.6")</f>
        <v>3.6</v>
      </c>
      <c r="G4350" s="4" t="str">
        <f>HYPERLINK("http://141.218.60.56/~jnz1568/getInfo.php?workbook=14_09.xlsx&amp;sheet=U0&amp;row=4350&amp;col=7&amp;number=0.106&amp;sourceID=14","0.106")</f>
        <v>0.106</v>
      </c>
    </row>
    <row r="4351" spans="1:7">
      <c r="A4351" s="3"/>
      <c r="B4351" s="3"/>
      <c r="C4351" s="3"/>
      <c r="D4351" s="3"/>
      <c r="E4351" s="3">
        <v>8</v>
      </c>
      <c r="F4351" s="4" t="str">
        <f>HYPERLINK("http://141.218.60.56/~jnz1568/getInfo.php?workbook=14_09.xlsx&amp;sheet=U0&amp;row=4351&amp;col=6&amp;number=3.7&amp;sourceID=14","3.7")</f>
        <v>3.7</v>
      </c>
      <c r="G4351" s="4" t="str">
        <f>HYPERLINK("http://141.218.60.56/~jnz1568/getInfo.php?workbook=14_09.xlsx&amp;sheet=U0&amp;row=4351&amp;col=7&amp;number=0.105&amp;sourceID=14","0.105")</f>
        <v>0.105</v>
      </c>
    </row>
    <row r="4352" spans="1:7">
      <c r="A4352" s="3"/>
      <c r="B4352" s="3"/>
      <c r="C4352" s="3"/>
      <c r="D4352" s="3"/>
      <c r="E4352" s="3">
        <v>9</v>
      </c>
      <c r="F4352" s="4" t="str">
        <f>HYPERLINK("http://141.218.60.56/~jnz1568/getInfo.php?workbook=14_09.xlsx&amp;sheet=U0&amp;row=4352&amp;col=6&amp;number=3.8&amp;sourceID=14","3.8")</f>
        <v>3.8</v>
      </c>
      <c r="G4352" s="4" t="str">
        <f>HYPERLINK("http://141.218.60.56/~jnz1568/getInfo.php?workbook=14_09.xlsx&amp;sheet=U0&amp;row=4352&amp;col=7&amp;number=0.105&amp;sourceID=14","0.105")</f>
        <v>0.105</v>
      </c>
    </row>
    <row r="4353" spans="1:7">
      <c r="A4353" s="3"/>
      <c r="B4353" s="3"/>
      <c r="C4353" s="3"/>
      <c r="D4353" s="3"/>
      <c r="E4353" s="3">
        <v>10</v>
      </c>
      <c r="F4353" s="4" t="str">
        <f>HYPERLINK("http://141.218.60.56/~jnz1568/getInfo.php?workbook=14_09.xlsx&amp;sheet=U0&amp;row=4353&amp;col=6&amp;number=3.9&amp;sourceID=14","3.9")</f>
        <v>3.9</v>
      </c>
      <c r="G4353" s="4" t="str">
        <f>HYPERLINK("http://141.218.60.56/~jnz1568/getInfo.php?workbook=14_09.xlsx&amp;sheet=U0&amp;row=4353&amp;col=7&amp;number=0.104&amp;sourceID=14","0.104")</f>
        <v>0.104</v>
      </c>
    </row>
    <row r="4354" spans="1:7">
      <c r="A4354" s="3"/>
      <c r="B4354" s="3"/>
      <c r="C4354" s="3"/>
      <c r="D4354" s="3"/>
      <c r="E4354" s="3">
        <v>11</v>
      </c>
      <c r="F4354" s="4" t="str">
        <f>HYPERLINK("http://141.218.60.56/~jnz1568/getInfo.php?workbook=14_09.xlsx&amp;sheet=U0&amp;row=4354&amp;col=6&amp;number=4&amp;sourceID=14","4")</f>
        <v>4</v>
      </c>
      <c r="G4354" s="4" t="str">
        <f>HYPERLINK("http://141.218.60.56/~jnz1568/getInfo.php?workbook=14_09.xlsx&amp;sheet=U0&amp;row=4354&amp;col=7&amp;number=0.102&amp;sourceID=14","0.102")</f>
        <v>0.102</v>
      </c>
    </row>
    <row r="4355" spans="1:7">
      <c r="A4355" s="3"/>
      <c r="B4355" s="3"/>
      <c r="C4355" s="3"/>
      <c r="D4355" s="3"/>
      <c r="E4355" s="3">
        <v>12</v>
      </c>
      <c r="F4355" s="4" t="str">
        <f>HYPERLINK("http://141.218.60.56/~jnz1568/getInfo.php?workbook=14_09.xlsx&amp;sheet=U0&amp;row=4355&amp;col=6&amp;number=4.1&amp;sourceID=14","4.1")</f>
        <v>4.1</v>
      </c>
      <c r="G4355" s="4" t="str">
        <f>HYPERLINK("http://141.218.60.56/~jnz1568/getInfo.php?workbook=14_09.xlsx&amp;sheet=U0&amp;row=4355&amp;col=7&amp;number=0.101&amp;sourceID=14","0.101")</f>
        <v>0.101</v>
      </c>
    </row>
    <row r="4356" spans="1:7">
      <c r="A4356" s="3"/>
      <c r="B4356" s="3"/>
      <c r="C4356" s="3"/>
      <c r="D4356" s="3"/>
      <c r="E4356" s="3">
        <v>13</v>
      </c>
      <c r="F4356" s="4" t="str">
        <f>HYPERLINK("http://141.218.60.56/~jnz1568/getInfo.php?workbook=14_09.xlsx&amp;sheet=U0&amp;row=4356&amp;col=6&amp;number=4.2&amp;sourceID=14","4.2")</f>
        <v>4.2</v>
      </c>
      <c r="G4356" s="4" t="str">
        <f>HYPERLINK("http://141.218.60.56/~jnz1568/getInfo.php?workbook=14_09.xlsx&amp;sheet=U0&amp;row=4356&amp;col=7&amp;number=0.0986&amp;sourceID=14","0.0986")</f>
        <v>0.0986</v>
      </c>
    </row>
    <row r="4357" spans="1:7">
      <c r="A4357" s="3"/>
      <c r="B4357" s="3"/>
      <c r="C4357" s="3"/>
      <c r="D4357" s="3"/>
      <c r="E4357" s="3">
        <v>14</v>
      </c>
      <c r="F4357" s="4" t="str">
        <f>HYPERLINK("http://141.218.60.56/~jnz1568/getInfo.php?workbook=14_09.xlsx&amp;sheet=U0&amp;row=4357&amp;col=6&amp;number=4.3&amp;sourceID=14","4.3")</f>
        <v>4.3</v>
      </c>
      <c r="G4357" s="4" t="str">
        <f>HYPERLINK("http://141.218.60.56/~jnz1568/getInfo.php?workbook=14_09.xlsx&amp;sheet=U0&amp;row=4357&amp;col=7&amp;number=0.0962&amp;sourceID=14","0.0962")</f>
        <v>0.0962</v>
      </c>
    </row>
    <row r="4358" spans="1:7">
      <c r="A4358" s="3"/>
      <c r="B4358" s="3"/>
      <c r="C4358" s="3"/>
      <c r="D4358" s="3"/>
      <c r="E4358" s="3">
        <v>15</v>
      </c>
      <c r="F4358" s="4" t="str">
        <f>HYPERLINK("http://141.218.60.56/~jnz1568/getInfo.php?workbook=14_09.xlsx&amp;sheet=U0&amp;row=4358&amp;col=6&amp;number=4.4&amp;sourceID=14","4.4")</f>
        <v>4.4</v>
      </c>
      <c r="G4358" s="4" t="str">
        <f>HYPERLINK("http://141.218.60.56/~jnz1568/getInfo.php?workbook=14_09.xlsx&amp;sheet=U0&amp;row=4358&amp;col=7&amp;number=0.0932&amp;sourceID=14","0.0932")</f>
        <v>0.0932</v>
      </c>
    </row>
    <row r="4359" spans="1:7">
      <c r="A4359" s="3"/>
      <c r="B4359" s="3"/>
      <c r="C4359" s="3"/>
      <c r="D4359" s="3"/>
      <c r="E4359" s="3">
        <v>16</v>
      </c>
      <c r="F4359" s="4" t="str">
        <f>HYPERLINK("http://141.218.60.56/~jnz1568/getInfo.php?workbook=14_09.xlsx&amp;sheet=U0&amp;row=4359&amp;col=6&amp;number=4.5&amp;sourceID=14","4.5")</f>
        <v>4.5</v>
      </c>
      <c r="G4359" s="4" t="str">
        <f>HYPERLINK("http://141.218.60.56/~jnz1568/getInfo.php?workbook=14_09.xlsx&amp;sheet=U0&amp;row=4359&amp;col=7&amp;number=0.0895&amp;sourceID=14","0.0895")</f>
        <v>0.0895</v>
      </c>
    </row>
    <row r="4360" spans="1:7">
      <c r="A4360" s="3"/>
      <c r="B4360" s="3"/>
      <c r="C4360" s="3"/>
      <c r="D4360" s="3"/>
      <c r="E4360" s="3">
        <v>17</v>
      </c>
      <c r="F4360" s="4" t="str">
        <f>HYPERLINK("http://141.218.60.56/~jnz1568/getInfo.php?workbook=14_09.xlsx&amp;sheet=U0&amp;row=4360&amp;col=6&amp;number=4.6&amp;sourceID=14","4.6")</f>
        <v>4.6</v>
      </c>
      <c r="G4360" s="4" t="str">
        <f>HYPERLINK("http://141.218.60.56/~jnz1568/getInfo.php?workbook=14_09.xlsx&amp;sheet=U0&amp;row=4360&amp;col=7&amp;number=0.0851&amp;sourceID=14","0.0851")</f>
        <v>0.0851</v>
      </c>
    </row>
    <row r="4361" spans="1:7">
      <c r="A4361" s="3"/>
      <c r="B4361" s="3"/>
      <c r="C4361" s="3"/>
      <c r="D4361" s="3"/>
      <c r="E4361" s="3">
        <v>18</v>
      </c>
      <c r="F4361" s="4" t="str">
        <f>HYPERLINK("http://141.218.60.56/~jnz1568/getInfo.php?workbook=14_09.xlsx&amp;sheet=U0&amp;row=4361&amp;col=6&amp;number=4.7&amp;sourceID=14","4.7")</f>
        <v>4.7</v>
      </c>
      <c r="G4361" s="4" t="str">
        <f>HYPERLINK("http://141.218.60.56/~jnz1568/getInfo.php?workbook=14_09.xlsx&amp;sheet=U0&amp;row=4361&amp;col=7&amp;number=0.08&amp;sourceID=14","0.08")</f>
        <v>0.08</v>
      </c>
    </row>
    <row r="4362" spans="1:7">
      <c r="A4362" s="3"/>
      <c r="B4362" s="3"/>
      <c r="C4362" s="3"/>
      <c r="D4362" s="3"/>
      <c r="E4362" s="3">
        <v>19</v>
      </c>
      <c r="F4362" s="4" t="str">
        <f>HYPERLINK("http://141.218.60.56/~jnz1568/getInfo.php?workbook=14_09.xlsx&amp;sheet=U0&amp;row=4362&amp;col=6&amp;number=4.8&amp;sourceID=14","4.8")</f>
        <v>4.8</v>
      </c>
      <c r="G4362" s="4" t="str">
        <f>HYPERLINK("http://141.218.60.56/~jnz1568/getInfo.php?workbook=14_09.xlsx&amp;sheet=U0&amp;row=4362&amp;col=7&amp;number=0.0742&amp;sourceID=14","0.0742")</f>
        <v>0.0742</v>
      </c>
    </row>
    <row r="4363" spans="1:7">
      <c r="A4363" s="3"/>
      <c r="B4363" s="3"/>
      <c r="C4363" s="3"/>
      <c r="D4363" s="3"/>
      <c r="E4363" s="3">
        <v>20</v>
      </c>
      <c r="F4363" s="4" t="str">
        <f>HYPERLINK("http://141.218.60.56/~jnz1568/getInfo.php?workbook=14_09.xlsx&amp;sheet=U0&amp;row=4363&amp;col=6&amp;number=4.9&amp;sourceID=14","4.9")</f>
        <v>4.9</v>
      </c>
      <c r="G4363" s="4" t="str">
        <f>HYPERLINK("http://141.218.60.56/~jnz1568/getInfo.php?workbook=14_09.xlsx&amp;sheet=U0&amp;row=4363&amp;col=7&amp;number=0.068&amp;sourceID=14","0.068")</f>
        <v>0.068</v>
      </c>
    </row>
    <row r="4364" spans="1:7">
      <c r="A4364" s="3">
        <v>14</v>
      </c>
      <c r="B4364" s="3">
        <v>9</v>
      </c>
      <c r="C4364" s="3">
        <v>2</v>
      </c>
      <c r="D4364" s="3">
        <v>27</v>
      </c>
      <c r="E4364" s="3">
        <v>1</v>
      </c>
      <c r="F4364" s="4" t="str">
        <f>HYPERLINK("http://141.218.60.56/~jnz1568/getInfo.php?workbook=14_09.xlsx&amp;sheet=U0&amp;row=4364&amp;col=6&amp;number=3&amp;sourceID=14","3")</f>
        <v>3</v>
      </c>
      <c r="G4364" s="4" t="str">
        <f>HYPERLINK("http://141.218.60.56/~jnz1568/getInfo.php?workbook=14_09.xlsx&amp;sheet=U0&amp;row=4364&amp;col=7&amp;number=0.0525&amp;sourceID=14","0.0525")</f>
        <v>0.0525</v>
      </c>
    </row>
    <row r="4365" spans="1:7">
      <c r="A4365" s="3"/>
      <c r="B4365" s="3"/>
      <c r="C4365" s="3"/>
      <c r="D4365" s="3"/>
      <c r="E4365" s="3">
        <v>2</v>
      </c>
      <c r="F4365" s="4" t="str">
        <f>HYPERLINK("http://141.218.60.56/~jnz1568/getInfo.php?workbook=14_09.xlsx&amp;sheet=U0&amp;row=4365&amp;col=6&amp;number=3.1&amp;sourceID=14","3.1")</f>
        <v>3.1</v>
      </c>
      <c r="G4365" s="4" t="str">
        <f>HYPERLINK("http://141.218.60.56/~jnz1568/getInfo.php?workbook=14_09.xlsx&amp;sheet=U0&amp;row=4365&amp;col=7&amp;number=0.0525&amp;sourceID=14","0.0525")</f>
        <v>0.0525</v>
      </c>
    </row>
    <row r="4366" spans="1:7">
      <c r="A4366" s="3"/>
      <c r="B4366" s="3"/>
      <c r="C4366" s="3"/>
      <c r="D4366" s="3"/>
      <c r="E4366" s="3">
        <v>3</v>
      </c>
      <c r="F4366" s="4" t="str">
        <f>HYPERLINK("http://141.218.60.56/~jnz1568/getInfo.php?workbook=14_09.xlsx&amp;sheet=U0&amp;row=4366&amp;col=6&amp;number=3.2&amp;sourceID=14","3.2")</f>
        <v>3.2</v>
      </c>
      <c r="G4366" s="4" t="str">
        <f>HYPERLINK("http://141.218.60.56/~jnz1568/getInfo.php?workbook=14_09.xlsx&amp;sheet=U0&amp;row=4366&amp;col=7&amp;number=0.0525&amp;sourceID=14","0.0525")</f>
        <v>0.0525</v>
      </c>
    </row>
    <row r="4367" spans="1:7">
      <c r="A4367" s="3"/>
      <c r="B4367" s="3"/>
      <c r="C4367" s="3"/>
      <c r="D4367" s="3"/>
      <c r="E4367" s="3">
        <v>4</v>
      </c>
      <c r="F4367" s="4" t="str">
        <f>HYPERLINK("http://141.218.60.56/~jnz1568/getInfo.php?workbook=14_09.xlsx&amp;sheet=U0&amp;row=4367&amp;col=6&amp;number=3.3&amp;sourceID=14","3.3")</f>
        <v>3.3</v>
      </c>
      <c r="G4367" s="4" t="str">
        <f>HYPERLINK("http://141.218.60.56/~jnz1568/getInfo.php?workbook=14_09.xlsx&amp;sheet=U0&amp;row=4367&amp;col=7&amp;number=0.0524&amp;sourceID=14","0.0524")</f>
        <v>0.0524</v>
      </c>
    </row>
    <row r="4368" spans="1:7">
      <c r="A4368" s="3"/>
      <c r="B4368" s="3"/>
      <c r="C4368" s="3"/>
      <c r="D4368" s="3"/>
      <c r="E4368" s="3">
        <v>5</v>
      </c>
      <c r="F4368" s="4" t="str">
        <f>HYPERLINK("http://141.218.60.56/~jnz1568/getInfo.php?workbook=14_09.xlsx&amp;sheet=U0&amp;row=4368&amp;col=6&amp;number=3.4&amp;sourceID=14","3.4")</f>
        <v>3.4</v>
      </c>
      <c r="G4368" s="4" t="str">
        <f>HYPERLINK("http://141.218.60.56/~jnz1568/getInfo.php?workbook=14_09.xlsx&amp;sheet=U0&amp;row=4368&amp;col=7&amp;number=0.0523&amp;sourceID=14","0.0523")</f>
        <v>0.0523</v>
      </c>
    </row>
    <row r="4369" spans="1:7">
      <c r="A4369" s="3"/>
      <c r="B4369" s="3"/>
      <c r="C4369" s="3"/>
      <c r="D4369" s="3"/>
      <c r="E4369" s="3">
        <v>6</v>
      </c>
      <c r="F4369" s="4" t="str">
        <f>HYPERLINK("http://141.218.60.56/~jnz1568/getInfo.php?workbook=14_09.xlsx&amp;sheet=U0&amp;row=4369&amp;col=6&amp;number=3.5&amp;sourceID=14","3.5")</f>
        <v>3.5</v>
      </c>
      <c r="G4369" s="4" t="str">
        <f>HYPERLINK("http://141.218.60.56/~jnz1568/getInfo.php?workbook=14_09.xlsx&amp;sheet=U0&amp;row=4369&amp;col=7&amp;number=0.0523&amp;sourceID=14","0.0523")</f>
        <v>0.0523</v>
      </c>
    </row>
    <row r="4370" spans="1:7">
      <c r="A4370" s="3"/>
      <c r="B4370" s="3"/>
      <c r="C4370" s="3"/>
      <c r="D4370" s="3"/>
      <c r="E4370" s="3">
        <v>7</v>
      </c>
      <c r="F4370" s="4" t="str">
        <f>HYPERLINK("http://141.218.60.56/~jnz1568/getInfo.php?workbook=14_09.xlsx&amp;sheet=U0&amp;row=4370&amp;col=6&amp;number=3.6&amp;sourceID=14","3.6")</f>
        <v>3.6</v>
      </c>
      <c r="G4370" s="4" t="str">
        <f>HYPERLINK("http://141.218.60.56/~jnz1568/getInfo.php?workbook=14_09.xlsx&amp;sheet=U0&amp;row=4370&amp;col=7&amp;number=0.0522&amp;sourceID=14","0.0522")</f>
        <v>0.0522</v>
      </c>
    </row>
    <row r="4371" spans="1:7">
      <c r="A4371" s="3"/>
      <c r="B4371" s="3"/>
      <c r="C4371" s="3"/>
      <c r="D4371" s="3"/>
      <c r="E4371" s="3">
        <v>8</v>
      </c>
      <c r="F4371" s="4" t="str">
        <f>HYPERLINK("http://141.218.60.56/~jnz1568/getInfo.php?workbook=14_09.xlsx&amp;sheet=U0&amp;row=4371&amp;col=6&amp;number=3.7&amp;sourceID=14","3.7")</f>
        <v>3.7</v>
      </c>
      <c r="G4371" s="4" t="str">
        <f>HYPERLINK("http://141.218.60.56/~jnz1568/getInfo.php?workbook=14_09.xlsx&amp;sheet=U0&amp;row=4371&amp;col=7&amp;number=0.052&amp;sourceID=14","0.052")</f>
        <v>0.052</v>
      </c>
    </row>
    <row r="4372" spans="1:7">
      <c r="A4372" s="3"/>
      <c r="B4372" s="3"/>
      <c r="C4372" s="3"/>
      <c r="D4372" s="3"/>
      <c r="E4372" s="3">
        <v>9</v>
      </c>
      <c r="F4372" s="4" t="str">
        <f>HYPERLINK("http://141.218.60.56/~jnz1568/getInfo.php?workbook=14_09.xlsx&amp;sheet=U0&amp;row=4372&amp;col=6&amp;number=3.8&amp;sourceID=14","3.8")</f>
        <v>3.8</v>
      </c>
      <c r="G4372" s="4" t="str">
        <f>HYPERLINK("http://141.218.60.56/~jnz1568/getInfo.php?workbook=14_09.xlsx&amp;sheet=U0&amp;row=4372&amp;col=7&amp;number=0.0519&amp;sourceID=14","0.0519")</f>
        <v>0.0519</v>
      </c>
    </row>
    <row r="4373" spans="1:7">
      <c r="A4373" s="3"/>
      <c r="B4373" s="3"/>
      <c r="C4373" s="3"/>
      <c r="D4373" s="3"/>
      <c r="E4373" s="3">
        <v>10</v>
      </c>
      <c r="F4373" s="4" t="str">
        <f>HYPERLINK("http://141.218.60.56/~jnz1568/getInfo.php?workbook=14_09.xlsx&amp;sheet=U0&amp;row=4373&amp;col=6&amp;number=3.9&amp;sourceID=14","3.9")</f>
        <v>3.9</v>
      </c>
      <c r="G4373" s="4" t="str">
        <f>HYPERLINK("http://141.218.60.56/~jnz1568/getInfo.php?workbook=14_09.xlsx&amp;sheet=U0&amp;row=4373&amp;col=7&amp;number=0.0517&amp;sourceID=14","0.0517")</f>
        <v>0.0517</v>
      </c>
    </row>
    <row r="4374" spans="1:7">
      <c r="A4374" s="3"/>
      <c r="B4374" s="3"/>
      <c r="C4374" s="3"/>
      <c r="D4374" s="3"/>
      <c r="E4374" s="3">
        <v>11</v>
      </c>
      <c r="F4374" s="4" t="str">
        <f>HYPERLINK("http://141.218.60.56/~jnz1568/getInfo.php?workbook=14_09.xlsx&amp;sheet=U0&amp;row=4374&amp;col=6&amp;number=4&amp;sourceID=14","4")</f>
        <v>4</v>
      </c>
      <c r="G4374" s="4" t="str">
        <f>HYPERLINK("http://141.218.60.56/~jnz1568/getInfo.php?workbook=14_09.xlsx&amp;sheet=U0&amp;row=4374&amp;col=7&amp;number=0.0514&amp;sourceID=14","0.0514")</f>
        <v>0.0514</v>
      </c>
    </row>
    <row r="4375" spans="1:7">
      <c r="A4375" s="3"/>
      <c r="B4375" s="3"/>
      <c r="C4375" s="3"/>
      <c r="D4375" s="3"/>
      <c r="E4375" s="3">
        <v>12</v>
      </c>
      <c r="F4375" s="4" t="str">
        <f>HYPERLINK("http://141.218.60.56/~jnz1568/getInfo.php?workbook=14_09.xlsx&amp;sheet=U0&amp;row=4375&amp;col=6&amp;number=4.1&amp;sourceID=14","4.1")</f>
        <v>4.1</v>
      </c>
      <c r="G4375" s="4" t="str">
        <f>HYPERLINK("http://141.218.60.56/~jnz1568/getInfo.php?workbook=14_09.xlsx&amp;sheet=U0&amp;row=4375&amp;col=7&amp;number=0.0511&amp;sourceID=14","0.0511")</f>
        <v>0.0511</v>
      </c>
    </row>
    <row r="4376" spans="1:7">
      <c r="A4376" s="3"/>
      <c r="B4376" s="3"/>
      <c r="C4376" s="3"/>
      <c r="D4376" s="3"/>
      <c r="E4376" s="3">
        <v>13</v>
      </c>
      <c r="F4376" s="4" t="str">
        <f>HYPERLINK("http://141.218.60.56/~jnz1568/getInfo.php?workbook=14_09.xlsx&amp;sheet=U0&amp;row=4376&amp;col=6&amp;number=4.2&amp;sourceID=14","4.2")</f>
        <v>4.2</v>
      </c>
      <c r="G4376" s="4" t="str">
        <f>HYPERLINK("http://141.218.60.56/~jnz1568/getInfo.php?workbook=14_09.xlsx&amp;sheet=U0&amp;row=4376&amp;col=7&amp;number=0.0507&amp;sourceID=14","0.0507")</f>
        <v>0.0507</v>
      </c>
    </row>
    <row r="4377" spans="1:7">
      <c r="A4377" s="3"/>
      <c r="B4377" s="3"/>
      <c r="C4377" s="3"/>
      <c r="D4377" s="3"/>
      <c r="E4377" s="3">
        <v>14</v>
      </c>
      <c r="F4377" s="4" t="str">
        <f>HYPERLINK("http://141.218.60.56/~jnz1568/getInfo.php?workbook=14_09.xlsx&amp;sheet=U0&amp;row=4377&amp;col=6&amp;number=4.3&amp;sourceID=14","4.3")</f>
        <v>4.3</v>
      </c>
      <c r="G4377" s="4" t="str">
        <f>HYPERLINK("http://141.218.60.56/~jnz1568/getInfo.php?workbook=14_09.xlsx&amp;sheet=U0&amp;row=4377&amp;col=7&amp;number=0.0502&amp;sourceID=14","0.0502")</f>
        <v>0.0502</v>
      </c>
    </row>
    <row r="4378" spans="1:7">
      <c r="A4378" s="3"/>
      <c r="B4378" s="3"/>
      <c r="C4378" s="3"/>
      <c r="D4378" s="3"/>
      <c r="E4378" s="3">
        <v>15</v>
      </c>
      <c r="F4378" s="4" t="str">
        <f>HYPERLINK("http://141.218.60.56/~jnz1568/getInfo.php?workbook=14_09.xlsx&amp;sheet=U0&amp;row=4378&amp;col=6&amp;number=4.4&amp;sourceID=14","4.4")</f>
        <v>4.4</v>
      </c>
      <c r="G4378" s="4" t="str">
        <f>HYPERLINK("http://141.218.60.56/~jnz1568/getInfo.php?workbook=14_09.xlsx&amp;sheet=U0&amp;row=4378&amp;col=7&amp;number=0.0496&amp;sourceID=14","0.0496")</f>
        <v>0.0496</v>
      </c>
    </row>
    <row r="4379" spans="1:7">
      <c r="A4379" s="3"/>
      <c r="B4379" s="3"/>
      <c r="C4379" s="3"/>
      <c r="D4379" s="3"/>
      <c r="E4379" s="3">
        <v>16</v>
      </c>
      <c r="F4379" s="4" t="str">
        <f>HYPERLINK("http://141.218.60.56/~jnz1568/getInfo.php?workbook=14_09.xlsx&amp;sheet=U0&amp;row=4379&amp;col=6&amp;number=4.5&amp;sourceID=14","4.5")</f>
        <v>4.5</v>
      </c>
      <c r="G4379" s="4" t="str">
        <f>HYPERLINK("http://141.218.60.56/~jnz1568/getInfo.php?workbook=14_09.xlsx&amp;sheet=U0&amp;row=4379&amp;col=7&amp;number=0.0488&amp;sourceID=14","0.0488")</f>
        <v>0.0488</v>
      </c>
    </row>
    <row r="4380" spans="1:7">
      <c r="A4380" s="3"/>
      <c r="B4380" s="3"/>
      <c r="C4380" s="3"/>
      <c r="D4380" s="3"/>
      <c r="E4380" s="3">
        <v>17</v>
      </c>
      <c r="F4380" s="4" t="str">
        <f>HYPERLINK("http://141.218.60.56/~jnz1568/getInfo.php?workbook=14_09.xlsx&amp;sheet=U0&amp;row=4380&amp;col=6&amp;number=4.6&amp;sourceID=14","4.6")</f>
        <v>4.6</v>
      </c>
      <c r="G4380" s="4" t="str">
        <f>HYPERLINK("http://141.218.60.56/~jnz1568/getInfo.php?workbook=14_09.xlsx&amp;sheet=U0&amp;row=4380&amp;col=7&amp;number=0.0479&amp;sourceID=14","0.0479")</f>
        <v>0.0479</v>
      </c>
    </row>
    <row r="4381" spans="1:7">
      <c r="A4381" s="3"/>
      <c r="B4381" s="3"/>
      <c r="C4381" s="3"/>
      <c r="D4381" s="3"/>
      <c r="E4381" s="3">
        <v>18</v>
      </c>
      <c r="F4381" s="4" t="str">
        <f>HYPERLINK("http://141.218.60.56/~jnz1568/getInfo.php?workbook=14_09.xlsx&amp;sheet=U0&amp;row=4381&amp;col=6&amp;number=4.7&amp;sourceID=14","4.7")</f>
        <v>4.7</v>
      </c>
      <c r="G4381" s="4" t="str">
        <f>HYPERLINK("http://141.218.60.56/~jnz1568/getInfo.php?workbook=14_09.xlsx&amp;sheet=U0&amp;row=4381&amp;col=7&amp;number=0.0467&amp;sourceID=14","0.0467")</f>
        <v>0.0467</v>
      </c>
    </row>
    <row r="4382" spans="1:7">
      <c r="A4382" s="3"/>
      <c r="B4382" s="3"/>
      <c r="C4382" s="3"/>
      <c r="D4382" s="3"/>
      <c r="E4382" s="3">
        <v>19</v>
      </c>
      <c r="F4382" s="4" t="str">
        <f>HYPERLINK("http://141.218.60.56/~jnz1568/getInfo.php?workbook=14_09.xlsx&amp;sheet=U0&amp;row=4382&amp;col=6&amp;number=4.8&amp;sourceID=14","4.8")</f>
        <v>4.8</v>
      </c>
      <c r="G4382" s="4" t="str">
        <f>HYPERLINK("http://141.218.60.56/~jnz1568/getInfo.php?workbook=14_09.xlsx&amp;sheet=U0&amp;row=4382&amp;col=7&amp;number=0.0452&amp;sourceID=14","0.0452")</f>
        <v>0.0452</v>
      </c>
    </row>
    <row r="4383" spans="1:7">
      <c r="A4383" s="3"/>
      <c r="B4383" s="3"/>
      <c r="C4383" s="3"/>
      <c r="D4383" s="3"/>
      <c r="E4383" s="3">
        <v>20</v>
      </c>
      <c r="F4383" s="4" t="str">
        <f>HYPERLINK("http://141.218.60.56/~jnz1568/getInfo.php?workbook=14_09.xlsx&amp;sheet=U0&amp;row=4383&amp;col=6&amp;number=4.9&amp;sourceID=14","4.9")</f>
        <v>4.9</v>
      </c>
      <c r="G4383" s="4" t="str">
        <f>HYPERLINK("http://141.218.60.56/~jnz1568/getInfo.php?workbook=14_09.xlsx&amp;sheet=U0&amp;row=4383&amp;col=7&amp;number=0.0434&amp;sourceID=14","0.0434")</f>
        <v>0.0434</v>
      </c>
    </row>
    <row r="4384" spans="1:7">
      <c r="A4384" s="3">
        <v>14</v>
      </c>
      <c r="B4384" s="3">
        <v>9</v>
      </c>
      <c r="C4384" s="3">
        <v>2</v>
      </c>
      <c r="D4384" s="3">
        <v>28</v>
      </c>
      <c r="E4384" s="3">
        <v>1</v>
      </c>
      <c r="F4384" s="4" t="str">
        <f>HYPERLINK("http://141.218.60.56/~jnz1568/getInfo.php?workbook=14_09.xlsx&amp;sheet=U0&amp;row=4384&amp;col=6&amp;number=3&amp;sourceID=14","3")</f>
        <v>3</v>
      </c>
      <c r="G4384" s="4" t="str">
        <f>HYPERLINK("http://141.218.60.56/~jnz1568/getInfo.php?workbook=14_09.xlsx&amp;sheet=U0&amp;row=4384&amp;col=7&amp;number=0.0519&amp;sourceID=14","0.0519")</f>
        <v>0.0519</v>
      </c>
    </row>
    <row r="4385" spans="1:7">
      <c r="A4385" s="3"/>
      <c r="B4385" s="3"/>
      <c r="C4385" s="3"/>
      <c r="D4385" s="3"/>
      <c r="E4385" s="3">
        <v>2</v>
      </c>
      <c r="F4385" s="4" t="str">
        <f>HYPERLINK("http://141.218.60.56/~jnz1568/getInfo.php?workbook=14_09.xlsx&amp;sheet=U0&amp;row=4385&amp;col=6&amp;number=3.1&amp;sourceID=14","3.1")</f>
        <v>3.1</v>
      </c>
      <c r="G4385" s="4" t="str">
        <f>HYPERLINK("http://141.218.60.56/~jnz1568/getInfo.php?workbook=14_09.xlsx&amp;sheet=U0&amp;row=4385&amp;col=7&amp;number=0.0519&amp;sourceID=14","0.0519")</f>
        <v>0.0519</v>
      </c>
    </row>
    <row r="4386" spans="1:7">
      <c r="A4386" s="3"/>
      <c r="B4386" s="3"/>
      <c r="C4386" s="3"/>
      <c r="D4386" s="3"/>
      <c r="E4386" s="3">
        <v>3</v>
      </c>
      <c r="F4386" s="4" t="str">
        <f>HYPERLINK("http://141.218.60.56/~jnz1568/getInfo.php?workbook=14_09.xlsx&amp;sheet=U0&amp;row=4386&amp;col=6&amp;number=3.2&amp;sourceID=14","3.2")</f>
        <v>3.2</v>
      </c>
      <c r="G4386" s="4" t="str">
        <f>HYPERLINK("http://141.218.60.56/~jnz1568/getInfo.php?workbook=14_09.xlsx&amp;sheet=U0&amp;row=4386&amp;col=7&amp;number=0.0518&amp;sourceID=14","0.0518")</f>
        <v>0.0518</v>
      </c>
    </row>
    <row r="4387" spans="1:7">
      <c r="A4387" s="3"/>
      <c r="B4387" s="3"/>
      <c r="C4387" s="3"/>
      <c r="D4387" s="3"/>
      <c r="E4387" s="3">
        <v>4</v>
      </c>
      <c r="F4387" s="4" t="str">
        <f>HYPERLINK("http://141.218.60.56/~jnz1568/getInfo.php?workbook=14_09.xlsx&amp;sheet=U0&amp;row=4387&amp;col=6&amp;number=3.3&amp;sourceID=14","3.3")</f>
        <v>3.3</v>
      </c>
      <c r="G4387" s="4" t="str">
        <f>HYPERLINK("http://141.218.60.56/~jnz1568/getInfo.php?workbook=14_09.xlsx&amp;sheet=U0&amp;row=4387&amp;col=7&amp;number=0.0518&amp;sourceID=14","0.0518")</f>
        <v>0.0518</v>
      </c>
    </row>
    <row r="4388" spans="1:7">
      <c r="A4388" s="3"/>
      <c r="B4388" s="3"/>
      <c r="C4388" s="3"/>
      <c r="D4388" s="3"/>
      <c r="E4388" s="3">
        <v>5</v>
      </c>
      <c r="F4388" s="4" t="str">
        <f>HYPERLINK("http://141.218.60.56/~jnz1568/getInfo.php?workbook=14_09.xlsx&amp;sheet=U0&amp;row=4388&amp;col=6&amp;number=3.4&amp;sourceID=14","3.4")</f>
        <v>3.4</v>
      </c>
      <c r="G4388" s="4" t="str">
        <f>HYPERLINK("http://141.218.60.56/~jnz1568/getInfo.php?workbook=14_09.xlsx&amp;sheet=U0&amp;row=4388&amp;col=7&amp;number=0.0517&amp;sourceID=14","0.0517")</f>
        <v>0.0517</v>
      </c>
    </row>
    <row r="4389" spans="1:7">
      <c r="A4389" s="3"/>
      <c r="B4389" s="3"/>
      <c r="C4389" s="3"/>
      <c r="D4389" s="3"/>
      <c r="E4389" s="3">
        <v>6</v>
      </c>
      <c r="F4389" s="4" t="str">
        <f>HYPERLINK("http://141.218.60.56/~jnz1568/getInfo.php?workbook=14_09.xlsx&amp;sheet=U0&amp;row=4389&amp;col=6&amp;number=3.5&amp;sourceID=14","3.5")</f>
        <v>3.5</v>
      </c>
      <c r="G4389" s="4" t="str">
        <f>HYPERLINK("http://141.218.60.56/~jnz1568/getInfo.php?workbook=14_09.xlsx&amp;sheet=U0&amp;row=4389&amp;col=7&amp;number=0.0517&amp;sourceID=14","0.0517")</f>
        <v>0.0517</v>
      </c>
    </row>
    <row r="4390" spans="1:7">
      <c r="A4390" s="3"/>
      <c r="B4390" s="3"/>
      <c r="C4390" s="3"/>
      <c r="D4390" s="3"/>
      <c r="E4390" s="3">
        <v>7</v>
      </c>
      <c r="F4390" s="4" t="str">
        <f>HYPERLINK("http://141.218.60.56/~jnz1568/getInfo.php?workbook=14_09.xlsx&amp;sheet=U0&amp;row=4390&amp;col=6&amp;number=3.6&amp;sourceID=14","3.6")</f>
        <v>3.6</v>
      </c>
      <c r="G4390" s="4" t="str">
        <f>HYPERLINK("http://141.218.60.56/~jnz1568/getInfo.php?workbook=14_09.xlsx&amp;sheet=U0&amp;row=4390&amp;col=7&amp;number=0.0516&amp;sourceID=14","0.0516")</f>
        <v>0.0516</v>
      </c>
    </row>
    <row r="4391" spans="1:7">
      <c r="A4391" s="3"/>
      <c r="B4391" s="3"/>
      <c r="C4391" s="3"/>
      <c r="D4391" s="3"/>
      <c r="E4391" s="3">
        <v>8</v>
      </c>
      <c r="F4391" s="4" t="str">
        <f>HYPERLINK("http://141.218.60.56/~jnz1568/getInfo.php?workbook=14_09.xlsx&amp;sheet=U0&amp;row=4391&amp;col=6&amp;number=3.7&amp;sourceID=14","3.7")</f>
        <v>3.7</v>
      </c>
      <c r="G4391" s="4" t="str">
        <f>HYPERLINK("http://141.218.60.56/~jnz1568/getInfo.php?workbook=14_09.xlsx&amp;sheet=U0&amp;row=4391&amp;col=7&amp;number=0.0515&amp;sourceID=14","0.0515")</f>
        <v>0.0515</v>
      </c>
    </row>
    <row r="4392" spans="1:7">
      <c r="A4392" s="3"/>
      <c r="B4392" s="3"/>
      <c r="C4392" s="3"/>
      <c r="D4392" s="3"/>
      <c r="E4392" s="3">
        <v>9</v>
      </c>
      <c r="F4392" s="4" t="str">
        <f>HYPERLINK("http://141.218.60.56/~jnz1568/getInfo.php?workbook=14_09.xlsx&amp;sheet=U0&amp;row=4392&amp;col=6&amp;number=3.8&amp;sourceID=14","3.8")</f>
        <v>3.8</v>
      </c>
      <c r="G4392" s="4" t="str">
        <f>HYPERLINK("http://141.218.60.56/~jnz1568/getInfo.php?workbook=14_09.xlsx&amp;sheet=U0&amp;row=4392&amp;col=7&amp;number=0.0513&amp;sourceID=14","0.0513")</f>
        <v>0.0513</v>
      </c>
    </row>
    <row r="4393" spans="1:7">
      <c r="A4393" s="3"/>
      <c r="B4393" s="3"/>
      <c r="C4393" s="3"/>
      <c r="D4393" s="3"/>
      <c r="E4393" s="3">
        <v>10</v>
      </c>
      <c r="F4393" s="4" t="str">
        <f>HYPERLINK("http://141.218.60.56/~jnz1568/getInfo.php?workbook=14_09.xlsx&amp;sheet=U0&amp;row=4393&amp;col=6&amp;number=3.9&amp;sourceID=14","3.9")</f>
        <v>3.9</v>
      </c>
      <c r="G4393" s="4" t="str">
        <f>HYPERLINK("http://141.218.60.56/~jnz1568/getInfo.php?workbook=14_09.xlsx&amp;sheet=U0&amp;row=4393&amp;col=7&amp;number=0.0512&amp;sourceID=14","0.0512")</f>
        <v>0.0512</v>
      </c>
    </row>
    <row r="4394" spans="1:7">
      <c r="A4394" s="3"/>
      <c r="B4394" s="3"/>
      <c r="C4394" s="3"/>
      <c r="D4394" s="3"/>
      <c r="E4394" s="3">
        <v>11</v>
      </c>
      <c r="F4394" s="4" t="str">
        <f>HYPERLINK("http://141.218.60.56/~jnz1568/getInfo.php?workbook=14_09.xlsx&amp;sheet=U0&amp;row=4394&amp;col=6&amp;number=4&amp;sourceID=14","4")</f>
        <v>4</v>
      </c>
      <c r="G4394" s="4" t="str">
        <f>HYPERLINK("http://141.218.60.56/~jnz1568/getInfo.php?workbook=14_09.xlsx&amp;sheet=U0&amp;row=4394&amp;col=7&amp;number=0.051&amp;sourceID=14","0.051")</f>
        <v>0.051</v>
      </c>
    </row>
    <row r="4395" spans="1:7">
      <c r="A4395" s="3"/>
      <c r="B4395" s="3"/>
      <c r="C4395" s="3"/>
      <c r="D4395" s="3"/>
      <c r="E4395" s="3">
        <v>12</v>
      </c>
      <c r="F4395" s="4" t="str">
        <f>HYPERLINK("http://141.218.60.56/~jnz1568/getInfo.php?workbook=14_09.xlsx&amp;sheet=U0&amp;row=4395&amp;col=6&amp;number=4.1&amp;sourceID=14","4.1")</f>
        <v>4.1</v>
      </c>
      <c r="G4395" s="4" t="str">
        <f>HYPERLINK("http://141.218.60.56/~jnz1568/getInfo.php?workbook=14_09.xlsx&amp;sheet=U0&amp;row=4395&amp;col=7&amp;number=0.0507&amp;sourceID=14","0.0507")</f>
        <v>0.0507</v>
      </c>
    </row>
    <row r="4396" spans="1:7">
      <c r="A4396" s="3"/>
      <c r="B4396" s="3"/>
      <c r="C4396" s="3"/>
      <c r="D4396" s="3"/>
      <c r="E4396" s="3">
        <v>13</v>
      </c>
      <c r="F4396" s="4" t="str">
        <f>HYPERLINK("http://141.218.60.56/~jnz1568/getInfo.php?workbook=14_09.xlsx&amp;sheet=U0&amp;row=4396&amp;col=6&amp;number=4.2&amp;sourceID=14","4.2")</f>
        <v>4.2</v>
      </c>
      <c r="G4396" s="4" t="str">
        <f>HYPERLINK("http://141.218.60.56/~jnz1568/getInfo.php?workbook=14_09.xlsx&amp;sheet=U0&amp;row=4396&amp;col=7&amp;number=0.0503&amp;sourceID=14","0.0503")</f>
        <v>0.0503</v>
      </c>
    </row>
    <row r="4397" spans="1:7">
      <c r="A4397" s="3"/>
      <c r="B4397" s="3"/>
      <c r="C4397" s="3"/>
      <c r="D4397" s="3"/>
      <c r="E4397" s="3">
        <v>14</v>
      </c>
      <c r="F4397" s="4" t="str">
        <f>HYPERLINK("http://141.218.60.56/~jnz1568/getInfo.php?workbook=14_09.xlsx&amp;sheet=U0&amp;row=4397&amp;col=6&amp;number=4.3&amp;sourceID=14","4.3")</f>
        <v>4.3</v>
      </c>
      <c r="G4397" s="4" t="str">
        <f>HYPERLINK("http://141.218.60.56/~jnz1568/getInfo.php?workbook=14_09.xlsx&amp;sheet=U0&amp;row=4397&amp;col=7&amp;number=0.0499&amp;sourceID=14","0.0499")</f>
        <v>0.0499</v>
      </c>
    </row>
    <row r="4398" spans="1:7">
      <c r="A4398" s="3"/>
      <c r="B4398" s="3"/>
      <c r="C4398" s="3"/>
      <c r="D4398" s="3"/>
      <c r="E4398" s="3">
        <v>15</v>
      </c>
      <c r="F4398" s="4" t="str">
        <f>HYPERLINK("http://141.218.60.56/~jnz1568/getInfo.php?workbook=14_09.xlsx&amp;sheet=U0&amp;row=4398&amp;col=6&amp;number=4.4&amp;sourceID=14","4.4")</f>
        <v>4.4</v>
      </c>
      <c r="G4398" s="4" t="str">
        <f>HYPERLINK("http://141.218.60.56/~jnz1568/getInfo.php?workbook=14_09.xlsx&amp;sheet=U0&amp;row=4398&amp;col=7&amp;number=0.0494&amp;sourceID=14","0.0494")</f>
        <v>0.0494</v>
      </c>
    </row>
    <row r="4399" spans="1:7">
      <c r="A4399" s="3"/>
      <c r="B4399" s="3"/>
      <c r="C4399" s="3"/>
      <c r="D4399" s="3"/>
      <c r="E4399" s="3">
        <v>16</v>
      </c>
      <c r="F4399" s="4" t="str">
        <f>HYPERLINK("http://141.218.60.56/~jnz1568/getInfo.php?workbook=14_09.xlsx&amp;sheet=U0&amp;row=4399&amp;col=6&amp;number=4.5&amp;sourceID=14","4.5")</f>
        <v>4.5</v>
      </c>
      <c r="G4399" s="4" t="str">
        <f>HYPERLINK("http://141.218.60.56/~jnz1568/getInfo.php?workbook=14_09.xlsx&amp;sheet=U0&amp;row=4399&amp;col=7&amp;number=0.0487&amp;sourceID=14","0.0487")</f>
        <v>0.0487</v>
      </c>
    </row>
    <row r="4400" spans="1:7">
      <c r="A4400" s="3"/>
      <c r="B4400" s="3"/>
      <c r="C4400" s="3"/>
      <c r="D4400" s="3"/>
      <c r="E4400" s="3">
        <v>17</v>
      </c>
      <c r="F4400" s="4" t="str">
        <f>HYPERLINK("http://141.218.60.56/~jnz1568/getInfo.php?workbook=14_09.xlsx&amp;sheet=U0&amp;row=4400&amp;col=6&amp;number=4.6&amp;sourceID=14","4.6")</f>
        <v>4.6</v>
      </c>
      <c r="G4400" s="4" t="str">
        <f>HYPERLINK("http://141.218.60.56/~jnz1568/getInfo.php?workbook=14_09.xlsx&amp;sheet=U0&amp;row=4400&amp;col=7&amp;number=0.0479&amp;sourceID=14","0.0479")</f>
        <v>0.0479</v>
      </c>
    </row>
    <row r="4401" spans="1:7">
      <c r="A4401" s="3"/>
      <c r="B4401" s="3"/>
      <c r="C4401" s="3"/>
      <c r="D4401" s="3"/>
      <c r="E4401" s="3">
        <v>18</v>
      </c>
      <c r="F4401" s="4" t="str">
        <f>HYPERLINK("http://141.218.60.56/~jnz1568/getInfo.php?workbook=14_09.xlsx&amp;sheet=U0&amp;row=4401&amp;col=6&amp;number=4.7&amp;sourceID=14","4.7")</f>
        <v>4.7</v>
      </c>
      <c r="G4401" s="4" t="str">
        <f>HYPERLINK("http://141.218.60.56/~jnz1568/getInfo.php?workbook=14_09.xlsx&amp;sheet=U0&amp;row=4401&amp;col=7&amp;number=0.0469&amp;sourceID=14","0.0469")</f>
        <v>0.0469</v>
      </c>
    </row>
    <row r="4402" spans="1:7">
      <c r="A4402" s="3"/>
      <c r="B4402" s="3"/>
      <c r="C4402" s="3"/>
      <c r="D4402" s="3"/>
      <c r="E4402" s="3">
        <v>19</v>
      </c>
      <c r="F4402" s="4" t="str">
        <f>HYPERLINK("http://141.218.60.56/~jnz1568/getInfo.php?workbook=14_09.xlsx&amp;sheet=U0&amp;row=4402&amp;col=6&amp;number=4.8&amp;sourceID=14","4.8")</f>
        <v>4.8</v>
      </c>
      <c r="G4402" s="4" t="str">
        <f>HYPERLINK("http://141.218.60.56/~jnz1568/getInfo.php?workbook=14_09.xlsx&amp;sheet=U0&amp;row=4402&amp;col=7&amp;number=0.0456&amp;sourceID=14","0.0456")</f>
        <v>0.0456</v>
      </c>
    </row>
    <row r="4403" spans="1:7">
      <c r="A4403" s="3"/>
      <c r="B4403" s="3"/>
      <c r="C4403" s="3"/>
      <c r="D4403" s="3"/>
      <c r="E4403" s="3">
        <v>20</v>
      </c>
      <c r="F4403" s="4" t="str">
        <f>HYPERLINK("http://141.218.60.56/~jnz1568/getInfo.php?workbook=14_09.xlsx&amp;sheet=U0&amp;row=4403&amp;col=6&amp;number=4.9&amp;sourceID=14","4.9")</f>
        <v>4.9</v>
      </c>
      <c r="G4403" s="4" t="str">
        <f>HYPERLINK("http://141.218.60.56/~jnz1568/getInfo.php?workbook=14_09.xlsx&amp;sheet=U0&amp;row=4403&amp;col=7&amp;number=0.044&amp;sourceID=14","0.044")</f>
        <v>0.044</v>
      </c>
    </row>
    <row r="4404" spans="1:7">
      <c r="A4404" s="3">
        <v>14</v>
      </c>
      <c r="B4404" s="3">
        <v>9</v>
      </c>
      <c r="C4404" s="3">
        <v>2</v>
      </c>
      <c r="D4404" s="3">
        <v>29</v>
      </c>
      <c r="E4404" s="3">
        <v>1</v>
      </c>
      <c r="F4404" s="4" t="str">
        <f>HYPERLINK("http://141.218.60.56/~jnz1568/getInfo.php?workbook=14_09.xlsx&amp;sheet=U0&amp;row=4404&amp;col=6&amp;number=3&amp;sourceID=14","3")</f>
        <v>3</v>
      </c>
      <c r="G4404" s="4" t="str">
        <f>HYPERLINK("http://141.218.60.56/~jnz1568/getInfo.php?workbook=14_09.xlsx&amp;sheet=U0&amp;row=4404&amp;col=7&amp;number=0.0685&amp;sourceID=14","0.0685")</f>
        <v>0.0685</v>
      </c>
    </row>
    <row r="4405" spans="1:7">
      <c r="A4405" s="3"/>
      <c r="B4405" s="3"/>
      <c r="C4405" s="3"/>
      <c r="D4405" s="3"/>
      <c r="E4405" s="3">
        <v>2</v>
      </c>
      <c r="F4405" s="4" t="str">
        <f>HYPERLINK("http://141.218.60.56/~jnz1568/getInfo.php?workbook=14_09.xlsx&amp;sheet=U0&amp;row=4405&amp;col=6&amp;number=3.1&amp;sourceID=14","3.1")</f>
        <v>3.1</v>
      </c>
      <c r="G4405" s="4" t="str">
        <f>HYPERLINK("http://141.218.60.56/~jnz1568/getInfo.php?workbook=14_09.xlsx&amp;sheet=U0&amp;row=4405&amp;col=7&amp;number=0.0685&amp;sourceID=14","0.0685")</f>
        <v>0.0685</v>
      </c>
    </row>
    <row r="4406" spans="1:7">
      <c r="A4406" s="3"/>
      <c r="B4406" s="3"/>
      <c r="C4406" s="3"/>
      <c r="D4406" s="3"/>
      <c r="E4406" s="3">
        <v>3</v>
      </c>
      <c r="F4406" s="4" t="str">
        <f>HYPERLINK("http://141.218.60.56/~jnz1568/getInfo.php?workbook=14_09.xlsx&amp;sheet=U0&amp;row=4406&amp;col=6&amp;number=3.2&amp;sourceID=14","3.2")</f>
        <v>3.2</v>
      </c>
      <c r="G4406" s="4" t="str">
        <f>HYPERLINK("http://141.218.60.56/~jnz1568/getInfo.php?workbook=14_09.xlsx&amp;sheet=U0&amp;row=4406&amp;col=7&amp;number=0.0684&amp;sourceID=14","0.0684")</f>
        <v>0.0684</v>
      </c>
    </row>
    <row r="4407" spans="1:7">
      <c r="A4407" s="3"/>
      <c r="B4407" s="3"/>
      <c r="C4407" s="3"/>
      <c r="D4407" s="3"/>
      <c r="E4407" s="3">
        <v>4</v>
      </c>
      <c r="F4407" s="4" t="str">
        <f>HYPERLINK("http://141.218.60.56/~jnz1568/getInfo.php?workbook=14_09.xlsx&amp;sheet=U0&amp;row=4407&amp;col=6&amp;number=3.3&amp;sourceID=14","3.3")</f>
        <v>3.3</v>
      </c>
      <c r="G4407" s="4" t="str">
        <f>HYPERLINK("http://141.218.60.56/~jnz1568/getInfo.php?workbook=14_09.xlsx&amp;sheet=U0&amp;row=4407&amp;col=7&amp;number=0.0682&amp;sourceID=14","0.0682")</f>
        <v>0.0682</v>
      </c>
    </row>
    <row r="4408" spans="1:7">
      <c r="A4408" s="3"/>
      <c r="B4408" s="3"/>
      <c r="C4408" s="3"/>
      <c r="D4408" s="3"/>
      <c r="E4408" s="3">
        <v>5</v>
      </c>
      <c r="F4408" s="4" t="str">
        <f>HYPERLINK("http://141.218.60.56/~jnz1568/getInfo.php?workbook=14_09.xlsx&amp;sheet=U0&amp;row=4408&amp;col=6&amp;number=3.4&amp;sourceID=14","3.4")</f>
        <v>3.4</v>
      </c>
      <c r="G4408" s="4" t="str">
        <f>HYPERLINK("http://141.218.60.56/~jnz1568/getInfo.php?workbook=14_09.xlsx&amp;sheet=U0&amp;row=4408&amp;col=7&amp;number=0.0681&amp;sourceID=14","0.0681")</f>
        <v>0.0681</v>
      </c>
    </row>
    <row r="4409" spans="1:7">
      <c r="A4409" s="3"/>
      <c r="B4409" s="3"/>
      <c r="C4409" s="3"/>
      <c r="D4409" s="3"/>
      <c r="E4409" s="3">
        <v>6</v>
      </c>
      <c r="F4409" s="4" t="str">
        <f>HYPERLINK("http://141.218.60.56/~jnz1568/getInfo.php?workbook=14_09.xlsx&amp;sheet=U0&amp;row=4409&amp;col=6&amp;number=3.5&amp;sourceID=14","3.5")</f>
        <v>3.5</v>
      </c>
      <c r="G4409" s="4" t="str">
        <f>HYPERLINK("http://141.218.60.56/~jnz1568/getInfo.php?workbook=14_09.xlsx&amp;sheet=U0&amp;row=4409&amp;col=7&amp;number=0.0679&amp;sourceID=14","0.0679")</f>
        <v>0.0679</v>
      </c>
    </row>
    <row r="4410" spans="1:7">
      <c r="A4410" s="3"/>
      <c r="B4410" s="3"/>
      <c r="C4410" s="3"/>
      <c r="D4410" s="3"/>
      <c r="E4410" s="3">
        <v>7</v>
      </c>
      <c r="F4410" s="4" t="str">
        <f>HYPERLINK("http://141.218.60.56/~jnz1568/getInfo.php?workbook=14_09.xlsx&amp;sheet=U0&amp;row=4410&amp;col=6&amp;number=3.6&amp;sourceID=14","3.6")</f>
        <v>3.6</v>
      </c>
      <c r="G4410" s="4" t="str">
        <f>HYPERLINK("http://141.218.60.56/~jnz1568/getInfo.php?workbook=14_09.xlsx&amp;sheet=U0&amp;row=4410&amp;col=7&amp;number=0.0677&amp;sourceID=14","0.0677")</f>
        <v>0.0677</v>
      </c>
    </row>
    <row r="4411" spans="1:7">
      <c r="A4411" s="3"/>
      <c r="B4411" s="3"/>
      <c r="C4411" s="3"/>
      <c r="D4411" s="3"/>
      <c r="E4411" s="3">
        <v>8</v>
      </c>
      <c r="F4411" s="4" t="str">
        <f>HYPERLINK("http://141.218.60.56/~jnz1568/getInfo.php?workbook=14_09.xlsx&amp;sheet=U0&amp;row=4411&amp;col=6&amp;number=3.7&amp;sourceID=14","3.7")</f>
        <v>3.7</v>
      </c>
      <c r="G4411" s="4" t="str">
        <f>HYPERLINK("http://141.218.60.56/~jnz1568/getInfo.php?workbook=14_09.xlsx&amp;sheet=U0&amp;row=4411&amp;col=7&amp;number=0.0673&amp;sourceID=14","0.0673")</f>
        <v>0.0673</v>
      </c>
    </row>
    <row r="4412" spans="1:7">
      <c r="A4412" s="3"/>
      <c r="B4412" s="3"/>
      <c r="C4412" s="3"/>
      <c r="D4412" s="3"/>
      <c r="E4412" s="3">
        <v>9</v>
      </c>
      <c r="F4412" s="4" t="str">
        <f>HYPERLINK("http://141.218.60.56/~jnz1568/getInfo.php?workbook=14_09.xlsx&amp;sheet=U0&amp;row=4412&amp;col=6&amp;number=3.8&amp;sourceID=14","3.8")</f>
        <v>3.8</v>
      </c>
      <c r="G4412" s="4" t="str">
        <f>HYPERLINK("http://141.218.60.56/~jnz1568/getInfo.php?workbook=14_09.xlsx&amp;sheet=U0&amp;row=4412&amp;col=7&amp;number=0.067&amp;sourceID=14","0.067")</f>
        <v>0.067</v>
      </c>
    </row>
    <row r="4413" spans="1:7">
      <c r="A4413" s="3"/>
      <c r="B4413" s="3"/>
      <c r="C4413" s="3"/>
      <c r="D4413" s="3"/>
      <c r="E4413" s="3">
        <v>10</v>
      </c>
      <c r="F4413" s="4" t="str">
        <f>HYPERLINK("http://141.218.60.56/~jnz1568/getInfo.php?workbook=14_09.xlsx&amp;sheet=U0&amp;row=4413&amp;col=6&amp;number=3.9&amp;sourceID=14","3.9")</f>
        <v>3.9</v>
      </c>
      <c r="G4413" s="4" t="str">
        <f>HYPERLINK("http://141.218.60.56/~jnz1568/getInfo.php?workbook=14_09.xlsx&amp;sheet=U0&amp;row=4413&amp;col=7&amp;number=0.0665&amp;sourceID=14","0.0665")</f>
        <v>0.0665</v>
      </c>
    </row>
    <row r="4414" spans="1:7">
      <c r="A4414" s="3"/>
      <c r="B4414" s="3"/>
      <c r="C4414" s="3"/>
      <c r="D4414" s="3"/>
      <c r="E4414" s="3">
        <v>11</v>
      </c>
      <c r="F4414" s="4" t="str">
        <f>HYPERLINK("http://141.218.60.56/~jnz1568/getInfo.php?workbook=14_09.xlsx&amp;sheet=U0&amp;row=4414&amp;col=6&amp;number=4&amp;sourceID=14","4")</f>
        <v>4</v>
      </c>
      <c r="G4414" s="4" t="str">
        <f>HYPERLINK("http://141.218.60.56/~jnz1568/getInfo.php?workbook=14_09.xlsx&amp;sheet=U0&amp;row=4414&amp;col=7&amp;number=0.0659&amp;sourceID=14","0.0659")</f>
        <v>0.0659</v>
      </c>
    </row>
    <row r="4415" spans="1:7">
      <c r="A4415" s="3"/>
      <c r="B4415" s="3"/>
      <c r="C4415" s="3"/>
      <c r="D4415" s="3"/>
      <c r="E4415" s="3">
        <v>12</v>
      </c>
      <c r="F4415" s="4" t="str">
        <f>HYPERLINK("http://141.218.60.56/~jnz1568/getInfo.php?workbook=14_09.xlsx&amp;sheet=U0&amp;row=4415&amp;col=6&amp;number=4.1&amp;sourceID=14","4.1")</f>
        <v>4.1</v>
      </c>
      <c r="G4415" s="4" t="str">
        <f>HYPERLINK("http://141.218.60.56/~jnz1568/getInfo.php?workbook=14_09.xlsx&amp;sheet=U0&amp;row=4415&amp;col=7&amp;number=0.0651&amp;sourceID=14","0.0651")</f>
        <v>0.0651</v>
      </c>
    </row>
    <row r="4416" spans="1:7">
      <c r="A4416" s="3"/>
      <c r="B4416" s="3"/>
      <c r="C4416" s="3"/>
      <c r="D4416" s="3"/>
      <c r="E4416" s="3">
        <v>13</v>
      </c>
      <c r="F4416" s="4" t="str">
        <f>HYPERLINK("http://141.218.60.56/~jnz1568/getInfo.php?workbook=14_09.xlsx&amp;sheet=U0&amp;row=4416&amp;col=6&amp;number=4.2&amp;sourceID=14","4.2")</f>
        <v>4.2</v>
      </c>
      <c r="G4416" s="4" t="str">
        <f>HYPERLINK("http://141.218.60.56/~jnz1568/getInfo.php?workbook=14_09.xlsx&amp;sheet=U0&amp;row=4416&amp;col=7&amp;number=0.0642&amp;sourceID=14","0.0642")</f>
        <v>0.0642</v>
      </c>
    </row>
    <row r="4417" spans="1:7">
      <c r="A4417" s="3"/>
      <c r="B4417" s="3"/>
      <c r="C4417" s="3"/>
      <c r="D4417" s="3"/>
      <c r="E4417" s="3">
        <v>14</v>
      </c>
      <c r="F4417" s="4" t="str">
        <f>HYPERLINK("http://141.218.60.56/~jnz1568/getInfo.php?workbook=14_09.xlsx&amp;sheet=U0&amp;row=4417&amp;col=6&amp;number=4.3&amp;sourceID=14","4.3")</f>
        <v>4.3</v>
      </c>
      <c r="G4417" s="4" t="str">
        <f>HYPERLINK("http://141.218.60.56/~jnz1568/getInfo.php?workbook=14_09.xlsx&amp;sheet=U0&amp;row=4417&amp;col=7&amp;number=0.063&amp;sourceID=14","0.063")</f>
        <v>0.063</v>
      </c>
    </row>
    <row r="4418" spans="1:7">
      <c r="A4418" s="3"/>
      <c r="B4418" s="3"/>
      <c r="C4418" s="3"/>
      <c r="D4418" s="3"/>
      <c r="E4418" s="3">
        <v>15</v>
      </c>
      <c r="F4418" s="4" t="str">
        <f>HYPERLINK("http://141.218.60.56/~jnz1568/getInfo.php?workbook=14_09.xlsx&amp;sheet=U0&amp;row=4418&amp;col=6&amp;number=4.4&amp;sourceID=14","4.4")</f>
        <v>4.4</v>
      </c>
      <c r="G4418" s="4" t="str">
        <f>HYPERLINK("http://141.218.60.56/~jnz1568/getInfo.php?workbook=14_09.xlsx&amp;sheet=U0&amp;row=4418&amp;col=7&amp;number=0.0616&amp;sourceID=14","0.0616")</f>
        <v>0.0616</v>
      </c>
    </row>
    <row r="4419" spans="1:7">
      <c r="A4419" s="3"/>
      <c r="B4419" s="3"/>
      <c r="C4419" s="3"/>
      <c r="D4419" s="3"/>
      <c r="E4419" s="3">
        <v>16</v>
      </c>
      <c r="F4419" s="4" t="str">
        <f>HYPERLINK("http://141.218.60.56/~jnz1568/getInfo.php?workbook=14_09.xlsx&amp;sheet=U0&amp;row=4419&amp;col=6&amp;number=4.5&amp;sourceID=14","4.5")</f>
        <v>4.5</v>
      </c>
      <c r="G4419" s="4" t="str">
        <f>HYPERLINK("http://141.218.60.56/~jnz1568/getInfo.php?workbook=14_09.xlsx&amp;sheet=U0&amp;row=4419&amp;col=7&amp;number=0.0598&amp;sourceID=14","0.0598")</f>
        <v>0.0598</v>
      </c>
    </row>
    <row r="4420" spans="1:7">
      <c r="A4420" s="3"/>
      <c r="B4420" s="3"/>
      <c r="C4420" s="3"/>
      <c r="D4420" s="3"/>
      <c r="E4420" s="3">
        <v>17</v>
      </c>
      <c r="F4420" s="4" t="str">
        <f>HYPERLINK("http://141.218.60.56/~jnz1568/getInfo.php?workbook=14_09.xlsx&amp;sheet=U0&amp;row=4420&amp;col=6&amp;number=4.6&amp;sourceID=14","4.6")</f>
        <v>4.6</v>
      </c>
      <c r="G4420" s="4" t="str">
        <f>HYPERLINK("http://141.218.60.56/~jnz1568/getInfo.php?workbook=14_09.xlsx&amp;sheet=U0&amp;row=4420&amp;col=7&amp;number=0.0577&amp;sourceID=14","0.0577")</f>
        <v>0.0577</v>
      </c>
    </row>
    <row r="4421" spans="1:7">
      <c r="A4421" s="3"/>
      <c r="B4421" s="3"/>
      <c r="C4421" s="3"/>
      <c r="D4421" s="3"/>
      <c r="E4421" s="3">
        <v>18</v>
      </c>
      <c r="F4421" s="4" t="str">
        <f>HYPERLINK("http://141.218.60.56/~jnz1568/getInfo.php?workbook=14_09.xlsx&amp;sheet=U0&amp;row=4421&amp;col=6&amp;number=4.7&amp;sourceID=14","4.7")</f>
        <v>4.7</v>
      </c>
      <c r="G4421" s="4" t="str">
        <f>HYPERLINK("http://141.218.60.56/~jnz1568/getInfo.php?workbook=14_09.xlsx&amp;sheet=U0&amp;row=4421&amp;col=7&amp;number=0.0551&amp;sourceID=14","0.0551")</f>
        <v>0.0551</v>
      </c>
    </row>
    <row r="4422" spans="1:7">
      <c r="A4422" s="3"/>
      <c r="B4422" s="3"/>
      <c r="C4422" s="3"/>
      <c r="D4422" s="3"/>
      <c r="E4422" s="3">
        <v>19</v>
      </c>
      <c r="F4422" s="4" t="str">
        <f>HYPERLINK("http://141.218.60.56/~jnz1568/getInfo.php?workbook=14_09.xlsx&amp;sheet=U0&amp;row=4422&amp;col=6&amp;number=4.8&amp;sourceID=14","4.8")</f>
        <v>4.8</v>
      </c>
      <c r="G4422" s="4" t="str">
        <f>HYPERLINK("http://141.218.60.56/~jnz1568/getInfo.php?workbook=14_09.xlsx&amp;sheet=U0&amp;row=4422&amp;col=7&amp;number=0.0521&amp;sourceID=14","0.0521")</f>
        <v>0.0521</v>
      </c>
    </row>
    <row r="4423" spans="1:7">
      <c r="A4423" s="3"/>
      <c r="B4423" s="3"/>
      <c r="C4423" s="3"/>
      <c r="D4423" s="3"/>
      <c r="E4423" s="3">
        <v>20</v>
      </c>
      <c r="F4423" s="4" t="str">
        <f>HYPERLINK("http://141.218.60.56/~jnz1568/getInfo.php?workbook=14_09.xlsx&amp;sheet=U0&amp;row=4423&amp;col=6&amp;number=4.9&amp;sourceID=14","4.9")</f>
        <v>4.9</v>
      </c>
      <c r="G4423" s="4" t="str">
        <f>HYPERLINK("http://141.218.60.56/~jnz1568/getInfo.php?workbook=14_09.xlsx&amp;sheet=U0&amp;row=4423&amp;col=7&amp;number=0.0487&amp;sourceID=14","0.0487")</f>
        <v>0.0487</v>
      </c>
    </row>
    <row r="4424" spans="1:7">
      <c r="A4424" s="3">
        <v>14</v>
      </c>
      <c r="B4424" s="3">
        <v>9</v>
      </c>
      <c r="C4424" s="3">
        <v>2</v>
      </c>
      <c r="D4424" s="3">
        <v>30</v>
      </c>
      <c r="E4424" s="3">
        <v>1</v>
      </c>
      <c r="F4424" s="4" t="str">
        <f>HYPERLINK("http://141.218.60.56/~jnz1568/getInfo.php?workbook=14_09.xlsx&amp;sheet=U0&amp;row=4424&amp;col=6&amp;number=3&amp;sourceID=14","3")</f>
        <v>3</v>
      </c>
      <c r="G4424" s="4" t="str">
        <f>HYPERLINK("http://141.218.60.56/~jnz1568/getInfo.php?workbook=14_09.xlsx&amp;sheet=U0&amp;row=4424&amp;col=7&amp;number=0.251&amp;sourceID=14","0.251")</f>
        <v>0.251</v>
      </c>
    </row>
    <row r="4425" spans="1:7">
      <c r="A4425" s="3"/>
      <c r="B4425" s="3"/>
      <c r="C4425" s="3"/>
      <c r="D4425" s="3"/>
      <c r="E4425" s="3">
        <v>2</v>
      </c>
      <c r="F4425" s="4" t="str">
        <f>HYPERLINK("http://141.218.60.56/~jnz1568/getInfo.php?workbook=14_09.xlsx&amp;sheet=U0&amp;row=4425&amp;col=6&amp;number=3.1&amp;sourceID=14","3.1")</f>
        <v>3.1</v>
      </c>
      <c r="G4425" s="4" t="str">
        <f>HYPERLINK("http://141.218.60.56/~jnz1568/getInfo.php?workbook=14_09.xlsx&amp;sheet=U0&amp;row=4425&amp;col=7&amp;number=0.251&amp;sourceID=14","0.251")</f>
        <v>0.251</v>
      </c>
    </row>
    <row r="4426" spans="1:7">
      <c r="A4426" s="3"/>
      <c r="B4426" s="3"/>
      <c r="C4426" s="3"/>
      <c r="D4426" s="3"/>
      <c r="E4426" s="3">
        <v>3</v>
      </c>
      <c r="F4426" s="4" t="str">
        <f>HYPERLINK("http://141.218.60.56/~jnz1568/getInfo.php?workbook=14_09.xlsx&amp;sheet=U0&amp;row=4426&amp;col=6&amp;number=3.2&amp;sourceID=14","3.2")</f>
        <v>3.2</v>
      </c>
      <c r="G4426" s="4" t="str">
        <f>HYPERLINK("http://141.218.60.56/~jnz1568/getInfo.php?workbook=14_09.xlsx&amp;sheet=U0&amp;row=4426&amp;col=7&amp;number=0.251&amp;sourceID=14","0.251")</f>
        <v>0.251</v>
      </c>
    </row>
    <row r="4427" spans="1:7">
      <c r="A4427" s="3"/>
      <c r="B4427" s="3"/>
      <c r="C4427" s="3"/>
      <c r="D4427" s="3"/>
      <c r="E4427" s="3">
        <v>4</v>
      </c>
      <c r="F4427" s="4" t="str">
        <f>HYPERLINK("http://141.218.60.56/~jnz1568/getInfo.php?workbook=14_09.xlsx&amp;sheet=U0&amp;row=4427&amp;col=6&amp;number=3.3&amp;sourceID=14","3.3")</f>
        <v>3.3</v>
      </c>
      <c r="G4427" s="4" t="str">
        <f>HYPERLINK("http://141.218.60.56/~jnz1568/getInfo.php?workbook=14_09.xlsx&amp;sheet=U0&amp;row=4427&amp;col=7&amp;number=0.251&amp;sourceID=14","0.251")</f>
        <v>0.251</v>
      </c>
    </row>
    <row r="4428" spans="1:7">
      <c r="A4428" s="3"/>
      <c r="B4428" s="3"/>
      <c r="C4428" s="3"/>
      <c r="D4428" s="3"/>
      <c r="E4428" s="3">
        <v>5</v>
      </c>
      <c r="F4428" s="4" t="str">
        <f>HYPERLINK("http://141.218.60.56/~jnz1568/getInfo.php?workbook=14_09.xlsx&amp;sheet=U0&amp;row=4428&amp;col=6&amp;number=3.4&amp;sourceID=14","3.4")</f>
        <v>3.4</v>
      </c>
      <c r="G4428" s="4" t="str">
        <f>HYPERLINK("http://141.218.60.56/~jnz1568/getInfo.php?workbook=14_09.xlsx&amp;sheet=U0&amp;row=4428&amp;col=7&amp;number=0.251&amp;sourceID=14","0.251")</f>
        <v>0.251</v>
      </c>
    </row>
    <row r="4429" spans="1:7">
      <c r="A4429" s="3"/>
      <c r="B4429" s="3"/>
      <c r="C4429" s="3"/>
      <c r="D4429" s="3"/>
      <c r="E4429" s="3">
        <v>6</v>
      </c>
      <c r="F4429" s="4" t="str">
        <f>HYPERLINK("http://141.218.60.56/~jnz1568/getInfo.php?workbook=14_09.xlsx&amp;sheet=U0&amp;row=4429&amp;col=6&amp;number=3.5&amp;sourceID=14","3.5")</f>
        <v>3.5</v>
      </c>
      <c r="G4429" s="4" t="str">
        <f>HYPERLINK("http://141.218.60.56/~jnz1568/getInfo.php?workbook=14_09.xlsx&amp;sheet=U0&amp;row=4429&amp;col=7&amp;number=0.251&amp;sourceID=14","0.251")</f>
        <v>0.251</v>
      </c>
    </row>
    <row r="4430" spans="1:7">
      <c r="A4430" s="3"/>
      <c r="B4430" s="3"/>
      <c r="C4430" s="3"/>
      <c r="D4430" s="3"/>
      <c r="E4430" s="3">
        <v>7</v>
      </c>
      <c r="F4430" s="4" t="str">
        <f>HYPERLINK("http://141.218.60.56/~jnz1568/getInfo.php?workbook=14_09.xlsx&amp;sheet=U0&amp;row=4430&amp;col=6&amp;number=3.6&amp;sourceID=14","3.6")</f>
        <v>3.6</v>
      </c>
      <c r="G4430" s="4" t="str">
        <f>HYPERLINK("http://141.218.60.56/~jnz1568/getInfo.php?workbook=14_09.xlsx&amp;sheet=U0&amp;row=4430&amp;col=7&amp;number=0.25&amp;sourceID=14","0.25")</f>
        <v>0.25</v>
      </c>
    </row>
    <row r="4431" spans="1:7">
      <c r="A4431" s="3"/>
      <c r="B4431" s="3"/>
      <c r="C4431" s="3"/>
      <c r="D4431" s="3"/>
      <c r="E4431" s="3">
        <v>8</v>
      </c>
      <c r="F4431" s="4" t="str">
        <f>HYPERLINK("http://141.218.60.56/~jnz1568/getInfo.php?workbook=14_09.xlsx&amp;sheet=U0&amp;row=4431&amp;col=6&amp;number=3.7&amp;sourceID=14","3.7")</f>
        <v>3.7</v>
      </c>
      <c r="G4431" s="4" t="str">
        <f>HYPERLINK("http://141.218.60.56/~jnz1568/getInfo.php?workbook=14_09.xlsx&amp;sheet=U0&amp;row=4431&amp;col=7&amp;number=0.25&amp;sourceID=14","0.25")</f>
        <v>0.25</v>
      </c>
    </row>
    <row r="4432" spans="1:7">
      <c r="A4432" s="3"/>
      <c r="B4432" s="3"/>
      <c r="C4432" s="3"/>
      <c r="D4432" s="3"/>
      <c r="E4432" s="3">
        <v>9</v>
      </c>
      <c r="F4432" s="4" t="str">
        <f>HYPERLINK("http://141.218.60.56/~jnz1568/getInfo.php?workbook=14_09.xlsx&amp;sheet=U0&amp;row=4432&amp;col=6&amp;number=3.8&amp;sourceID=14","3.8")</f>
        <v>3.8</v>
      </c>
      <c r="G4432" s="4" t="str">
        <f>HYPERLINK("http://141.218.60.56/~jnz1568/getInfo.php?workbook=14_09.xlsx&amp;sheet=U0&amp;row=4432&amp;col=7&amp;number=0.25&amp;sourceID=14","0.25")</f>
        <v>0.25</v>
      </c>
    </row>
    <row r="4433" spans="1:7">
      <c r="A4433" s="3"/>
      <c r="B4433" s="3"/>
      <c r="C4433" s="3"/>
      <c r="D4433" s="3"/>
      <c r="E4433" s="3">
        <v>10</v>
      </c>
      <c r="F4433" s="4" t="str">
        <f>HYPERLINK("http://141.218.60.56/~jnz1568/getInfo.php?workbook=14_09.xlsx&amp;sheet=U0&amp;row=4433&amp;col=6&amp;number=3.9&amp;sourceID=14","3.9")</f>
        <v>3.9</v>
      </c>
      <c r="G4433" s="4" t="str">
        <f>HYPERLINK("http://141.218.60.56/~jnz1568/getInfo.php?workbook=14_09.xlsx&amp;sheet=U0&amp;row=4433&amp;col=7&amp;number=0.25&amp;sourceID=14","0.25")</f>
        <v>0.25</v>
      </c>
    </row>
    <row r="4434" spans="1:7">
      <c r="A4434" s="3"/>
      <c r="B4434" s="3"/>
      <c r="C4434" s="3"/>
      <c r="D4434" s="3"/>
      <c r="E4434" s="3">
        <v>11</v>
      </c>
      <c r="F4434" s="4" t="str">
        <f>HYPERLINK("http://141.218.60.56/~jnz1568/getInfo.php?workbook=14_09.xlsx&amp;sheet=U0&amp;row=4434&amp;col=6&amp;number=4&amp;sourceID=14","4")</f>
        <v>4</v>
      </c>
      <c r="G4434" s="4" t="str">
        <f>HYPERLINK("http://141.218.60.56/~jnz1568/getInfo.php?workbook=14_09.xlsx&amp;sheet=U0&amp;row=4434&amp;col=7&amp;number=0.249&amp;sourceID=14","0.249")</f>
        <v>0.249</v>
      </c>
    </row>
    <row r="4435" spans="1:7">
      <c r="A4435" s="3"/>
      <c r="B4435" s="3"/>
      <c r="C4435" s="3"/>
      <c r="D4435" s="3"/>
      <c r="E4435" s="3">
        <v>12</v>
      </c>
      <c r="F4435" s="4" t="str">
        <f>HYPERLINK("http://141.218.60.56/~jnz1568/getInfo.php?workbook=14_09.xlsx&amp;sheet=U0&amp;row=4435&amp;col=6&amp;number=4.1&amp;sourceID=14","4.1")</f>
        <v>4.1</v>
      </c>
      <c r="G4435" s="4" t="str">
        <f>HYPERLINK("http://141.218.60.56/~jnz1568/getInfo.php?workbook=14_09.xlsx&amp;sheet=U0&amp;row=4435&amp;col=7&amp;number=0.249&amp;sourceID=14","0.249")</f>
        <v>0.249</v>
      </c>
    </row>
    <row r="4436" spans="1:7">
      <c r="A4436" s="3"/>
      <c r="B4436" s="3"/>
      <c r="C4436" s="3"/>
      <c r="D4436" s="3"/>
      <c r="E4436" s="3">
        <v>13</v>
      </c>
      <c r="F4436" s="4" t="str">
        <f>HYPERLINK("http://141.218.60.56/~jnz1568/getInfo.php?workbook=14_09.xlsx&amp;sheet=U0&amp;row=4436&amp;col=6&amp;number=4.2&amp;sourceID=14","4.2")</f>
        <v>4.2</v>
      </c>
      <c r="G4436" s="4" t="str">
        <f>HYPERLINK("http://141.218.60.56/~jnz1568/getInfo.php?workbook=14_09.xlsx&amp;sheet=U0&amp;row=4436&amp;col=7&amp;number=0.248&amp;sourceID=14","0.248")</f>
        <v>0.248</v>
      </c>
    </row>
    <row r="4437" spans="1:7">
      <c r="A4437" s="3"/>
      <c r="B4437" s="3"/>
      <c r="C4437" s="3"/>
      <c r="D4437" s="3"/>
      <c r="E4437" s="3">
        <v>14</v>
      </c>
      <c r="F4437" s="4" t="str">
        <f>HYPERLINK("http://141.218.60.56/~jnz1568/getInfo.php?workbook=14_09.xlsx&amp;sheet=U0&amp;row=4437&amp;col=6&amp;number=4.3&amp;sourceID=14","4.3")</f>
        <v>4.3</v>
      </c>
      <c r="G4437" s="4" t="str">
        <f>HYPERLINK("http://141.218.60.56/~jnz1568/getInfo.php?workbook=14_09.xlsx&amp;sheet=U0&amp;row=4437&amp;col=7&amp;number=0.247&amp;sourceID=14","0.247")</f>
        <v>0.247</v>
      </c>
    </row>
    <row r="4438" spans="1:7">
      <c r="A4438" s="3"/>
      <c r="B4438" s="3"/>
      <c r="C4438" s="3"/>
      <c r="D4438" s="3"/>
      <c r="E4438" s="3">
        <v>15</v>
      </c>
      <c r="F4438" s="4" t="str">
        <f>HYPERLINK("http://141.218.60.56/~jnz1568/getInfo.php?workbook=14_09.xlsx&amp;sheet=U0&amp;row=4438&amp;col=6&amp;number=4.4&amp;sourceID=14","4.4")</f>
        <v>4.4</v>
      </c>
      <c r="G4438" s="4" t="str">
        <f>HYPERLINK("http://141.218.60.56/~jnz1568/getInfo.php?workbook=14_09.xlsx&amp;sheet=U0&amp;row=4438&amp;col=7&amp;number=0.247&amp;sourceID=14","0.247")</f>
        <v>0.247</v>
      </c>
    </row>
    <row r="4439" spans="1:7">
      <c r="A4439" s="3"/>
      <c r="B4439" s="3"/>
      <c r="C4439" s="3"/>
      <c r="D4439" s="3"/>
      <c r="E4439" s="3">
        <v>16</v>
      </c>
      <c r="F4439" s="4" t="str">
        <f>HYPERLINK("http://141.218.60.56/~jnz1568/getInfo.php?workbook=14_09.xlsx&amp;sheet=U0&amp;row=4439&amp;col=6&amp;number=4.5&amp;sourceID=14","4.5")</f>
        <v>4.5</v>
      </c>
      <c r="G4439" s="4" t="str">
        <f>HYPERLINK("http://141.218.60.56/~jnz1568/getInfo.php?workbook=14_09.xlsx&amp;sheet=U0&amp;row=4439&amp;col=7&amp;number=0.245&amp;sourceID=14","0.245")</f>
        <v>0.245</v>
      </c>
    </row>
    <row r="4440" spans="1:7">
      <c r="A4440" s="3"/>
      <c r="B4440" s="3"/>
      <c r="C4440" s="3"/>
      <c r="D4440" s="3"/>
      <c r="E4440" s="3">
        <v>17</v>
      </c>
      <c r="F4440" s="4" t="str">
        <f>HYPERLINK("http://141.218.60.56/~jnz1568/getInfo.php?workbook=14_09.xlsx&amp;sheet=U0&amp;row=4440&amp;col=6&amp;number=4.6&amp;sourceID=14","4.6")</f>
        <v>4.6</v>
      </c>
      <c r="G4440" s="4" t="str">
        <f>HYPERLINK("http://141.218.60.56/~jnz1568/getInfo.php?workbook=14_09.xlsx&amp;sheet=U0&amp;row=4440&amp;col=7&amp;number=0.244&amp;sourceID=14","0.244")</f>
        <v>0.244</v>
      </c>
    </row>
    <row r="4441" spans="1:7">
      <c r="A4441" s="3"/>
      <c r="B4441" s="3"/>
      <c r="C4441" s="3"/>
      <c r="D4441" s="3"/>
      <c r="E4441" s="3">
        <v>18</v>
      </c>
      <c r="F4441" s="4" t="str">
        <f>HYPERLINK("http://141.218.60.56/~jnz1568/getInfo.php?workbook=14_09.xlsx&amp;sheet=U0&amp;row=4441&amp;col=6&amp;number=4.7&amp;sourceID=14","4.7")</f>
        <v>4.7</v>
      </c>
      <c r="G4441" s="4" t="str">
        <f>HYPERLINK("http://141.218.60.56/~jnz1568/getInfo.php?workbook=14_09.xlsx&amp;sheet=U0&amp;row=4441&amp;col=7&amp;number=0.242&amp;sourceID=14","0.242")</f>
        <v>0.242</v>
      </c>
    </row>
    <row r="4442" spans="1:7">
      <c r="A4442" s="3"/>
      <c r="B4442" s="3"/>
      <c r="C4442" s="3"/>
      <c r="D4442" s="3"/>
      <c r="E4442" s="3">
        <v>19</v>
      </c>
      <c r="F4442" s="4" t="str">
        <f>HYPERLINK("http://141.218.60.56/~jnz1568/getInfo.php?workbook=14_09.xlsx&amp;sheet=U0&amp;row=4442&amp;col=6&amp;number=4.8&amp;sourceID=14","4.8")</f>
        <v>4.8</v>
      </c>
      <c r="G4442" s="4" t="str">
        <f>HYPERLINK("http://141.218.60.56/~jnz1568/getInfo.php?workbook=14_09.xlsx&amp;sheet=U0&amp;row=4442&amp;col=7&amp;number=0.24&amp;sourceID=14","0.24")</f>
        <v>0.24</v>
      </c>
    </row>
    <row r="4443" spans="1:7">
      <c r="A4443" s="3"/>
      <c r="B4443" s="3"/>
      <c r="C4443" s="3"/>
      <c r="D4443" s="3"/>
      <c r="E4443" s="3">
        <v>20</v>
      </c>
      <c r="F4443" s="4" t="str">
        <f>HYPERLINK("http://141.218.60.56/~jnz1568/getInfo.php?workbook=14_09.xlsx&amp;sheet=U0&amp;row=4443&amp;col=6&amp;number=4.9&amp;sourceID=14","4.9")</f>
        <v>4.9</v>
      </c>
      <c r="G4443" s="4" t="str">
        <f>HYPERLINK("http://141.218.60.56/~jnz1568/getInfo.php?workbook=14_09.xlsx&amp;sheet=U0&amp;row=4443&amp;col=7&amp;number=0.238&amp;sourceID=14","0.238")</f>
        <v>0.238</v>
      </c>
    </row>
    <row r="4444" spans="1:7">
      <c r="A4444" s="3">
        <v>14</v>
      </c>
      <c r="B4444" s="3">
        <v>9</v>
      </c>
      <c r="C4444" s="3">
        <v>2</v>
      </c>
      <c r="D4444" s="3">
        <v>31</v>
      </c>
      <c r="E4444" s="3">
        <v>1</v>
      </c>
      <c r="F4444" s="4" t="str">
        <f>HYPERLINK("http://141.218.60.56/~jnz1568/getInfo.php?workbook=14_09.xlsx&amp;sheet=U0&amp;row=4444&amp;col=6&amp;number=3&amp;sourceID=14","3")</f>
        <v>3</v>
      </c>
      <c r="G4444" s="4" t="str">
        <f>HYPERLINK("http://141.218.60.56/~jnz1568/getInfo.php?workbook=14_09.xlsx&amp;sheet=U0&amp;row=4444&amp;col=7&amp;number=0.0429&amp;sourceID=14","0.0429")</f>
        <v>0.0429</v>
      </c>
    </row>
    <row r="4445" spans="1:7">
      <c r="A4445" s="3"/>
      <c r="B4445" s="3"/>
      <c r="C4445" s="3"/>
      <c r="D4445" s="3"/>
      <c r="E4445" s="3">
        <v>2</v>
      </c>
      <c r="F4445" s="4" t="str">
        <f>HYPERLINK("http://141.218.60.56/~jnz1568/getInfo.php?workbook=14_09.xlsx&amp;sheet=U0&amp;row=4445&amp;col=6&amp;number=3.1&amp;sourceID=14","3.1")</f>
        <v>3.1</v>
      </c>
      <c r="G4445" s="4" t="str">
        <f>HYPERLINK("http://141.218.60.56/~jnz1568/getInfo.php?workbook=14_09.xlsx&amp;sheet=U0&amp;row=4445&amp;col=7&amp;number=0.0429&amp;sourceID=14","0.0429")</f>
        <v>0.0429</v>
      </c>
    </row>
    <row r="4446" spans="1:7">
      <c r="A4446" s="3"/>
      <c r="B4446" s="3"/>
      <c r="C4446" s="3"/>
      <c r="D4446" s="3"/>
      <c r="E4446" s="3">
        <v>3</v>
      </c>
      <c r="F4446" s="4" t="str">
        <f>HYPERLINK("http://141.218.60.56/~jnz1568/getInfo.php?workbook=14_09.xlsx&amp;sheet=U0&amp;row=4446&amp;col=6&amp;number=3.2&amp;sourceID=14","3.2")</f>
        <v>3.2</v>
      </c>
      <c r="G4446" s="4" t="str">
        <f>HYPERLINK("http://141.218.60.56/~jnz1568/getInfo.php?workbook=14_09.xlsx&amp;sheet=U0&amp;row=4446&amp;col=7&amp;number=0.0428&amp;sourceID=14","0.0428")</f>
        <v>0.0428</v>
      </c>
    </row>
    <row r="4447" spans="1:7">
      <c r="A4447" s="3"/>
      <c r="B4447" s="3"/>
      <c r="C4447" s="3"/>
      <c r="D4447" s="3"/>
      <c r="E4447" s="3">
        <v>4</v>
      </c>
      <c r="F4447" s="4" t="str">
        <f>HYPERLINK("http://141.218.60.56/~jnz1568/getInfo.php?workbook=14_09.xlsx&amp;sheet=U0&amp;row=4447&amp;col=6&amp;number=3.3&amp;sourceID=14","3.3")</f>
        <v>3.3</v>
      </c>
      <c r="G4447" s="4" t="str">
        <f>HYPERLINK("http://141.218.60.56/~jnz1568/getInfo.php?workbook=14_09.xlsx&amp;sheet=U0&amp;row=4447&amp;col=7&amp;number=0.0427&amp;sourceID=14","0.0427")</f>
        <v>0.0427</v>
      </c>
    </row>
    <row r="4448" spans="1:7">
      <c r="A4448" s="3"/>
      <c r="B4448" s="3"/>
      <c r="C4448" s="3"/>
      <c r="D4448" s="3"/>
      <c r="E4448" s="3">
        <v>5</v>
      </c>
      <c r="F4448" s="4" t="str">
        <f>HYPERLINK("http://141.218.60.56/~jnz1568/getInfo.php?workbook=14_09.xlsx&amp;sheet=U0&amp;row=4448&amp;col=6&amp;number=3.4&amp;sourceID=14","3.4")</f>
        <v>3.4</v>
      </c>
      <c r="G4448" s="4" t="str">
        <f>HYPERLINK("http://141.218.60.56/~jnz1568/getInfo.php?workbook=14_09.xlsx&amp;sheet=U0&amp;row=4448&amp;col=7&amp;number=0.0426&amp;sourceID=14","0.0426")</f>
        <v>0.0426</v>
      </c>
    </row>
    <row r="4449" spans="1:7">
      <c r="A4449" s="3"/>
      <c r="B4449" s="3"/>
      <c r="C4449" s="3"/>
      <c r="D4449" s="3"/>
      <c r="E4449" s="3">
        <v>6</v>
      </c>
      <c r="F4449" s="4" t="str">
        <f>HYPERLINK("http://141.218.60.56/~jnz1568/getInfo.php?workbook=14_09.xlsx&amp;sheet=U0&amp;row=4449&amp;col=6&amp;number=3.5&amp;sourceID=14","3.5")</f>
        <v>3.5</v>
      </c>
      <c r="G4449" s="4" t="str">
        <f>HYPERLINK("http://141.218.60.56/~jnz1568/getInfo.php?workbook=14_09.xlsx&amp;sheet=U0&amp;row=4449&amp;col=7&amp;number=0.0424&amp;sourceID=14","0.0424")</f>
        <v>0.0424</v>
      </c>
    </row>
    <row r="4450" spans="1:7">
      <c r="A4450" s="3"/>
      <c r="B4450" s="3"/>
      <c r="C4450" s="3"/>
      <c r="D4450" s="3"/>
      <c r="E4450" s="3">
        <v>7</v>
      </c>
      <c r="F4450" s="4" t="str">
        <f>HYPERLINK("http://141.218.60.56/~jnz1568/getInfo.php?workbook=14_09.xlsx&amp;sheet=U0&amp;row=4450&amp;col=6&amp;number=3.6&amp;sourceID=14","3.6")</f>
        <v>3.6</v>
      </c>
      <c r="G4450" s="4" t="str">
        <f>HYPERLINK("http://141.218.60.56/~jnz1568/getInfo.php?workbook=14_09.xlsx&amp;sheet=U0&amp;row=4450&amp;col=7&amp;number=0.0423&amp;sourceID=14","0.0423")</f>
        <v>0.0423</v>
      </c>
    </row>
    <row r="4451" spans="1:7">
      <c r="A4451" s="3"/>
      <c r="B4451" s="3"/>
      <c r="C4451" s="3"/>
      <c r="D4451" s="3"/>
      <c r="E4451" s="3">
        <v>8</v>
      </c>
      <c r="F4451" s="4" t="str">
        <f>HYPERLINK("http://141.218.60.56/~jnz1568/getInfo.php?workbook=14_09.xlsx&amp;sheet=U0&amp;row=4451&amp;col=6&amp;number=3.7&amp;sourceID=14","3.7")</f>
        <v>3.7</v>
      </c>
      <c r="G4451" s="4" t="str">
        <f>HYPERLINK("http://141.218.60.56/~jnz1568/getInfo.php?workbook=14_09.xlsx&amp;sheet=U0&amp;row=4451&amp;col=7&amp;number=0.042&amp;sourceID=14","0.042")</f>
        <v>0.042</v>
      </c>
    </row>
    <row r="4452" spans="1:7">
      <c r="A4452" s="3"/>
      <c r="B4452" s="3"/>
      <c r="C4452" s="3"/>
      <c r="D4452" s="3"/>
      <c r="E4452" s="3">
        <v>9</v>
      </c>
      <c r="F4452" s="4" t="str">
        <f>HYPERLINK("http://141.218.60.56/~jnz1568/getInfo.php?workbook=14_09.xlsx&amp;sheet=U0&amp;row=4452&amp;col=6&amp;number=3.8&amp;sourceID=14","3.8")</f>
        <v>3.8</v>
      </c>
      <c r="G4452" s="4" t="str">
        <f>HYPERLINK("http://141.218.60.56/~jnz1568/getInfo.php?workbook=14_09.xlsx&amp;sheet=U0&amp;row=4452&amp;col=7&amp;number=0.0418&amp;sourceID=14","0.0418")</f>
        <v>0.0418</v>
      </c>
    </row>
    <row r="4453" spans="1:7">
      <c r="A4453" s="3"/>
      <c r="B4453" s="3"/>
      <c r="C4453" s="3"/>
      <c r="D4453" s="3"/>
      <c r="E4453" s="3">
        <v>10</v>
      </c>
      <c r="F4453" s="4" t="str">
        <f>HYPERLINK("http://141.218.60.56/~jnz1568/getInfo.php?workbook=14_09.xlsx&amp;sheet=U0&amp;row=4453&amp;col=6&amp;number=3.9&amp;sourceID=14","3.9")</f>
        <v>3.9</v>
      </c>
      <c r="G4453" s="4" t="str">
        <f>HYPERLINK("http://141.218.60.56/~jnz1568/getInfo.php?workbook=14_09.xlsx&amp;sheet=U0&amp;row=4453&amp;col=7&amp;number=0.0414&amp;sourceID=14","0.0414")</f>
        <v>0.0414</v>
      </c>
    </row>
    <row r="4454" spans="1:7">
      <c r="A4454" s="3"/>
      <c r="B4454" s="3"/>
      <c r="C4454" s="3"/>
      <c r="D4454" s="3"/>
      <c r="E4454" s="3">
        <v>11</v>
      </c>
      <c r="F4454" s="4" t="str">
        <f>HYPERLINK("http://141.218.60.56/~jnz1568/getInfo.php?workbook=14_09.xlsx&amp;sheet=U0&amp;row=4454&amp;col=6&amp;number=4&amp;sourceID=14","4")</f>
        <v>4</v>
      </c>
      <c r="G4454" s="4" t="str">
        <f>HYPERLINK("http://141.218.60.56/~jnz1568/getInfo.php?workbook=14_09.xlsx&amp;sheet=U0&amp;row=4454&amp;col=7&amp;number=0.041&amp;sourceID=14","0.041")</f>
        <v>0.041</v>
      </c>
    </row>
    <row r="4455" spans="1:7">
      <c r="A4455" s="3"/>
      <c r="B4455" s="3"/>
      <c r="C4455" s="3"/>
      <c r="D4455" s="3"/>
      <c r="E4455" s="3">
        <v>12</v>
      </c>
      <c r="F4455" s="4" t="str">
        <f>HYPERLINK("http://141.218.60.56/~jnz1568/getInfo.php?workbook=14_09.xlsx&amp;sheet=U0&amp;row=4455&amp;col=6&amp;number=4.1&amp;sourceID=14","4.1")</f>
        <v>4.1</v>
      </c>
      <c r="G4455" s="4" t="str">
        <f>HYPERLINK("http://141.218.60.56/~jnz1568/getInfo.php?workbook=14_09.xlsx&amp;sheet=U0&amp;row=4455&amp;col=7&amp;number=0.0404&amp;sourceID=14","0.0404")</f>
        <v>0.0404</v>
      </c>
    </row>
    <row r="4456" spans="1:7">
      <c r="A4456" s="3"/>
      <c r="B4456" s="3"/>
      <c r="C4456" s="3"/>
      <c r="D4456" s="3"/>
      <c r="E4456" s="3">
        <v>13</v>
      </c>
      <c r="F4456" s="4" t="str">
        <f>HYPERLINK("http://141.218.60.56/~jnz1568/getInfo.php?workbook=14_09.xlsx&amp;sheet=U0&amp;row=4456&amp;col=6&amp;number=4.2&amp;sourceID=14","4.2")</f>
        <v>4.2</v>
      </c>
      <c r="G4456" s="4" t="str">
        <f>HYPERLINK("http://141.218.60.56/~jnz1568/getInfo.php?workbook=14_09.xlsx&amp;sheet=U0&amp;row=4456&amp;col=7&amp;number=0.0398&amp;sourceID=14","0.0398")</f>
        <v>0.0398</v>
      </c>
    </row>
    <row r="4457" spans="1:7">
      <c r="A4457" s="3"/>
      <c r="B4457" s="3"/>
      <c r="C4457" s="3"/>
      <c r="D4457" s="3"/>
      <c r="E4457" s="3">
        <v>14</v>
      </c>
      <c r="F4457" s="4" t="str">
        <f>HYPERLINK("http://141.218.60.56/~jnz1568/getInfo.php?workbook=14_09.xlsx&amp;sheet=U0&amp;row=4457&amp;col=6&amp;number=4.3&amp;sourceID=14","4.3")</f>
        <v>4.3</v>
      </c>
      <c r="G4457" s="4" t="str">
        <f>HYPERLINK("http://141.218.60.56/~jnz1568/getInfo.php?workbook=14_09.xlsx&amp;sheet=U0&amp;row=4457&amp;col=7&amp;number=0.0389&amp;sourceID=14","0.0389")</f>
        <v>0.0389</v>
      </c>
    </row>
    <row r="4458" spans="1:7">
      <c r="A4458" s="3"/>
      <c r="B4458" s="3"/>
      <c r="C4458" s="3"/>
      <c r="D4458" s="3"/>
      <c r="E4458" s="3">
        <v>15</v>
      </c>
      <c r="F4458" s="4" t="str">
        <f>HYPERLINK("http://141.218.60.56/~jnz1568/getInfo.php?workbook=14_09.xlsx&amp;sheet=U0&amp;row=4458&amp;col=6&amp;number=4.4&amp;sourceID=14","4.4")</f>
        <v>4.4</v>
      </c>
      <c r="G4458" s="4" t="str">
        <f>HYPERLINK("http://141.218.60.56/~jnz1568/getInfo.php?workbook=14_09.xlsx&amp;sheet=U0&amp;row=4458&amp;col=7&amp;number=0.0379&amp;sourceID=14","0.0379")</f>
        <v>0.0379</v>
      </c>
    </row>
    <row r="4459" spans="1:7">
      <c r="A4459" s="3"/>
      <c r="B4459" s="3"/>
      <c r="C4459" s="3"/>
      <c r="D4459" s="3"/>
      <c r="E4459" s="3">
        <v>16</v>
      </c>
      <c r="F4459" s="4" t="str">
        <f>HYPERLINK("http://141.218.60.56/~jnz1568/getInfo.php?workbook=14_09.xlsx&amp;sheet=U0&amp;row=4459&amp;col=6&amp;number=4.5&amp;sourceID=14","4.5")</f>
        <v>4.5</v>
      </c>
      <c r="G4459" s="4" t="str">
        <f>HYPERLINK("http://141.218.60.56/~jnz1568/getInfo.php?workbook=14_09.xlsx&amp;sheet=U0&amp;row=4459&amp;col=7&amp;number=0.0366&amp;sourceID=14","0.0366")</f>
        <v>0.0366</v>
      </c>
    </row>
    <row r="4460" spans="1:7">
      <c r="A4460" s="3"/>
      <c r="B4460" s="3"/>
      <c r="C4460" s="3"/>
      <c r="D4460" s="3"/>
      <c r="E4460" s="3">
        <v>17</v>
      </c>
      <c r="F4460" s="4" t="str">
        <f>HYPERLINK("http://141.218.60.56/~jnz1568/getInfo.php?workbook=14_09.xlsx&amp;sheet=U0&amp;row=4460&amp;col=6&amp;number=4.6&amp;sourceID=14","4.6")</f>
        <v>4.6</v>
      </c>
      <c r="G4460" s="4" t="str">
        <f>HYPERLINK("http://141.218.60.56/~jnz1568/getInfo.php?workbook=14_09.xlsx&amp;sheet=U0&amp;row=4460&amp;col=7&amp;number=0.0351&amp;sourceID=14","0.0351")</f>
        <v>0.0351</v>
      </c>
    </row>
    <row r="4461" spans="1:7">
      <c r="A4461" s="3"/>
      <c r="B4461" s="3"/>
      <c r="C4461" s="3"/>
      <c r="D4461" s="3"/>
      <c r="E4461" s="3">
        <v>18</v>
      </c>
      <c r="F4461" s="4" t="str">
        <f>HYPERLINK("http://141.218.60.56/~jnz1568/getInfo.php?workbook=14_09.xlsx&amp;sheet=U0&amp;row=4461&amp;col=6&amp;number=4.7&amp;sourceID=14","4.7")</f>
        <v>4.7</v>
      </c>
      <c r="G4461" s="4" t="str">
        <f>HYPERLINK("http://141.218.60.56/~jnz1568/getInfo.php?workbook=14_09.xlsx&amp;sheet=U0&amp;row=4461&amp;col=7&amp;number=0.0334&amp;sourceID=14","0.0334")</f>
        <v>0.0334</v>
      </c>
    </row>
    <row r="4462" spans="1:7">
      <c r="A4462" s="3"/>
      <c r="B4462" s="3"/>
      <c r="C4462" s="3"/>
      <c r="D4462" s="3"/>
      <c r="E4462" s="3">
        <v>19</v>
      </c>
      <c r="F4462" s="4" t="str">
        <f>HYPERLINK("http://141.218.60.56/~jnz1568/getInfo.php?workbook=14_09.xlsx&amp;sheet=U0&amp;row=4462&amp;col=6&amp;number=4.8&amp;sourceID=14","4.8")</f>
        <v>4.8</v>
      </c>
      <c r="G4462" s="4" t="str">
        <f>HYPERLINK("http://141.218.60.56/~jnz1568/getInfo.php?workbook=14_09.xlsx&amp;sheet=U0&amp;row=4462&amp;col=7&amp;number=0.0313&amp;sourceID=14","0.0313")</f>
        <v>0.0313</v>
      </c>
    </row>
    <row r="4463" spans="1:7">
      <c r="A4463" s="3"/>
      <c r="B4463" s="3"/>
      <c r="C4463" s="3"/>
      <c r="D4463" s="3"/>
      <c r="E4463" s="3">
        <v>20</v>
      </c>
      <c r="F4463" s="4" t="str">
        <f>HYPERLINK("http://141.218.60.56/~jnz1568/getInfo.php?workbook=14_09.xlsx&amp;sheet=U0&amp;row=4463&amp;col=6&amp;number=4.9&amp;sourceID=14","4.9")</f>
        <v>4.9</v>
      </c>
      <c r="G4463" s="4" t="str">
        <f>HYPERLINK("http://141.218.60.56/~jnz1568/getInfo.php?workbook=14_09.xlsx&amp;sheet=U0&amp;row=4463&amp;col=7&amp;number=0.0291&amp;sourceID=14","0.0291")</f>
        <v>0.0291</v>
      </c>
    </row>
    <row r="4464" spans="1:7">
      <c r="A4464" s="3">
        <v>14</v>
      </c>
      <c r="B4464" s="3">
        <v>9</v>
      </c>
      <c r="C4464" s="3">
        <v>2</v>
      </c>
      <c r="D4464" s="3">
        <v>32</v>
      </c>
      <c r="E4464" s="3">
        <v>1</v>
      </c>
      <c r="F4464" s="4" t="str">
        <f>HYPERLINK("http://141.218.60.56/~jnz1568/getInfo.php?workbook=14_09.xlsx&amp;sheet=U0&amp;row=4464&amp;col=6&amp;number=3&amp;sourceID=14","3")</f>
        <v>3</v>
      </c>
      <c r="G4464" s="4" t="str">
        <f>HYPERLINK("http://141.218.60.56/~jnz1568/getInfo.php?workbook=14_09.xlsx&amp;sheet=U0&amp;row=4464&amp;col=7&amp;number=0.0479&amp;sourceID=14","0.0479")</f>
        <v>0.0479</v>
      </c>
    </row>
    <row r="4465" spans="1:7">
      <c r="A4465" s="3"/>
      <c r="B4465" s="3"/>
      <c r="C4465" s="3"/>
      <c r="D4465" s="3"/>
      <c r="E4465" s="3">
        <v>2</v>
      </c>
      <c r="F4465" s="4" t="str">
        <f>HYPERLINK("http://141.218.60.56/~jnz1568/getInfo.php?workbook=14_09.xlsx&amp;sheet=U0&amp;row=4465&amp;col=6&amp;number=3.1&amp;sourceID=14","3.1")</f>
        <v>3.1</v>
      </c>
      <c r="G4465" s="4" t="str">
        <f>HYPERLINK("http://141.218.60.56/~jnz1568/getInfo.php?workbook=14_09.xlsx&amp;sheet=U0&amp;row=4465&amp;col=7&amp;number=0.0479&amp;sourceID=14","0.0479")</f>
        <v>0.0479</v>
      </c>
    </row>
    <row r="4466" spans="1:7">
      <c r="A4466" s="3"/>
      <c r="B4466" s="3"/>
      <c r="C4466" s="3"/>
      <c r="D4466" s="3"/>
      <c r="E4466" s="3">
        <v>3</v>
      </c>
      <c r="F4466" s="4" t="str">
        <f>HYPERLINK("http://141.218.60.56/~jnz1568/getInfo.php?workbook=14_09.xlsx&amp;sheet=U0&amp;row=4466&amp;col=6&amp;number=3.2&amp;sourceID=14","3.2")</f>
        <v>3.2</v>
      </c>
      <c r="G4466" s="4" t="str">
        <f>HYPERLINK("http://141.218.60.56/~jnz1568/getInfo.php?workbook=14_09.xlsx&amp;sheet=U0&amp;row=4466&amp;col=7&amp;number=0.0478&amp;sourceID=14","0.0478")</f>
        <v>0.0478</v>
      </c>
    </row>
    <row r="4467" spans="1:7">
      <c r="A4467" s="3"/>
      <c r="B4467" s="3"/>
      <c r="C4467" s="3"/>
      <c r="D4467" s="3"/>
      <c r="E4467" s="3">
        <v>4</v>
      </c>
      <c r="F4467" s="4" t="str">
        <f>HYPERLINK("http://141.218.60.56/~jnz1568/getInfo.php?workbook=14_09.xlsx&amp;sheet=U0&amp;row=4467&amp;col=6&amp;number=3.3&amp;sourceID=14","3.3")</f>
        <v>3.3</v>
      </c>
      <c r="G4467" s="4" t="str">
        <f>HYPERLINK("http://141.218.60.56/~jnz1568/getInfo.php?workbook=14_09.xlsx&amp;sheet=U0&amp;row=4467&amp;col=7&amp;number=0.0477&amp;sourceID=14","0.0477")</f>
        <v>0.0477</v>
      </c>
    </row>
    <row r="4468" spans="1:7">
      <c r="A4468" s="3"/>
      <c r="B4468" s="3"/>
      <c r="C4468" s="3"/>
      <c r="D4468" s="3"/>
      <c r="E4468" s="3">
        <v>5</v>
      </c>
      <c r="F4468" s="4" t="str">
        <f>HYPERLINK("http://141.218.60.56/~jnz1568/getInfo.php?workbook=14_09.xlsx&amp;sheet=U0&amp;row=4468&amp;col=6&amp;number=3.4&amp;sourceID=14","3.4")</f>
        <v>3.4</v>
      </c>
      <c r="G4468" s="4" t="str">
        <f>HYPERLINK("http://141.218.60.56/~jnz1568/getInfo.php?workbook=14_09.xlsx&amp;sheet=U0&amp;row=4468&amp;col=7&amp;number=0.0475&amp;sourceID=14","0.0475")</f>
        <v>0.0475</v>
      </c>
    </row>
    <row r="4469" spans="1:7">
      <c r="A4469" s="3"/>
      <c r="B4469" s="3"/>
      <c r="C4469" s="3"/>
      <c r="D4469" s="3"/>
      <c r="E4469" s="3">
        <v>6</v>
      </c>
      <c r="F4469" s="4" t="str">
        <f>HYPERLINK("http://141.218.60.56/~jnz1568/getInfo.php?workbook=14_09.xlsx&amp;sheet=U0&amp;row=4469&amp;col=6&amp;number=3.5&amp;sourceID=14","3.5")</f>
        <v>3.5</v>
      </c>
      <c r="G4469" s="4" t="str">
        <f>HYPERLINK("http://141.218.60.56/~jnz1568/getInfo.php?workbook=14_09.xlsx&amp;sheet=U0&amp;row=4469&amp;col=7&amp;number=0.0474&amp;sourceID=14","0.0474")</f>
        <v>0.0474</v>
      </c>
    </row>
    <row r="4470" spans="1:7">
      <c r="A4470" s="3"/>
      <c r="B4470" s="3"/>
      <c r="C4470" s="3"/>
      <c r="D4470" s="3"/>
      <c r="E4470" s="3">
        <v>7</v>
      </c>
      <c r="F4470" s="4" t="str">
        <f>HYPERLINK("http://141.218.60.56/~jnz1568/getInfo.php?workbook=14_09.xlsx&amp;sheet=U0&amp;row=4470&amp;col=6&amp;number=3.6&amp;sourceID=14","3.6")</f>
        <v>3.6</v>
      </c>
      <c r="G4470" s="4" t="str">
        <f>HYPERLINK("http://141.218.60.56/~jnz1568/getInfo.php?workbook=14_09.xlsx&amp;sheet=U0&amp;row=4470&amp;col=7&amp;number=0.0472&amp;sourceID=14","0.0472")</f>
        <v>0.0472</v>
      </c>
    </row>
    <row r="4471" spans="1:7">
      <c r="A4471" s="3"/>
      <c r="B4471" s="3"/>
      <c r="C4471" s="3"/>
      <c r="D4471" s="3"/>
      <c r="E4471" s="3">
        <v>8</v>
      </c>
      <c r="F4471" s="4" t="str">
        <f>HYPERLINK("http://141.218.60.56/~jnz1568/getInfo.php?workbook=14_09.xlsx&amp;sheet=U0&amp;row=4471&amp;col=6&amp;number=3.7&amp;sourceID=14","3.7")</f>
        <v>3.7</v>
      </c>
      <c r="G4471" s="4" t="str">
        <f>HYPERLINK("http://141.218.60.56/~jnz1568/getInfo.php?workbook=14_09.xlsx&amp;sheet=U0&amp;row=4471&amp;col=7&amp;number=0.0469&amp;sourceID=14","0.0469")</f>
        <v>0.0469</v>
      </c>
    </row>
    <row r="4472" spans="1:7">
      <c r="A4472" s="3"/>
      <c r="B4472" s="3"/>
      <c r="C4472" s="3"/>
      <c r="D4472" s="3"/>
      <c r="E4472" s="3">
        <v>9</v>
      </c>
      <c r="F4472" s="4" t="str">
        <f>HYPERLINK("http://141.218.60.56/~jnz1568/getInfo.php?workbook=14_09.xlsx&amp;sheet=U0&amp;row=4472&amp;col=6&amp;number=3.8&amp;sourceID=14","3.8")</f>
        <v>3.8</v>
      </c>
      <c r="G4472" s="4" t="str">
        <f>HYPERLINK("http://141.218.60.56/~jnz1568/getInfo.php?workbook=14_09.xlsx&amp;sheet=U0&amp;row=4472&amp;col=7&amp;number=0.0466&amp;sourceID=14","0.0466")</f>
        <v>0.0466</v>
      </c>
    </row>
    <row r="4473" spans="1:7">
      <c r="A4473" s="3"/>
      <c r="B4473" s="3"/>
      <c r="C4473" s="3"/>
      <c r="D4473" s="3"/>
      <c r="E4473" s="3">
        <v>10</v>
      </c>
      <c r="F4473" s="4" t="str">
        <f>HYPERLINK("http://141.218.60.56/~jnz1568/getInfo.php?workbook=14_09.xlsx&amp;sheet=U0&amp;row=4473&amp;col=6&amp;number=3.9&amp;sourceID=14","3.9")</f>
        <v>3.9</v>
      </c>
      <c r="G4473" s="4" t="str">
        <f>HYPERLINK("http://141.218.60.56/~jnz1568/getInfo.php?workbook=14_09.xlsx&amp;sheet=U0&amp;row=4473&amp;col=7&amp;number=0.0461&amp;sourceID=14","0.0461")</f>
        <v>0.0461</v>
      </c>
    </row>
    <row r="4474" spans="1:7">
      <c r="A4474" s="3"/>
      <c r="B4474" s="3"/>
      <c r="C4474" s="3"/>
      <c r="D4474" s="3"/>
      <c r="E4474" s="3">
        <v>11</v>
      </c>
      <c r="F4474" s="4" t="str">
        <f>HYPERLINK("http://141.218.60.56/~jnz1568/getInfo.php?workbook=14_09.xlsx&amp;sheet=U0&amp;row=4474&amp;col=6&amp;number=4&amp;sourceID=14","4")</f>
        <v>4</v>
      </c>
      <c r="G4474" s="4" t="str">
        <f>HYPERLINK("http://141.218.60.56/~jnz1568/getInfo.php?workbook=14_09.xlsx&amp;sheet=U0&amp;row=4474&amp;col=7&amp;number=0.0456&amp;sourceID=14","0.0456")</f>
        <v>0.0456</v>
      </c>
    </row>
    <row r="4475" spans="1:7">
      <c r="A4475" s="3"/>
      <c r="B4475" s="3"/>
      <c r="C4475" s="3"/>
      <c r="D4475" s="3"/>
      <c r="E4475" s="3">
        <v>12</v>
      </c>
      <c r="F4475" s="4" t="str">
        <f>HYPERLINK("http://141.218.60.56/~jnz1568/getInfo.php?workbook=14_09.xlsx&amp;sheet=U0&amp;row=4475&amp;col=6&amp;number=4.1&amp;sourceID=14","4.1")</f>
        <v>4.1</v>
      </c>
      <c r="G4475" s="4" t="str">
        <f>HYPERLINK("http://141.218.60.56/~jnz1568/getInfo.php?workbook=14_09.xlsx&amp;sheet=U0&amp;row=4475&amp;col=7&amp;number=0.045&amp;sourceID=14","0.045")</f>
        <v>0.045</v>
      </c>
    </row>
    <row r="4476" spans="1:7">
      <c r="A4476" s="3"/>
      <c r="B4476" s="3"/>
      <c r="C4476" s="3"/>
      <c r="D4476" s="3"/>
      <c r="E4476" s="3">
        <v>13</v>
      </c>
      <c r="F4476" s="4" t="str">
        <f>HYPERLINK("http://141.218.60.56/~jnz1568/getInfo.php?workbook=14_09.xlsx&amp;sheet=U0&amp;row=4476&amp;col=6&amp;number=4.2&amp;sourceID=14","4.2")</f>
        <v>4.2</v>
      </c>
      <c r="G4476" s="4" t="str">
        <f>HYPERLINK("http://141.218.60.56/~jnz1568/getInfo.php?workbook=14_09.xlsx&amp;sheet=U0&amp;row=4476&amp;col=7&amp;number=0.0442&amp;sourceID=14","0.0442")</f>
        <v>0.0442</v>
      </c>
    </row>
    <row r="4477" spans="1:7">
      <c r="A4477" s="3"/>
      <c r="B4477" s="3"/>
      <c r="C4477" s="3"/>
      <c r="D4477" s="3"/>
      <c r="E4477" s="3">
        <v>14</v>
      </c>
      <c r="F4477" s="4" t="str">
        <f>HYPERLINK("http://141.218.60.56/~jnz1568/getInfo.php?workbook=14_09.xlsx&amp;sheet=U0&amp;row=4477&amp;col=6&amp;number=4.3&amp;sourceID=14","4.3")</f>
        <v>4.3</v>
      </c>
      <c r="G4477" s="4" t="str">
        <f>HYPERLINK("http://141.218.60.56/~jnz1568/getInfo.php?workbook=14_09.xlsx&amp;sheet=U0&amp;row=4477&amp;col=7&amp;number=0.0432&amp;sourceID=14","0.0432")</f>
        <v>0.0432</v>
      </c>
    </row>
    <row r="4478" spans="1:7">
      <c r="A4478" s="3"/>
      <c r="B4478" s="3"/>
      <c r="C4478" s="3"/>
      <c r="D4478" s="3"/>
      <c r="E4478" s="3">
        <v>15</v>
      </c>
      <c r="F4478" s="4" t="str">
        <f>HYPERLINK("http://141.218.60.56/~jnz1568/getInfo.php?workbook=14_09.xlsx&amp;sheet=U0&amp;row=4478&amp;col=6&amp;number=4.4&amp;sourceID=14","4.4")</f>
        <v>4.4</v>
      </c>
      <c r="G4478" s="4" t="str">
        <f>HYPERLINK("http://141.218.60.56/~jnz1568/getInfo.php?workbook=14_09.xlsx&amp;sheet=U0&amp;row=4478&amp;col=7&amp;number=0.042&amp;sourceID=14","0.042")</f>
        <v>0.042</v>
      </c>
    </row>
    <row r="4479" spans="1:7">
      <c r="A4479" s="3"/>
      <c r="B4479" s="3"/>
      <c r="C4479" s="3"/>
      <c r="D4479" s="3"/>
      <c r="E4479" s="3">
        <v>16</v>
      </c>
      <c r="F4479" s="4" t="str">
        <f>HYPERLINK("http://141.218.60.56/~jnz1568/getInfo.php?workbook=14_09.xlsx&amp;sheet=U0&amp;row=4479&amp;col=6&amp;number=4.5&amp;sourceID=14","4.5")</f>
        <v>4.5</v>
      </c>
      <c r="G4479" s="4" t="str">
        <f>HYPERLINK("http://141.218.60.56/~jnz1568/getInfo.php?workbook=14_09.xlsx&amp;sheet=U0&amp;row=4479&amp;col=7&amp;number=0.0405&amp;sourceID=14","0.0405")</f>
        <v>0.0405</v>
      </c>
    </row>
    <row r="4480" spans="1:7">
      <c r="A4480" s="3"/>
      <c r="B4480" s="3"/>
      <c r="C4480" s="3"/>
      <c r="D4480" s="3"/>
      <c r="E4480" s="3">
        <v>17</v>
      </c>
      <c r="F4480" s="4" t="str">
        <f>HYPERLINK("http://141.218.60.56/~jnz1568/getInfo.php?workbook=14_09.xlsx&amp;sheet=U0&amp;row=4480&amp;col=6&amp;number=4.6&amp;sourceID=14","4.6")</f>
        <v>4.6</v>
      </c>
      <c r="G4480" s="4" t="str">
        <f>HYPERLINK("http://141.218.60.56/~jnz1568/getInfo.php?workbook=14_09.xlsx&amp;sheet=U0&amp;row=4480&amp;col=7&amp;number=0.0388&amp;sourceID=14","0.0388")</f>
        <v>0.0388</v>
      </c>
    </row>
    <row r="4481" spans="1:7">
      <c r="A4481" s="3"/>
      <c r="B4481" s="3"/>
      <c r="C4481" s="3"/>
      <c r="D4481" s="3"/>
      <c r="E4481" s="3">
        <v>18</v>
      </c>
      <c r="F4481" s="4" t="str">
        <f>HYPERLINK("http://141.218.60.56/~jnz1568/getInfo.php?workbook=14_09.xlsx&amp;sheet=U0&amp;row=4481&amp;col=6&amp;number=4.7&amp;sourceID=14","4.7")</f>
        <v>4.7</v>
      </c>
      <c r="G4481" s="4" t="str">
        <f>HYPERLINK("http://141.218.60.56/~jnz1568/getInfo.php?workbook=14_09.xlsx&amp;sheet=U0&amp;row=4481&amp;col=7&amp;number=0.0369&amp;sourceID=14","0.0369")</f>
        <v>0.0369</v>
      </c>
    </row>
    <row r="4482" spans="1:7">
      <c r="A4482" s="3"/>
      <c r="B4482" s="3"/>
      <c r="C4482" s="3"/>
      <c r="D4482" s="3"/>
      <c r="E4482" s="3">
        <v>19</v>
      </c>
      <c r="F4482" s="4" t="str">
        <f>HYPERLINK("http://141.218.60.56/~jnz1568/getInfo.php?workbook=14_09.xlsx&amp;sheet=U0&amp;row=4482&amp;col=6&amp;number=4.8&amp;sourceID=14","4.8")</f>
        <v>4.8</v>
      </c>
      <c r="G4482" s="4" t="str">
        <f>HYPERLINK("http://141.218.60.56/~jnz1568/getInfo.php?workbook=14_09.xlsx&amp;sheet=U0&amp;row=4482&amp;col=7&amp;number=0.0348&amp;sourceID=14","0.0348")</f>
        <v>0.0348</v>
      </c>
    </row>
    <row r="4483" spans="1:7">
      <c r="A4483" s="3"/>
      <c r="B4483" s="3"/>
      <c r="C4483" s="3"/>
      <c r="D4483" s="3"/>
      <c r="E4483" s="3">
        <v>20</v>
      </c>
      <c r="F4483" s="4" t="str">
        <f>HYPERLINK("http://141.218.60.56/~jnz1568/getInfo.php?workbook=14_09.xlsx&amp;sheet=U0&amp;row=4483&amp;col=6&amp;number=4.9&amp;sourceID=14","4.9")</f>
        <v>4.9</v>
      </c>
      <c r="G4483" s="4" t="str">
        <f>HYPERLINK("http://141.218.60.56/~jnz1568/getInfo.php?workbook=14_09.xlsx&amp;sheet=U0&amp;row=4483&amp;col=7&amp;number=0.0326&amp;sourceID=14","0.0326")</f>
        <v>0.0326</v>
      </c>
    </row>
    <row r="4484" spans="1:7">
      <c r="A4484" s="3">
        <v>14</v>
      </c>
      <c r="B4484" s="3">
        <v>9</v>
      </c>
      <c r="C4484" s="3">
        <v>2</v>
      </c>
      <c r="D4484" s="3">
        <v>33</v>
      </c>
      <c r="E4484" s="3">
        <v>1</v>
      </c>
      <c r="F4484" s="4" t="str">
        <f>HYPERLINK("http://141.218.60.56/~jnz1568/getInfo.php?workbook=14_09.xlsx&amp;sheet=U0&amp;row=4484&amp;col=6&amp;number=3&amp;sourceID=14","3")</f>
        <v>3</v>
      </c>
      <c r="G4484" s="4" t="str">
        <f>HYPERLINK("http://141.218.60.56/~jnz1568/getInfo.php?workbook=14_09.xlsx&amp;sheet=U0&amp;row=4484&amp;col=7&amp;number=0.0396&amp;sourceID=14","0.0396")</f>
        <v>0.0396</v>
      </c>
    </row>
    <row r="4485" spans="1:7">
      <c r="A4485" s="3"/>
      <c r="B4485" s="3"/>
      <c r="C4485" s="3"/>
      <c r="D4485" s="3"/>
      <c r="E4485" s="3">
        <v>2</v>
      </c>
      <c r="F4485" s="4" t="str">
        <f>HYPERLINK("http://141.218.60.56/~jnz1568/getInfo.php?workbook=14_09.xlsx&amp;sheet=U0&amp;row=4485&amp;col=6&amp;number=3.1&amp;sourceID=14","3.1")</f>
        <v>3.1</v>
      </c>
      <c r="G4485" s="4" t="str">
        <f>HYPERLINK("http://141.218.60.56/~jnz1568/getInfo.php?workbook=14_09.xlsx&amp;sheet=U0&amp;row=4485&amp;col=7&amp;number=0.0395&amp;sourceID=14","0.0395")</f>
        <v>0.0395</v>
      </c>
    </row>
    <row r="4486" spans="1:7">
      <c r="A4486" s="3"/>
      <c r="B4486" s="3"/>
      <c r="C4486" s="3"/>
      <c r="D4486" s="3"/>
      <c r="E4486" s="3">
        <v>3</v>
      </c>
      <c r="F4486" s="4" t="str">
        <f>HYPERLINK("http://141.218.60.56/~jnz1568/getInfo.php?workbook=14_09.xlsx&amp;sheet=U0&amp;row=4486&amp;col=6&amp;number=3.2&amp;sourceID=14","3.2")</f>
        <v>3.2</v>
      </c>
      <c r="G4486" s="4" t="str">
        <f>HYPERLINK("http://141.218.60.56/~jnz1568/getInfo.php?workbook=14_09.xlsx&amp;sheet=U0&amp;row=4486&amp;col=7&amp;number=0.0395&amp;sourceID=14","0.0395")</f>
        <v>0.0395</v>
      </c>
    </row>
    <row r="4487" spans="1:7">
      <c r="A4487" s="3"/>
      <c r="B4487" s="3"/>
      <c r="C4487" s="3"/>
      <c r="D4487" s="3"/>
      <c r="E4487" s="3">
        <v>4</v>
      </c>
      <c r="F4487" s="4" t="str">
        <f>HYPERLINK("http://141.218.60.56/~jnz1568/getInfo.php?workbook=14_09.xlsx&amp;sheet=U0&amp;row=4487&amp;col=6&amp;number=3.3&amp;sourceID=14","3.3")</f>
        <v>3.3</v>
      </c>
      <c r="G4487" s="4" t="str">
        <f>HYPERLINK("http://141.218.60.56/~jnz1568/getInfo.php?workbook=14_09.xlsx&amp;sheet=U0&amp;row=4487&amp;col=7&amp;number=0.0394&amp;sourceID=14","0.0394")</f>
        <v>0.0394</v>
      </c>
    </row>
    <row r="4488" spans="1:7">
      <c r="A4488" s="3"/>
      <c r="B4488" s="3"/>
      <c r="C4488" s="3"/>
      <c r="D4488" s="3"/>
      <c r="E4488" s="3">
        <v>5</v>
      </c>
      <c r="F4488" s="4" t="str">
        <f>HYPERLINK("http://141.218.60.56/~jnz1568/getInfo.php?workbook=14_09.xlsx&amp;sheet=U0&amp;row=4488&amp;col=6&amp;number=3.4&amp;sourceID=14","3.4")</f>
        <v>3.4</v>
      </c>
      <c r="G4488" s="4" t="str">
        <f>HYPERLINK("http://141.218.60.56/~jnz1568/getInfo.php?workbook=14_09.xlsx&amp;sheet=U0&amp;row=4488&amp;col=7&amp;number=0.0393&amp;sourceID=14","0.0393")</f>
        <v>0.0393</v>
      </c>
    </row>
    <row r="4489" spans="1:7">
      <c r="A4489" s="3"/>
      <c r="B4489" s="3"/>
      <c r="C4489" s="3"/>
      <c r="D4489" s="3"/>
      <c r="E4489" s="3">
        <v>6</v>
      </c>
      <c r="F4489" s="4" t="str">
        <f>HYPERLINK("http://141.218.60.56/~jnz1568/getInfo.php?workbook=14_09.xlsx&amp;sheet=U0&amp;row=4489&amp;col=6&amp;number=3.5&amp;sourceID=14","3.5")</f>
        <v>3.5</v>
      </c>
      <c r="G4489" s="4" t="str">
        <f>HYPERLINK("http://141.218.60.56/~jnz1568/getInfo.php?workbook=14_09.xlsx&amp;sheet=U0&amp;row=4489&amp;col=7&amp;number=0.0392&amp;sourceID=14","0.0392")</f>
        <v>0.0392</v>
      </c>
    </row>
    <row r="4490" spans="1:7">
      <c r="A4490" s="3"/>
      <c r="B4490" s="3"/>
      <c r="C4490" s="3"/>
      <c r="D4490" s="3"/>
      <c r="E4490" s="3">
        <v>7</v>
      </c>
      <c r="F4490" s="4" t="str">
        <f>HYPERLINK("http://141.218.60.56/~jnz1568/getInfo.php?workbook=14_09.xlsx&amp;sheet=U0&amp;row=4490&amp;col=6&amp;number=3.6&amp;sourceID=14","3.6")</f>
        <v>3.6</v>
      </c>
      <c r="G4490" s="4" t="str">
        <f>HYPERLINK("http://141.218.60.56/~jnz1568/getInfo.php?workbook=14_09.xlsx&amp;sheet=U0&amp;row=4490&amp;col=7&amp;number=0.0391&amp;sourceID=14","0.0391")</f>
        <v>0.0391</v>
      </c>
    </row>
    <row r="4491" spans="1:7">
      <c r="A4491" s="3"/>
      <c r="B4491" s="3"/>
      <c r="C4491" s="3"/>
      <c r="D4491" s="3"/>
      <c r="E4491" s="3">
        <v>8</v>
      </c>
      <c r="F4491" s="4" t="str">
        <f>HYPERLINK("http://141.218.60.56/~jnz1568/getInfo.php?workbook=14_09.xlsx&amp;sheet=U0&amp;row=4491&amp;col=6&amp;number=3.7&amp;sourceID=14","3.7")</f>
        <v>3.7</v>
      </c>
      <c r="G4491" s="4" t="str">
        <f>HYPERLINK("http://141.218.60.56/~jnz1568/getInfo.php?workbook=14_09.xlsx&amp;sheet=U0&amp;row=4491&amp;col=7&amp;number=0.0389&amp;sourceID=14","0.0389")</f>
        <v>0.0389</v>
      </c>
    </row>
    <row r="4492" spans="1:7">
      <c r="A4492" s="3"/>
      <c r="B4492" s="3"/>
      <c r="C4492" s="3"/>
      <c r="D4492" s="3"/>
      <c r="E4492" s="3">
        <v>9</v>
      </c>
      <c r="F4492" s="4" t="str">
        <f>HYPERLINK("http://141.218.60.56/~jnz1568/getInfo.php?workbook=14_09.xlsx&amp;sheet=U0&amp;row=4492&amp;col=6&amp;number=3.8&amp;sourceID=14","3.8")</f>
        <v>3.8</v>
      </c>
      <c r="G4492" s="4" t="str">
        <f>HYPERLINK("http://141.218.60.56/~jnz1568/getInfo.php?workbook=14_09.xlsx&amp;sheet=U0&amp;row=4492&amp;col=7&amp;number=0.0387&amp;sourceID=14","0.0387")</f>
        <v>0.0387</v>
      </c>
    </row>
    <row r="4493" spans="1:7">
      <c r="A4493" s="3"/>
      <c r="B4493" s="3"/>
      <c r="C4493" s="3"/>
      <c r="D4493" s="3"/>
      <c r="E4493" s="3">
        <v>10</v>
      </c>
      <c r="F4493" s="4" t="str">
        <f>HYPERLINK("http://141.218.60.56/~jnz1568/getInfo.php?workbook=14_09.xlsx&amp;sheet=U0&amp;row=4493&amp;col=6&amp;number=3.9&amp;sourceID=14","3.9")</f>
        <v>3.9</v>
      </c>
      <c r="G4493" s="4" t="str">
        <f>HYPERLINK("http://141.218.60.56/~jnz1568/getInfo.php?workbook=14_09.xlsx&amp;sheet=U0&amp;row=4493&amp;col=7&amp;number=0.0384&amp;sourceID=14","0.0384")</f>
        <v>0.0384</v>
      </c>
    </row>
    <row r="4494" spans="1:7">
      <c r="A4494" s="3"/>
      <c r="B4494" s="3"/>
      <c r="C4494" s="3"/>
      <c r="D4494" s="3"/>
      <c r="E4494" s="3">
        <v>11</v>
      </c>
      <c r="F4494" s="4" t="str">
        <f>HYPERLINK("http://141.218.60.56/~jnz1568/getInfo.php?workbook=14_09.xlsx&amp;sheet=U0&amp;row=4494&amp;col=6&amp;number=4&amp;sourceID=14","4")</f>
        <v>4</v>
      </c>
      <c r="G4494" s="4" t="str">
        <f>HYPERLINK("http://141.218.60.56/~jnz1568/getInfo.php?workbook=14_09.xlsx&amp;sheet=U0&amp;row=4494&amp;col=7&amp;number=0.0381&amp;sourceID=14","0.0381")</f>
        <v>0.0381</v>
      </c>
    </row>
    <row r="4495" spans="1:7">
      <c r="A4495" s="3"/>
      <c r="B4495" s="3"/>
      <c r="C4495" s="3"/>
      <c r="D4495" s="3"/>
      <c r="E4495" s="3">
        <v>12</v>
      </c>
      <c r="F4495" s="4" t="str">
        <f>HYPERLINK("http://141.218.60.56/~jnz1568/getInfo.php?workbook=14_09.xlsx&amp;sheet=U0&amp;row=4495&amp;col=6&amp;number=4.1&amp;sourceID=14","4.1")</f>
        <v>4.1</v>
      </c>
      <c r="G4495" s="4" t="str">
        <f>HYPERLINK("http://141.218.60.56/~jnz1568/getInfo.php?workbook=14_09.xlsx&amp;sheet=U0&amp;row=4495&amp;col=7&amp;number=0.0376&amp;sourceID=14","0.0376")</f>
        <v>0.0376</v>
      </c>
    </row>
    <row r="4496" spans="1:7">
      <c r="A4496" s="3"/>
      <c r="B4496" s="3"/>
      <c r="C4496" s="3"/>
      <c r="D4496" s="3"/>
      <c r="E4496" s="3">
        <v>13</v>
      </c>
      <c r="F4496" s="4" t="str">
        <f>HYPERLINK("http://141.218.60.56/~jnz1568/getInfo.php?workbook=14_09.xlsx&amp;sheet=U0&amp;row=4496&amp;col=6&amp;number=4.2&amp;sourceID=14","4.2")</f>
        <v>4.2</v>
      </c>
      <c r="G4496" s="4" t="str">
        <f>HYPERLINK("http://141.218.60.56/~jnz1568/getInfo.php?workbook=14_09.xlsx&amp;sheet=U0&amp;row=4496&amp;col=7&amp;number=0.0371&amp;sourceID=14","0.0371")</f>
        <v>0.0371</v>
      </c>
    </row>
    <row r="4497" spans="1:7">
      <c r="A4497" s="3"/>
      <c r="B4497" s="3"/>
      <c r="C4497" s="3"/>
      <c r="D4497" s="3"/>
      <c r="E4497" s="3">
        <v>14</v>
      </c>
      <c r="F4497" s="4" t="str">
        <f>HYPERLINK("http://141.218.60.56/~jnz1568/getInfo.php?workbook=14_09.xlsx&amp;sheet=U0&amp;row=4497&amp;col=6&amp;number=4.3&amp;sourceID=14","4.3")</f>
        <v>4.3</v>
      </c>
      <c r="G4497" s="4" t="str">
        <f>HYPERLINK("http://141.218.60.56/~jnz1568/getInfo.php?workbook=14_09.xlsx&amp;sheet=U0&amp;row=4497&amp;col=7&amp;number=0.0365&amp;sourceID=14","0.0365")</f>
        <v>0.0365</v>
      </c>
    </row>
    <row r="4498" spans="1:7">
      <c r="A4498" s="3"/>
      <c r="B4498" s="3"/>
      <c r="C4498" s="3"/>
      <c r="D4498" s="3"/>
      <c r="E4498" s="3">
        <v>15</v>
      </c>
      <c r="F4498" s="4" t="str">
        <f>HYPERLINK("http://141.218.60.56/~jnz1568/getInfo.php?workbook=14_09.xlsx&amp;sheet=U0&amp;row=4498&amp;col=6&amp;number=4.4&amp;sourceID=14","4.4")</f>
        <v>4.4</v>
      </c>
      <c r="G4498" s="4" t="str">
        <f>HYPERLINK("http://141.218.60.56/~jnz1568/getInfo.php?workbook=14_09.xlsx&amp;sheet=U0&amp;row=4498&amp;col=7&amp;number=0.0357&amp;sourceID=14","0.0357")</f>
        <v>0.0357</v>
      </c>
    </row>
    <row r="4499" spans="1:7">
      <c r="A4499" s="3"/>
      <c r="B4499" s="3"/>
      <c r="C4499" s="3"/>
      <c r="D4499" s="3"/>
      <c r="E4499" s="3">
        <v>16</v>
      </c>
      <c r="F4499" s="4" t="str">
        <f>HYPERLINK("http://141.218.60.56/~jnz1568/getInfo.php?workbook=14_09.xlsx&amp;sheet=U0&amp;row=4499&amp;col=6&amp;number=4.5&amp;sourceID=14","4.5")</f>
        <v>4.5</v>
      </c>
      <c r="G4499" s="4" t="str">
        <f>HYPERLINK("http://141.218.60.56/~jnz1568/getInfo.php?workbook=14_09.xlsx&amp;sheet=U0&amp;row=4499&amp;col=7&amp;number=0.0347&amp;sourceID=14","0.0347")</f>
        <v>0.0347</v>
      </c>
    </row>
    <row r="4500" spans="1:7">
      <c r="A4500" s="3"/>
      <c r="B4500" s="3"/>
      <c r="C4500" s="3"/>
      <c r="D4500" s="3"/>
      <c r="E4500" s="3">
        <v>17</v>
      </c>
      <c r="F4500" s="4" t="str">
        <f>HYPERLINK("http://141.218.60.56/~jnz1568/getInfo.php?workbook=14_09.xlsx&amp;sheet=U0&amp;row=4500&amp;col=6&amp;number=4.6&amp;sourceID=14","4.6")</f>
        <v>4.6</v>
      </c>
      <c r="G4500" s="4" t="str">
        <f>HYPERLINK("http://141.218.60.56/~jnz1568/getInfo.php?workbook=14_09.xlsx&amp;sheet=U0&amp;row=4500&amp;col=7&amp;number=0.0336&amp;sourceID=14","0.0336")</f>
        <v>0.0336</v>
      </c>
    </row>
    <row r="4501" spans="1:7">
      <c r="A4501" s="3"/>
      <c r="B4501" s="3"/>
      <c r="C4501" s="3"/>
      <c r="D4501" s="3"/>
      <c r="E4501" s="3">
        <v>18</v>
      </c>
      <c r="F4501" s="4" t="str">
        <f>HYPERLINK("http://141.218.60.56/~jnz1568/getInfo.php?workbook=14_09.xlsx&amp;sheet=U0&amp;row=4501&amp;col=6&amp;number=4.7&amp;sourceID=14","4.7")</f>
        <v>4.7</v>
      </c>
      <c r="G4501" s="4" t="str">
        <f>HYPERLINK("http://141.218.60.56/~jnz1568/getInfo.php?workbook=14_09.xlsx&amp;sheet=U0&amp;row=4501&amp;col=7&amp;number=0.0323&amp;sourceID=14","0.0323")</f>
        <v>0.0323</v>
      </c>
    </row>
    <row r="4502" spans="1:7">
      <c r="A4502" s="3"/>
      <c r="B4502" s="3"/>
      <c r="C4502" s="3"/>
      <c r="D4502" s="3"/>
      <c r="E4502" s="3">
        <v>19</v>
      </c>
      <c r="F4502" s="4" t="str">
        <f>HYPERLINK("http://141.218.60.56/~jnz1568/getInfo.php?workbook=14_09.xlsx&amp;sheet=U0&amp;row=4502&amp;col=6&amp;number=4.8&amp;sourceID=14","4.8")</f>
        <v>4.8</v>
      </c>
      <c r="G4502" s="4" t="str">
        <f>HYPERLINK("http://141.218.60.56/~jnz1568/getInfo.php?workbook=14_09.xlsx&amp;sheet=U0&amp;row=4502&amp;col=7&amp;number=0.0307&amp;sourceID=14","0.0307")</f>
        <v>0.0307</v>
      </c>
    </row>
    <row r="4503" spans="1:7">
      <c r="A4503" s="3"/>
      <c r="B4503" s="3"/>
      <c r="C4503" s="3"/>
      <c r="D4503" s="3"/>
      <c r="E4503" s="3">
        <v>20</v>
      </c>
      <c r="F4503" s="4" t="str">
        <f>HYPERLINK("http://141.218.60.56/~jnz1568/getInfo.php?workbook=14_09.xlsx&amp;sheet=U0&amp;row=4503&amp;col=6&amp;number=4.9&amp;sourceID=14","4.9")</f>
        <v>4.9</v>
      </c>
      <c r="G4503" s="4" t="str">
        <f>HYPERLINK("http://141.218.60.56/~jnz1568/getInfo.php?workbook=14_09.xlsx&amp;sheet=U0&amp;row=4503&amp;col=7&amp;number=0.0291&amp;sourceID=14","0.0291")</f>
        <v>0.0291</v>
      </c>
    </row>
    <row r="4504" spans="1:7">
      <c r="A4504" s="3">
        <v>14</v>
      </c>
      <c r="B4504" s="3">
        <v>9</v>
      </c>
      <c r="C4504" s="3">
        <v>2</v>
      </c>
      <c r="D4504" s="3">
        <v>34</v>
      </c>
      <c r="E4504" s="3">
        <v>1</v>
      </c>
      <c r="F4504" s="4" t="str">
        <f>HYPERLINK("http://141.218.60.56/~jnz1568/getInfo.php?workbook=14_09.xlsx&amp;sheet=U0&amp;row=4504&amp;col=6&amp;number=3&amp;sourceID=14","3")</f>
        <v>3</v>
      </c>
      <c r="G4504" s="4" t="str">
        <f>HYPERLINK("http://141.218.60.56/~jnz1568/getInfo.php?workbook=14_09.xlsx&amp;sheet=U0&amp;row=4504&amp;col=7&amp;number=0.0238&amp;sourceID=14","0.0238")</f>
        <v>0.0238</v>
      </c>
    </row>
    <row r="4505" spans="1:7">
      <c r="A4505" s="3"/>
      <c r="B4505" s="3"/>
      <c r="C4505" s="3"/>
      <c r="D4505" s="3"/>
      <c r="E4505" s="3">
        <v>2</v>
      </c>
      <c r="F4505" s="4" t="str">
        <f>HYPERLINK("http://141.218.60.56/~jnz1568/getInfo.php?workbook=14_09.xlsx&amp;sheet=U0&amp;row=4505&amp;col=6&amp;number=3.1&amp;sourceID=14","3.1")</f>
        <v>3.1</v>
      </c>
      <c r="G4505" s="4" t="str">
        <f>HYPERLINK("http://141.218.60.56/~jnz1568/getInfo.php?workbook=14_09.xlsx&amp;sheet=U0&amp;row=4505&amp;col=7&amp;number=0.0238&amp;sourceID=14","0.0238")</f>
        <v>0.0238</v>
      </c>
    </row>
    <row r="4506" spans="1:7">
      <c r="A4506" s="3"/>
      <c r="B4506" s="3"/>
      <c r="C4506" s="3"/>
      <c r="D4506" s="3"/>
      <c r="E4506" s="3">
        <v>3</v>
      </c>
      <c r="F4506" s="4" t="str">
        <f>HYPERLINK("http://141.218.60.56/~jnz1568/getInfo.php?workbook=14_09.xlsx&amp;sheet=U0&amp;row=4506&amp;col=6&amp;number=3.2&amp;sourceID=14","3.2")</f>
        <v>3.2</v>
      </c>
      <c r="G4506" s="4" t="str">
        <f>HYPERLINK("http://141.218.60.56/~jnz1568/getInfo.php?workbook=14_09.xlsx&amp;sheet=U0&amp;row=4506&amp;col=7&amp;number=0.0237&amp;sourceID=14","0.0237")</f>
        <v>0.0237</v>
      </c>
    </row>
    <row r="4507" spans="1:7">
      <c r="A4507" s="3"/>
      <c r="B4507" s="3"/>
      <c r="C4507" s="3"/>
      <c r="D4507" s="3"/>
      <c r="E4507" s="3">
        <v>4</v>
      </c>
      <c r="F4507" s="4" t="str">
        <f>HYPERLINK("http://141.218.60.56/~jnz1568/getInfo.php?workbook=14_09.xlsx&amp;sheet=U0&amp;row=4507&amp;col=6&amp;number=3.3&amp;sourceID=14","3.3")</f>
        <v>3.3</v>
      </c>
      <c r="G4507" s="4" t="str">
        <f>HYPERLINK("http://141.218.60.56/~jnz1568/getInfo.php?workbook=14_09.xlsx&amp;sheet=U0&amp;row=4507&amp;col=7&amp;number=0.0237&amp;sourceID=14","0.0237")</f>
        <v>0.0237</v>
      </c>
    </row>
    <row r="4508" spans="1:7">
      <c r="A4508" s="3"/>
      <c r="B4508" s="3"/>
      <c r="C4508" s="3"/>
      <c r="D4508" s="3"/>
      <c r="E4508" s="3">
        <v>5</v>
      </c>
      <c r="F4508" s="4" t="str">
        <f>HYPERLINK("http://141.218.60.56/~jnz1568/getInfo.php?workbook=14_09.xlsx&amp;sheet=U0&amp;row=4508&amp;col=6&amp;number=3.4&amp;sourceID=14","3.4")</f>
        <v>3.4</v>
      </c>
      <c r="G4508" s="4" t="str">
        <f>HYPERLINK("http://141.218.60.56/~jnz1568/getInfo.php?workbook=14_09.xlsx&amp;sheet=U0&amp;row=4508&amp;col=7&amp;number=0.0236&amp;sourceID=14","0.0236")</f>
        <v>0.0236</v>
      </c>
    </row>
    <row r="4509" spans="1:7">
      <c r="A4509" s="3"/>
      <c r="B4509" s="3"/>
      <c r="C4509" s="3"/>
      <c r="D4509" s="3"/>
      <c r="E4509" s="3">
        <v>6</v>
      </c>
      <c r="F4509" s="4" t="str">
        <f>HYPERLINK("http://141.218.60.56/~jnz1568/getInfo.php?workbook=14_09.xlsx&amp;sheet=U0&amp;row=4509&amp;col=6&amp;number=3.5&amp;sourceID=14","3.5")</f>
        <v>3.5</v>
      </c>
      <c r="G4509" s="4" t="str">
        <f>HYPERLINK("http://141.218.60.56/~jnz1568/getInfo.php?workbook=14_09.xlsx&amp;sheet=U0&amp;row=4509&amp;col=7&amp;number=0.0236&amp;sourceID=14","0.0236")</f>
        <v>0.0236</v>
      </c>
    </row>
    <row r="4510" spans="1:7">
      <c r="A4510" s="3"/>
      <c r="B4510" s="3"/>
      <c r="C4510" s="3"/>
      <c r="D4510" s="3"/>
      <c r="E4510" s="3">
        <v>7</v>
      </c>
      <c r="F4510" s="4" t="str">
        <f>HYPERLINK("http://141.218.60.56/~jnz1568/getInfo.php?workbook=14_09.xlsx&amp;sheet=U0&amp;row=4510&amp;col=6&amp;number=3.6&amp;sourceID=14","3.6")</f>
        <v>3.6</v>
      </c>
      <c r="G4510" s="4" t="str">
        <f>HYPERLINK("http://141.218.60.56/~jnz1568/getInfo.php?workbook=14_09.xlsx&amp;sheet=U0&amp;row=4510&amp;col=7&amp;number=0.0235&amp;sourceID=14","0.0235")</f>
        <v>0.0235</v>
      </c>
    </row>
    <row r="4511" spans="1:7">
      <c r="A4511" s="3"/>
      <c r="B4511" s="3"/>
      <c r="C4511" s="3"/>
      <c r="D4511" s="3"/>
      <c r="E4511" s="3">
        <v>8</v>
      </c>
      <c r="F4511" s="4" t="str">
        <f>HYPERLINK("http://141.218.60.56/~jnz1568/getInfo.php?workbook=14_09.xlsx&amp;sheet=U0&amp;row=4511&amp;col=6&amp;number=3.7&amp;sourceID=14","3.7")</f>
        <v>3.7</v>
      </c>
      <c r="G4511" s="4" t="str">
        <f>HYPERLINK("http://141.218.60.56/~jnz1568/getInfo.php?workbook=14_09.xlsx&amp;sheet=U0&amp;row=4511&amp;col=7&amp;number=0.0234&amp;sourceID=14","0.0234")</f>
        <v>0.0234</v>
      </c>
    </row>
    <row r="4512" spans="1:7">
      <c r="A4512" s="3"/>
      <c r="B4512" s="3"/>
      <c r="C4512" s="3"/>
      <c r="D4512" s="3"/>
      <c r="E4512" s="3">
        <v>9</v>
      </c>
      <c r="F4512" s="4" t="str">
        <f>HYPERLINK("http://141.218.60.56/~jnz1568/getInfo.php?workbook=14_09.xlsx&amp;sheet=U0&amp;row=4512&amp;col=6&amp;number=3.8&amp;sourceID=14","3.8")</f>
        <v>3.8</v>
      </c>
      <c r="G4512" s="4" t="str">
        <f>HYPERLINK("http://141.218.60.56/~jnz1568/getInfo.php?workbook=14_09.xlsx&amp;sheet=U0&amp;row=4512&amp;col=7&amp;number=0.0233&amp;sourceID=14","0.0233")</f>
        <v>0.0233</v>
      </c>
    </row>
    <row r="4513" spans="1:7">
      <c r="A4513" s="3"/>
      <c r="B4513" s="3"/>
      <c r="C4513" s="3"/>
      <c r="D4513" s="3"/>
      <c r="E4513" s="3">
        <v>10</v>
      </c>
      <c r="F4513" s="4" t="str">
        <f>HYPERLINK("http://141.218.60.56/~jnz1568/getInfo.php?workbook=14_09.xlsx&amp;sheet=U0&amp;row=4513&amp;col=6&amp;number=3.9&amp;sourceID=14","3.9")</f>
        <v>3.9</v>
      </c>
      <c r="G4513" s="4" t="str">
        <f>HYPERLINK("http://141.218.60.56/~jnz1568/getInfo.php?workbook=14_09.xlsx&amp;sheet=U0&amp;row=4513&amp;col=7&amp;number=0.0231&amp;sourceID=14","0.0231")</f>
        <v>0.0231</v>
      </c>
    </row>
    <row r="4514" spans="1:7">
      <c r="A4514" s="3"/>
      <c r="B4514" s="3"/>
      <c r="C4514" s="3"/>
      <c r="D4514" s="3"/>
      <c r="E4514" s="3">
        <v>11</v>
      </c>
      <c r="F4514" s="4" t="str">
        <f>HYPERLINK("http://141.218.60.56/~jnz1568/getInfo.php?workbook=14_09.xlsx&amp;sheet=U0&amp;row=4514&amp;col=6&amp;number=4&amp;sourceID=14","4")</f>
        <v>4</v>
      </c>
      <c r="G4514" s="4" t="str">
        <f>HYPERLINK("http://141.218.60.56/~jnz1568/getInfo.php?workbook=14_09.xlsx&amp;sheet=U0&amp;row=4514&amp;col=7&amp;number=0.0229&amp;sourceID=14","0.0229")</f>
        <v>0.0229</v>
      </c>
    </row>
    <row r="4515" spans="1:7">
      <c r="A4515" s="3"/>
      <c r="B4515" s="3"/>
      <c r="C4515" s="3"/>
      <c r="D4515" s="3"/>
      <c r="E4515" s="3">
        <v>12</v>
      </c>
      <c r="F4515" s="4" t="str">
        <f>HYPERLINK("http://141.218.60.56/~jnz1568/getInfo.php?workbook=14_09.xlsx&amp;sheet=U0&amp;row=4515&amp;col=6&amp;number=4.1&amp;sourceID=14","4.1")</f>
        <v>4.1</v>
      </c>
      <c r="G4515" s="4" t="str">
        <f>HYPERLINK("http://141.218.60.56/~jnz1568/getInfo.php?workbook=14_09.xlsx&amp;sheet=U0&amp;row=4515&amp;col=7&amp;number=0.0226&amp;sourceID=14","0.0226")</f>
        <v>0.0226</v>
      </c>
    </row>
    <row r="4516" spans="1:7">
      <c r="A4516" s="3"/>
      <c r="B4516" s="3"/>
      <c r="C4516" s="3"/>
      <c r="D4516" s="3"/>
      <c r="E4516" s="3">
        <v>13</v>
      </c>
      <c r="F4516" s="4" t="str">
        <f>HYPERLINK("http://141.218.60.56/~jnz1568/getInfo.php?workbook=14_09.xlsx&amp;sheet=U0&amp;row=4516&amp;col=6&amp;number=4.2&amp;sourceID=14","4.2")</f>
        <v>4.2</v>
      </c>
      <c r="G4516" s="4" t="str">
        <f>HYPERLINK("http://141.218.60.56/~jnz1568/getInfo.php?workbook=14_09.xlsx&amp;sheet=U0&amp;row=4516&amp;col=7&amp;number=0.0223&amp;sourceID=14","0.0223")</f>
        <v>0.0223</v>
      </c>
    </row>
    <row r="4517" spans="1:7">
      <c r="A4517" s="3"/>
      <c r="B4517" s="3"/>
      <c r="C4517" s="3"/>
      <c r="D4517" s="3"/>
      <c r="E4517" s="3">
        <v>14</v>
      </c>
      <c r="F4517" s="4" t="str">
        <f>HYPERLINK("http://141.218.60.56/~jnz1568/getInfo.php?workbook=14_09.xlsx&amp;sheet=U0&amp;row=4517&amp;col=6&amp;number=4.3&amp;sourceID=14","4.3")</f>
        <v>4.3</v>
      </c>
      <c r="G4517" s="4" t="str">
        <f>HYPERLINK("http://141.218.60.56/~jnz1568/getInfo.php?workbook=14_09.xlsx&amp;sheet=U0&amp;row=4517&amp;col=7&amp;number=0.0219&amp;sourceID=14","0.0219")</f>
        <v>0.0219</v>
      </c>
    </row>
    <row r="4518" spans="1:7">
      <c r="A4518" s="3"/>
      <c r="B4518" s="3"/>
      <c r="C4518" s="3"/>
      <c r="D4518" s="3"/>
      <c r="E4518" s="3">
        <v>15</v>
      </c>
      <c r="F4518" s="4" t="str">
        <f>HYPERLINK("http://141.218.60.56/~jnz1568/getInfo.php?workbook=14_09.xlsx&amp;sheet=U0&amp;row=4518&amp;col=6&amp;number=4.4&amp;sourceID=14","4.4")</f>
        <v>4.4</v>
      </c>
      <c r="G4518" s="4" t="str">
        <f>HYPERLINK("http://141.218.60.56/~jnz1568/getInfo.php?workbook=14_09.xlsx&amp;sheet=U0&amp;row=4518&amp;col=7&amp;number=0.0215&amp;sourceID=14","0.0215")</f>
        <v>0.0215</v>
      </c>
    </row>
    <row r="4519" spans="1:7">
      <c r="A4519" s="3"/>
      <c r="B4519" s="3"/>
      <c r="C4519" s="3"/>
      <c r="D4519" s="3"/>
      <c r="E4519" s="3">
        <v>16</v>
      </c>
      <c r="F4519" s="4" t="str">
        <f>HYPERLINK("http://141.218.60.56/~jnz1568/getInfo.php?workbook=14_09.xlsx&amp;sheet=U0&amp;row=4519&amp;col=6&amp;number=4.5&amp;sourceID=14","4.5")</f>
        <v>4.5</v>
      </c>
      <c r="G4519" s="4" t="str">
        <f>HYPERLINK("http://141.218.60.56/~jnz1568/getInfo.php?workbook=14_09.xlsx&amp;sheet=U0&amp;row=4519&amp;col=7&amp;number=0.0209&amp;sourceID=14","0.0209")</f>
        <v>0.0209</v>
      </c>
    </row>
    <row r="4520" spans="1:7">
      <c r="A4520" s="3"/>
      <c r="B4520" s="3"/>
      <c r="C4520" s="3"/>
      <c r="D4520" s="3"/>
      <c r="E4520" s="3">
        <v>17</v>
      </c>
      <c r="F4520" s="4" t="str">
        <f>HYPERLINK("http://141.218.60.56/~jnz1568/getInfo.php?workbook=14_09.xlsx&amp;sheet=U0&amp;row=4520&amp;col=6&amp;number=4.6&amp;sourceID=14","4.6")</f>
        <v>4.6</v>
      </c>
      <c r="G4520" s="4" t="str">
        <f>HYPERLINK("http://141.218.60.56/~jnz1568/getInfo.php?workbook=14_09.xlsx&amp;sheet=U0&amp;row=4520&amp;col=7&amp;number=0.0203&amp;sourceID=14","0.0203")</f>
        <v>0.0203</v>
      </c>
    </row>
    <row r="4521" spans="1:7">
      <c r="A4521" s="3"/>
      <c r="B4521" s="3"/>
      <c r="C4521" s="3"/>
      <c r="D4521" s="3"/>
      <c r="E4521" s="3">
        <v>18</v>
      </c>
      <c r="F4521" s="4" t="str">
        <f>HYPERLINK("http://141.218.60.56/~jnz1568/getInfo.php?workbook=14_09.xlsx&amp;sheet=U0&amp;row=4521&amp;col=6&amp;number=4.7&amp;sourceID=14","4.7")</f>
        <v>4.7</v>
      </c>
      <c r="G4521" s="4" t="str">
        <f>HYPERLINK("http://141.218.60.56/~jnz1568/getInfo.php?workbook=14_09.xlsx&amp;sheet=U0&amp;row=4521&amp;col=7&amp;number=0.0195&amp;sourceID=14","0.0195")</f>
        <v>0.0195</v>
      </c>
    </row>
    <row r="4522" spans="1:7">
      <c r="A4522" s="3"/>
      <c r="B4522" s="3"/>
      <c r="C4522" s="3"/>
      <c r="D4522" s="3"/>
      <c r="E4522" s="3">
        <v>19</v>
      </c>
      <c r="F4522" s="4" t="str">
        <f>HYPERLINK("http://141.218.60.56/~jnz1568/getInfo.php?workbook=14_09.xlsx&amp;sheet=U0&amp;row=4522&amp;col=6&amp;number=4.8&amp;sourceID=14","4.8")</f>
        <v>4.8</v>
      </c>
      <c r="G4522" s="4" t="str">
        <f>HYPERLINK("http://141.218.60.56/~jnz1568/getInfo.php?workbook=14_09.xlsx&amp;sheet=U0&amp;row=4522&amp;col=7&amp;number=0.0186&amp;sourceID=14","0.0186")</f>
        <v>0.0186</v>
      </c>
    </row>
    <row r="4523" spans="1:7">
      <c r="A4523" s="3"/>
      <c r="B4523" s="3"/>
      <c r="C4523" s="3"/>
      <c r="D4523" s="3"/>
      <c r="E4523" s="3">
        <v>20</v>
      </c>
      <c r="F4523" s="4" t="str">
        <f>HYPERLINK("http://141.218.60.56/~jnz1568/getInfo.php?workbook=14_09.xlsx&amp;sheet=U0&amp;row=4523&amp;col=6&amp;number=4.9&amp;sourceID=14","4.9")</f>
        <v>4.9</v>
      </c>
      <c r="G4523" s="4" t="str">
        <f>HYPERLINK("http://141.218.60.56/~jnz1568/getInfo.php?workbook=14_09.xlsx&amp;sheet=U0&amp;row=4523&amp;col=7&amp;number=0.0177&amp;sourceID=14","0.0177")</f>
        <v>0.0177</v>
      </c>
    </row>
    <row r="4524" spans="1:7">
      <c r="A4524" s="3">
        <v>14</v>
      </c>
      <c r="B4524" s="3">
        <v>9</v>
      </c>
      <c r="C4524" s="3">
        <v>2</v>
      </c>
      <c r="D4524" s="3">
        <v>35</v>
      </c>
      <c r="E4524" s="3">
        <v>1</v>
      </c>
      <c r="F4524" s="4" t="str">
        <f>HYPERLINK("http://141.218.60.56/~jnz1568/getInfo.php?workbook=14_09.xlsx&amp;sheet=U0&amp;row=4524&amp;col=6&amp;number=3&amp;sourceID=14","3")</f>
        <v>3</v>
      </c>
      <c r="G4524" s="4" t="str">
        <f>HYPERLINK("http://141.218.60.56/~jnz1568/getInfo.php?workbook=14_09.xlsx&amp;sheet=U0&amp;row=4524&amp;col=7&amp;number=0.0317&amp;sourceID=14","0.0317")</f>
        <v>0.0317</v>
      </c>
    </row>
    <row r="4525" spans="1:7">
      <c r="A4525" s="3"/>
      <c r="B4525" s="3"/>
      <c r="C4525" s="3"/>
      <c r="D4525" s="3"/>
      <c r="E4525" s="3">
        <v>2</v>
      </c>
      <c r="F4525" s="4" t="str">
        <f>HYPERLINK("http://141.218.60.56/~jnz1568/getInfo.php?workbook=14_09.xlsx&amp;sheet=U0&amp;row=4525&amp;col=6&amp;number=3.1&amp;sourceID=14","3.1")</f>
        <v>3.1</v>
      </c>
      <c r="G4525" s="4" t="str">
        <f>HYPERLINK("http://141.218.60.56/~jnz1568/getInfo.php?workbook=14_09.xlsx&amp;sheet=U0&amp;row=4525&amp;col=7&amp;number=0.0316&amp;sourceID=14","0.0316")</f>
        <v>0.0316</v>
      </c>
    </row>
    <row r="4526" spans="1:7">
      <c r="A4526" s="3"/>
      <c r="B4526" s="3"/>
      <c r="C4526" s="3"/>
      <c r="D4526" s="3"/>
      <c r="E4526" s="3">
        <v>3</v>
      </c>
      <c r="F4526" s="4" t="str">
        <f>HYPERLINK("http://141.218.60.56/~jnz1568/getInfo.php?workbook=14_09.xlsx&amp;sheet=U0&amp;row=4526&amp;col=6&amp;number=3.2&amp;sourceID=14","3.2")</f>
        <v>3.2</v>
      </c>
      <c r="G4526" s="4" t="str">
        <f>HYPERLINK("http://141.218.60.56/~jnz1568/getInfo.php?workbook=14_09.xlsx&amp;sheet=U0&amp;row=4526&amp;col=7&amp;number=0.0316&amp;sourceID=14","0.0316")</f>
        <v>0.0316</v>
      </c>
    </row>
    <row r="4527" spans="1:7">
      <c r="A4527" s="3"/>
      <c r="B4527" s="3"/>
      <c r="C4527" s="3"/>
      <c r="D4527" s="3"/>
      <c r="E4527" s="3">
        <v>4</v>
      </c>
      <c r="F4527" s="4" t="str">
        <f>HYPERLINK("http://141.218.60.56/~jnz1568/getInfo.php?workbook=14_09.xlsx&amp;sheet=U0&amp;row=4527&amp;col=6&amp;number=3.3&amp;sourceID=14","3.3")</f>
        <v>3.3</v>
      </c>
      <c r="G4527" s="4" t="str">
        <f>HYPERLINK("http://141.218.60.56/~jnz1568/getInfo.php?workbook=14_09.xlsx&amp;sheet=U0&amp;row=4527&amp;col=7&amp;number=0.0315&amp;sourceID=14","0.0315")</f>
        <v>0.0315</v>
      </c>
    </row>
    <row r="4528" spans="1:7">
      <c r="A4528" s="3"/>
      <c r="B4528" s="3"/>
      <c r="C4528" s="3"/>
      <c r="D4528" s="3"/>
      <c r="E4528" s="3">
        <v>5</v>
      </c>
      <c r="F4528" s="4" t="str">
        <f>HYPERLINK("http://141.218.60.56/~jnz1568/getInfo.php?workbook=14_09.xlsx&amp;sheet=U0&amp;row=4528&amp;col=6&amp;number=3.4&amp;sourceID=14","3.4")</f>
        <v>3.4</v>
      </c>
      <c r="G4528" s="4" t="str">
        <f>HYPERLINK("http://141.218.60.56/~jnz1568/getInfo.php?workbook=14_09.xlsx&amp;sheet=U0&amp;row=4528&amp;col=7&amp;number=0.0314&amp;sourceID=14","0.0314")</f>
        <v>0.0314</v>
      </c>
    </row>
    <row r="4529" spans="1:7">
      <c r="A4529" s="3"/>
      <c r="B4529" s="3"/>
      <c r="C4529" s="3"/>
      <c r="D4529" s="3"/>
      <c r="E4529" s="3">
        <v>6</v>
      </c>
      <c r="F4529" s="4" t="str">
        <f>HYPERLINK("http://141.218.60.56/~jnz1568/getInfo.php?workbook=14_09.xlsx&amp;sheet=U0&amp;row=4529&amp;col=6&amp;number=3.5&amp;sourceID=14","3.5")</f>
        <v>3.5</v>
      </c>
      <c r="G4529" s="4" t="str">
        <f>HYPERLINK("http://141.218.60.56/~jnz1568/getInfo.php?workbook=14_09.xlsx&amp;sheet=U0&amp;row=4529&amp;col=7&amp;number=0.0313&amp;sourceID=14","0.0313")</f>
        <v>0.0313</v>
      </c>
    </row>
    <row r="4530" spans="1:7">
      <c r="A4530" s="3"/>
      <c r="B4530" s="3"/>
      <c r="C4530" s="3"/>
      <c r="D4530" s="3"/>
      <c r="E4530" s="3">
        <v>7</v>
      </c>
      <c r="F4530" s="4" t="str">
        <f>HYPERLINK("http://141.218.60.56/~jnz1568/getInfo.php?workbook=14_09.xlsx&amp;sheet=U0&amp;row=4530&amp;col=6&amp;number=3.6&amp;sourceID=14","3.6")</f>
        <v>3.6</v>
      </c>
      <c r="G4530" s="4" t="str">
        <f>HYPERLINK("http://141.218.60.56/~jnz1568/getInfo.php?workbook=14_09.xlsx&amp;sheet=U0&amp;row=4530&amp;col=7&amp;number=0.0312&amp;sourceID=14","0.0312")</f>
        <v>0.0312</v>
      </c>
    </row>
    <row r="4531" spans="1:7">
      <c r="A4531" s="3"/>
      <c r="B4531" s="3"/>
      <c r="C4531" s="3"/>
      <c r="D4531" s="3"/>
      <c r="E4531" s="3">
        <v>8</v>
      </c>
      <c r="F4531" s="4" t="str">
        <f>HYPERLINK("http://141.218.60.56/~jnz1568/getInfo.php?workbook=14_09.xlsx&amp;sheet=U0&amp;row=4531&amp;col=6&amp;number=3.7&amp;sourceID=14","3.7")</f>
        <v>3.7</v>
      </c>
      <c r="G4531" s="4" t="str">
        <f>HYPERLINK("http://141.218.60.56/~jnz1568/getInfo.php?workbook=14_09.xlsx&amp;sheet=U0&amp;row=4531&amp;col=7&amp;number=0.031&amp;sourceID=14","0.031")</f>
        <v>0.031</v>
      </c>
    </row>
    <row r="4532" spans="1:7">
      <c r="A4532" s="3"/>
      <c r="B4532" s="3"/>
      <c r="C4532" s="3"/>
      <c r="D4532" s="3"/>
      <c r="E4532" s="3">
        <v>9</v>
      </c>
      <c r="F4532" s="4" t="str">
        <f>HYPERLINK("http://141.218.60.56/~jnz1568/getInfo.php?workbook=14_09.xlsx&amp;sheet=U0&amp;row=4532&amp;col=6&amp;number=3.8&amp;sourceID=14","3.8")</f>
        <v>3.8</v>
      </c>
      <c r="G4532" s="4" t="str">
        <f>HYPERLINK("http://141.218.60.56/~jnz1568/getInfo.php?workbook=14_09.xlsx&amp;sheet=U0&amp;row=4532&amp;col=7&amp;number=0.0308&amp;sourceID=14","0.0308")</f>
        <v>0.0308</v>
      </c>
    </row>
    <row r="4533" spans="1:7">
      <c r="A4533" s="3"/>
      <c r="B4533" s="3"/>
      <c r="C4533" s="3"/>
      <c r="D4533" s="3"/>
      <c r="E4533" s="3">
        <v>10</v>
      </c>
      <c r="F4533" s="4" t="str">
        <f>HYPERLINK("http://141.218.60.56/~jnz1568/getInfo.php?workbook=14_09.xlsx&amp;sheet=U0&amp;row=4533&amp;col=6&amp;number=3.9&amp;sourceID=14","3.9")</f>
        <v>3.9</v>
      </c>
      <c r="G4533" s="4" t="str">
        <f>HYPERLINK("http://141.218.60.56/~jnz1568/getInfo.php?workbook=14_09.xlsx&amp;sheet=U0&amp;row=4533&amp;col=7&amp;number=0.0305&amp;sourceID=14","0.0305")</f>
        <v>0.0305</v>
      </c>
    </row>
    <row r="4534" spans="1:7">
      <c r="A4534" s="3"/>
      <c r="B4534" s="3"/>
      <c r="C4534" s="3"/>
      <c r="D4534" s="3"/>
      <c r="E4534" s="3">
        <v>11</v>
      </c>
      <c r="F4534" s="4" t="str">
        <f>HYPERLINK("http://141.218.60.56/~jnz1568/getInfo.php?workbook=14_09.xlsx&amp;sheet=U0&amp;row=4534&amp;col=6&amp;number=4&amp;sourceID=14","4")</f>
        <v>4</v>
      </c>
      <c r="G4534" s="4" t="str">
        <f>HYPERLINK("http://141.218.60.56/~jnz1568/getInfo.php?workbook=14_09.xlsx&amp;sheet=U0&amp;row=4534&amp;col=7&amp;number=0.0301&amp;sourceID=14","0.0301")</f>
        <v>0.0301</v>
      </c>
    </row>
    <row r="4535" spans="1:7">
      <c r="A4535" s="3"/>
      <c r="B4535" s="3"/>
      <c r="C4535" s="3"/>
      <c r="D4535" s="3"/>
      <c r="E4535" s="3">
        <v>12</v>
      </c>
      <c r="F4535" s="4" t="str">
        <f>HYPERLINK("http://141.218.60.56/~jnz1568/getInfo.php?workbook=14_09.xlsx&amp;sheet=U0&amp;row=4535&amp;col=6&amp;number=4.1&amp;sourceID=14","4.1")</f>
        <v>4.1</v>
      </c>
      <c r="G4535" s="4" t="str">
        <f>HYPERLINK("http://141.218.60.56/~jnz1568/getInfo.php?workbook=14_09.xlsx&amp;sheet=U0&amp;row=4535&amp;col=7&amp;number=0.0297&amp;sourceID=14","0.0297")</f>
        <v>0.0297</v>
      </c>
    </row>
    <row r="4536" spans="1:7">
      <c r="A4536" s="3"/>
      <c r="B4536" s="3"/>
      <c r="C4536" s="3"/>
      <c r="D4536" s="3"/>
      <c r="E4536" s="3">
        <v>13</v>
      </c>
      <c r="F4536" s="4" t="str">
        <f>HYPERLINK("http://141.218.60.56/~jnz1568/getInfo.php?workbook=14_09.xlsx&amp;sheet=U0&amp;row=4536&amp;col=6&amp;number=4.2&amp;sourceID=14","4.2")</f>
        <v>4.2</v>
      </c>
      <c r="G4536" s="4" t="str">
        <f>HYPERLINK("http://141.218.60.56/~jnz1568/getInfo.php?workbook=14_09.xlsx&amp;sheet=U0&amp;row=4536&amp;col=7&amp;number=0.0292&amp;sourceID=14","0.0292")</f>
        <v>0.0292</v>
      </c>
    </row>
    <row r="4537" spans="1:7">
      <c r="A4537" s="3"/>
      <c r="B4537" s="3"/>
      <c r="C4537" s="3"/>
      <c r="D4537" s="3"/>
      <c r="E4537" s="3">
        <v>14</v>
      </c>
      <c r="F4537" s="4" t="str">
        <f>HYPERLINK("http://141.218.60.56/~jnz1568/getInfo.php?workbook=14_09.xlsx&amp;sheet=U0&amp;row=4537&amp;col=6&amp;number=4.3&amp;sourceID=14","4.3")</f>
        <v>4.3</v>
      </c>
      <c r="G4537" s="4" t="str">
        <f>HYPERLINK("http://141.218.60.56/~jnz1568/getInfo.php?workbook=14_09.xlsx&amp;sheet=U0&amp;row=4537&amp;col=7&amp;number=0.0285&amp;sourceID=14","0.0285")</f>
        <v>0.0285</v>
      </c>
    </row>
    <row r="4538" spans="1:7">
      <c r="A4538" s="3"/>
      <c r="B4538" s="3"/>
      <c r="C4538" s="3"/>
      <c r="D4538" s="3"/>
      <c r="E4538" s="3">
        <v>15</v>
      </c>
      <c r="F4538" s="4" t="str">
        <f>HYPERLINK("http://141.218.60.56/~jnz1568/getInfo.php?workbook=14_09.xlsx&amp;sheet=U0&amp;row=4538&amp;col=6&amp;number=4.4&amp;sourceID=14","4.4")</f>
        <v>4.4</v>
      </c>
      <c r="G4538" s="4" t="str">
        <f>HYPERLINK("http://141.218.60.56/~jnz1568/getInfo.php?workbook=14_09.xlsx&amp;sheet=U0&amp;row=4538&amp;col=7&amp;number=0.0277&amp;sourceID=14","0.0277")</f>
        <v>0.0277</v>
      </c>
    </row>
    <row r="4539" spans="1:7">
      <c r="A4539" s="3"/>
      <c r="B4539" s="3"/>
      <c r="C4539" s="3"/>
      <c r="D4539" s="3"/>
      <c r="E4539" s="3">
        <v>16</v>
      </c>
      <c r="F4539" s="4" t="str">
        <f>HYPERLINK("http://141.218.60.56/~jnz1568/getInfo.php?workbook=14_09.xlsx&amp;sheet=U0&amp;row=4539&amp;col=6&amp;number=4.5&amp;sourceID=14","4.5")</f>
        <v>4.5</v>
      </c>
      <c r="G4539" s="4" t="str">
        <f>HYPERLINK("http://141.218.60.56/~jnz1568/getInfo.php?workbook=14_09.xlsx&amp;sheet=U0&amp;row=4539&amp;col=7&amp;number=0.0268&amp;sourceID=14","0.0268")</f>
        <v>0.0268</v>
      </c>
    </row>
    <row r="4540" spans="1:7">
      <c r="A4540" s="3"/>
      <c r="B4540" s="3"/>
      <c r="C4540" s="3"/>
      <c r="D4540" s="3"/>
      <c r="E4540" s="3">
        <v>17</v>
      </c>
      <c r="F4540" s="4" t="str">
        <f>HYPERLINK("http://141.218.60.56/~jnz1568/getInfo.php?workbook=14_09.xlsx&amp;sheet=U0&amp;row=4540&amp;col=6&amp;number=4.6&amp;sourceID=14","4.6")</f>
        <v>4.6</v>
      </c>
      <c r="G4540" s="4" t="str">
        <f>HYPERLINK("http://141.218.60.56/~jnz1568/getInfo.php?workbook=14_09.xlsx&amp;sheet=U0&amp;row=4540&amp;col=7&amp;number=0.0258&amp;sourceID=14","0.0258")</f>
        <v>0.0258</v>
      </c>
    </row>
    <row r="4541" spans="1:7">
      <c r="A4541" s="3"/>
      <c r="B4541" s="3"/>
      <c r="C4541" s="3"/>
      <c r="D4541" s="3"/>
      <c r="E4541" s="3">
        <v>18</v>
      </c>
      <c r="F4541" s="4" t="str">
        <f>HYPERLINK("http://141.218.60.56/~jnz1568/getInfo.php?workbook=14_09.xlsx&amp;sheet=U0&amp;row=4541&amp;col=6&amp;number=4.7&amp;sourceID=14","4.7")</f>
        <v>4.7</v>
      </c>
      <c r="G4541" s="4" t="str">
        <f>HYPERLINK("http://141.218.60.56/~jnz1568/getInfo.php?workbook=14_09.xlsx&amp;sheet=U0&amp;row=4541&amp;col=7&amp;number=0.0246&amp;sourceID=14","0.0246")</f>
        <v>0.0246</v>
      </c>
    </row>
    <row r="4542" spans="1:7">
      <c r="A4542" s="3"/>
      <c r="B4542" s="3"/>
      <c r="C4542" s="3"/>
      <c r="D4542" s="3"/>
      <c r="E4542" s="3">
        <v>19</v>
      </c>
      <c r="F4542" s="4" t="str">
        <f>HYPERLINK("http://141.218.60.56/~jnz1568/getInfo.php?workbook=14_09.xlsx&amp;sheet=U0&amp;row=4542&amp;col=6&amp;number=4.8&amp;sourceID=14","4.8")</f>
        <v>4.8</v>
      </c>
      <c r="G4542" s="4" t="str">
        <f>HYPERLINK("http://141.218.60.56/~jnz1568/getInfo.php?workbook=14_09.xlsx&amp;sheet=U0&amp;row=4542&amp;col=7&amp;number=0.0233&amp;sourceID=14","0.0233")</f>
        <v>0.0233</v>
      </c>
    </row>
    <row r="4543" spans="1:7">
      <c r="A4543" s="3"/>
      <c r="B4543" s="3"/>
      <c r="C4543" s="3"/>
      <c r="D4543" s="3"/>
      <c r="E4543" s="3">
        <v>20</v>
      </c>
      <c r="F4543" s="4" t="str">
        <f>HYPERLINK("http://141.218.60.56/~jnz1568/getInfo.php?workbook=14_09.xlsx&amp;sheet=U0&amp;row=4543&amp;col=6&amp;number=4.9&amp;sourceID=14","4.9")</f>
        <v>4.9</v>
      </c>
      <c r="G4543" s="4" t="str">
        <f>HYPERLINK("http://141.218.60.56/~jnz1568/getInfo.php?workbook=14_09.xlsx&amp;sheet=U0&amp;row=4543&amp;col=7&amp;number=0.022&amp;sourceID=14","0.022")</f>
        <v>0.022</v>
      </c>
    </row>
    <row r="4544" spans="1:7">
      <c r="A4544" s="3">
        <v>14</v>
      </c>
      <c r="B4544" s="3">
        <v>9</v>
      </c>
      <c r="C4544" s="3">
        <v>2</v>
      </c>
      <c r="D4544" s="3">
        <v>36</v>
      </c>
      <c r="E4544" s="3">
        <v>1</v>
      </c>
      <c r="F4544" s="4" t="str">
        <f>HYPERLINK("http://141.218.60.56/~jnz1568/getInfo.php?workbook=14_09.xlsx&amp;sheet=U0&amp;row=4544&amp;col=6&amp;number=3&amp;sourceID=14","3")</f>
        <v>3</v>
      </c>
      <c r="G4544" s="4" t="str">
        <f>HYPERLINK("http://141.218.60.56/~jnz1568/getInfo.php?workbook=14_09.xlsx&amp;sheet=U0&amp;row=4544&amp;col=7&amp;number=0.0505&amp;sourceID=14","0.0505")</f>
        <v>0.0505</v>
      </c>
    </row>
    <row r="4545" spans="1:7">
      <c r="A4545" s="3"/>
      <c r="B4545" s="3"/>
      <c r="C4545" s="3"/>
      <c r="D4545" s="3"/>
      <c r="E4545" s="3">
        <v>2</v>
      </c>
      <c r="F4545" s="4" t="str">
        <f>HYPERLINK("http://141.218.60.56/~jnz1568/getInfo.php?workbook=14_09.xlsx&amp;sheet=U0&amp;row=4545&amp;col=6&amp;number=3.1&amp;sourceID=14","3.1")</f>
        <v>3.1</v>
      </c>
      <c r="G4545" s="4" t="str">
        <f>HYPERLINK("http://141.218.60.56/~jnz1568/getInfo.php?workbook=14_09.xlsx&amp;sheet=U0&amp;row=4545&amp;col=7&amp;number=0.0504&amp;sourceID=14","0.0504")</f>
        <v>0.0504</v>
      </c>
    </row>
    <row r="4546" spans="1:7">
      <c r="A4546" s="3"/>
      <c r="B4546" s="3"/>
      <c r="C4546" s="3"/>
      <c r="D4546" s="3"/>
      <c r="E4546" s="3">
        <v>3</v>
      </c>
      <c r="F4546" s="4" t="str">
        <f>HYPERLINK("http://141.218.60.56/~jnz1568/getInfo.php?workbook=14_09.xlsx&amp;sheet=U0&amp;row=4546&amp;col=6&amp;number=3.2&amp;sourceID=14","3.2")</f>
        <v>3.2</v>
      </c>
      <c r="G4546" s="4" t="str">
        <f>HYPERLINK("http://141.218.60.56/~jnz1568/getInfo.php?workbook=14_09.xlsx&amp;sheet=U0&amp;row=4546&amp;col=7&amp;number=0.0503&amp;sourceID=14","0.0503")</f>
        <v>0.0503</v>
      </c>
    </row>
    <row r="4547" spans="1:7">
      <c r="A4547" s="3"/>
      <c r="B4547" s="3"/>
      <c r="C4547" s="3"/>
      <c r="D4547" s="3"/>
      <c r="E4547" s="3">
        <v>4</v>
      </c>
      <c r="F4547" s="4" t="str">
        <f>HYPERLINK("http://141.218.60.56/~jnz1568/getInfo.php?workbook=14_09.xlsx&amp;sheet=U0&amp;row=4547&amp;col=6&amp;number=3.3&amp;sourceID=14","3.3")</f>
        <v>3.3</v>
      </c>
      <c r="G4547" s="4" t="str">
        <f>HYPERLINK("http://141.218.60.56/~jnz1568/getInfo.php?workbook=14_09.xlsx&amp;sheet=U0&amp;row=4547&amp;col=7&amp;number=0.0501&amp;sourceID=14","0.0501")</f>
        <v>0.0501</v>
      </c>
    </row>
    <row r="4548" spans="1:7">
      <c r="A4548" s="3"/>
      <c r="B4548" s="3"/>
      <c r="C4548" s="3"/>
      <c r="D4548" s="3"/>
      <c r="E4548" s="3">
        <v>5</v>
      </c>
      <c r="F4548" s="4" t="str">
        <f>HYPERLINK("http://141.218.60.56/~jnz1568/getInfo.php?workbook=14_09.xlsx&amp;sheet=U0&amp;row=4548&amp;col=6&amp;number=3.4&amp;sourceID=14","3.4")</f>
        <v>3.4</v>
      </c>
      <c r="G4548" s="4" t="str">
        <f>HYPERLINK("http://141.218.60.56/~jnz1568/getInfo.php?workbook=14_09.xlsx&amp;sheet=U0&amp;row=4548&amp;col=7&amp;number=0.0499&amp;sourceID=14","0.0499")</f>
        <v>0.0499</v>
      </c>
    </row>
    <row r="4549" spans="1:7">
      <c r="A4549" s="3"/>
      <c r="B4549" s="3"/>
      <c r="C4549" s="3"/>
      <c r="D4549" s="3"/>
      <c r="E4549" s="3">
        <v>6</v>
      </c>
      <c r="F4549" s="4" t="str">
        <f>HYPERLINK("http://141.218.60.56/~jnz1568/getInfo.php?workbook=14_09.xlsx&amp;sheet=U0&amp;row=4549&amp;col=6&amp;number=3.5&amp;sourceID=14","3.5")</f>
        <v>3.5</v>
      </c>
      <c r="G4549" s="4" t="str">
        <f>HYPERLINK("http://141.218.60.56/~jnz1568/getInfo.php?workbook=14_09.xlsx&amp;sheet=U0&amp;row=4549&amp;col=7&amp;number=0.0497&amp;sourceID=14","0.0497")</f>
        <v>0.0497</v>
      </c>
    </row>
    <row r="4550" spans="1:7">
      <c r="A4550" s="3"/>
      <c r="B4550" s="3"/>
      <c r="C4550" s="3"/>
      <c r="D4550" s="3"/>
      <c r="E4550" s="3">
        <v>7</v>
      </c>
      <c r="F4550" s="4" t="str">
        <f>HYPERLINK("http://141.218.60.56/~jnz1568/getInfo.php?workbook=14_09.xlsx&amp;sheet=U0&amp;row=4550&amp;col=6&amp;number=3.6&amp;sourceID=14","3.6")</f>
        <v>3.6</v>
      </c>
      <c r="G4550" s="4" t="str">
        <f>HYPERLINK("http://141.218.60.56/~jnz1568/getInfo.php?workbook=14_09.xlsx&amp;sheet=U0&amp;row=4550&amp;col=7&amp;number=0.0494&amp;sourceID=14","0.0494")</f>
        <v>0.0494</v>
      </c>
    </row>
    <row r="4551" spans="1:7">
      <c r="A4551" s="3"/>
      <c r="B4551" s="3"/>
      <c r="C4551" s="3"/>
      <c r="D4551" s="3"/>
      <c r="E4551" s="3">
        <v>8</v>
      </c>
      <c r="F4551" s="4" t="str">
        <f>HYPERLINK("http://141.218.60.56/~jnz1568/getInfo.php?workbook=14_09.xlsx&amp;sheet=U0&amp;row=4551&amp;col=6&amp;number=3.7&amp;sourceID=14","3.7")</f>
        <v>3.7</v>
      </c>
      <c r="G4551" s="4" t="str">
        <f>HYPERLINK("http://141.218.60.56/~jnz1568/getInfo.php?workbook=14_09.xlsx&amp;sheet=U0&amp;row=4551&amp;col=7&amp;number=0.0491&amp;sourceID=14","0.0491")</f>
        <v>0.0491</v>
      </c>
    </row>
    <row r="4552" spans="1:7">
      <c r="A4552" s="3"/>
      <c r="B4552" s="3"/>
      <c r="C4552" s="3"/>
      <c r="D4552" s="3"/>
      <c r="E4552" s="3">
        <v>9</v>
      </c>
      <c r="F4552" s="4" t="str">
        <f>HYPERLINK("http://141.218.60.56/~jnz1568/getInfo.php?workbook=14_09.xlsx&amp;sheet=U0&amp;row=4552&amp;col=6&amp;number=3.8&amp;sourceID=14","3.8")</f>
        <v>3.8</v>
      </c>
      <c r="G4552" s="4" t="str">
        <f>HYPERLINK("http://141.218.60.56/~jnz1568/getInfo.php?workbook=14_09.xlsx&amp;sheet=U0&amp;row=4552&amp;col=7&amp;number=0.0487&amp;sourceID=14","0.0487")</f>
        <v>0.0487</v>
      </c>
    </row>
    <row r="4553" spans="1:7">
      <c r="A4553" s="3"/>
      <c r="B4553" s="3"/>
      <c r="C4553" s="3"/>
      <c r="D4553" s="3"/>
      <c r="E4553" s="3">
        <v>10</v>
      </c>
      <c r="F4553" s="4" t="str">
        <f>HYPERLINK("http://141.218.60.56/~jnz1568/getInfo.php?workbook=14_09.xlsx&amp;sheet=U0&amp;row=4553&amp;col=6&amp;number=3.9&amp;sourceID=14","3.9")</f>
        <v>3.9</v>
      </c>
      <c r="G4553" s="4" t="str">
        <f>HYPERLINK("http://141.218.60.56/~jnz1568/getInfo.php?workbook=14_09.xlsx&amp;sheet=U0&amp;row=4553&amp;col=7&amp;number=0.0481&amp;sourceID=14","0.0481")</f>
        <v>0.0481</v>
      </c>
    </row>
    <row r="4554" spans="1:7">
      <c r="A4554" s="3"/>
      <c r="B4554" s="3"/>
      <c r="C4554" s="3"/>
      <c r="D4554" s="3"/>
      <c r="E4554" s="3">
        <v>11</v>
      </c>
      <c r="F4554" s="4" t="str">
        <f>HYPERLINK("http://141.218.60.56/~jnz1568/getInfo.php?workbook=14_09.xlsx&amp;sheet=U0&amp;row=4554&amp;col=6&amp;number=4&amp;sourceID=14","4")</f>
        <v>4</v>
      </c>
      <c r="G4554" s="4" t="str">
        <f>HYPERLINK("http://141.218.60.56/~jnz1568/getInfo.php?workbook=14_09.xlsx&amp;sheet=U0&amp;row=4554&amp;col=7&amp;number=0.0474&amp;sourceID=14","0.0474")</f>
        <v>0.0474</v>
      </c>
    </row>
    <row r="4555" spans="1:7">
      <c r="A4555" s="3"/>
      <c r="B4555" s="3"/>
      <c r="C4555" s="3"/>
      <c r="D4555" s="3"/>
      <c r="E4555" s="3">
        <v>12</v>
      </c>
      <c r="F4555" s="4" t="str">
        <f>HYPERLINK("http://141.218.60.56/~jnz1568/getInfo.php?workbook=14_09.xlsx&amp;sheet=U0&amp;row=4555&amp;col=6&amp;number=4.1&amp;sourceID=14","4.1")</f>
        <v>4.1</v>
      </c>
      <c r="G4555" s="4" t="str">
        <f>HYPERLINK("http://141.218.60.56/~jnz1568/getInfo.php?workbook=14_09.xlsx&amp;sheet=U0&amp;row=4555&amp;col=7&amp;number=0.0466&amp;sourceID=14","0.0466")</f>
        <v>0.0466</v>
      </c>
    </row>
    <row r="4556" spans="1:7">
      <c r="A4556" s="3"/>
      <c r="B4556" s="3"/>
      <c r="C4556" s="3"/>
      <c r="D4556" s="3"/>
      <c r="E4556" s="3">
        <v>13</v>
      </c>
      <c r="F4556" s="4" t="str">
        <f>HYPERLINK("http://141.218.60.56/~jnz1568/getInfo.php?workbook=14_09.xlsx&amp;sheet=U0&amp;row=4556&amp;col=6&amp;number=4.2&amp;sourceID=14","4.2")</f>
        <v>4.2</v>
      </c>
      <c r="G4556" s="4" t="str">
        <f>HYPERLINK("http://141.218.60.56/~jnz1568/getInfo.php?workbook=14_09.xlsx&amp;sheet=U0&amp;row=4556&amp;col=7&amp;number=0.0455&amp;sourceID=14","0.0455")</f>
        <v>0.0455</v>
      </c>
    </row>
    <row r="4557" spans="1:7">
      <c r="A4557" s="3"/>
      <c r="B4557" s="3"/>
      <c r="C4557" s="3"/>
      <c r="D4557" s="3"/>
      <c r="E4557" s="3">
        <v>14</v>
      </c>
      <c r="F4557" s="4" t="str">
        <f>HYPERLINK("http://141.218.60.56/~jnz1568/getInfo.php?workbook=14_09.xlsx&amp;sheet=U0&amp;row=4557&amp;col=6&amp;number=4.3&amp;sourceID=14","4.3")</f>
        <v>4.3</v>
      </c>
      <c r="G4557" s="4" t="str">
        <f>HYPERLINK("http://141.218.60.56/~jnz1568/getInfo.php?workbook=14_09.xlsx&amp;sheet=U0&amp;row=4557&amp;col=7&amp;number=0.0443&amp;sourceID=14","0.0443")</f>
        <v>0.0443</v>
      </c>
    </row>
    <row r="4558" spans="1:7">
      <c r="A4558" s="3"/>
      <c r="B4558" s="3"/>
      <c r="C4558" s="3"/>
      <c r="D4558" s="3"/>
      <c r="E4558" s="3">
        <v>15</v>
      </c>
      <c r="F4558" s="4" t="str">
        <f>HYPERLINK("http://141.218.60.56/~jnz1568/getInfo.php?workbook=14_09.xlsx&amp;sheet=U0&amp;row=4558&amp;col=6&amp;number=4.4&amp;sourceID=14","4.4")</f>
        <v>4.4</v>
      </c>
      <c r="G4558" s="4" t="str">
        <f>HYPERLINK("http://141.218.60.56/~jnz1568/getInfo.php?workbook=14_09.xlsx&amp;sheet=U0&amp;row=4558&amp;col=7&amp;number=0.0427&amp;sourceID=14","0.0427")</f>
        <v>0.0427</v>
      </c>
    </row>
    <row r="4559" spans="1:7">
      <c r="A4559" s="3"/>
      <c r="B4559" s="3"/>
      <c r="C4559" s="3"/>
      <c r="D4559" s="3"/>
      <c r="E4559" s="3">
        <v>16</v>
      </c>
      <c r="F4559" s="4" t="str">
        <f>HYPERLINK("http://141.218.60.56/~jnz1568/getInfo.php?workbook=14_09.xlsx&amp;sheet=U0&amp;row=4559&amp;col=6&amp;number=4.5&amp;sourceID=14","4.5")</f>
        <v>4.5</v>
      </c>
      <c r="G4559" s="4" t="str">
        <f>HYPERLINK("http://141.218.60.56/~jnz1568/getInfo.php?workbook=14_09.xlsx&amp;sheet=U0&amp;row=4559&amp;col=7&amp;number=0.0408&amp;sourceID=14","0.0408")</f>
        <v>0.0408</v>
      </c>
    </row>
    <row r="4560" spans="1:7">
      <c r="A4560" s="3"/>
      <c r="B4560" s="3"/>
      <c r="C4560" s="3"/>
      <c r="D4560" s="3"/>
      <c r="E4560" s="3">
        <v>17</v>
      </c>
      <c r="F4560" s="4" t="str">
        <f>HYPERLINK("http://141.218.60.56/~jnz1568/getInfo.php?workbook=14_09.xlsx&amp;sheet=U0&amp;row=4560&amp;col=6&amp;number=4.6&amp;sourceID=14","4.6")</f>
        <v>4.6</v>
      </c>
      <c r="G4560" s="4" t="str">
        <f>HYPERLINK("http://141.218.60.56/~jnz1568/getInfo.php?workbook=14_09.xlsx&amp;sheet=U0&amp;row=4560&amp;col=7&amp;number=0.0386&amp;sourceID=14","0.0386")</f>
        <v>0.0386</v>
      </c>
    </row>
    <row r="4561" spans="1:7">
      <c r="A4561" s="3"/>
      <c r="B4561" s="3"/>
      <c r="C4561" s="3"/>
      <c r="D4561" s="3"/>
      <c r="E4561" s="3">
        <v>18</v>
      </c>
      <c r="F4561" s="4" t="str">
        <f>HYPERLINK("http://141.218.60.56/~jnz1568/getInfo.php?workbook=14_09.xlsx&amp;sheet=U0&amp;row=4561&amp;col=6&amp;number=4.7&amp;sourceID=14","4.7")</f>
        <v>4.7</v>
      </c>
      <c r="G4561" s="4" t="str">
        <f>HYPERLINK("http://141.218.60.56/~jnz1568/getInfo.php?workbook=14_09.xlsx&amp;sheet=U0&amp;row=4561&amp;col=7&amp;number=0.0362&amp;sourceID=14","0.0362")</f>
        <v>0.0362</v>
      </c>
    </row>
    <row r="4562" spans="1:7">
      <c r="A4562" s="3"/>
      <c r="B4562" s="3"/>
      <c r="C4562" s="3"/>
      <c r="D4562" s="3"/>
      <c r="E4562" s="3">
        <v>19</v>
      </c>
      <c r="F4562" s="4" t="str">
        <f>HYPERLINK("http://141.218.60.56/~jnz1568/getInfo.php?workbook=14_09.xlsx&amp;sheet=U0&amp;row=4562&amp;col=6&amp;number=4.8&amp;sourceID=14","4.8")</f>
        <v>4.8</v>
      </c>
      <c r="G4562" s="4" t="str">
        <f>HYPERLINK("http://141.218.60.56/~jnz1568/getInfo.php?workbook=14_09.xlsx&amp;sheet=U0&amp;row=4562&amp;col=7&amp;number=0.0335&amp;sourceID=14","0.0335")</f>
        <v>0.0335</v>
      </c>
    </row>
    <row r="4563" spans="1:7">
      <c r="A4563" s="3"/>
      <c r="B4563" s="3"/>
      <c r="C4563" s="3"/>
      <c r="D4563" s="3"/>
      <c r="E4563" s="3">
        <v>20</v>
      </c>
      <c r="F4563" s="4" t="str">
        <f>HYPERLINK("http://141.218.60.56/~jnz1568/getInfo.php?workbook=14_09.xlsx&amp;sheet=U0&amp;row=4563&amp;col=6&amp;number=4.9&amp;sourceID=14","4.9")</f>
        <v>4.9</v>
      </c>
      <c r="G4563" s="4" t="str">
        <f>HYPERLINK("http://141.218.60.56/~jnz1568/getInfo.php?workbook=14_09.xlsx&amp;sheet=U0&amp;row=4563&amp;col=7&amp;number=0.0309&amp;sourceID=14","0.0309")</f>
        <v>0.0309</v>
      </c>
    </row>
    <row r="4564" spans="1:7">
      <c r="A4564" s="3">
        <v>14</v>
      </c>
      <c r="B4564" s="3">
        <v>9</v>
      </c>
      <c r="C4564" s="3">
        <v>2</v>
      </c>
      <c r="D4564" s="3">
        <v>37</v>
      </c>
      <c r="E4564" s="3">
        <v>1</v>
      </c>
      <c r="F4564" s="4" t="str">
        <f>HYPERLINK("http://141.218.60.56/~jnz1568/getInfo.php?workbook=14_09.xlsx&amp;sheet=U0&amp;row=4564&amp;col=6&amp;number=3&amp;sourceID=14","3")</f>
        <v>3</v>
      </c>
      <c r="G4564" s="4" t="str">
        <f>HYPERLINK("http://141.218.60.56/~jnz1568/getInfo.php?workbook=14_09.xlsx&amp;sheet=U0&amp;row=4564&amp;col=7&amp;number=0.0526&amp;sourceID=14","0.0526")</f>
        <v>0.0526</v>
      </c>
    </row>
    <row r="4565" spans="1:7">
      <c r="A4565" s="3"/>
      <c r="B4565" s="3"/>
      <c r="C4565" s="3"/>
      <c r="D4565" s="3"/>
      <c r="E4565" s="3">
        <v>2</v>
      </c>
      <c r="F4565" s="4" t="str">
        <f>HYPERLINK("http://141.218.60.56/~jnz1568/getInfo.php?workbook=14_09.xlsx&amp;sheet=U0&amp;row=4565&amp;col=6&amp;number=3.1&amp;sourceID=14","3.1")</f>
        <v>3.1</v>
      </c>
      <c r="G4565" s="4" t="str">
        <f>HYPERLINK("http://141.218.60.56/~jnz1568/getInfo.php?workbook=14_09.xlsx&amp;sheet=U0&amp;row=4565&amp;col=7&amp;number=0.0525&amp;sourceID=14","0.0525")</f>
        <v>0.0525</v>
      </c>
    </row>
    <row r="4566" spans="1:7">
      <c r="A4566" s="3"/>
      <c r="B4566" s="3"/>
      <c r="C4566" s="3"/>
      <c r="D4566" s="3"/>
      <c r="E4566" s="3">
        <v>3</v>
      </c>
      <c r="F4566" s="4" t="str">
        <f>HYPERLINK("http://141.218.60.56/~jnz1568/getInfo.php?workbook=14_09.xlsx&amp;sheet=U0&amp;row=4566&amp;col=6&amp;number=3.2&amp;sourceID=14","3.2")</f>
        <v>3.2</v>
      </c>
      <c r="G4566" s="4" t="str">
        <f>HYPERLINK("http://141.218.60.56/~jnz1568/getInfo.php?workbook=14_09.xlsx&amp;sheet=U0&amp;row=4566&amp;col=7&amp;number=0.0524&amp;sourceID=14","0.0524")</f>
        <v>0.0524</v>
      </c>
    </row>
    <row r="4567" spans="1:7">
      <c r="A4567" s="3"/>
      <c r="B4567" s="3"/>
      <c r="C4567" s="3"/>
      <c r="D4567" s="3"/>
      <c r="E4567" s="3">
        <v>4</v>
      </c>
      <c r="F4567" s="4" t="str">
        <f>HYPERLINK("http://141.218.60.56/~jnz1568/getInfo.php?workbook=14_09.xlsx&amp;sheet=U0&amp;row=4567&amp;col=6&amp;number=3.3&amp;sourceID=14","3.3")</f>
        <v>3.3</v>
      </c>
      <c r="G4567" s="4" t="str">
        <f>HYPERLINK("http://141.218.60.56/~jnz1568/getInfo.php?workbook=14_09.xlsx&amp;sheet=U0&amp;row=4567&amp;col=7&amp;number=0.0522&amp;sourceID=14","0.0522")</f>
        <v>0.0522</v>
      </c>
    </row>
    <row r="4568" spans="1:7">
      <c r="A4568" s="3"/>
      <c r="B4568" s="3"/>
      <c r="C4568" s="3"/>
      <c r="D4568" s="3"/>
      <c r="E4568" s="3">
        <v>5</v>
      </c>
      <c r="F4568" s="4" t="str">
        <f>HYPERLINK("http://141.218.60.56/~jnz1568/getInfo.php?workbook=14_09.xlsx&amp;sheet=U0&amp;row=4568&amp;col=6&amp;number=3.4&amp;sourceID=14","3.4")</f>
        <v>3.4</v>
      </c>
      <c r="G4568" s="4" t="str">
        <f>HYPERLINK("http://141.218.60.56/~jnz1568/getInfo.php?workbook=14_09.xlsx&amp;sheet=U0&amp;row=4568&amp;col=7&amp;number=0.052&amp;sourceID=14","0.052")</f>
        <v>0.052</v>
      </c>
    </row>
    <row r="4569" spans="1:7">
      <c r="A4569" s="3"/>
      <c r="B4569" s="3"/>
      <c r="C4569" s="3"/>
      <c r="D4569" s="3"/>
      <c r="E4569" s="3">
        <v>6</v>
      </c>
      <c r="F4569" s="4" t="str">
        <f>HYPERLINK("http://141.218.60.56/~jnz1568/getInfo.php?workbook=14_09.xlsx&amp;sheet=U0&amp;row=4569&amp;col=6&amp;number=3.5&amp;sourceID=14","3.5")</f>
        <v>3.5</v>
      </c>
      <c r="G4569" s="4" t="str">
        <f>HYPERLINK("http://141.218.60.56/~jnz1568/getInfo.php?workbook=14_09.xlsx&amp;sheet=U0&amp;row=4569&amp;col=7&amp;number=0.0518&amp;sourceID=14","0.0518")</f>
        <v>0.0518</v>
      </c>
    </row>
    <row r="4570" spans="1:7">
      <c r="A4570" s="3"/>
      <c r="B4570" s="3"/>
      <c r="C4570" s="3"/>
      <c r="D4570" s="3"/>
      <c r="E4570" s="3">
        <v>7</v>
      </c>
      <c r="F4570" s="4" t="str">
        <f>HYPERLINK("http://141.218.60.56/~jnz1568/getInfo.php?workbook=14_09.xlsx&amp;sheet=U0&amp;row=4570&amp;col=6&amp;number=3.6&amp;sourceID=14","3.6")</f>
        <v>3.6</v>
      </c>
      <c r="G4570" s="4" t="str">
        <f>HYPERLINK("http://141.218.60.56/~jnz1568/getInfo.php?workbook=14_09.xlsx&amp;sheet=U0&amp;row=4570&amp;col=7&amp;number=0.0515&amp;sourceID=14","0.0515")</f>
        <v>0.0515</v>
      </c>
    </row>
    <row r="4571" spans="1:7">
      <c r="A4571" s="3"/>
      <c r="B4571" s="3"/>
      <c r="C4571" s="3"/>
      <c r="D4571" s="3"/>
      <c r="E4571" s="3">
        <v>8</v>
      </c>
      <c r="F4571" s="4" t="str">
        <f>HYPERLINK("http://141.218.60.56/~jnz1568/getInfo.php?workbook=14_09.xlsx&amp;sheet=U0&amp;row=4571&amp;col=6&amp;number=3.7&amp;sourceID=14","3.7")</f>
        <v>3.7</v>
      </c>
      <c r="G4571" s="4" t="str">
        <f>HYPERLINK("http://141.218.60.56/~jnz1568/getInfo.php?workbook=14_09.xlsx&amp;sheet=U0&amp;row=4571&amp;col=7&amp;number=0.0511&amp;sourceID=14","0.0511")</f>
        <v>0.0511</v>
      </c>
    </row>
    <row r="4572" spans="1:7">
      <c r="A4572" s="3"/>
      <c r="B4572" s="3"/>
      <c r="C4572" s="3"/>
      <c r="D4572" s="3"/>
      <c r="E4572" s="3">
        <v>9</v>
      </c>
      <c r="F4572" s="4" t="str">
        <f>HYPERLINK("http://141.218.60.56/~jnz1568/getInfo.php?workbook=14_09.xlsx&amp;sheet=U0&amp;row=4572&amp;col=6&amp;number=3.8&amp;sourceID=14","3.8")</f>
        <v>3.8</v>
      </c>
      <c r="G4572" s="4" t="str">
        <f>HYPERLINK("http://141.218.60.56/~jnz1568/getInfo.php?workbook=14_09.xlsx&amp;sheet=U0&amp;row=4572&amp;col=7&amp;number=0.0507&amp;sourceID=14","0.0507")</f>
        <v>0.0507</v>
      </c>
    </row>
    <row r="4573" spans="1:7">
      <c r="A4573" s="3"/>
      <c r="B4573" s="3"/>
      <c r="C4573" s="3"/>
      <c r="D4573" s="3"/>
      <c r="E4573" s="3">
        <v>10</v>
      </c>
      <c r="F4573" s="4" t="str">
        <f>HYPERLINK("http://141.218.60.56/~jnz1568/getInfo.php?workbook=14_09.xlsx&amp;sheet=U0&amp;row=4573&amp;col=6&amp;number=3.9&amp;sourceID=14","3.9")</f>
        <v>3.9</v>
      </c>
      <c r="G4573" s="4" t="str">
        <f>HYPERLINK("http://141.218.60.56/~jnz1568/getInfo.php?workbook=14_09.xlsx&amp;sheet=U0&amp;row=4573&amp;col=7&amp;number=0.0501&amp;sourceID=14","0.0501")</f>
        <v>0.0501</v>
      </c>
    </row>
    <row r="4574" spans="1:7">
      <c r="A4574" s="3"/>
      <c r="B4574" s="3"/>
      <c r="C4574" s="3"/>
      <c r="D4574" s="3"/>
      <c r="E4574" s="3">
        <v>11</v>
      </c>
      <c r="F4574" s="4" t="str">
        <f>HYPERLINK("http://141.218.60.56/~jnz1568/getInfo.php?workbook=14_09.xlsx&amp;sheet=U0&amp;row=4574&amp;col=6&amp;number=4&amp;sourceID=14","4")</f>
        <v>4</v>
      </c>
      <c r="G4574" s="4" t="str">
        <f>HYPERLINK("http://141.218.60.56/~jnz1568/getInfo.php?workbook=14_09.xlsx&amp;sheet=U0&amp;row=4574&amp;col=7&amp;number=0.0494&amp;sourceID=14","0.0494")</f>
        <v>0.0494</v>
      </c>
    </row>
    <row r="4575" spans="1:7">
      <c r="A4575" s="3"/>
      <c r="B4575" s="3"/>
      <c r="C4575" s="3"/>
      <c r="D4575" s="3"/>
      <c r="E4575" s="3">
        <v>12</v>
      </c>
      <c r="F4575" s="4" t="str">
        <f>HYPERLINK("http://141.218.60.56/~jnz1568/getInfo.php?workbook=14_09.xlsx&amp;sheet=U0&amp;row=4575&amp;col=6&amp;number=4.1&amp;sourceID=14","4.1")</f>
        <v>4.1</v>
      </c>
      <c r="G4575" s="4" t="str">
        <f>HYPERLINK("http://141.218.60.56/~jnz1568/getInfo.php?workbook=14_09.xlsx&amp;sheet=U0&amp;row=4575&amp;col=7&amp;number=0.0485&amp;sourceID=14","0.0485")</f>
        <v>0.0485</v>
      </c>
    </row>
    <row r="4576" spans="1:7">
      <c r="A4576" s="3"/>
      <c r="B4576" s="3"/>
      <c r="C4576" s="3"/>
      <c r="D4576" s="3"/>
      <c r="E4576" s="3">
        <v>13</v>
      </c>
      <c r="F4576" s="4" t="str">
        <f>HYPERLINK("http://141.218.60.56/~jnz1568/getInfo.php?workbook=14_09.xlsx&amp;sheet=U0&amp;row=4576&amp;col=6&amp;number=4.2&amp;sourceID=14","4.2")</f>
        <v>4.2</v>
      </c>
      <c r="G4576" s="4" t="str">
        <f>HYPERLINK("http://141.218.60.56/~jnz1568/getInfo.php?workbook=14_09.xlsx&amp;sheet=U0&amp;row=4576&amp;col=7&amp;number=0.0474&amp;sourceID=14","0.0474")</f>
        <v>0.0474</v>
      </c>
    </row>
    <row r="4577" spans="1:7">
      <c r="A4577" s="3"/>
      <c r="B4577" s="3"/>
      <c r="C4577" s="3"/>
      <c r="D4577" s="3"/>
      <c r="E4577" s="3">
        <v>14</v>
      </c>
      <c r="F4577" s="4" t="str">
        <f>HYPERLINK("http://141.218.60.56/~jnz1568/getInfo.php?workbook=14_09.xlsx&amp;sheet=U0&amp;row=4577&amp;col=6&amp;number=4.3&amp;sourceID=14","4.3")</f>
        <v>4.3</v>
      </c>
      <c r="G4577" s="4" t="str">
        <f>HYPERLINK("http://141.218.60.56/~jnz1568/getInfo.php?workbook=14_09.xlsx&amp;sheet=U0&amp;row=4577&amp;col=7&amp;number=0.046&amp;sourceID=14","0.046")</f>
        <v>0.046</v>
      </c>
    </row>
    <row r="4578" spans="1:7">
      <c r="A4578" s="3"/>
      <c r="B4578" s="3"/>
      <c r="C4578" s="3"/>
      <c r="D4578" s="3"/>
      <c r="E4578" s="3">
        <v>15</v>
      </c>
      <c r="F4578" s="4" t="str">
        <f>HYPERLINK("http://141.218.60.56/~jnz1568/getInfo.php?workbook=14_09.xlsx&amp;sheet=U0&amp;row=4578&amp;col=6&amp;number=4.4&amp;sourceID=14","4.4")</f>
        <v>4.4</v>
      </c>
      <c r="G4578" s="4" t="str">
        <f>HYPERLINK("http://141.218.60.56/~jnz1568/getInfo.php?workbook=14_09.xlsx&amp;sheet=U0&amp;row=4578&amp;col=7&amp;number=0.0444&amp;sourceID=14","0.0444")</f>
        <v>0.0444</v>
      </c>
    </row>
    <row r="4579" spans="1:7">
      <c r="A4579" s="3"/>
      <c r="B4579" s="3"/>
      <c r="C4579" s="3"/>
      <c r="D4579" s="3"/>
      <c r="E4579" s="3">
        <v>16</v>
      </c>
      <c r="F4579" s="4" t="str">
        <f>HYPERLINK("http://141.218.60.56/~jnz1568/getInfo.php?workbook=14_09.xlsx&amp;sheet=U0&amp;row=4579&amp;col=6&amp;number=4.5&amp;sourceID=14","4.5")</f>
        <v>4.5</v>
      </c>
      <c r="G4579" s="4" t="str">
        <f>HYPERLINK("http://141.218.60.56/~jnz1568/getInfo.php?workbook=14_09.xlsx&amp;sheet=U0&amp;row=4579&amp;col=7&amp;number=0.0424&amp;sourceID=14","0.0424")</f>
        <v>0.0424</v>
      </c>
    </row>
    <row r="4580" spans="1:7">
      <c r="A4580" s="3"/>
      <c r="B4580" s="3"/>
      <c r="C4580" s="3"/>
      <c r="D4580" s="3"/>
      <c r="E4580" s="3">
        <v>17</v>
      </c>
      <c r="F4580" s="4" t="str">
        <f>HYPERLINK("http://141.218.60.56/~jnz1568/getInfo.php?workbook=14_09.xlsx&amp;sheet=U0&amp;row=4580&amp;col=6&amp;number=4.6&amp;sourceID=14","4.6")</f>
        <v>4.6</v>
      </c>
      <c r="G4580" s="4" t="str">
        <f>HYPERLINK("http://141.218.60.56/~jnz1568/getInfo.php?workbook=14_09.xlsx&amp;sheet=U0&amp;row=4580&amp;col=7&amp;number=0.0401&amp;sourceID=14","0.0401")</f>
        <v>0.0401</v>
      </c>
    </row>
    <row r="4581" spans="1:7">
      <c r="A4581" s="3"/>
      <c r="B4581" s="3"/>
      <c r="C4581" s="3"/>
      <c r="D4581" s="3"/>
      <c r="E4581" s="3">
        <v>18</v>
      </c>
      <c r="F4581" s="4" t="str">
        <f>HYPERLINK("http://141.218.60.56/~jnz1568/getInfo.php?workbook=14_09.xlsx&amp;sheet=U0&amp;row=4581&amp;col=6&amp;number=4.7&amp;sourceID=14","4.7")</f>
        <v>4.7</v>
      </c>
      <c r="G4581" s="4" t="str">
        <f>HYPERLINK("http://141.218.60.56/~jnz1568/getInfo.php?workbook=14_09.xlsx&amp;sheet=U0&amp;row=4581&amp;col=7&amp;number=0.0376&amp;sourceID=14","0.0376")</f>
        <v>0.0376</v>
      </c>
    </row>
    <row r="4582" spans="1:7">
      <c r="A4582" s="3"/>
      <c r="B4582" s="3"/>
      <c r="C4582" s="3"/>
      <c r="D4582" s="3"/>
      <c r="E4582" s="3">
        <v>19</v>
      </c>
      <c r="F4582" s="4" t="str">
        <f>HYPERLINK("http://141.218.60.56/~jnz1568/getInfo.php?workbook=14_09.xlsx&amp;sheet=U0&amp;row=4582&amp;col=6&amp;number=4.8&amp;sourceID=14","4.8")</f>
        <v>4.8</v>
      </c>
      <c r="G4582" s="4" t="str">
        <f>HYPERLINK("http://141.218.60.56/~jnz1568/getInfo.php?workbook=14_09.xlsx&amp;sheet=U0&amp;row=4582&amp;col=7&amp;number=0.0348&amp;sourceID=14","0.0348")</f>
        <v>0.0348</v>
      </c>
    </row>
    <row r="4583" spans="1:7">
      <c r="A4583" s="3"/>
      <c r="B4583" s="3"/>
      <c r="C4583" s="3"/>
      <c r="D4583" s="3"/>
      <c r="E4583" s="3">
        <v>20</v>
      </c>
      <c r="F4583" s="4" t="str">
        <f>HYPERLINK("http://141.218.60.56/~jnz1568/getInfo.php?workbook=14_09.xlsx&amp;sheet=U0&amp;row=4583&amp;col=6&amp;number=4.9&amp;sourceID=14","4.9")</f>
        <v>4.9</v>
      </c>
      <c r="G4583" s="4" t="str">
        <f>HYPERLINK("http://141.218.60.56/~jnz1568/getInfo.php?workbook=14_09.xlsx&amp;sheet=U0&amp;row=4583&amp;col=7&amp;number=0.0321&amp;sourceID=14","0.0321")</f>
        <v>0.0321</v>
      </c>
    </row>
    <row r="4584" spans="1:7">
      <c r="A4584" s="3">
        <v>14</v>
      </c>
      <c r="B4584" s="3">
        <v>9</v>
      </c>
      <c r="C4584" s="3">
        <v>2</v>
      </c>
      <c r="D4584" s="3">
        <v>38</v>
      </c>
      <c r="E4584" s="3">
        <v>1</v>
      </c>
      <c r="F4584" s="4" t="str">
        <f>HYPERLINK("http://141.218.60.56/~jnz1568/getInfo.php?workbook=14_09.xlsx&amp;sheet=U0&amp;row=4584&amp;col=6&amp;number=3&amp;sourceID=14","3")</f>
        <v>3</v>
      </c>
      <c r="G4584" s="4" t="str">
        <f>HYPERLINK("http://141.218.60.56/~jnz1568/getInfo.php?workbook=14_09.xlsx&amp;sheet=U0&amp;row=4584&amp;col=7&amp;number=0.0437&amp;sourceID=14","0.0437")</f>
        <v>0.0437</v>
      </c>
    </row>
    <row r="4585" spans="1:7">
      <c r="A4585" s="3"/>
      <c r="B4585" s="3"/>
      <c r="C4585" s="3"/>
      <c r="D4585" s="3"/>
      <c r="E4585" s="3">
        <v>2</v>
      </c>
      <c r="F4585" s="4" t="str">
        <f>HYPERLINK("http://141.218.60.56/~jnz1568/getInfo.php?workbook=14_09.xlsx&amp;sheet=U0&amp;row=4585&amp;col=6&amp;number=3.1&amp;sourceID=14","3.1")</f>
        <v>3.1</v>
      </c>
      <c r="G4585" s="4" t="str">
        <f>HYPERLINK("http://141.218.60.56/~jnz1568/getInfo.php?workbook=14_09.xlsx&amp;sheet=U0&amp;row=4585&amp;col=7&amp;number=0.0436&amp;sourceID=14","0.0436")</f>
        <v>0.0436</v>
      </c>
    </row>
    <row r="4586" spans="1:7">
      <c r="A4586" s="3"/>
      <c r="B4586" s="3"/>
      <c r="C4586" s="3"/>
      <c r="D4586" s="3"/>
      <c r="E4586" s="3">
        <v>3</v>
      </c>
      <c r="F4586" s="4" t="str">
        <f>HYPERLINK("http://141.218.60.56/~jnz1568/getInfo.php?workbook=14_09.xlsx&amp;sheet=U0&amp;row=4586&amp;col=6&amp;number=3.2&amp;sourceID=14","3.2")</f>
        <v>3.2</v>
      </c>
      <c r="G4586" s="4" t="str">
        <f>HYPERLINK("http://141.218.60.56/~jnz1568/getInfo.php?workbook=14_09.xlsx&amp;sheet=U0&amp;row=4586&amp;col=7&amp;number=0.0435&amp;sourceID=14","0.0435")</f>
        <v>0.0435</v>
      </c>
    </row>
    <row r="4587" spans="1:7">
      <c r="A4587" s="3"/>
      <c r="B4587" s="3"/>
      <c r="C4587" s="3"/>
      <c r="D4587" s="3"/>
      <c r="E4587" s="3">
        <v>4</v>
      </c>
      <c r="F4587" s="4" t="str">
        <f>HYPERLINK("http://141.218.60.56/~jnz1568/getInfo.php?workbook=14_09.xlsx&amp;sheet=U0&amp;row=4587&amp;col=6&amp;number=3.3&amp;sourceID=14","3.3")</f>
        <v>3.3</v>
      </c>
      <c r="G4587" s="4" t="str">
        <f>HYPERLINK("http://141.218.60.56/~jnz1568/getInfo.php?workbook=14_09.xlsx&amp;sheet=U0&amp;row=4587&amp;col=7&amp;number=0.0434&amp;sourceID=14","0.0434")</f>
        <v>0.0434</v>
      </c>
    </row>
    <row r="4588" spans="1:7">
      <c r="A4588" s="3"/>
      <c r="B4588" s="3"/>
      <c r="C4588" s="3"/>
      <c r="D4588" s="3"/>
      <c r="E4588" s="3">
        <v>5</v>
      </c>
      <c r="F4588" s="4" t="str">
        <f>HYPERLINK("http://141.218.60.56/~jnz1568/getInfo.php?workbook=14_09.xlsx&amp;sheet=U0&amp;row=4588&amp;col=6&amp;number=3.4&amp;sourceID=14","3.4")</f>
        <v>3.4</v>
      </c>
      <c r="G4588" s="4" t="str">
        <f>HYPERLINK("http://141.218.60.56/~jnz1568/getInfo.php?workbook=14_09.xlsx&amp;sheet=U0&amp;row=4588&amp;col=7&amp;number=0.0432&amp;sourceID=14","0.0432")</f>
        <v>0.0432</v>
      </c>
    </row>
    <row r="4589" spans="1:7">
      <c r="A4589" s="3"/>
      <c r="B4589" s="3"/>
      <c r="C4589" s="3"/>
      <c r="D4589" s="3"/>
      <c r="E4589" s="3">
        <v>6</v>
      </c>
      <c r="F4589" s="4" t="str">
        <f>HYPERLINK("http://141.218.60.56/~jnz1568/getInfo.php?workbook=14_09.xlsx&amp;sheet=U0&amp;row=4589&amp;col=6&amp;number=3.5&amp;sourceID=14","3.5")</f>
        <v>3.5</v>
      </c>
      <c r="G4589" s="4" t="str">
        <f>HYPERLINK("http://141.218.60.56/~jnz1568/getInfo.php?workbook=14_09.xlsx&amp;sheet=U0&amp;row=4589&amp;col=7&amp;number=0.043&amp;sourceID=14","0.043")</f>
        <v>0.043</v>
      </c>
    </row>
    <row r="4590" spans="1:7">
      <c r="A4590" s="3"/>
      <c r="B4590" s="3"/>
      <c r="C4590" s="3"/>
      <c r="D4590" s="3"/>
      <c r="E4590" s="3">
        <v>7</v>
      </c>
      <c r="F4590" s="4" t="str">
        <f>HYPERLINK("http://141.218.60.56/~jnz1568/getInfo.php?workbook=14_09.xlsx&amp;sheet=U0&amp;row=4590&amp;col=6&amp;number=3.6&amp;sourceID=14","3.6")</f>
        <v>3.6</v>
      </c>
      <c r="G4590" s="4" t="str">
        <f>HYPERLINK("http://141.218.60.56/~jnz1568/getInfo.php?workbook=14_09.xlsx&amp;sheet=U0&amp;row=4590&amp;col=7&amp;number=0.0427&amp;sourceID=14","0.0427")</f>
        <v>0.0427</v>
      </c>
    </row>
    <row r="4591" spans="1:7">
      <c r="A4591" s="3"/>
      <c r="B4591" s="3"/>
      <c r="C4591" s="3"/>
      <c r="D4591" s="3"/>
      <c r="E4591" s="3">
        <v>8</v>
      </c>
      <c r="F4591" s="4" t="str">
        <f>HYPERLINK("http://141.218.60.56/~jnz1568/getInfo.php?workbook=14_09.xlsx&amp;sheet=U0&amp;row=4591&amp;col=6&amp;number=3.7&amp;sourceID=14","3.7")</f>
        <v>3.7</v>
      </c>
      <c r="G4591" s="4" t="str">
        <f>HYPERLINK("http://141.218.60.56/~jnz1568/getInfo.php?workbook=14_09.xlsx&amp;sheet=U0&amp;row=4591&amp;col=7&amp;number=0.0424&amp;sourceID=14","0.0424")</f>
        <v>0.0424</v>
      </c>
    </row>
    <row r="4592" spans="1:7">
      <c r="A4592" s="3"/>
      <c r="B4592" s="3"/>
      <c r="C4592" s="3"/>
      <c r="D4592" s="3"/>
      <c r="E4592" s="3">
        <v>9</v>
      </c>
      <c r="F4592" s="4" t="str">
        <f>HYPERLINK("http://141.218.60.56/~jnz1568/getInfo.php?workbook=14_09.xlsx&amp;sheet=U0&amp;row=4592&amp;col=6&amp;number=3.8&amp;sourceID=14","3.8")</f>
        <v>3.8</v>
      </c>
      <c r="G4592" s="4" t="str">
        <f>HYPERLINK("http://141.218.60.56/~jnz1568/getInfo.php?workbook=14_09.xlsx&amp;sheet=U0&amp;row=4592&amp;col=7&amp;number=0.042&amp;sourceID=14","0.042")</f>
        <v>0.042</v>
      </c>
    </row>
    <row r="4593" spans="1:7">
      <c r="A4593" s="3"/>
      <c r="B4593" s="3"/>
      <c r="C4593" s="3"/>
      <c r="D4593" s="3"/>
      <c r="E4593" s="3">
        <v>10</v>
      </c>
      <c r="F4593" s="4" t="str">
        <f>HYPERLINK("http://141.218.60.56/~jnz1568/getInfo.php?workbook=14_09.xlsx&amp;sheet=U0&amp;row=4593&amp;col=6&amp;number=3.9&amp;sourceID=14","3.9")</f>
        <v>3.9</v>
      </c>
      <c r="G4593" s="4" t="str">
        <f>HYPERLINK("http://141.218.60.56/~jnz1568/getInfo.php?workbook=14_09.xlsx&amp;sheet=U0&amp;row=4593&amp;col=7&amp;number=0.0415&amp;sourceID=14","0.0415")</f>
        <v>0.0415</v>
      </c>
    </row>
    <row r="4594" spans="1:7">
      <c r="A4594" s="3"/>
      <c r="B4594" s="3"/>
      <c r="C4594" s="3"/>
      <c r="D4594" s="3"/>
      <c r="E4594" s="3">
        <v>11</v>
      </c>
      <c r="F4594" s="4" t="str">
        <f>HYPERLINK("http://141.218.60.56/~jnz1568/getInfo.php?workbook=14_09.xlsx&amp;sheet=U0&amp;row=4594&amp;col=6&amp;number=4&amp;sourceID=14","4")</f>
        <v>4</v>
      </c>
      <c r="G4594" s="4" t="str">
        <f>HYPERLINK("http://141.218.60.56/~jnz1568/getInfo.php?workbook=14_09.xlsx&amp;sheet=U0&amp;row=4594&amp;col=7&amp;number=0.0409&amp;sourceID=14","0.0409")</f>
        <v>0.0409</v>
      </c>
    </row>
    <row r="4595" spans="1:7">
      <c r="A4595" s="3"/>
      <c r="B4595" s="3"/>
      <c r="C4595" s="3"/>
      <c r="D4595" s="3"/>
      <c r="E4595" s="3">
        <v>12</v>
      </c>
      <c r="F4595" s="4" t="str">
        <f>HYPERLINK("http://141.218.60.56/~jnz1568/getInfo.php?workbook=14_09.xlsx&amp;sheet=U0&amp;row=4595&amp;col=6&amp;number=4.1&amp;sourceID=14","4.1")</f>
        <v>4.1</v>
      </c>
      <c r="G4595" s="4" t="str">
        <f>HYPERLINK("http://141.218.60.56/~jnz1568/getInfo.php?workbook=14_09.xlsx&amp;sheet=U0&amp;row=4595&amp;col=7&amp;number=0.0402&amp;sourceID=14","0.0402")</f>
        <v>0.0402</v>
      </c>
    </row>
    <row r="4596" spans="1:7">
      <c r="A4596" s="3"/>
      <c r="B4596" s="3"/>
      <c r="C4596" s="3"/>
      <c r="D4596" s="3"/>
      <c r="E4596" s="3">
        <v>13</v>
      </c>
      <c r="F4596" s="4" t="str">
        <f>HYPERLINK("http://141.218.60.56/~jnz1568/getInfo.php?workbook=14_09.xlsx&amp;sheet=U0&amp;row=4596&amp;col=6&amp;number=4.2&amp;sourceID=14","4.2")</f>
        <v>4.2</v>
      </c>
      <c r="G4596" s="4" t="str">
        <f>HYPERLINK("http://141.218.60.56/~jnz1568/getInfo.php?workbook=14_09.xlsx&amp;sheet=U0&amp;row=4596&amp;col=7&amp;number=0.0392&amp;sourceID=14","0.0392")</f>
        <v>0.0392</v>
      </c>
    </row>
    <row r="4597" spans="1:7">
      <c r="A4597" s="3"/>
      <c r="B4597" s="3"/>
      <c r="C4597" s="3"/>
      <c r="D4597" s="3"/>
      <c r="E4597" s="3">
        <v>14</v>
      </c>
      <c r="F4597" s="4" t="str">
        <f>HYPERLINK("http://141.218.60.56/~jnz1568/getInfo.php?workbook=14_09.xlsx&amp;sheet=U0&amp;row=4597&amp;col=6&amp;number=4.3&amp;sourceID=14","4.3")</f>
        <v>4.3</v>
      </c>
      <c r="G4597" s="4" t="str">
        <f>HYPERLINK("http://141.218.60.56/~jnz1568/getInfo.php?workbook=14_09.xlsx&amp;sheet=U0&amp;row=4597&amp;col=7&amp;number=0.0381&amp;sourceID=14","0.0381")</f>
        <v>0.0381</v>
      </c>
    </row>
    <row r="4598" spans="1:7">
      <c r="A4598" s="3"/>
      <c r="B4598" s="3"/>
      <c r="C4598" s="3"/>
      <c r="D4598" s="3"/>
      <c r="E4598" s="3">
        <v>15</v>
      </c>
      <c r="F4598" s="4" t="str">
        <f>HYPERLINK("http://141.218.60.56/~jnz1568/getInfo.php?workbook=14_09.xlsx&amp;sheet=U0&amp;row=4598&amp;col=6&amp;number=4.4&amp;sourceID=14","4.4")</f>
        <v>4.4</v>
      </c>
      <c r="G4598" s="4" t="str">
        <f>HYPERLINK("http://141.218.60.56/~jnz1568/getInfo.php?workbook=14_09.xlsx&amp;sheet=U0&amp;row=4598&amp;col=7&amp;number=0.0367&amp;sourceID=14","0.0367")</f>
        <v>0.0367</v>
      </c>
    </row>
    <row r="4599" spans="1:7">
      <c r="A4599" s="3"/>
      <c r="B4599" s="3"/>
      <c r="C4599" s="3"/>
      <c r="D4599" s="3"/>
      <c r="E4599" s="3">
        <v>16</v>
      </c>
      <c r="F4599" s="4" t="str">
        <f>HYPERLINK("http://141.218.60.56/~jnz1568/getInfo.php?workbook=14_09.xlsx&amp;sheet=U0&amp;row=4599&amp;col=6&amp;number=4.5&amp;sourceID=14","4.5")</f>
        <v>4.5</v>
      </c>
      <c r="G4599" s="4" t="str">
        <f>HYPERLINK("http://141.218.60.56/~jnz1568/getInfo.php?workbook=14_09.xlsx&amp;sheet=U0&amp;row=4599&amp;col=7&amp;number=0.035&amp;sourceID=14","0.035")</f>
        <v>0.035</v>
      </c>
    </row>
    <row r="4600" spans="1:7">
      <c r="A4600" s="3"/>
      <c r="B4600" s="3"/>
      <c r="C4600" s="3"/>
      <c r="D4600" s="3"/>
      <c r="E4600" s="3">
        <v>17</v>
      </c>
      <c r="F4600" s="4" t="str">
        <f>HYPERLINK("http://141.218.60.56/~jnz1568/getInfo.php?workbook=14_09.xlsx&amp;sheet=U0&amp;row=4600&amp;col=6&amp;number=4.6&amp;sourceID=14","4.6")</f>
        <v>4.6</v>
      </c>
      <c r="G4600" s="4" t="str">
        <f>HYPERLINK("http://141.218.60.56/~jnz1568/getInfo.php?workbook=14_09.xlsx&amp;sheet=U0&amp;row=4600&amp;col=7&amp;number=0.0331&amp;sourceID=14","0.0331")</f>
        <v>0.0331</v>
      </c>
    </row>
    <row r="4601" spans="1:7">
      <c r="A4601" s="3"/>
      <c r="B4601" s="3"/>
      <c r="C4601" s="3"/>
      <c r="D4601" s="3"/>
      <c r="E4601" s="3">
        <v>18</v>
      </c>
      <c r="F4601" s="4" t="str">
        <f>HYPERLINK("http://141.218.60.56/~jnz1568/getInfo.php?workbook=14_09.xlsx&amp;sheet=U0&amp;row=4601&amp;col=6&amp;number=4.7&amp;sourceID=14","4.7")</f>
        <v>4.7</v>
      </c>
      <c r="G4601" s="4" t="str">
        <f>HYPERLINK("http://141.218.60.56/~jnz1568/getInfo.php?workbook=14_09.xlsx&amp;sheet=U0&amp;row=4601&amp;col=7&amp;number=0.0309&amp;sourceID=14","0.0309")</f>
        <v>0.0309</v>
      </c>
    </row>
    <row r="4602" spans="1:7">
      <c r="A4602" s="3"/>
      <c r="B4602" s="3"/>
      <c r="C4602" s="3"/>
      <c r="D4602" s="3"/>
      <c r="E4602" s="3">
        <v>19</v>
      </c>
      <c r="F4602" s="4" t="str">
        <f>HYPERLINK("http://141.218.60.56/~jnz1568/getInfo.php?workbook=14_09.xlsx&amp;sheet=U0&amp;row=4602&amp;col=6&amp;number=4.8&amp;sourceID=14","4.8")</f>
        <v>4.8</v>
      </c>
      <c r="G4602" s="4" t="str">
        <f>HYPERLINK("http://141.218.60.56/~jnz1568/getInfo.php?workbook=14_09.xlsx&amp;sheet=U0&amp;row=4602&amp;col=7&amp;number=0.0286&amp;sourceID=14","0.0286")</f>
        <v>0.0286</v>
      </c>
    </row>
    <row r="4603" spans="1:7">
      <c r="A4603" s="3"/>
      <c r="B4603" s="3"/>
      <c r="C4603" s="3"/>
      <c r="D4603" s="3"/>
      <c r="E4603" s="3">
        <v>20</v>
      </c>
      <c r="F4603" s="4" t="str">
        <f>HYPERLINK("http://141.218.60.56/~jnz1568/getInfo.php?workbook=14_09.xlsx&amp;sheet=U0&amp;row=4603&amp;col=6&amp;number=4.9&amp;sourceID=14","4.9")</f>
        <v>4.9</v>
      </c>
      <c r="G4603" s="4" t="str">
        <f>HYPERLINK("http://141.218.60.56/~jnz1568/getInfo.php?workbook=14_09.xlsx&amp;sheet=U0&amp;row=4603&amp;col=7&amp;number=0.0264&amp;sourceID=14","0.0264")</f>
        <v>0.0264</v>
      </c>
    </row>
    <row r="4604" spans="1:7">
      <c r="A4604" s="3">
        <v>14</v>
      </c>
      <c r="B4604" s="3">
        <v>9</v>
      </c>
      <c r="C4604" s="3">
        <v>2</v>
      </c>
      <c r="D4604" s="3">
        <v>39</v>
      </c>
      <c r="E4604" s="3">
        <v>1</v>
      </c>
      <c r="F4604" s="4" t="str">
        <f>HYPERLINK("http://141.218.60.56/~jnz1568/getInfo.php?workbook=14_09.xlsx&amp;sheet=U0&amp;row=4604&amp;col=6&amp;number=3&amp;sourceID=14","3")</f>
        <v>3</v>
      </c>
      <c r="G4604" s="4" t="str">
        <f>HYPERLINK("http://141.218.60.56/~jnz1568/getInfo.php?workbook=14_09.xlsx&amp;sheet=U0&amp;row=4604&amp;col=7&amp;number=0.0175&amp;sourceID=14","0.0175")</f>
        <v>0.0175</v>
      </c>
    </row>
    <row r="4605" spans="1:7">
      <c r="A4605" s="3"/>
      <c r="B4605" s="3"/>
      <c r="C4605" s="3"/>
      <c r="D4605" s="3"/>
      <c r="E4605" s="3">
        <v>2</v>
      </c>
      <c r="F4605" s="4" t="str">
        <f>HYPERLINK("http://141.218.60.56/~jnz1568/getInfo.php?workbook=14_09.xlsx&amp;sheet=U0&amp;row=4605&amp;col=6&amp;number=3.1&amp;sourceID=14","3.1")</f>
        <v>3.1</v>
      </c>
      <c r="G4605" s="4" t="str">
        <f>HYPERLINK("http://141.218.60.56/~jnz1568/getInfo.php?workbook=14_09.xlsx&amp;sheet=U0&amp;row=4605&amp;col=7&amp;number=0.0174&amp;sourceID=14","0.0174")</f>
        <v>0.0174</v>
      </c>
    </row>
    <row r="4606" spans="1:7">
      <c r="A4606" s="3"/>
      <c r="B4606" s="3"/>
      <c r="C4606" s="3"/>
      <c r="D4606" s="3"/>
      <c r="E4606" s="3">
        <v>3</v>
      </c>
      <c r="F4606" s="4" t="str">
        <f>HYPERLINK("http://141.218.60.56/~jnz1568/getInfo.php?workbook=14_09.xlsx&amp;sheet=U0&amp;row=4606&amp;col=6&amp;number=3.2&amp;sourceID=14","3.2")</f>
        <v>3.2</v>
      </c>
      <c r="G4606" s="4" t="str">
        <f>HYPERLINK("http://141.218.60.56/~jnz1568/getInfo.php?workbook=14_09.xlsx&amp;sheet=U0&amp;row=4606&amp;col=7&amp;number=0.0174&amp;sourceID=14","0.0174")</f>
        <v>0.0174</v>
      </c>
    </row>
    <row r="4607" spans="1:7">
      <c r="A4607" s="3"/>
      <c r="B4607" s="3"/>
      <c r="C4607" s="3"/>
      <c r="D4607" s="3"/>
      <c r="E4607" s="3">
        <v>4</v>
      </c>
      <c r="F4607" s="4" t="str">
        <f>HYPERLINK("http://141.218.60.56/~jnz1568/getInfo.php?workbook=14_09.xlsx&amp;sheet=U0&amp;row=4607&amp;col=6&amp;number=3.3&amp;sourceID=14","3.3")</f>
        <v>3.3</v>
      </c>
      <c r="G4607" s="4" t="str">
        <f>HYPERLINK("http://141.218.60.56/~jnz1568/getInfo.php?workbook=14_09.xlsx&amp;sheet=U0&amp;row=4607&amp;col=7&amp;number=0.0173&amp;sourceID=14","0.0173")</f>
        <v>0.0173</v>
      </c>
    </row>
    <row r="4608" spans="1:7">
      <c r="A4608" s="3"/>
      <c r="B4608" s="3"/>
      <c r="C4608" s="3"/>
      <c r="D4608" s="3"/>
      <c r="E4608" s="3">
        <v>5</v>
      </c>
      <c r="F4608" s="4" t="str">
        <f>HYPERLINK("http://141.218.60.56/~jnz1568/getInfo.php?workbook=14_09.xlsx&amp;sheet=U0&amp;row=4608&amp;col=6&amp;number=3.4&amp;sourceID=14","3.4")</f>
        <v>3.4</v>
      </c>
      <c r="G4608" s="4" t="str">
        <f>HYPERLINK("http://141.218.60.56/~jnz1568/getInfo.php?workbook=14_09.xlsx&amp;sheet=U0&amp;row=4608&amp;col=7&amp;number=0.0172&amp;sourceID=14","0.0172")</f>
        <v>0.0172</v>
      </c>
    </row>
    <row r="4609" spans="1:7">
      <c r="A4609" s="3"/>
      <c r="B4609" s="3"/>
      <c r="C4609" s="3"/>
      <c r="D4609" s="3"/>
      <c r="E4609" s="3">
        <v>6</v>
      </c>
      <c r="F4609" s="4" t="str">
        <f>HYPERLINK("http://141.218.60.56/~jnz1568/getInfo.php?workbook=14_09.xlsx&amp;sheet=U0&amp;row=4609&amp;col=6&amp;number=3.5&amp;sourceID=14","3.5")</f>
        <v>3.5</v>
      </c>
      <c r="G4609" s="4" t="str">
        <f>HYPERLINK("http://141.218.60.56/~jnz1568/getInfo.php?workbook=14_09.xlsx&amp;sheet=U0&amp;row=4609&amp;col=7&amp;number=0.0171&amp;sourceID=14","0.0171")</f>
        <v>0.0171</v>
      </c>
    </row>
    <row r="4610" spans="1:7">
      <c r="A4610" s="3"/>
      <c r="B4610" s="3"/>
      <c r="C4610" s="3"/>
      <c r="D4610" s="3"/>
      <c r="E4610" s="3">
        <v>7</v>
      </c>
      <c r="F4610" s="4" t="str">
        <f>HYPERLINK("http://141.218.60.56/~jnz1568/getInfo.php?workbook=14_09.xlsx&amp;sheet=U0&amp;row=4610&amp;col=6&amp;number=3.6&amp;sourceID=14","3.6")</f>
        <v>3.6</v>
      </c>
      <c r="G4610" s="4" t="str">
        <f>HYPERLINK("http://141.218.60.56/~jnz1568/getInfo.php?workbook=14_09.xlsx&amp;sheet=U0&amp;row=4610&amp;col=7&amp;number=0.017&amp;sourceID=14","0.017")</f>
        <v>0.017</v>
      </c>
    </row>
    <row r="4611" spans="1:7">
      <c r="A4611" s="3"/>
      <c r="B4611" s="3"/>
      <c r="C4611" s="3"/>
      <c r="D4611" s="3"/>
      <c r="E4611" s="3">
        <v>8</v>
      </c>
      <c r="F4611" s="4" t="str">
        <f>HYPERLINK("http://141.218.60.56/~jnz1568/getInfo.php?workbook=14_09.xlsx&amp;sheet=U0&amp;row=4611&amp;col=6&amp;number=3.7&amp;sourceID=14","3.7")</f>
        <v>3.7</v>
      </c>
      <c r="G4611" s="4" t="str">
        <f>HYPERLINK("http://141.218.60.56/~jnz1568/getInfo.php?workbook=14_09.xlsx&amp;sheet=U0&amp;row=4611&amp;col=7&amp;number=0.0169&amp;sourceID=14","0.0169")</f>
        <v>0.0169</v>
      </c>
    </row>
    <row r="4612" spans="1:7">
      <c r="A4612" s="3"/>
      <c r="B4612" s="3"/>
      <c r="C4612" s="3"/>
      <c r="D4612" s="3"/>
      <c r="E4612" s="3">
        <v>9</v>
      </c>
      <c r="F4612" s="4" t="str">
        <f>HYPERLINK("http://141.218.60.56/~jnz1568/getInfo.php?workbook=14_09.xlsx&amp;sheet=U0&amp;row=4612&amp;col=6&amp;number=3.8&amp;sourceID=14","3.8")</f>
        <v>3.8</v>
      </c>
      <c r="G4612" s="4" t="str">
        <f>HYPERLINK("http://141.218.60.56/~jnz1568/getInfo.php?workbook=14_09.xlsx&amp;sheet=U0&amp;row=4612&amp;col=7&amp;number=0.0167&amp;sourceID=14","0.0167")</f>
        <v>0.0167</v>
      </c>
    </row>
    <row r="4613" spans="1:7">
      <c r="A4613" s="3"/>
      <c r="B4613" s="3"/>
      <c r="C4613" s="3"/>
      <c r="D4613" s="3"/>
      <c r="E4613" s="3">
        <v>10</v>
      </c>
      <c r="F4613" s="4" t="str">
        <f>HYPERLINK("http://141.218.60.56/~jnz1568/getInfo.php?workbook=14_09.xlsx&amp;sheet=U0&amp;row=4613&amp;col=6&amp;number=3.9&amp;sourceID=14","3.9")</f>
        <v>3.9</v>
      </c>
      <c r="G4613" s="4" t="str">
        <f>HYPERLINK("http://141.218.60.56/~jnz1568/getInfo.php?workbook=14_09.xlsx&amp;sheet=U0&amp;row=4613&amp;col=7&amp;number=0.0164&amp;sourceID=14","0.0164")</f>
        <v>0.0164</v>
      </c>
    </row>
    <row r="4614" spans="1:7">
      <c r="A4614" s="3"/>
      <c r="B4614" s="3"/>
      <c r="C4614" s="3"/>
      <c r="D4614" s="3"/>
      <c r="E4614" s="3">
        <v>11</v>
      </c>
      <c r="F4614" s="4" t="str">
        <f>HYPERLINK("http://141.218.60.56/~jnz1568/getInfo.php?workbook=14_09.xlsx&amp;sheet=U0&amp;row=4614&amp;col=6&amp;number=4&amp;sourceID=14","4")</f>
        <v>4</v>
      </c>
      <c r="G4614" s="4" t="str">
        <f>HYPERLINK("http://141.218.60.56/~jnz1568/getInfo.php?workbook=14_09.xlsx&amp;sheet=U0&amp;row=4614&amp;col=7&amp;number=0.0161&amp;sourceID=14","0.0161")</f>
        <v>0.0161</v>
      </c>
    </row>
    <row r="4615" spans="1:7">
      <c r="A4615" s="3"/>
      <c r="B4615" s="3"/>
      <c r="C4615" s="3"/>
      <c r="D4615" s="3"/>
      <c r="E4615" s="3">
        <v>12</v>
      </c>
      <c r="F4615" s="4" t="str">
        <f>HYPERLINK("http://141.218.60.56/~jnz1568/getInfo.php?workbook=14_09.xlsx&amp;sheet=U0&amp;row=4615&amp;col=6&amp;number=4.1&amp;sourceID=14","4.1")</f>
        <v>4.1</v>
      </c>
      <c r="G4615" s="4" t="str">
        <f>HYPERLINK("http://141.218.60.56/~jnz1568/getInfo.php?workbook=14_09.xlsx&amp;sheet=U0&amp;row=4615&amp;col=7&amp;number=0.0158&amp;sourceID=14","0.0158")</f>
        <v>0.0158</v>
      </c>
    </row>
    <row r="4616" spans="1:7">
      <c r="A4616" s="3"/>
      <c r="B4616" s="3"/>
      <c r="C4616" s="3"/>
      <c r="D4616" s="3"/>
      <c r="E4616" s="3">
        <v>13</v>
      </c>
      <c r="F4616" s="4" t="str">
        <f>HYPERLINK("http://141.218.60.56/~jnz1568/getInfo.php?workbook=14_09.xlsx&amp;sheet=U0&amp;row=4616&amp;col=6&amp;number=4.2&amp;sourceID=14","4.2")</f>
        <v>4.2</v>
      </c>
      <c r="G4616" s="4" t="str">
        <f>HYPERLINK("http://141.218.60.56/~jnz1568/getInfo.php?workbook=14_09.xlsx&amp;sheet=U0&amp;row=4616&amp;col=7&amp;number=0.0153&amp;sourceID=14","0.0153")</f>
        <v>0.0153</v>
      </c>
    </row>
    <row r="4617" spans="1:7">
      <c r="A4617" s="3"/>
      <c r="B4617" s="3"/>
      <c r="C4617" s="3"/>
      <c r="D4617" s="3"/>
      <c r="E4617" s="3">
        <v>14</v>
      </c>
      <c r="F4617" s="4" t="str">
        <f>HYPERLINK("http://141.218.60.56/~jnz1568/getInfo.php?workbook=14_09.xlsx&amp;sheet=U0&amp;row=4617&amp;col=6&amp;number=4.3&amp;sourceID=14","4.3")</f>
        <v>4.3</v>
      </c>
      <c r="G4617" s="4" t="str">
        <f>HYPERLINK("http://141.218.60.56/~jnz1568/getInfo.php?workbook=14_09.xlsx&amp;sheet=U0&amp;row=4617&amp;col=7&amp;number=0.0148&amp;sourceID=14","0.0148")</f>
        <v>0.0148</v>
      </c>
    </row>
    <row r="4618" spans="1:7">
      <c r="A4618" s="3"/>
      <c r="B4618" s="3"/>
      <c r="C4618" s="3"/>
      <c r="D4618" s="3"/>
      <c r="E4618" s="3">
        <v>15</v>
      </c>
      <c r="F4618" s="4" t="str">
        <f>HYPERLINK("http://141.218.60.56/~jnz1568/getInfo.php?workbook=14_09.xlsx&amp;sheet=U0&amp;row=4618&amp;col=6&amp;number=4.4&amp;sourceID=14","4.4")</f>
        <v>4.4</v>
      </c>
      <c r="G4618" s="4" t="str">
        <f>HYPERLINK("http://141.218.60.56/~jnz1568/getInfo.php?workbook=14_09.xlsx&amp;sheet=U0&amp;row=4618&amp;col=7&amp;number=0.0141&amp;sourceID=14","0.0141")</f>
        <v>0.0141</v>
      </c>
    </row>
    <row r="4619" spans="1:7">
      <c r="A4619" s="3"/>
      <c r="B4619" s="3"/>
      <c r="C4619" s="3"/>
      <c r="D4619" s="3"/>
      <c r="E4619" s="3">
        <v>16</v>
      </c>
      <c r="F4619" s="4" t="str">
        <f>HYPERLINK("http://141.218.60.56/~jnz1568/getInfo.php?workbook=14_09.xlsx&amp;sheet=U0&amp;row=4619&amp;col=6&amp;number=4.5&amp;sourceID=14","4.5")</f>
        <v>4.5</v>
      </c>
      <c r="G4619" s="4" t="str">
        <f>HYPERLINK("http://141.218.60.56/~jnz1568/getInfo.php?workbook=14_09.xlsx&amp;sheet=U0&amp;row=4619&amp;col=7&amp;number=0.0134&amp;sourceID=14","0.0134")</f>
        <v>0.0134</v>
      </c>
    </row>
    <row r="4620" spans="1:7">
      <c r="A4620" s="3"/>
      <c r="B4620" s="3"/>
      <c r="C4620" s="3"/>
      <c r="D4620" s="3"/>
      <c r="E4620" s="3">
        <v>17</v>
      </c>
      <c r="F4620" s="4" t="str">
        <f>HYPERLINK("http://141.218.60.56/~jnz1568/getInfo.php?workbook=14_09.xlsx&amp;sheet=U0&amp;row=4620&amp;col=6&amp;number=4.6&amp;sourceID=14","4.6")</f>
        <v>4.6</v>
      </c>
      <c r="G4620" s="4" t="str">
        <f>HYPERLINK("http://141.218.60.56/~jnz1568/getInfo.php?workbook=14_09.xlsx&amp;sheet=U0&amp;row=4620&amp;col=7&amp;number=0.0126&amp;sourceID=14","0.0126")</f>
        <v>0.0126</v>
      </c>
    </row>
    <row r="4621" spans="1:7">
      <c r="A4621" s="3"/>
      <c r="B4621" s="3"/>
      <c r="C4621" s="3"/>
      <c r="D4621" s="3"/>
      <c r="E4621" s="3">
        <v>18</v>
      </c>
      <c r="F4621" s="4" t="str">
        <f>HYPERLINK("http://141.218.60.56/~jnz1568/getInfo.php?workbook=14_09.xlsx&amp;sheet=U0&amp;row=4621&amp;col=6&amp;number=4.7&amp;sourceID=14","4.7")</f>
        <v>4.7</v>
      </c>
      <c r="G4621" s="4" t="str">
        <f>HYPERLINK("http://141.218.60.56/~jnz1568/getInfo.php?workbook=14_09.xlsx&amp;sheet=U0&amp;row=4621&amp;col=7&amp;number=0.0118&amp;sourceID=14","0.0118")</f>
        <v>0.0118</v>
      </c>
    </row>
    <row r="4622" spans="1:7">
      <c r="A4622" s="3"/>
      <c r="B4622" s="3"/>
      <c r="C4622" s="3"/>
      <c r="D4622" s="3"/>
      <c r="E4622" s="3">
        <v>19</v>
      </c>
      <c r="F4622" s="4" t="str">
        <f>HYPERLINK("http://141.218.60.56/~jnz1568/getInfo.php?workbook=14_09.xlsx&amp;sheet=U0&amp;row=4622&amp;col=6&amp;number=4.8&amp;sourceID=14","4.8")</f>
        <v>4.8</v>
      </c>
      <c r="G4622" s="4" t="str">
        <f>HYPERLINK("http://141.218.60.56/~jnz1568/getInfo.php?workbook=14_09.xlsx&amp;sheet=U0&amp;row=4622&amp;col=7&amp;number=0.0111&amp;sourceID=14","0.0111")</f>
        <v>0.0111</v>
      </c>
    </row>
    <row r="4623" spans="1:7">
      <c r="A4623" s="3"/>
      <c r="B4623" s="3"/>
      <c r="C4623" s="3"/>
      <c r="D4623" s="3"/>
      <c r="E4623" s="3">
        <v>20</v>
      </c>
      <c r="F4623" s="4" t="str">
        <f>HYPERLINK("http://141.218.60.56/~jnz1568/getInfo.php?workbook=14_09.xlsx&amp;sheet=U0&amp;row=4623&amp;col=6&amp;number=4.9&amp;sourceID=14","4.9")</f>
        <v>4.9</v>
      </c>
      <c r="G4623" s="4" t="str">
        <f>HYPERLINK("http://141.218.60.56/~jnz1568/getInfo.php?workbook=14_09.xlsx&amp;sheet=U0&amp;row=4623&amp;col=7&amp;number=0.0105&amp;sourceID=14","0.0105")</f>
        <v>0.0105</v>
      </c>
    </row>
    <row r="4624" spans="1:7">
      <c r="A4624" s="3">
        <v>14</v>
      </c>
      <c r="B4624" s="3">
        <v>9</v>
      </c>
      <c r="C4624" s="3">
        <v>2</v>
      </c>
      <c r="D4624" s="3">
        <v>40</v>
      </c>
      <c r="E4624" s="3">
        <v>1</v>
      </c>
      <c r="F4624" s="4" t="str">
        <f>HYPERLINK("http://141.218.60.56/~jnz1568/getInfo.php?workbook=14_09.xlsx&amp;sheet=U0&amp;row=4624&amp;col=6&amp;number=3&amp;sourceID=14","3")</f>
        <v>3</v>
      </c>
      <c r="G4624" s="4" t="str">
        <f>HYPERLINK("http://141.218.60.56/~jnz1568/getInfo.php?workbook=14_09.xlsx&amp;sheet=U0&amp;row=4624&amp;col=7&amp;number=0.0339&amp;sourceID=14","0.0339")</f>
        <v>0.0339</v>
      </c>
    </row>
    <row r="4625" spans="1:7">
      <c r="A4625" s="3"/>
      <c r="B4625" s="3"/>
      <c r="C4625" s="3"/>
      <c r="D4625" s="3"/>
      <c r="E4625" s="3">
        <v>2</v>
      </c>
      <c r="F4625" s="4" t="str">
        <f>HYPERLINK("http://141.218.60.56/~jnz1568/getInfo.php?workbook=14_09.xlsx&amp;sheet=U0&amp;row=4625&amp;col=6&amp;number=3.1&amp;sourceID=14","3.1")</f>
        <v>3.1</v>
      </c>
      <c r="G4625" s="4" t="str">
        <f>HYPERLINK("http://141.218.60.56/~jnz1568/getInfo.php?workbook=14_09.xlsx&amp;sheet=U0&amp;row=4625&amp;col=7&amp;number=0.0338&amp;sourceID=14","0.0338")</f>
        <v>0.0338</v>
      </c>
    </row>
    <row r="4626" spans="1:7">
      <c r="A4626" s="3"/>
      <c r="B4626" s="3"/>
      <c r="C4626" s="3"/>
      <c r="D4626" s="3"/>
      <c r="E4626" s="3">
        <v>3</v>
      </c>
      <c r="F4626" s="4" t="str">
        <f>HYPERLINK("http://141.218.60.56/~jnz1568/getInfo.php?workbook=14_09.xlsx&amp;sheet=U0&amp;row=4626&amp;col=6&amp;number=3.2&amp;sourceID=14","3.2")</f>
        <v>3.2</v>
      </c>
      <c r="G4626" s="4" t="str">
        <f>HYPERLINK("http://141.218.60.56/~jnz1568/getInfo.php?workbook=14_09.xlsx&amp;sheet=U0&amp;row=4626&amp;col=7&amp;number=0.0337&amp;sourceID=14","0.0337")</f>
        <v>0.0337</v>
      </c>
    </row>
    <row r="4627" spans="1:7">
      <c r="A4627" s="3"/>
      <c r="B4627" s="3"/>
      <c r="C4627" s="3"/>
      <c r="D4627" s="3"/>
      <c r="E4627" s="3">
        <v>4</v>
      </c>
      <c r="F4627" s="4" t="str">
        <f>HYPERLINK("http://141.218.60.56/~jnz1568/getInfo.php?workbook=14_09.xlsx&amp;sheet=U0&amp;row=4627&amp;col=6&amp;number=3.3&amp;sourceID=14","3.3")</f>
        <v>3.3</v>
      </c>
      <c r="G4627" s="4" t="str">
        <f>HYPERLINK("http://141.218.60.56/~jnz1568/getInfo.php?workbook=14_09.xlsx&amp;sheet=U0&amp;row=4627&amp;col=7&amp;number=0.0336&amp;sourceID=14","0.0336")</f>
        <v>0.0336</v>
      </c>
    </row>
    <row r="4628" spans="1:7">
      <c r="A4628" s="3"/>
      <c r="B4628" s="3"/>
      <c r="C4628" s="3"/>
      <c r="D4628" s="3"/>
      <c r="E4628" s="3">
        <v>5</v>
      </c>
      <c r="F4628" s="4" t="str">
        <f>HYPERLINK("http://141.218.60.56/~jnz1568/getInfo.php?workbook=14_09.xlsx&amp;sheet=U0&amp;row=4628&amp;col=6&amp;number=3.4&amp;sourceID=14","3.4")</f>
        <v>3.4</v>
      </c>
      <c r="G4628" s="4" t="str">
        <f>HYPERLINK("http://141.218.60.56/~jnz1568/getInfo.php?workbook=14_09.xlsx&amp;sheet=U0&amp;row=4628&amp;col=7&amp;number=0.0335&amp;sourceID=14","0.0335")</f>
        <v>0.0335</v>
      </c>
    </row>
    <row r="4629" spans="1:7">
      <c r="A4629" s="3"/>
      <c r="B4629" s="3"/>
      <c r="C4629" s="3"/>
      <c r="D4629" s="3"/>
      <c r="E4629" s="3">
        <v>6</v>
      </c>
      <c r="F4629" s="4" t="str">
        <f>HYPERLINK("http://141.218.60.56/~jnz1568/getInfo.php?workbook=14_09.xlsx&amp;sheet=U0&amp;row=4629&amp;col=6&amp;number=3.5&amp;sourceID=14","3.5")</f>
        <v>3.5</v>
      </c>
      <c r="G4629" s="4" t="str">
        <f>HYPERLINK("http://141.218.60.56/~jnz1568/getInfo.php?workbook=14_09.xlsx&amp;sheet=U0&amp;row=4629&amp;col=7&amp;number=0.0333&amp;sourceID=14","0.0333")</f>
        <v>0.0333</v>
      </c>
    </row>
    <row r="4630" spans="1:7">
      <c r="A4630" s="3"/>
      <c r="B4630" s="3"/>
      <c r="C4630" s="3"/>
      <c r="D4630" s="3"/>
      <c r="E4630" s="3">
        <v>7</v>
      </c>
      <c r="F4630" s="4" t="str">
        <f>HYPERLINK("http://141.218.60.56/~jnz1568/getInfo.php?workbook=14_09.xlsx&amp;sheet=U0&amp;row=4630&amp;col=6&amp;number=3.6&amp;sourceID=14","3.6")</f>
        <v>3.6</v>
      </c>
      <c r="G4630" s="4" t="str">
        <f>HYPERLINK("http://141.218.60.56/~jnz1568/getInfo.php?workbook=14_09.xlsx&amp;sheet=U0&amp;row=4630&amp;col=7&amp;number=0.0331&amp;sourceID=14","0.0331")</f>
        <v>0.0331</v>
      </c>
    </row>
    <row r="4631" spans="1:7">
      <c r="A4631" s="3"/>
      <c r="B4631" s="3"/>
      <c r="C4631" s="3"/>
      <c r="D4631" s="3"/>
      <c r="E4631" s="3">
        <v>8</v>
      </c>
      <c r="F4631" s="4" t="str">
        <f>HYPERLINK("http://141.218.60.56/~jnz1568/getInfo.php?workbook=14_09.xlsx&amp;sheet=U0&amp;row=4631&amp;col=6&amp;number=3.7&amp;sourceID=14","3.7")</f>
        <v>3.7</v>
      </c>
      <c r="G4631" s="4" t="str">
        <f>HYPERLINK("http://141.218.60.56/~jnz1568/getInfo.php?workbook=14_09.xlsx&amp;sheet=U0&amp;row=4631&amp;col=7&amp;number=0.0329&amp;sourceID=14","0.0329")</f>
        <v>0.0329</v>
      </c>
    </row>
    <row r="4632" spans="1:7">
      <c r="A4632" s="3"/>
      <c r="B4632" s="3"/>
      <c r="C4632" s="3"/>
      <c r="D4632" s="3"/>
      <c r="E4632" s="3">
        <v>9</v>
      </c>
      <c r="F4632" s="4" t="str">
        <f>HYPERLINK("http://141.218.60.56/~jnz1568/getInfo.php?workbook=14_09.xlsx&amp;sheet=U0&amp;row=4632&amp;col=6&amp;number=3.8&amp;sourceID=14","3.8")</f>
        <v>3.8</v>
      </c>
      <c r="G4632" s="4" t="str">
        <f>HYPERLINK("http://141.218.60.56/~jnz1568/getInfo.php?workbook=14_09.xlsx&amp;sheet=U0&amp;row=4632&amp;col=7&amp;number=0.0326&amp;sourceID=14","0.0326")</f>
        <v>0.0326</v>
      </c>
    </row>
    <row r="4633" spans="1:7">
      <c r="A4633" s="3"/>
      <c r="B4633" s="3"/>
      <c r="C4633" s="3"/>
      <c r="D4633" s="3"/>
      <c r="E4633" s="3">
        <v>10</v>
      </c>
      <c r="F4633" s="4" t="str">
        <f>HYPERLINK("http://141.218.60.56/~jnz1568/getInfo.php?workbook=14_09.xlsx&amp;sheet=U0&amp;row=4633&amp;col=6&amp;number=3.9&amp;sourceID=14","3.9")</f>
        <v>3.9</v>
      </c>
      <c r="G4633" s="4" t="str">
        <f>HYPERLINK("http://141.218.60.56/~jnz1568/getInfo.php?workbook=14_09.xlsx&amp;sheet=U0&amp;row=4633&amp;col=7&amp;number=0.0322&amp;sourceID=14","0.0322")</f>
        <v>0.0322</v>
      </c>
    </row>
    <row r="4634" spans="1:7">
      <c r="A4634" s="3"/>
      <c r="B4634" s="3"/>
      <c r="C4634" s="3"/>
      <c r="D4634" s="3"/>
      <c r="E4634" s="3">
        <v>11</v>
      </c>
      <c r="F4634" s="4" t="str">
        <f>HYPERLINK("http://141.218.60.56/~jnz1568/getInfo.php?workbook=14_09.xlsx&amp;sheet=U0&amp;row=4634&amp;col=6&amp;number=4&amp;sourceID=14","4")</f>
        <v>4</v>
      </c>
      <c r="G4634" s="4" t="str">
        <f>HYPERLINK("http://141.218.60.56/~jnz1568/getInfo.php?workbook=14_09.xlsx&amp;sheet=U0&amp;row=4634&amp;col=7&amp;number=0.0317&amp;sourceID=14","0.0317")</f>
        <v>0.0317</v>
      </c>
    </row>
    <row r="4635" spans="1:7">
      <c r="A4635" s="3"/>
      <c r="B4635" s="3"/>
      <c r="C4635" s="3"/>
      <c r="D4635" s="3"/>
      <c r="E4635" s="3">
        <v>12</v>
      </c>
      <c r="F4635" s="4" t="str">
        <f>HYPERLINK("http://141.218.60.56/~jnz1568/getInfo.php?workbook=14_09.xlsx&amp;sheet=U0&amp;row=4635&amp;col=6&amp;number=4.1&amp;sourceID=14","4.1")</f>
        <v>4.1</v>
      </c>
      <c r="G4635" s="4" t="str">
        <f>HYPERLINK("http://141.218.60.56/~jnz1568/getInfo.php?workbook=14_09.xlsx&amp;sheet=U0&amp;row=4635&amp;col=7&amp;number=0.0311&amp;sourceID=14","0.0311")</f>
        <v>0.0311</v>
      </c>
    </row>
    <row r="4636" spans="1:7">
      <c r="A4636" s="3"/>
      <c r="B4636" s="3"/>
      <c r="C4636" s="3"/>
      <c r="D4636" s="3"/>
      <c r="E4636" s="3">
        <v>13</v>
      </c>
      <c r="F4636" s="4" t="str">
        <f>HYPERLINK("http://141.218.60.56/~jnz1568/getInfo.php?workbook=14_09.xlsx&amp;sheet=U0&amp;row=4636&amp;col=6&amp;number=4.2&amp;sourceID=14","4.2")</f>
        <v>4.2</v>
      </c>
      <c r="G4636" s="4" t="str">
        <f>HYPERLINK("http://141.218.60.56/~jnz1568/getInfo.php?workbook=14_09.xlsx&amp;sheet=U0&amp;row=4636&amp;col=7&amp;number=0.0303&amp;sourceID=14","0.0303")</f>
        <v>0.0303</v>
      </c>
    </row>
    <row r="4637" spans="1:7">
      <c r="A4637" s="3"/>
      <c r="B4637" s="3"/>
      <c r="C4637" s="3"/>
      <c r="D4637" s="3"/>
      <c r="E4637" s="3">
        <v>14</v>
      </c>
      <c r="F4637" s="4" t="str">
        <f>HYPERLINK("http://141.218.60.56/~jnz1568/getInfo.php?workbook=14_09.xlsx&amp;sheet=U0&amp;row=4637&amp;col=6&amp;number=4.3&amp;sourceID=14","4.3")</f>
        <v>4.3</v>
      </c>
      <c r="G4637" s="4" t="str">
        <f>HYPERLINK("http://141.218.60.56/~jnz1568/getInfo.php?workbook=14_09.xlsx&amp;sheet=U0&amp;row=4637&amp;col=7&amp;number=0.0294&amp;sourceID=14","0.0294")</f>
        <v>0.0294</v>
      </c>
    </row>
    <row r="4638" spans="1:7">
      <c r="A4638" s="3"/>
      <c r="B4638" s="3"/>
      <c r="C4638" s="3"/>
      <c r="D4638" s="3"/>
      <c r="E4638" s="3">
        <v>15</v>
      </c>
      <c r="F4638" s="4" t="str">
        <f>HYPERLINK("http://141.218.60.56/~jnz1568/getInfo.php?workbook=14_09.xlsx&amp;sheet=U0&amp;row=4638&amp;col=6&amp;number=4.4&amp;sourceID=14","4.4")</f>
        <v>4.4</v>
      </c>
      <c r="G4638" s="4" t="str">
        <f>HYPERLINK("http://141.218.60.56/~jnz1568/getInfo.php?workbook=14_09.xlsx&amp;sheet=U0&amp;row=4638&amp;col=7&amp;number=0.0284&amp;sourceID=14","0.0284")</f>
        <v>0.0284</v>
      </c>
    </row>
    <row r="4639" spans="1:7">
      <c r="A4639" s="3"/>
      <c r="B4639" s="3"/>
      <c r="C4639" s="3"/>
      <c r="D4639" s="3"/>
      <c r="E4639" s="3">
        <v>16</v>
      </c>
      <c r="F4639" s="4" t="str">
        <f>HYPERLINK("http://141.218.60.56/~jnz1568/getInfo.php?workbook=14_09.xlsx&amp;sheet=U0&amp;row=4639&amp;col=6&amp;number=4.5&amp;sourceID=14","4.5")</f>
        <v>4.5</v>
      </c>
      <c r="G4639" s="4" t="str">
        <f>HYPERLINK("http://141.218.60.56/~jnz1568/getInfo.php?workbook=14_09.xlsx&amp;sheet=U0&amp;row=4639&amp;col=7&amp;number=0.0271&amp;sourceID=14","0.0271")</f>
        <v>0.0271</v>
      </c>
    </row>
    <row r="4640" spans="1:7">
      <c r="A4640" s="3"/>
      <c r="B4640" s="3"/>
      <c r="C4640" s="3"/>
      <c r="D4640" s="3"/>
      <c r="E4640" s="3">
        <v>17</v>
      </c>
      <c r="F4640" s="4" t="str">
        <f>HYPERLINK("http://141.218.60.56/~jnz1568/getInfo.php?workbook=14_09.xlsx&amp;sheet=U0&amp;row=4640&amp;col=6&amp;number=4.6&amp;sourceID=14","4.6")</f>
        <v>4.6</v>
      </c>
      <c r="G4640" s="4" t="str">
        <f>HYPERLINK("http://141.218.60.56/~jnz1568/getInfo.php?workbook=14_09.xlsx&amp;sheet=U0&amp;row=4640&amp;col=7&amp;number=0.0258&amp;sourceID=14","0.0258")</f>
        <v>0.0258</v>
      </c>
    </row>
    <row r="4641" spans="1:7">
      <c r="A4641" s="3"/>
      <c r="B4641" s="3"/>
      <c r="C4641" s="3"/>
      <c r="D4641" s="3"/>
      <c r="E4641" s="3">
        <v>18</v>
      </c>
      <c r="F4641" s="4" t="str">
        <f>HYPERLINK("http://141.218.60.56/~jnz1568/getInfo.php?workbook=14_09.xlsx&amp;sheet=U0&amp;row=4641&amp;col=6&amp;number=4.7&amp;sourceID=14","4.7")</f>
        <v>4.7</v>
      </c>
      <c r="G4641" s="4" t="str">
        <f>HYPERLINK("http://141.218.60.56/~jnz1568/getInfo.php?workbook=14_09.xlsx&amp;sheet=U0&amp;row=4641&amp;col=7&amp;number=0.0244&amp;sourceID=14","0.0244")</f>
        <v>0.0244</v>
      </c>
    </row>
    <row r="4642" spans="1:7">
      <c r="A4642" s="3"/>
      <c r="B4642" s="3"/>
      <c r="C4642" s="3"/>
      <c r="D4642" s="3"/>
      <c r="E4642" s="3">
        <v>19</v>
      </c>
      <c r="F4642" s="4" t="str">
        <f>HYPERLINK("http://141.218.60.56/~jnz1568/getInfo.php?workbook=14_09.xlsx&amp;sheet=U0&amp;row=4642&amp;col=6&amp;number=4.8&amp;sourceID=14","4.8")</f>
        <v>4.8</v>
      </c>
      <c r="G4642" s="4" t="str">
        <f>HYPERLINK("http://141.218.60.56/~jnz1568/getInfo.php?workbook=14_09.xlsx&amp;sheet=U0&amp;row=4642&amp;col=7&amp;number=0.0231&amp;sourceID=14","0.0231")</f>
        <v>0.0231</v>
      </c>
    </row>
    <row r="4643" spans="1:7">
      <c r="A4643" s="3"/>
      <c r="B4643" s="3"/>
      <c r="C4643" s="3"/>
      <c r="D4643" s="3"/>
      <c r="E4643" s="3">
        <v>20</v>
      </c>
      <c r="F4643" s="4" t="str">
        <f>HYPERLINK("http://141.218.60.56/~jnz1568/getInfo.php?workbook=14_09.xlsx&amp;sheet=U0&amp;row=4643&amp;col=6&amp;number=4.9&amp;sourceID=14","4.9")</f>
        <v>4.9</v>
      </c>
      <c r="G4643" s="4" t="str">
        <f>HYPERLINK("http://141.218.60.56/~jnz1568/getInfo.php?workbook=14_09.xlsx&amp;sheet=U0&amp;row=4643&amp;col=7&amp;number=0.022&amp;sourceID=14","0.022")</f>
        <v>0.022</v>
      </c>
    </row>
    <row r="4644" spans="1:7">
      <c r="A4644" s="3">
        <v>14</v>
      </c>
      <c r="B4644" s="3">
        <v>9</v>
      </c>
      <c r="C4644" s="3">
        <v>2</v>
      </c>
      <c r="D4644" s="3">
        <v>41</v>
      </c>
      <c r="E4644" s="3">
        <v>1</v>
      </c>
      <c r="F4644" s="4" t="str">
        <f>HYPERLINK("http://141.218.60.56/~jnz1568/getInfo.php?workbook=14_09.xlsx&amp;sheet=U0&amp;row=4644&amp;col=6&amp;number=3&amp;sourceID=14","3")</f>
        <v>3</v>
      </c>
      <c r="G4644" s="4" t="str">
        <f>HYPERLINK("http://141.218.60.56/~jnz1568/getInfo.php?workbook=14_09.xlsx&amp;sheet=U0&amp;row=4644&amp;col=7&amp;number=0.0576&amp;sourceID=14","0.0576")</f>
        <v>0.0576</v>
      </c>
    </row>
    <row r="4645" spans="1:7">
      <c r="A4645" s="3"/>
      <c r="B4645" s="3"/>
      <c r="C4645" s="3"/>
      <c r="D4645" s="3"/>
      <c r="E4645" s="3">
        <v>2</v>
      </c>
      <c r="F4645" s="4" t="str">
        <f>HYPERLINK("http://141.218.60.56/~jnz1568/getInfo.php?workbook=14_09.xlsx&amp;sheet=U0&amp;row=4645&amp;col=6&amp;number=3.1&amp;sourceID=14","3.1")</f>
        <v>3.1</v>
      </c>
      <c r="G4645" s="4" t="str">
        <f>HYPERLINK("http://141.218.60.56/~jnz1568/getInfo.php?workbook=14_09.xlsx&amp;sheet=U0&amp;row=4645&amp;col=7&amp;number=0.0575&amp;sourceID=14","0.0575")</f>
        <v>0.0575</v>
      </c>
    </row>
    <row r="4646" spans="1:7">
      <c r="A4646" s="3"/>
      <c r="B4646" s="3"/>
      <c r="C4646" s="3"/>
      <c r="D4646" s="3"/>
      <c r="E4646" s="3">
        <v>3</v>
      </c>
      <c r="F4646" s="4" t="str">
        <f>HYPERLINK("http://141.218.60.56/~jnz1568/getInfo.php?workbook=14_09.xlsx&amp;sheet=U0&amp;row=4646&amp;col=6&amp;number=3.2&amp;sourceID=14","3.2")</f>
        <v>3.2</v>
      </c>
      <c r="G4646" s="4" t="str">
        <f>HYPERLINK("http://141.218.60.56/~jnz1568/getInfo.php?workbook=14_09.xlsx&amp;sheet=U0&amp;row=4646&amp;col=7&amp;number=0.0574&amp;sourceID=14","0.0574")</f>
        <v>0.0574</v>
      </c>
    </row>
    <row r="4647" spans="1:7">
      <c r="A4647" s="3"/>
      <c r="B4647" s="3"/>
      <c r="C4647" s="3"/>
      <c r="D4647" s="3"/>
      <c r="E4647" s="3">
        <v>4</v>
      </c>
      <c r="F4647" s="4" t="str">
        <f>HYPERLINK("http://141.218.60.56/~jnz1568/getInfo.php?workbook=14_09.xlsx&amp;sheet=U0&amp;row=4647&amp;col=6&amp;number=3.3&amp;sourceID=14","3.3")</f>
        <v>3.3</v>
      </c>
      <c r="G4647" s="4" t="str">
        <f>HYPERLINK("http://141.218.60.56/~jnz1568/getInfo.php?workbook=14_09.xlsx&amp;sheet=U0&amp;row=4647&amp;col=7&amp;number=0.0572&amp;sourceID=14","0.0572")</f>
        <v>0.0572</v>
      </c>
    </row>
    <row r="4648" spans="1:7">
      <c r="A4648" s="3"/>
      <c r="B4648" s="3"/>
      <c r="C4648" s="3"/>
      <c r="D4648" s="3"/>
      <c r="E4648" s="3">
        <v>5</v>
      </c>
      <c r="F4648" s="4" t="str">
        <f>HYPERLINK("http://141.218.60.56/~jnz1568/getInfo.php?workbook=14_09.xlsx&amp;sheet=U0&amp;row=4648&amp;col=6&amp;number=3.4&amp;sourceID=14","3.4")</f>
        <v>3.4</v>
      </c>
      <c r="G4648" s="4" t="str">
        <f>HYPERLINK("http://141.218.60.56/~jnz1568/getInfo.php?workbook=14_09.xlsx&amp;sheet=U0&amp;row=4648&amp;col=7&amp;number=0.057&amp;sourceID=14","0.057")</f>
        <v>0.057</v>
      </c>
    </row>
    <row r="4649" spans="1:7">
      <c r="A4649" s="3"/>
      <c r="B4649" s="3"/>
      <c r="C4649" s="3"/>
      <c r="D4649" s="3"/>
      <c r="E4649" s="3">
        <v>6</v>
      </c>
      <c r="F4649" s="4" t="str">
        <f>HYPERLINK("http://141.218.60.56/~jnz1568/getInfo.php?workbook=14_09.xlsx&amp;sheet=U0&amp;row=4649&amp;col=6&amp;number=3.5&amp;sourceID=14","3.5")</f>
        <v>3.5</v>
      </c>
      <c r="G4649" s="4" t="str">
        <f>HYPERLINK("http://141.218.60.56/~jnz1568/getInfo.php?workbook=14_09.xlsx&amp;sheet=U0&amp;row=4649&amp;col=7&amp;number=0.0567&amp;sourceID=14","0.0567")</f>
        <v>0.0567</v>
      </c>
    </row>
    <row r="4650" spans="1:7">
      <c r="A4650" s="3"/>
      <c r="B4650" s="3"/>
      <c r="C4650" s="3"/>
      <c r="D4650" s="3"/>
      <c r="E4650" s="3">
        <v>7</v>
      </c>
      <c r="F4650" s="4" t="str">
        <f>HYPERLINK("http://141.218.60.56/~jnz1568/getInfo.php?workbook=14_09.xlsx&amp;sheet=U0&amp;row=4650&amp;col=6&amp;number=3.6&amp;sourceID=14","3.6")</f>
        <v>3.6</v>
      </c>
      <c r="G4650" s="4" t="str">
        <f>HYPERLINK("http://141.218.60.56/~jnz1568/getInfo.php?workbook=14_09.xlsx&amp;sheet=U0&amp;row=4650&amp;col=7&amp;number=0.0564&amp;sourceID=14","0.0564")</f>
        <v>0.0564</v>
      </c>
    </row>
    <row r="4651" spans="1:7">
      <c r="A4651" s="3"/>
      <c r="B4651" s="3"/>
      <c r="C4651" s="3"/>
      <c r="D4651" s="3"/>
      <c r="E4651" s="3">
        <v>8</v>
      </c>
      <c r="F4651" s="4" t="str">
        <f>HYPERLINK("http://141.218.60.56/~jnz1568/getInfo.php?workbook=14_09.xlsx&amp;sheet=U0&amp;row=4651&amp;col=6&amp;number=3.7&amp;sourceID=14","3.7")</f>
        <v>3.7</v>
      </c>
      <c r="G4651" s="4" t="str">
        <f>HYPERLINK("http://141.218.60.56/~jnz1568/getInfo.php?workbook=14_09.xlsx&amp;sheet=U0&amp;row=4651&amp;col=7&amp;number=0.056&amp;sourceID=14","0.056")</f>
        <v>0.056</v>
      </c>
    </row>
    <row r="4652" spans="1:7">
      <c r="A4652" s="3"/>
      <c r="B4652" s="3"/>
      <c r="C4652" s="3"/>
      <c r="D4652" s="3"/>
      <c r="E4652" s="3">
        <v>9</v>
      </c>
      <c r="F4652" s="4" t="str">
        <f>HYPERLINK("http://141.218.60.56/~jnz1568/getInfo.php?workbook=14_09.xlsx&amp;sheet=U0&amp;row=4652&amp;col=6&amp;number=3.8&amp;sourceID=14","3.8")</f>
        <v>3.8</v>
      </c>
      <c r="G4652" s="4" t="str">
        <f>HYPERLINK("http://141.218.60.56/~jnz1568/getInfo.php?workbook=14_09.xlsx&amp;sheet=U0&amp;row=4652&amp;col=7&amp;number=0.0554&amp;sourceID=14","0.0554")</f>
        <v>0.0554</v>
      </c>
    </row>
    <row r="4653" spans="1:7">
      <c r="A4653" s="3"/>
      <c r="B4653" s="3"/>
      <c r="C4653" s="3"/>
      <c r="D4653" s="3"/>
      <c r="E4653" s="3">
        <v>10</v>
      </c>
      <c r="F4653" s="4" t="str">
        <f>HYPERLINK("http://141.218.60.56/~jnz1568/getInfo.php?workbook=14_09.xlsx&amp;sheet=U0&amp;row=4653&amp;col=6&amp;number=3.9&amp;sourceID=14","3.9")</f>
        <v>3.9</v>
      </c>
      <c r="G4653" s="4" t="str">
        <f>HYPERLINK("http://141.218.60.56/~jnz1568/getInfo.php?workbook=14_09.xlsx&amp;sheet=U0&amp;row=4653&amp;col=7&amp;number=0.0548&amp;sourceID=14","0.0548")</f>
        <v>0.0548</v>
      </c>
    </row>
    <row r="4654" spans="1:7">
      <c r="A4654" s="3"/>
      <c r="B4654" s="3"/>
      <c r="C4654" s="3"/>
      <c r="D4654" s="3"/>
      <c r="E4654" s="3">
        <v>11</v>
      </c>
      <c r="F4654" s="4" t="str">
        <f>HYPERLINK("http://141.218.60.56/~jnz1568/getInfo.php?workbook=14_09.xlsx&amp;sheet=U0&amp;row=4654&amp;col=6&amp;number=4&amp;sourceID=14","4")</f>
        <v>4</v>
      </c>
      <c r="G4654" s="4" t="str">
        <f>HYPERLINK("http://141.218.60.56/~jnz1568/getInfo.php?workbook=14_09.xlsx&amp;sheet=U0&amp;row=4654&amp;col=7&amp;number=0.0539&amp;sourceID=14","0.0539")</f>
        <v>0.0539</v>
      </c>
    </row>
    <row r="4655" spans="1:7">
      <c r="A4655" s="3"/>
      <c r="B4655" s="3"/>
      <c r="C4655" s="3"/>
      <c r="D4655" s="3"/>
      <c r="E4655" s="3">
        <v>12</v>
      </c>
      <c r="F4655" s="4" t="str">
        <f>HYPERLINK("http://141.218.60.56/~jnz1568/getInfo.php?workbook=14_09.xlsx&amp;sheet=U0&amp;row=4655&amp;col=6&amp;number=4.1&amp;sourceID=14","4.1")</f>
        <v>4.1</v>
      </c>
      <c r="G4655" s="4" t="str">
        <f>HYPERLINK("http://141.218.60.56/~jnz1568/getInfo.php?workbook=14_09.xlsx&amp;sheet=U0&amp;row=4655&amp;col=7&amp;number=0.0529&amp;sourceID=14","0.0529")</f>
        <v>0.0529</v>
      </c>
    </row>
    <row r="4656" spans="1:7">
      <c r="A4656" s="3"/>
      <c r="B4656" s="3"/>
      <c r="C4656" s="3"/>
      <c r="D4656" s="3"/>
      <c r="E4656" s="3">
        <v>13</v>
      </c>
      <c r="F4656" s="4" t="str">
        <f>HYPERLINK("http://141.218.60.56/~jnz1568/getInfo.php?workbook=14_09.xlsx&amp;sheet=U0&amp;row=4656&amp;col=6&amp;number=4.2&amp;sourceID=14","4.2")</f>
        <v>4.2</v>
      </c>
      <c r="G4656" s="4" t="str">
        <f>HYPERLINK("http://141.218.60.56/~jnz1568/getInfo.php?workbook=14_09.xlsx&amp;sheet=U0&amp;row=4656&amp;col=7&amp;number=0.0517&amp;sourceID=14","0.0517")</f>
        <v>0.0517</v>
      </c>
    </row>
    <row r="4657" spans="1:7">
      <c r="A4657" s="3"/>
      <c r="B4657" s="3"/>
      <c r="C4657" s="3"/>
      <c r="D4657" s="3"/>
      <c r="E4657" s="3">
        <v>14</v>
      </c>
      <c r="F4657" s="4" t="str">
        <f>HYPERLINK("http://141.218.60.56/~jnz1568/getInfo.php?workbook=14_09.xlsx&amp;sheet=U0&amp;row=4657&amp;col=6&amp;number=4.3&amp;sourceID=14","4.3")</f>
        <v>4.3</v>
      </c>
      <c r="G4657" s="4" t="str">
        <f>HYPERLINK("http://141.218.60.56/~jnz1568/getInfo.php?workbook=14_09.xlsx&amp;sheet=U0&amp;row=4657&amp;col=7&amp;number=0.0501&amp;sourceID=14","0.0501")</f>
        <v>0.0501</v>
      </c>
    </row>
    <row r="4658" spans="1:7">
      <c r="A4658" s="3"/>
      <c r="B4658" s="3"/>
      <c r="C4658" s="3"/>
      <c r="D4658" s="3"/>
      <c r="E4658" s="3">
        <v>15</v>
      </c>
      <c r="F4658" s="4" t="str">
        <f>HYPERLINK("http://141.218.60.56/~jnz1568/getInfo.php?workbook=14_09.xlsx&amp;sheet=U0&amp;row=4658&amp;col=6&amp;number=4.4&amp;sourceID=14","4.4")</f>
        <v>4.4</v>
      </c>
      <c r="G4658" s="4" t="str">
        <f>HYPERLINK("http://141.218.60.56/~jnz1568/getInfo.php?workbook=14_09.xlsx&amp;sheet=U0&amp;row=4658&amp;col=7&amp;number=0.0482&amp;sourceID=14","0.0482")</f>
        <v>0.0482</v>
      </c>
    </row>
    <row r="4659" spans="1:7">
      <c r="A4659" s="3"/>
      <c r="B4659" s="3"/>
      <c r="C4659" s="3"/>
      <c r="D4659" s="3"/>
      <c r="E4659" s="3">
        <v>16</v>
      </c>
      <c r="F4659" s="4" t="str">
        <f>HYPERLINK("http://141.218.60.56/~jnz1568/getInfo.php?workbook=14_09.xlsx&amp;sheet=U0&amp;row=4659&amp;col=6&amp;number=4.5&amp;sourceID=14","4.5")</f>
        <v>4.5</v>
      </c>
      <c r="G4659" s="4" t="str">
        <f>HYPERLINK("http://141.218.60.56/~jnz1568/getInfo.php?workbook=14_09.xlsx&amp;sheet=U0&amp;row=4659&amp;col=7&amp;number=0.046&amp;sourceID=14","0.046")</f>
        <v>0.046</v>
      </c>
    </row>
    <row r="4660" spans="1:7">
      <c r="A4660" s="3"/>
      <c r="B4660" s="3"/>
      <c r="C4660" s="3"/>
      <c r="D4660" s="3"/>
      <c r="E4660" s="3">
        <v>17</v>
      </c>
      <c r="F4660" s="4" t="str">
        <f>HYPERLINK("http://141.218.60.56/~jnz1568/getInfo.php?workbook=14_09.xlsx&amp;sheet=U0&amp;row=4660&amp;col=6&amp;number=4.6&amp;sourceID=14","4.6")</f>
        <v>4.6</v>
      </c>
      <c r="G4660" s="4" t="str">
        <f>HYPERLINK("http://141.218.60.56/~jnz1568/getInfo.php?workbook=14_09.xlsx&amp;sheet=U0&amp;row=4660&amp;col=7&amp;number=0.0434&amp;sourceID=14","0.0434")</f>
        <v>0.0434</v>
      </c>
    </row>
    <row r="4661" spans="1:7">
      <c r="A4661" s="3"/>
      <c r="B4661" s="3"/>
      <c r="C4661" s="3"/>
      <c r="D4661" s="3"/>
      <c r="E4661" s="3">
        <v>18</v>
      </c>
      <c r="F4661" s="4" t="str">
        <f>HYPERLINK("http://141.218.60.56/~jnz1568/getInfo.php?workbook=14_09.xlsx&amp;sheet=U0&amp;row=4661&amp;col=6&amp;number=4.7&amp;sourceID=14","4.7")</f>
        <v>4.7</v>
      </c>
      <c r="G4661" s="4" t="str">
        <f>HYPERLINK("http://141.218.60.56/~jnz1568/getInfo.php?workbook=14_09.xlsx&amp;sheet=U0&amp;row=4661&amp;col=7&amp;number=0.0404&amp;sourceID=14","0.0404")</f>
        <v>0.0404</v>
      </c>
    </row>
    <row r="4662" spans="1:7">
      <c r="A4662" s="3"/>
      <c r="B4662" s="3"/>
      <c r="C4662" s="3"/>
      <c r="D4662" s="3"/>
      <c r="E4662" s="3">
        <v>19</v>
      </c>
      <c r="F4662" s="4" t="str">
        <f>HYPERLINK("http://141.218.60.56/~jnz1568/getInfo.php?workbook=14_09.xlsx&amp;sheet=U0&amp;row=4662&amp;col=6&amp;number=4.8&amp;sourceID=14","4.8")</f>
        <v>4.8</v>
      </c>
      <c r="G4662" s="4" t="str">
        <f>HYPERLINK("http://141.218.60.56/~jnz1568/getInfo.php?workbook=14_09.xlsx&amp;sheet=U0&amp;row=4662&amp;col=7&amp;number=0.0372&amp;sourceID=14","0.0372")</f>
        <v>0.0372</v>
      </c>
    </row>
    <row r="4663" spans="1:7">
      <c r="A4663" s="3"/>
      <c r="B4663" s="3"/>
      <c r="C4663" s="3"/>
      <c r="D4663" s="3"/>
      <c r="E4663" s="3">
        <v>20</v>
      </c>
      <c r="F4663" s="4" t="str">
        <f>HYPERLINK("http://141.218.60.56/~jnz1568/getInfo.php?workbook=14_09.xlsx&amp;sheet=U0&amp;row=4663&amp;col=6&amp;number=4.9&amp;sourceID=14","4.9")</f>
        <v>4.9</v>
      </c>
      <c r="G4663" s="4" t="str">
        <f>HYPERLINK("http://141.218.60.56/~jnz1568/getInfo.php?workbook=14_09.xlsx&amp;sheet=U0&amp;row=4663&amp;col=7&amp;number=0.034&amp;sourceID=14","0.034")</f>
        <v>0.034</v>
      </c>
    </row>
    <row r="4664" spans="1:7">
      <c r="A4664" s="3">
        <v>14</v>
      </c>
      <c r="B4664" s="3">
        <v>9</v>
      </c>
      <c r="C4664" s="3">
        <v>2</v>
      </c>
      <c r="D4664" s="3">
        <v>42</v>
      </c>
      <c r="E4664" s="3">
        <v>1</v>
      </c>
      <c r="F4664" s="4" t="str">
        <f>HYPERLINK("http://141.218.60.56/~jnz1568/getInfo.php?workbook=14_09.xlsx&amp;sheet=U0&amp;row=4664&amp;col=6&amp;number=3&amp;sourceID=14","3")</f>
        <v>3</v>
      </c>
      <c r="G4664" s="4" t="str">
        <f>HYPERLINK("http://141.218.60.56/~jnz1568/getInfo.php?workbook=14_09.xlsx&amp;sheet=U0&amp;row=4664&amp;col=7&amp;number=0.0447&amp;sourceID=14","0.0447")</f>
        <v>0.0447</v>
      </c>
    </row>
    <row r="4665" spans="1:7">
      <c r="A4665" s="3"/>
      <c r="B4665" s="3"/>
      <c r="C4665" s="3"/>
      <c r="D4665" s="3"/>
      <c r="E4665" s="3">
        <v>2</v>
      </c>
      <c r="F4665" s="4" t="str">
        <f>HYPERLINK("http://141.218.60.56/~jnz1568/getInfo.php?workbook=14_09.xlsx&amp;sheet=U0&amp;row=4665&amp;col=6&amp;number=3.1&amp;sourceID=14","3.1")</f>
        <v>3.1</v>
      </c>
      <c r="G4665" s="4" t="str">
        <f>HYPERLINK("http://141.218.60.56/~jnz1568/getInfo.php?workbook=14_09.xlsx&amp;sheet=U0&amp;row=4665&amp;col=7&amp;number=0.0446&amp;sourceID=14","0.0446")</f>
        <v>0.0446</v>
      </c>
    </row>
    <row r="4666" spans="1:7">
      <c r="A4666" s="3"/>
      <c r="B4666" s="3"/>
      <c r="C4666" s="3"/>
      <c r="D4666" s="3"/>
      <c r="E4666" s="3">
        <v>3</v>
      </c>
      <c r="F4666" s="4" t="str">
        <f>HYPERLINK("http://141.218.60.56/~jnz1568/getInfo.php?workbook=14_09.xlsx&amp;sheet=U0&amp;row=4666&amp;col=6&amp;number=3.2&amp;sourceID=14","3.2")</f>
        <v>3.2</v>
      </c>
      <c r="G4666" s="4" t="str">
        <f>HYPERLINK("http://141.218.60.56/~jnz1568/getInfo.php?workbook=14_09.xlsx&amp;sheet=U0&amp;row=4666&amp;col=7&amp;number=0.0446&amp;sourceID=14","0.0446")</f>
        <v>0.0446</v>
      </c>
    </row>
    <row r="4667" spans="1:7">
      <c r="A4667" s="3"/>
      <c r="B4667" s="3"/>
      <c r="C4667" s="3"/>
      <c r="D4667" s="3"/>
      <c r="E4667" s="3">
        <v>4</v>
      </c>
      <c r="F4667" s="4" t="str">
        <f>HYPERLINK("http://141.218.60.56/~jnz1568/getInfo.php?workbook=14_09.xlsx&amp;sheet=U0&amp;row=4667&amp;col=6&amp;number=3.3&amp;sourceID=14","3.3")</f>
        <v>3.3</v>
      </c>
      <c r="G4667" s="4" t="str">
        <f>HYPERLINK("http://141.218.60.56/~jnz1568/getInfo.php?workbook=14_09.xlsx&amp;sheet=U0&amp;row=4667&amp;col=7&amp;number=0.0445&amp;sourceID=14","0.0445")</f>
        <v>0.0445</v>
      </c>
    </row>
    <row r="4668" spans="1:7">
      <c r="A4668" s="3"/>
      <c r="B4668" s="3"/>
      <c r="C4668" s="3"/>
      <c r="D4668" s="3"/>
      <c r="E4668" s="3">
        <v>5</v>
      </c>
      <c r="F4668" s="4" t="str">
        <f>HYPERLINK("http://141.218.60.56/~jnz1568/getInfo.php?workbook=14_09.xlsx&amp;sheet=U0&amp;row=4668&amp;col=6&amp;number=3.4&amp;sourceID=14","3.4")</f>
        <v>3.4</v>
      </c>
      <c r="G4668" s="4" t="str">
        <f>HYPERLINK("http://141.218.60.56/~jnz1568/getInfo.php?workbook=14_09.xlsx&amp;sheet=U0&amp;row=4668&amp;col=7&amp;number=0.0443&amp;sourceID=14","0.0443")</f>
        <v>0.0443</v>
      </c>
    </row>
    <row r="4669" spans="1:7">
      <c r="A4669" s="3"/>
      <c r="B4669" s="3"/>
      <c r="C4669" s="3"/>
      <c r="D4669" s="3"/>
      <c r="E4669" s="3">
        <v>6</v>
      </c>
      <c r="F4669" s="4" t="str">
        <f>HYPERLINK("http://141.218.60.56/~jnz1568/getInfo.php?workbook=14_09.xlsx&amp;sheet=U0&amp;row=4669&amp;col=6&amp;number=3.5&amp;sourceID=14","3.5")</f>
        <v>3.5</v>
      </c>
      <c r="G4669" s="4" t="str">
        <f>HYPERLINK("http://141.218.60.56/~jnz1568/getInfo.php?workbook=14_09.xlsx&amp;sheet=U0&amp;row=4669&amp;col=7&amp;number=0.0442&amp;sourceID=14","0.0442")</f>
        <v>0.0442</v>
      </c>
    </row>
    <row r="4670" spans="1:7">
      <c r="A4670" s="3"/>
      <c r="B4670" s="3"/>
      <c r="C4670" s="3"/>
      <c r="D4670" s="3"/>
      <c r="E4670" s="3">
        <v>7</v>
      </c>
      <c r="F4670" s="4" t="str">
        <f>HYPERLINK("http://141.218.60.56/~jnz1568/getInfo.php?workbook=14_09.xlsx&amp;sheet=U0&amp;row=4670&amp;col=6&amp;number=3.6&amp;sourceID=14","3.6")</f>
        <v>3.6</v>
      </c>
      <c r="G4670" s="4" t="str">
        <f>HYPERLINK("http://141.218.60.56/~jnz1568/getInfo.php?workbook=14_09.xlsx&amp;sheet=U0&amp;row=4670&amp;col=7&amp;number=0.044&amp;sourceID=14","0.044")</f>
        <v>0.044</v>
      </c>
    </row>
    <row r="4671" spans="1:7">
      <c r="A4671" s="3"/>
      <c r="B4671" s="3"/>
      <c r="C4671" s="3"/>
      <c r="D4671" s="3"/>
      <c r="E4671" s="3">
        <v>8</v>
      </c>
      <c r="F4671" s="4" t="str">
        <f>HYPERLINK("http://141.218.60.56/~jnz1568/getInfo.php?workbook=14_09.xlsx&amp;sheet=U0&amp;row=4671&amp;col=6&amp;number=3.7&amp;sourceID=14","3.7")</f>
        <v>3.7</v>
      </c>
      <c r="G4671" s="4" t="str">
        <f>HYPERLINK("http://141.218.60.56/~jnz1568/getInfo.php?workbook=14_09.xlsx&amp;sheet=U0&amp;row=4671&amp;col=7&amp;number=0.0438&amp;sourceID=14","0.0438")</f>
        <v>0.0438</v>
      </c>
    </row>
    <row r="4672" spans="1:7">
      <c r="A4672" s="3"/>
      <c r="B4672" s="3"/>
      <c r="C4672" s="3"/>
      <c r="D4672" s="3"/>
      <c r="E4672" s="3">
        <v>9</v>
      </c>
      <c r="F4672" s="4" t="str">
        <f>HYPERLINK("http://141.218.60.56/~jnz1568/getInfo.php?workbook=14_09.xlsx&amp;sheet=U0&amp;row=4672&amp;col=6&amp;number=3.8&amp;sourceID=14","3.8")</f>
        <v>3.8</v>
      </c>
      <c r="G4672" s="4" t="str">
        <f>HYPERLINK("http://141.218.60.56/~jnz1568/getInfo.php?workbook=14_09.xlsx&amp;sheet=U0&amp;row=4672&amp;col=7&amp;number=0.0435&amp;sourceID=14","0.0435")</f>
        <v>0.0435</v>
      </c>
    </row>
    <row r="4673" spans="1:7">
      <c r="A4673" s="3"/>
      <c r="B4673" s="3"/>
      <c r="C4673" s="3"/>
      <c r="D4673" s="3"/>
      <c r="E4673" s="3">
        <v>10</v>
      </c>
      <c r="F4673" s="4" t="str">
        <f>HYPERLINK("http://141.218.60.56/~jnz1568/getInfo.php?workbook=14_09.xlsx&amp;sheet=U0&amp;row=4673&amp;col=6&amp;number=3.9&amp;sourceID=14","3.9")</f>
        <v>3.9</v>
      </c>
      <c r="G4673" s="4" t="str">
        <f>HYPERLINK("http://141.218.60.56/~jnz1568/getInfo.php?workbook=14_09.xlsx&amp;sheet=U0&amp;row=4673&amp;col=7&amp;number=0.0431&amp;sourceID=14","0.0431")</f>
        <v>0.0431</v>
      </c>
    </row>
    <row r="4674" spans="1:7">
      <c r="A4674" s="3"/>
      <c r="B4674" s="3"/>
      <c r="C4674" s="3"/>
      <c r="D4674" s="3"/>
      <c r="E4674" s="3">
        <v>11</v>
      </c>
      <c r="F4674" s="4" t="str">
        <f>HYPERLINK("http://141.218.60.56/~jnz1568/getInfo.php?workbook=14_09.xlsx&amp;sheet=U0&amp;row=4674&amp;col=6&amp;number=4&amp;sourceID=14","4")</f>
        <v>4</v>
      </c>
      <c r="G4674" s="4" t="str">
        <f>HYPERLINK("http://141.218.60.56/~jnz1568/getInfo.php?workbook=14_09.xlsx&amp;sheet=U0&amp;row=4674&amp;col=7&amp;number=0.0426&amp;sourceID=14","0.0426")</f>
        <v>0.0426</v>
      </c>
    </row>
    <row r="4675" spans="1:7">
      <c r="A4675" s="3"/>
      <c r="B4675" s="3"/>
      <c r="C4675" s="3"/>
      <c r="D4675" s="3"/>
      <c r="E4675" s="3">
        <v>12</v>
      </c>
      <c r="F4675" s="4" t="str">
        <f>HYPERLINK("http://141.218.60.56/~jnz1568/getInfo.php?workbook=14_09.xlsx&amp;sheet=U0&amp;row=4675&amp;col=6&amp;number=4.1&amp;sourceID=14","4.1")</f>
        <v>4.1</v>
      </c>
      <c r="G4675" s="4" t="str">
        <f>HYPERLINK("http://141.218.60.56/~jnz1568/getInfo.php?workbook=14_09.xlsx&amp;sheet=U0&amp;row=4675&amp;col=7&amp;number=0.042&amp;sourceID=14","0.042")</f>
        <v>0.042</v>
      </c>
    </row>
    <row r="4676" spans="1:7">
      <c r="A4676" s="3"/>
      <c r="B4676" s="3"/>
      <c r="C4676" s="3"/>
      <c r="D4676" s="3"/>
      <c r="E4676" s="3">
        <v>13</v>
      </c>
      <c r="F4676" s="4" t="str">
        <f>HYPERLINK("http://141.218.60.56/~jnz1568/getInfo.php?workbook=14_09.xlsx&amp;sheet=U0&amp;row=4676&amp;col=6&amp;number=4.2&amp;sourceID=14","4.2")</f>
        <v>4.2</v>
      </c>
      <c r="G4676" s="4" t="str">
        <f>HYPERLINK("http://141.218.60.56/~jnz1568/getInfo.php?workbook=14_09.xlsx&amp;sheet=U0&amp;row=4676&amp;col=7&amp;number=0.0413&amp;sourceID=14","0.0413")</f>
        <v>0.0413</v>
      </c>
    </row>
    <row r="4677" spans="1:7">
      <c r="A4677" s="3"/>
      <c r="B4677" s="3"/>
      <c r="C4677" s="3"/>
      <c r="D4677" s="3"/>
      <c r="E4677" s="3">
        <v>14</v>
      </c>
      <c r="F4677" s="4" t="str">
        <f>HYPERLINK("http://141.218.60.56/~jnz1568/getInfo.php?workbook=14_09.xlsx&amp;sheet=U0&amp;row=4677&amp;col=6&amp;number=4.3&amp;sourceID=14","4.3")</f>
        <v>4.3</v>
      </c>
      <c r="G4677" s="4" t="str">
        <f>HYPERLINK("http://141.218.60.56/~jnz1568/getInfo.php?workbook=14_09.xlsx&amp;sheet=U0&amp;row=4677&amp;col=7&amp;number=0.0404&amp;sourceID=14","0.0404")</f>
        <v>0.0404</v>
      </c>
    </row>
    <row r="4678" spans="1:7">
      <c r="A4678" s="3"/>
      <c r="B4678" s="3"/>
      <c r="C4678" s="3"/>
      <c r="D4678" s="3"/>
      <c r="E4678" s="3">
        <v>15</v>
      </c>
      <c r="F4678" s="4" t="str">
        <f>HYPERLINK("http://141.218.60.56/~jnz1568/getInfo.php?workbook=14_09.xlsx&amp;sheet=U0&amp;row=4678&amp;col=6&amp;number=4.4&amp;sourceID=14","4.4")</f>
        <v>4.4</v>
      </c>
      <c r="G4678" s="4" t="str">
        <f>HYPERLINK("http://141.218.60.56/~jnz1568/getInfo.php?workbook=14_09.xlsx&amp;sheet=U0&amp;row=4678&amp;col=7&amp;number=0.0393&amp;sourceID=14","0.0393")</f>
        <v>0.0393</v>
      </c>
    </row>
    <row r="4679" spans="1:7">
      <c r="A4679" s="3"/>
      <c r="B4679" s="3"/>
      <c r="C4679" s="3"/>
      <c r="D4679" s="3"/>
      <c r="E4679" s="3">
        <v>16</v>
      </c>
      <c r="F4679" s="4" t="str">
        <f>HYPERLINK("http://141.218.60.56/~jnz1568/getInfo.php?workbook=14_09.xlsx&amp;sheet=U0&amp;row=4679&amp;col=6&amp;number=4.5&amp;sourceID=14","4.5")</f>
        <v>4.5</v>
      </c>
      <c r="G4679" s="4" t="str">
        <f>HYPERLINK("http://141.218.60.56/~jnz1568/getInfo.php?workbook=14_09.xlsx&amp;sheet=U0&amp;row=4679&amp;col=7&amp;number=0.038&amp;sourceID=14","0.038")</f>
        <v>0.038</v>
      </c>
    </row>
    <row r="4680" spans="1:7">
      <c r="A4680" s="3"/>
      <c r="B4680" s="3"/>
      <c r="C4680" s="3"/>
      <c r="D4680" s="3"/>
      <c r="E4680" s="3">
        <v>17</v>
      </c>
      <c r="F4680" s="4" t="str">
        <f>HYPERLINK("http://141.218.60.56/~jnz1568/getInfo.php?workbook=14_09.xlsx&amp;sheet=U0&amp;row=4680&amp;col=6&amp;number=4.6&amp;sourceID=14","4.6")</f>
        <v>4.6</v>
      </c>
      <c r="G4680" s="4" t="str">
        <f>HYPERLINK("http://141.218.60.56/~jnz1568/getInfo.php?workbook=14_09.xlsx&amp;sheet=U0&amp;row=4680&amp;col=7&amp;number=0.0364&amp;sourceID=14","0.0364")</f>
        <v>0.0364</v>
      </c>
    </row>
    <row r="4681" spans="1:7">
      <c r="A4681" s="3"/>
      <c r="B4681" s="3"/>
      <c r="C4681" s="3"/>
      <c r="D4681" s="3"/>
      <c r="E4681" s="3">
        <v>18</v>
      </c>
      <c r="F4681" s="4" t="str">
        <f>HYPERLINK("http://141.218.60.56/~jnz1568/getInfo.php?workbook=14_09.xlsx&amp;sheet=U0&amp;row=4681&amp;col=6&amp;number=4.7&amp;sourceID=14","4.7")</f>
        <v>4.7</v>
      </c>
      <c r="G4681" s="4" t="str">
        <f>HYPERLINK("http://141.218.60.56/~jnz1568/getInfo.php?workbook=14_09.xlsx&amp;sheet=U0&amp;row=4681&amp;col=7&amp;number=0.0345&amp;sourceID=14","0.0345")</f>
        <v>0.0345</v>
      </c>
    </row>
    <row r="4682" spans="1:7">
      <c r="A4682" s="3"/>
      <c r="B4682" s="3"/>
      <c r="C4682" s="3"/>
      <c r="D4682" s="3"/>
      <c r="E4682" s="3">
        <v>19</v>
      </c>
      <c r="F4682" s="4" t="str">
        <f>HYPERLINK("http://141.218.60.56/~jnz1568/getInfo.php?workbook=14_09.xlsx&amp;sheet=U0&amp;row=4682&amp;col=6&amp;number=4.8&amp;sourceID=14","4.8")</f>
        <v>4.8</v>
      </c>
      <c r="G4682" s="4" t="str">
        <f>HYPERLINK("http://141.218.60.56/~jnz1568/getInfo.php?workbook=14_09.xlsx&amp;sheet=U0&amp;row=4682&amp;col=7&amp;number=0.0323&amp;sourceID=14","0.0323")</f>
        <v>0.0323</v>
      </c>
    </row>
    <row r="4683" spans="1:7">
      <c r="A4683" s="3"/>
      <c r="B4683" s="3"/>
      <c r="C4683" s="3"/>
      <c r="D4683" s="3"/>
      <c r="E4683" s="3">
        <v>20</v>
      </c>
      <c r="F4683" s="4" t="str">
        <f>HYPERLINK("http://141.218.60.56/~jnz1568/getInfo.php?workbook=14_09.xlsx&amp;sheet=U0&amp;row=4683&amp;col=6&amp;number=4.9&amp;sourceID=14","4.9")</f>
        <v>4.9</v>
      </c>
      <c r="G4683" s="4" t="str">
        <f>HYPERLINK("http://141.218.60.56/~jnz1568/getInfo.php?workbook=14_09.xlsx&amp;sheet=U0&amp;row=4683&amp;col=7&amp;number=0.03&amp;sourceID=14","0.03")</f>
        <v>0.03</v>
      </c>
    </row>
    <row r="4684" spans="1:7">
      <c r="A4684" s="3">
        <v>14</v>
      </c>
      <c r="B4684" s="3">
        <v>9</v>
      </c>
      <c r="C4684" s="3">
        <v>2</v>
      </c>
      <c r="D4684" s="3">
        <v>43</v>
      </c>
      <c r="E4684" s="3">
        <v>1</v>
      </c>
      <c r="F4684" s="4" t="str">
        <f>HYPERLINK("http://141.218.60.56/~jnz1568/getInfo.php?workbook=14_09.xlsx&amp;sheet=U0&amp;row=4684&amp;col=6&amp;number=3&amp;sourceID=14","3")</f>
        <v>3</v>
      </c>
      <c r="G4684" s="4" t="str">
        <f>HYPERLINK("http://141.218.60.56/~jnz1568/getInfo.php?workbook=14_09.xlsx&amp;sheet=U0&amp;row=4684&amp;col=7&amp;number=0.0624&amp;sourceID=14","0.0624")</f>
        <v>0.0624</v>
      </c>
    </row>
    <row r="4685" spans="1:7">
      <c r="A4685" s="3"/>
      <c r="B4685" s="3"/>
      <c r="C4685" s="3"/>
      <c r="D4685" s="3"/>
      <c r="E4685" s="3">
        <v>2</v>
      </c>
      <c r="F4685" s="4" t="str">
        <f>HYPERLINK("http://141.218.60.56/~jnz1568/getInfo.php?workbook=14_09.xlsx&amp;sheet=U0&amp;row=4685&amp;col=6&amp;number=3.1&amp;sourceID=14","3.1")</f>
        <v>3.1</v>
      </c>
      <c r="G4685" s="4" t="str">
        <f>HYPERLINK("http://141.218.60.56/~jnz1568/getInfo.php?workbook=14_09.xlsx&amp;sheet=U0&amp;row=4685&amp;col=7&amp;number=0.0623&amp;sourceID=14","0.0623")</f>
        <v>0.0623</v>
      </c>
    </row>
    <row r="4686" spans="1:7">
      <c r="A4686" s="3"/>
      <c r="B4686" s="3"/>
      <c r="C4686" s="3"/>
      <c r="D4686" s="3"/>
      <c r="E4686" s="3">
        <v>3</v>
      </c>
      <c r="F4686" s="4" t="str">
        <f>HYPERLINK("http://141.218.60.56/~jnz1568/getInfo.php?workbook=14_09.xlsx&amp;sheet=U0&amp;row=4686&amp;col=6&amp;number=3.2&amp;sourceID=14","3.2")</f>
        <v>3.2</v>
      </c>
      <c r="G4686" s="4" t="str">
        <f>HYPERLINK("http://141.218.60.56/~jnz1568/getInfo.php?workbook=14_09.xlsx&amp;sheet=U0&amp;row=4686&amp;col=7&amp;number=0.0621&amp;sourceID=14","0.0621")</f>
        <v>0.0621</v>
      </c>
    </row>
    <row r="4687" spans="1:7">
      <c r="A4687" s="3"/>
      <c r="B4687" s="3"/>
      <c r="C4687" s="3"/>
      <c r="D4687" s="3"/>
      <c r="E4687" s="3">
        <v>4</v>
      </c>
      <c r="F4687" s="4" t="str">
        <f>HYPERLINK("http://141.218.60.56/~jnz1568/getInfo.php?workbook=14_09.xlsx&amp;sheet=U0&amp;row=4687&amp;col=6&amp;number=3.3&amp;sourceID=14","3.3")</f>
        <v>3.3</v>
      </c>
      <c r="G4687" s="4" t="str">
        <f>HYPERLINK("http://141.218.60.56/~jnz1568/getInfo.php?workbook=14_09.xlsx&amp;sheet=U0&amp;row=4687&amp;col=7&amp;number=0.0619&amp;sourceID=14","0.0619")</f>
        <v>0.0619</v>
      </c>
    </row>
    <row r="4688" spans="1:7">
      <c r="A4688" s="3"/>
      <c r="B4688" s="3"/>
      <c r="C4688" s="3"/>
      <c r="D4688" s="3"/>
      <c r="E4688" s="3">
        <v>5</v>
      </c>
      <c r="F4688" s="4" t="str">
        <f>HYPERLINK("http://141.218.60.56/~jnz1568/getInfo.php?workbook=14_09.xlsx&amp;sheet=U0&amp;row=4688&amp;col=6&amp;number=3.4&amp;sourceID=14","3.4")</f>
        <v>3.4</v>
      </c>
      <c r="G4688" s="4" t="str">
        <f>HYPERLINK("http://141.218.60.56/~jnz1568/getInfo.php?workbook=14_09.xlsx&amp;sheet=U0&amp;row=4688&amp;col=7&amp;number=0.0617&amp;sourceID=14","0.0617")</f>
        <v>0.0617</v>
      </c>
    </row>
    <row r="4689" spans="1:7">
      <c r="A4689" s="3"/>
      <c r="B4689" s="3"/>
      <c r="C4689" s="3"/>
      <c r="D4689" s="3"/>
      <c r="E4689" s="3">
        <v>6</v>
      </c>
      <c r="F4689" s="4" t="str">
        <f>HYPERLINK("http://141.218.60.56/~jnz1568/getInfo.php?workbook=14_09.xlsx&amp;sheet=U0&amp;row=4689&amp;col=6&amp;number=3.5&amp;sourceID=14","3.5")</f>
        <v>3.5</v>
      </c>
      <c r="G4689" s="4" t="str">
        <f>HYPERLINK("http://141.218.60.56/~jnz1568/getInfo.php?workbook=14_09.xlsx&amp;sheet=U0&amp;row=4689&amp;col=7&amp;number=0.0615&amp;sourceID=14","0.0615")</f>
        <v>0.0615</v>
      </c>
    </row>
    <row r="4690" spans="1:7">
      <c r="A4690" s="3"/>
      <c r="B4690" s="3"/>
      <c r="C4690" s="3"/>
      <c r="D4690" s="3"/>
      <c r="E4690" s="3">
        <v>7</v>
      </c>
      <c r="F4690" s="4" t="str">
        <f>HYPERLINK("http://141.218.60.56/~jnz1568/getInfo.php?workbook=14_09.xlsx&amp;sheet=U0&amp;row=4690&amp;col=6&amp;number=3.6&amp;sourceID=14","3.6")</f>
        <v>3.6</v>
      </c>
      <c r="G4690" s="4" t="str">
        <f>HYPERLINK("http://141.218.60.56/~jnz1568/getInfo.php?workbook=14_09.xlsx&amp;sheet=U0&amp;row=4690&amp;col=7&amp;number=0.0611&amp;sourceID=14","0.0611")</f>
        <v>0.0611</v>
      </c>
    </row>
    <row r="4691" spans="1:7">
      <c r="A4691" s="3"/>
      <c r="B4691" s="3"/>
      <c r="C4691" s="3"/>
      <c r="D4691" s="3"/>
      <c r="E4691" s="3">
        <v>8</v>
      </c>
      <c r="F4691" s="4" t="str">
        <f>HYPERLINK("http://141.218.60.56/~jnz1568/getInfo.php?workbook=14_09.xlsx&amp;sheet=U0&amp;row=4691&amp;col=6&amp;number=3.7&amp;sourceID=14","3.7")</f>
        <v>3.7</v>
      </c>
      <c r="G4691" s="4" t="str">
        <f>HYPERLINK("http://141.218.60.56/~jnz1568/getInfo.php?workbook=14_09.xlsx&amp;sheet=U0&amp;row=4691&amp;col=7&amp;number=0.0607&amp;sourceID=14","0.0607")</f>
        <v>0.0607</v>
      </c>
    </row>
    <row r="4692" spans="1:7">
      <c r="A4692" s="3"/>
      <c r="B4692" s="3"/>
      <c r="C4692" s="3"/>
      <c r="D4692" s="3"/>
      <c r="E4692" s="3">
        <v>9</v>
      </c>
      <c r="F4692" s="4" t="str">
        <f>HYPERLINK("http://141.218.60.56/~jnz1568/getInfo.php?workbook=14_09.xlsx&amp;sheet=U0&amp;row=4692&amp;col=6&amp;number=3.8&amp;sourceID=14","3.8")</f>
        <v>3.8</v>
      </c>
      <c r="G4692" s="4" t="str">
        <f>HYPERLINK("http://141.218.60.56/~jnz1568/getInfo.php?workbook=14_09.xlsx&amp;sheet=U0&amp;row=4692&amp;col=7&amp;number=0.0602&amp;sourceID=14","0.0602")</f>
        <v>0.0602</v>
      </c>
    </row>
    <row r="4693" spans="1:7">
      <c r="A4693" s="3"/>
      <c r="B4693" s="3"/>
      <c r="C4693" s="3"/>
      <c r="D4693" s="3"/>
      <c r="E4693" s="3">
        <v>10</v>
      </c>
      <c r="F4693" s="4" t="str">
        <f>HYPERLINK("http://141.218.60.56/~jnz1568/getInfo.php?workbook=14_09.xlsx&amp;sheet=U0&amp;row=4693&amp;col=6&amp;number=3.9&amp;sourceID=14","3.9")</f>
        <v>3.9</v>
      </c>
      <c r="G4693" s="4" t="str">
        <f>HYPERLINK("http://141.218.60.56/~jnz1568/getInfo.php?workbook=14_09.xlsx&amp;sheet=U0&amp;row=4693&amp;col=7&amp;number=0.0595&amp;sourceID=14","0.0595")</f>
        <v>0.0595</v>
      </c>
    </row>
    <row r="4694" spans="1:7">
      <c r="A4694" s="3"/>
      <c r="B4694" s="3"/>
      <c r="C4694" s="3"/>
      <c r="D4694" s="3"/>
      <c r="E4694" s="3">
        <v>11</v>
      </c>
      <c r="F4694" s="4" t="str">
        <f>HYPERLINK("http://141.218.60.56/~jnz1568/getInfo.php?workbook=14_09.xlsx&amp;sheet=U0&amp;row=4694&amp;col=6&amp;number=4&amp;sourceID=14","4")</f>
        <v>4</v>
      </c>
      <c r="G4694" s="4" t="str">
        <f>HYPERLINK("http://141.218.60.56/~jnz1568/getInfo.php?workbook=14_09.xlsx&amp;sheet=U0&amp;row=4694&amp;col=7&amp;number=0.0587&amp;sourceID=14","0.0587")</f>
        <v>0.0587</v>
      </c>
    </row>
    <row r="4695" spans="1:7">
      <c r="A4695" s="3"/>
      <c r="B4695" s="3"/>
      <c r="C4695" s="3"/>
      <c r="D4695" s="3"/>
      <c r="E4695" s="3">
        <v>12</v>
      </c>
      <c r="F4695" s="4" t="str">
        <f>HYPERLINK("http://141.218.60.56/~jnz1568/getInfo.php?workbook=14_09.xlsx&amp;sheet=U0&amp;row=4695&amp;col=6&amp;number=4.1&amp;sourceID=14","4.1")</f>
        <v>4.1</v>
      </c>
      <c r="G4695" s="4" t="str">
        <f>HYPERLINK("http://141.218.60.56/~jnz1568/getInfo.php?workbook=14_09.xlsx&amp;sheet=U0&amp;row=4695&amp;col=7&amp;number=0.0576&amp;sourceID=14","0.0576")</f>
        <v>0.0576</v>
      </c>
    </row>
    <row r="4696" spans="1:7">
      <c r="A4696" s="3"/>
      <c r="B4696" s="3"/>
      <c r="C4696" s="3"/>
      <c r="D4696" s="3"/>
      <c r="E4696" s="3">
        <v>13</v>
      </c>
      <c r="F4696" s="4" t="str">
        <f>HYPERLINK("http://141.218.60.56/~jnz1568/getInfo.php?workbook=14_09.xlsx&amp;sheet=U0&amp;row=4696&amp;col=6&amp;number=4.2&amp;sourceID=14","4.2")</f>
        <v>4.2</v>
      </c>
      <c r="G4696" s="4" t="str">
        <f>HYPERLINK("http://141.218.60.56/~jnz1568/getInfo.php?workbook=14_09.xlsx&amp;sheet=U0&amp;row=4696&amp;col=7&amp;number=0.0564&amp;sourceID=14","0.0564")</f>
        <v>0.0564</v>
      </c>
    </row>
    <row r="4697" spans="1:7">
      <c r="A4697" s="3"/>
      <c r="B4697" s="3"/>
      <c r="C4697" s="3"/>
      <c r="D4697" s="3"/>
      <c r="E4697" s="3">
        <v>14</v>
      </c>
      <c r="F4697" s="4" t="str">
        <f>HYPERLINK("http://141.218.60.56/~jnz1568/getInfo.php?workbook=14_09.xlsx&amp;sheet=U0&amp;row=4697&amp;col=6&amp;number=4.3&amp;sourceID=14","4.3")</f>
        <v>4.3</v>
      </c>
      <c r="G4697" s="4" t="str">
        <f>HYPERLINK("http://141.218.60.56/~jnz1568/getInfo.php?workbook=14_09.xlsx&amp;sheet=U0&amp;row=4697&amp;col=7&amp;number=0.0548&amp;sourceID=14","0.0548")</f>
        <v>0.0548</v>
      </c>
    </row>
    <row r="4698" spans="1:7">
      <c r="A4698" s="3"/>
      <c r="B4698" s="3"/>
      <c r="C4698" s="3"/>
      <c r="D4698" s="3"/>
      <c r="E4698" s="3">
        <v>15</v>
      </c>
      <c r="F4698" s="4" t="str">
        <f>HYPERLINK("http://141.218.60.56/~jnz1568/getInfo.php?workbook=14_09.xlsx&amp;sheet=U0&amp;row=4698&amp;col=6&amp;number=4.4&amp;sourceID=14","4.4")</f>
        <v>4.4</v>
      </c>
      <c r="G4698" s="4" t="str">
        <f>HYPERLINK("http://141.218.60.56/~jnz1568/getInfo.php?workbook=14_09.xlsx&amp;sheet=U0&amp;row=4698&amp;col=7&amp;number=0.0529&amp;sourceID=14","0.0529")</f>
        <v>0.0529</v>
      </c>
    </row>
    <row r="4699" spans="1:7">
      <c r="A4699" s="3"/>
      <c r="B4699" s="3"/>
      <c r="C4699" s="3"/>
      <c r="D4699" s="3"/>
      <c r="E4699" s="3">
        <v>16</v>
      </c>
      <c r="F4699" s="4" t="str">
        <f>HYPERLINK("http://141.218.60.56/~jnz1568/getInfo.php?workbook=14_09.xlsx&amp;sheet=U0&amp;row=4699&amp;col=6&amp;number=4.5&amp;sourceID=14","4.5")</f>
        <v>4.5</v>
      </c>
      <c r="G4699" s="4" t="str">
        <f>HYPERLINK("http://141.218.60.56/~jnz1568/getInfo.php?workbook=14_09.xlsx&amp;sheet=U0&amp;row=4699&amp;col=7&amp;number=0.0506&amp;sourceID=14","0.0506")</f>
        <v>0.0506</v>
      </c>
    </row>
    <row r="4700" spans="1:7">
      <c r="A4700" s="3"/>
      <c r="B4700" s="3"/>
      <c r="C4700" s="3"/>
      <c r="D4700" s="3"/>
      <c r="E4700" s="3">
        <v>17</v>
      </c>
      <c r="F4700" s="4" t="str">
        <f>HYPERLINK("http://141.218.60.56/~jnz1568/getInfo.php?workbook=14_09.xlsx&amp;sheet=U0&amp;row=4700&amp;col=6&amp;number=4.6&amp;sourceID=14","4.6")</f>
        <v>4.6</v>
      </c>
      <c r="G4700" s="4" t="str">
        <f>HYPERLINK("http://141.218.60.56/~jnz1568/getInfo.php?workbook=14_09.xlsx&amp;sheet=U0&amp;row=4700&amp;col=7&amp;number=0.0479&amp;sourceID=14","0.0479")</f>
        <v>0.0479</v>
      </c>
    </row>
    <row r="4701" spans="1:7">
      <c r="A4701" s="3"/>
      <c r="B4701" s="3"/>
      <c r="C4701" s="3"/>
      <c r="D4701" s="3"/>
      <c r="E4701" s="3">
        <v>18</v>
      </c>
      <c r="F4701" s="4" t="str">
        <f>HYPERLINK("http://141.218.60.56/~jnz1568/getInfo.php?workbook=14_09.xlsx&amp;sheet=U0&amp;row=4701&amp;col=6&amp;number=4.7&amp;sourceID=14","4.7")</f>
        <v>4.7</v>
      </c>
      <c r="G4701" s="4" t="str">
        <f>HYPERLINK("http://141.218.60.56/~jnz1568/getInfo.php?workbook=14_09.xlsx&amp;sheet=U0&amp;row=4701&amp;col=7&amp;number=0.0449&amp;sourceID=14","0.0449")</f>
        <v>0.0449</v>
      </c>
    </row>
    <row r="4702" spans="1:7">
      <c r="A4702" s="3"/>
      <c r="B4702" s="3"/>
      <c r="C4702" s="3"/>
      <c r="D4702" s="3"/>
      <c r="E4702" s="3">
        <v>19</v>
      </c>
      <c r="F4702" s="4" t="str">
        <f>HYPERLINK("http://141.218.60.56/~jnz1568/getInfo.php?workbook=14_09.xlsx&amp;sheet=U0&amp;row=4702&amp;col=6&amp;number=4.8&amp;sourceID=14","4.8")</f>
        <v>4.8</v>
      </c>
      <c r="G4702" s="4" t="str">
        <f>HYPERLINK("http://141.218.60.56/~jnz1568/getInfo.php?workbook=14_09.xlsx&amp;sheet=U0&amp;row=4702&amp;col=7&amp;number=0.0416&amp;sourceID=14","0.0416")</f>
        <v>0.0416</v>
      </c>
    </row>
    <row r="4703" spans="1:7">
      <c r="A4703" s="3"/>
      <c r="B4703" s="3"/>
      <c r="C4703" s="3"/>
      <c r="D4703" s="3"/>
      <c r="E4703" s="3">
        <v>20</v>
      </c>
      <c r="F4703" s="4" t="str">
        <f>HYPERLINK("http://141.218.60.56/~jnz1568/getInfo.php?workbook=14_09.xlsx&amp;sheet=U0&amp;row=4703&amp;col=6&amp;number=4.9&amp;sourceID=14","4.9")</f>
        <v>4.9</v>
      </c>
      <c r="G4703" s="4" t="str">
        <f>HYPERLINK("http://141.218.60.56/~jnz1568/getInfo.php?workbook=14_09.xlsx&amp;sheet=U0&amp;row=4703&amp;col=7&amp;number=0.0384&amp;sourceID=14","0.0384")</f>
        <v>0.0384</v>
      </c>
    </row>
    <row r="4704" spans="1:7">
      <c r="A4704" s="3">
        <v>14</v>
      </c>
      <c r="B4704" s="3">
        <v>9</v>
      </c>
      <c r="C4704" s="3">
        <v>2</v>
      </c>
      <c r="D4704" s="3">
        <v>44</v>
      </c>
      <c r="E4704" s="3">
        <v>1</v>
      </c>
      <c r="F4704" s="4" t="str">
        <f>HYPERLINK("http://141.218.60.56/~jnz1568/getInfo.php?workbook=14_09.xlsx&amp;sheet=U0&amp;row=4704&amp;col=6&amp;number=3&amp;sourceID=14","3")</f>
        <v>3</v>
      </c>
      <c r="G4704" s="4" t="str">
        <f>HYPERLINK("http://141.218.60.56/~jnz1568/getInfo.php?workbook=14_09.xlsx&amp;sheet=U0&amp;row=4704&amp;col=7&amp;number=0.0294&amp;sourceID=14","0.0294")</f>
        <v>0.0294</v>
      </c>
    </row>
    <row r="4705" spans="1:7">
      <c r="A4705" s="3"/>
      <c r="B4705" s="3"/>
      <c r="C4705" s="3"/>
      <c r="D4705" s="3"/>
      <c r="E4705" s="3">
        <v>2</v>
      </c>
      <c r="F4705" s="4" t="str">
        <f>HYPERLINK("http://141.218.60.56/~jnz1568/getInfo.php?workbook=14_09.xlsx&amp;sheet=U0&amp;row=4705&amp;col=6&amp;number=3.1&amp;sourceID=14","3.1")</f>
        <v>3.1</v>
      </c>
      <c r="G4705" s="4" t="str">
        <f>HYPERLINK("http://141.218.60.56/~jnz1568/getInfo.php?workbook=14_09.xlsx&amp;sheet=U0&amp;row=4705&amp;col=7&amp;number=0.0294&amp;sourceID=14","0.0294")</f>
        <v>0.0294</v>
      </c>
    </row>
    <row r="4706" spans="1:7">
      <c r="A4706" s="3"/>
      <c r="B4706" s="3"/>
      <c r="C4706" s="3"/>
      <c r="D4706" s="3"/>
      <c r="E4706" s="3">
        <v>3</v>
      </c>
      <c r="F4706" s="4" t="str">
        <f>HYPERLINK("http://141.218.60.56/~jnz1568/getInfo.php?workbook=14_09.xlsx&amp;sheet=U0&amp;row=4706&amp;col=6&amp;number=3.2&amp;sourceID=14","3.2")</f>
        <v>3.2</v>
      </c>
      <c r="G4706" s="4" t="str">
        <f>HYPERLINK("http://141.218.60.56/~jnz1568/getInfo.php?workbook=14_09.xlsx&amp;sheet=U0&amp;row=4706&amp;col=7&amp;number=0.0294&amp;sourceID=14","0.0294")</f>
        <v>0.0294</v>
      </c>
    </row>
    <row r="4707" spans="1:7">
      <c r="A4707" s="3"/>
      <c r="B4707" s="3"/>
      <c r="C4707" s="3"/>
      <c r="D4707" s="3"/>
      <c r="E4707" s="3">
        <v>4</v>
      </c>
      <c r="F4707" s="4" t="str">
        <f>HYPERLINK("http://141.218.60.56/~jnz1568/getInfo.php?workbook=14_09.xlsx&amp;sheet=U0&amp;row=4707&amp;col=6&amp;number=3.3&amp;sourceID=14","3.3")</f>
        <v>3.3</v>
      </c>
      <c r="G4707" s="4" t="str">
        <f>HYPERLINK("http://141.218.60.56/~jnz1568/getInfo.php?workbook=14_09.xlsx&amp;sheet=U0&amp;row=4707&amp;col=7&amp;number=0.0294&amp;sourceID=14","0.0294")</f>
        <v>0.0294</v>
      </c>
    </row>
    <row r="4708" spans="1:7">
      <c r="A4708" s="3"/>
      <c r="B4708" s="3"/>
      <c r="C4708" s="3"/>
      <c r="D4708" s="3"/>
      <c r="E4708" s="3">
        <v>5</v>
      </c>
      <c r="F4708" s="4" t="str">
        <f>HYPERLINK("http://141.218.60.56/~jnz1568/getInfo.php?workbook=14_09.xlsx&amp;sheet=U0&amp;row=4708&amp;col=6&amp;number=3.4&amp;sourceID=14","3.4")</f>
        <v>3.4</v>
      </c>
      <c r="G4708" s="4" t="str">
        <f>HYPERLINK("http://141.218.60.56/~jnz1568/getInfo.php?workbook=14_09.xlsx&amp;sheet=U0&amp;row=4708&amp;col=7&amp;number=0.0293&amp;sourceID=14","0.0293")</f>
        <v>0.0293</v>
      </c>
    </row>
    <row r="4709" spans="1:7">
      <c r="A4709" s="3"/>
      <c r="B4709" s="3"/>
      <c r="C4709" s="3"/>
      <c r="D4709" s="3"/>
      <c r="E4709" s="3">
        <v>6</v>
      </c>
      <c r="F4709" s="4" t="str">
        <f>HYPERLINK("http://141.218.60.56/~jnz1568/getInfo.php?workbook=14_09.xlsx&amp;sheet=U0&amp;row=4709&amp;col=6&amp;number=3.5&amp;sourceID=14","3.5")</f>
        <v>3.5</v>
      </c>
      <c r="G4709" s="4" t="str">
        <f>HYPERLINK("http://141.218.60.56/~jnz1568/getInfo.php?workbook=14_09.xlsx&amp;sheet=U0&amp;row=4709&amp;col=7&amp;number=0.0293&amp;sourceID=14","0.0293")</f>
        <v>0.0293</v>
      </c>
    </row>
    <row r="4710" spans="1:7">
      <c r="A4710" s="3"/>
      <c r="B4710" s="3"/>
      <c r="C4710" s="3"/>
      <c r="D4710" s="3"/>
      <c r="E4710" s="3">
        <v>7</v>
      </c>
      <c r="F4710" s="4" t="str">
        <f>HYPERLINK("http://141.218.60.56/~jnz1568/getInfo.php?workbook=14_09.xlsx&amp;sheet=U0&amp;row=4710&amp;col=6&amp;number=3.6&amp;sourceID=14","3.6")</f>
        <v>3.6</v>
      </c>
      <c r="G4710" s="4" t="str">
        <f>HYPERLINK("http://141.218.60.56/~jnz1568/getInfo.php?workbook=14_09.xlsx&amp;sheet=U0&amp;row=4710&amp;col=7&amp;number=0.0293&amp;sourceID=14","0.0293")</f>
        <v>0.0293</v>
      </c>
    </row>
    <row r="4711" spans="1:7">
      <c r="A4711" s="3"/>
      <c r="B4711" s="3"/>
      <c r="C4711" s="3"/>
      <c r="D4711" s="3"/>
      <c r="E4711" s="3">
        <v>8</v>
      </c>
      <c r="F4711" s="4" t="str">
        <f>HYPERLINK("http://141.218.60.56/~jnz1568/getInfo.php?workbook=14_09.xlsx&amp;sheet=U0&amp;row=4711&amp;col=6&amp;number=3.7&amp;sourceID=14","3.7")</f>
        <v>3.7</v>
      </c>
      <c r="G4711" s="4" t="str">
        <f>HYPERLINK("http://141.218.60.56/~jnz1568/getInfo.php?workbook=14_09.xlsx&amp;sheet=U0&amp;row=4711&amp;col=7&amp;number=0.0292&amp;sourceID=14","0.0292")</f>
        <v>0.0292</v>
      </c>
    </row>
    <row r="4712" spans="1:7">
      <c r="A4712" s="3"/>
      <c r="B4712" s="3"/>
      <c r="C4712" s="3"/>
      <c r="D4712" s="3"/>
      <c r="E4712" s="3">
        <v>9</v>
      </c>
      <c r="F4712" s="4" t="str">
        <f>HYPERLINK("http://141.218.60.56/~jnz1568/getInfo.php?workbook=14_09.xlsx&amp;sheet=U0&amp;row=4712&amp;col=6&amp;number=3.8&amp;sourceID=14","3.8")</f>
        <v>3.8</v>
      </c>
      <c r="G4712" s="4" t="str">
        <f>HYPERLINK("http://141.218.60.56/~jnz1568/getInfo.php?workbook=14_09.xlsx&amp;sheet=U0&amp;row=4712&amp;col=7&amp;number=0.0292&amp;sourceID=14","0.0292")</f>
        <v>0.0292</v>
      </c>
    </row>
    <row r="4713" spans="1:7">
      <c r="A4713" s="3"/>
      <c r="B4713" s="3"/>
      <c r="C4713" s="3"/>
      <c r="D4713" s="3"/>
      <c r="E4713" s="3">
        <v>10</v>
      </c>
      <c r="F4713" s="4" t="str">
        <f>HYPERLINK("http://141.218.60.56/~jnz1568/getInfo.php?workbook=14_09.xlsx&amp;sheet=U0&amp;row=4713&amp;col=6&amp;number=3.9&amp;sourceID=14","3.9")</f>
        <v>3.9</v>
      </c>
      <c r="G4713" s="4" t="str">
        <f>HYPERLINK("http://141.218.60.56/~jnz1568/getInfo.php?workbook=14_09.xlsx&amp;sheet=U0&amp;row=4713&amp;col=7&amp;number=0.0291&amp;sourceID=14","0.0291")</f>
        <v>0.0291</v>
      </c>
    </row>
    <row r="4714" spans="1:7">
      <c r="A4714" s="3"/>
      <c r="B4714" s="3"/>
      <c r="C4714" s="3"/>
      <c r="D4714" s="3"/>
      <c r="E4714" s="3">
        <v>11</v>
      </c>
      <c r="F4714" s="4" t="str">
        <f>HYPERLINK("http://141.218.60.56/~jnz1568/getInfo.php?workbook=14_09.xlsx&amp;sheet=U0&amp;row=4714&amp;col=6&amp;number=4&amp;sourceID=14","4")</f>
        <v>4</v>
      </c>
      <c r="G4714" s="4" t="str">
        <f>HYPERLINK("http://141.218.60.56/~jnz1568/getInfo.php?workbook=14_09.xlsx&amp;sheet=U0&amp;row=4714&amp;col=7&amp;number=0.029&amp;sourceID=14","0.029")</f>
        <v>0.029</v>
      </c>
    </row>
    <row r="4715" spans="1:7">
      <c r="A4715" s="3"/>
      <c r="B4715" s="3"/>
      <c r="C4715" s="3"/>
      <c r="D4715" s="3"/>
      <c r="E4715" s="3">
        <v>12</v>
      </c>
      <c r="F4715" s="4" t="str">
        <f>HYPERLINK("http://141.218.60.56/~jnz1568/getInfo.php?workbook=14_09.xlsx&amp;sheet=U0&amp;row=4715&amp;col=6&amp;number=4.1&amp;sourceID=14","4.1")</f>
        <v>4.1</v>
      </c>
      <c r="G4715" s="4" t="str">
        <f>HYPERLINK("http://141.218.60.56/~jnz1568/getInfo.php?workbook=14_09.xlsx&amp;sheet=U0&amp;row=4715&amp;col=7&amp;number=0.0288&amp;sourceID=14","0.0288")</f>
        <v>0.0288</v>
      </c>
    </row>
    <row r="4716" spans="1:7">
      <c r="A4716" s="3"/>
      <c r="B4716" s="3"/>
      <c r="C4716" s="3"/>
      <c r="D4716" s="3"/>
      <c r="E4716" s="3">
        <v>13</v>
      </c>
      <c r="F4716" s="4" t="str">
        <f>HYPERLINK("http://141.218.60.56/~jnz1568/getInfo.php?workbook=14_09.xlsx&amp;sheet=U0&amp;row=4716&amp;col=6&amp;number=4.2&amp;sourceID=14","4.2")</f>
        <v>4.2</v>
      </c>
      <c r="G4716" s="4" t="str">
        <f>HYPERLINK("http://141.218.60.56/~jnz1568/getInfo.php?workbook=14_09.xlsx&amp;sheet=U0&amp;row=4716&amp;col=7&amp;number=0.0287&amp;sourceID=14","0.0287")</f>
        <v>0.0287</v>
      </c>
    </row>
    <row r="4717" spans="1:7">
      <c r="A4717" s="3"/>
      <c r="B4717" s="3"/>
      <c r="C4717" s="3"/>
      <c r="D4717" s="3"/>
      <c r="E4717" s="3">
        <v>14</v>
      </c>
      <c r="F4717" s="4" t="str">
        <f>HYPERLINK("http://141.218.60.56/~jnz1568/getInfo.php?workbook=14_09.xlsx&amp;sheet=U0&amp;row=4717&amp;col=6&amp;number=4.3&amp;sourceID=14","4.3")</f>
        <v>4.3</v>
      </c>
      <c r="G4717" s="4" t="str">
        <f>HYPERLINK("http://141.218.60.56/~jnz1568/getInfo.php?workbook=14_09.xlsx&amp;sheet=U0&amp;row=4717&amp;col=7&amp;number=0.0285&amp;sourceID=14","0.0285")</f>
        <v>0.0285</v>
      </c>
    </row>
    <row r="4718" spans="1:7">
      <c r="A4718" s="3"/>
      <c r="B4718" s="3"/>
      <c r="C4718" s="3"/>
      <c r="D4718" s="3"/>
      <c r="E4718" s="3">
        <v>15</v>
      </c>
      <c r="F4718" s="4" t="str">
        <f>HYPERLINK("http://141.218.60.56/~jnz1568/getInfo.php?workbook=14_09.xlsx&amp;sheet=U0&amp;row=4718&amp;col=6&amp;number=4.4&amp;sourceID=14","4.4")</f>
        <v>4.4</v>
      </c>
      <c r="G4718" s="4" t="str">
        <f>HYPERLINK("http://141.218.60.56/~jnz1568/getInfo.php?workbook=14_09.xlsx&amp;sheet=U0&amp;row=4718&amp;col=7&amp;number=0.0282&amp;sourceID=14","0.0282")</f>
        <v>0.0282</v>
      </c>
    </row>
    <row r="4719" spans="1:7">
      <c r="A4719" s="3"/>
      <c r="B4719" s="3"/>
      <c r="C4719" s="3"/>
      <c r="D4719" s="3"/>
      <c r="E4719" s="3">
        <v>16</v>
      </c>
      <c r="F4719" s="4" t="str">
        <f>HYPERLINK("http://141.218.60.56/~jnz1568/getInfo.php?workbook=14_09.xlsx&amp;sheet=U0&amp;row=4719&amp;col=6&amp;number=4.5&amp;sourceID=14","4.5")</f>
        <v>4.5</v>
      </c>
      <c r="G4719" s="4" t="str">
        <f>HYPERLINK("http://141.218.60.56/~jnz1568/getInfo.php?workbook=14_09.xlsx&amp;sheet=U0&amp;row=4719&amp;col=7&amp;number=0.0279&amp;sourceID=14","0.0279")</f>
        <v>0.0279</v>
      </c>
    </row>
    <row r="4720" spans="1:7">
      <c r="A4720" s="3"/>
      <c r="B4720" s="3"/>
      <c r="C4720" s="3"/>
      <c r="D4720" s="3"/>
      <c r="E4720" s="3">
        <v>17</v>
      </c>
      <c r="F4720" s="4" t="str">
        <f>HYPERLINK("http://141.218.60.56/~jnz1568/getInfo.php?workbook=14_09.xlsx&amp;sheet=U0&amp;row=4720&amp;col=6&amp;number=4.6&amp;sourceID=14","4.6")</f>
        <v>4.6</v>
      </c>
      <c r="G4720" s="4" t="str">
        <f>HYPERLINK("http://141.218.60.56/~jnz1568/getInfo.php?workbook=14_09.xlsx&amp;sheet=U0&amp;row=4720&amp;col=7&amp;number=0.0276&amp;sourceID=14","0.0276")</f>
        <v>0.0276</v>
      </c>
    </row>
    <row r="4721" spans="1:7">
      <c r="A4721" s="3"/>
      <c r="B4721" s="3"/>
      <c r="C4721" s="3"/>
      <c r="D4721" s="3"/>
      <c r="E4721" s="3">
        <v>18</v>
      </c>
      <c r="F4721" s="4" t="str">
        <f>HYPERLINK("http://141.218.60.56/~jnz1568/getInfo.php?workbook=14_09.xlsx&amp;sheet=U0&amp;row=4721&amp;col=6&amp;number=4.7&amp;sourceID=14","4.7")</f>
        <v>4.7</v>
      </c>
      <c r="G4721" s="4" t="str">
        <f>HYPERLINK("http://141.218.60.56/~jnz1568/getInfo.php?workbook=14_09.xlsx&amp;sheet=U0&amp;row=4721&amp;col=7&amp;number=0.0271&amp;sourceID=14","0.0271")</f>
        <v>0.0271</v>
      </c>
    </row>
    <row r="4722" spans="1:7">
      <c r="A4722" s="3"/>
      <c r="B4722" s="3"/>
      <c r="C4722" s="3"/>
      <c r="D4722" s="3"/>
      <c r="E4722" s="3">
        <v>19</v>
      </c>
      <c r="F4722" s="4" t="str">
        <f>HYPERLINK("http://141.218.60.56/~jnz1568/getInfo.php?workbook=14_09.xlsx&amp;sheet=U0&amp;row=4722&amp;col=6&amp;number=4.8&amp;sourceID=14","4.8")</f>
        <v>4.8</v>
      </c>
      <c r="G4722" s="4" t="str">
        <f>HYPERLINK("http://141.218.60.56/~jnz1568/getInfo.php?workbook=14_09.xlsx&amp;sheet=U0&amp;row=4722&amp;col=7&amp;number=0.0265&amp;sourceID=14","0.0265")</f>
        <v>0.0265</v>
      </c>
    </row>
    <row r="4723" spans="1:7">
      <c r="A4723" s="3"/>
      <c r="B4723" s="3"/>
      <c r="C4723" s="3"/>
      <c r="D4723" s="3"/>
      <c r="E4723" s="3">
        <v>20</v>
      </c>
      <c r="F4723" s="4" t="str">
        <f>HYPERLINK("http://141.218.60.56/~jnz1568/getInfo.php?workbook=14_09.xlsx&amp;sheet=U0&amp;row=4723&amp;col=6&amp;number=4.9&amp;sourceID=14","4.9")</f>
        <v>4.9</v>
      </c>
      <c r="G4723" s="4" t="str">
        <f>HYPERLINK("http://141.218.60.56/~jnz1568/getInfo.php?workbook=14_09.xlsx&amp;sheet=U0&amp;row=4723&amp;col=7&amp;number=0.0258&amp;sourceID=14","0.0258")</f>
        <v>0.0258</v>
      </c>
    </row>
    <row r="4724" spans="1:7">
      <c r="A4724" s="3">
        <v>14</v>
      </c>
      <c r="B4724" s="3">
        <v>9</v>
      </c>
      <c r="C4724" s="3">
        <v>2</v>
      </c>
      <c r="D4724" s="3">
        <v>45</v>
      </c>
      <c r="E4724" s="3">
        <v>1</v>
      </c>
      <c r="F4724" s="4" t="str">
        <f>HYPERLINK("http://141.218.60.56/~jnz1568/getInfo.php?workbook=14_09.xlsx&amp;sheet=U0&amp;row=4724&amp;col=6&amp;number=3&amp;sourceID=14","3")</f>
        <v>3</v>
      </c>
      <c r="G4724" s="4" t="str">
        <f>HYPERLINK("http://141.218.60.56/~jnz1568/getInfo.php?workbook=14_09.xlsx&amp;sheet=U0&amp;row=4724&amp;col=7&amp;number=0.0456&amp;sourceID=14","0.0456")</f>
        <v>0.0456</v>
      </c>
    </row>
    <row r="4725" spans="1:7">
      <c r="A4725" s="3"/>
      <c r="B4725" s="3"/>
      <c r="C4725" s="3"/>
      <c r="D4725" s="3"/>
      <c r="E4725" s="3">
        <v>2</v>
      </c>
      <c r="F4725" s="4" t="str">
        <f>HYPERLINK("http://141.218.60.56/~jnz1568/getInfo.php?workbook=14_09.xlsx&amp;sheet=U0&amp;row=4725&amp;col=6&amp;number=3.1&amp;sourceID=14","3.1")</f>
        <v>3.1</v>
      </c>
      <c r="G4725" s="4" t="str">
        <f>HYPERLINK("http://141.218.60.56/~jnz1568/getInfo.php?workbook=14_09.xlsx&amp;sheet=U0&amp;row=4725&amp;col=7&amp;number=0.0456&amp;sourceID=14","0.0456")</f>
        <v>0.0456</v>
      </c>
    </row>
    <row r="4726" spans="1:7">
      <c r="A4726" s="3"/>
      <c r="B4726" s="3"/>
      <c r="C4726" s="3"/>
      <c r="D4726" s="3"/>
      <c r="E4726" s="3">
        <v>3</v>
      </c>
      <c r="F4726" s="4" t="str">
        <f>HYPERLINK("http://141.218.60.56/~jnz1568/getInfo.php?workbook=14_09.xlsx&amp;sheet=U0&amp;row=4726&amp;col=6&amp;number=3.2&amp;sourceID=14","3.2")</f>
        <v>3.2</v>
      </c>
      <c r="G4726" s="4" t="str">
        <f>HYPERLINK("http://141.218.60.56/~jnz1568/getInfo.php?workbook=14_09.xlsx&amp;sheet=U0&amp;row=4726&amp;col=7&amp;number=0.0456&amp;sourceID=14","0.0456")</f>
        <v>0.0456</v>
      </c>
    </row>
    <row r="4727" spans="1:7">
      <c r="A4727" s="3"/>
      <c r="B4727" s="3"/>
      <c r="C4727" s="3"/>
      <c r="D4727" s="3"/>
      <c r="E4727" s="3">
        <v>4</v>
      </c>
      <c r="F4727" s="4" t="str">
        <f>HYPERLINK("http://141.218.60.56/~jnz1568/getInfo.php?workbook=14_09.xlsx&amp;sheet=U0&amp;row=4727&amp;col=6&amp;number=3.3&amp;sourceID=14","3.3")</f>
        <v>3.3</v>
      </c>
      <c r="G4727" s="4" t="str">
        <f>HYPERLINK("http://141.218.60.56/~jnz1568/getInfo.php?workbook=14_09.xlsx&amp;sheet=U0&amp;row=4727&amp;col=7&amp;number=0.0456&amp;sourceID=14","0.0456")</f>
        <v>0.0456</v>
      </c>
    </row>
    <row r="4728" spans="1:7">
      <c r="A4728" s="3"/>
      <c r="B4728" s="3"/>
      <c r="C4728" s="3"/>
      <c r="D4728" s="3"/>
      <c r="E4728" s="3">
        <v>5</v>
      </c>
      <c r="F4728" s="4" t="str">
        <f>HYPERLINK("http://141.218.60.56/~jnz1568/getInfo.php?workbook=14_09.xlsx&amp;sheet=U0&amp;row=4728&amp;col=6&amp;number=3.4&amp;sourceID=14","3.4")</f>
        <v>3.4</v>
      </c>
      <c r="G4728" s="4" t="str">
        <f>HYPERLINK("http://141.218.60.56/~jnz1568/getInfo.php?workbook=14_09.xlsx&amp;sheet=U0&amp;row=4728&amp;col=7&amp;number=0.0456&amp;sourceID=14","0.0456")</f>
        <v>0.0456</v>
      </c>
    </row>
    <row r="4729" spans="1:7">
      <c r="A4729" s="3"/>
      <c r="B4729" s="3"/>
      <c r="C4729" s="3"/>
      <c r="D4729" s="3"/>
      <c r="E4729" s="3">
        <v>6</v>
      </c>
      <c r="F4729" s="4" t="str">
        <f>HYPERLINK("http://141.218.60.56/~jnz1568/getInfo.php?workbook=14_09.xlsx&amp;sheet=U0&amp;row=4729&amp;col=6&amp;number=3.5&amp;sourceID=14","3.5")</f>
        <v>3.5</v>
      </c>
      <c r="G4729" s="4" t="str">
        <f>HYPERLINK("http://141.218.60.56/~jnz1568/getInfo.php?workbook=14_09.xlsx&amp;sheet=U0&amp;row=4729&amp;col=7&amp;number=0.0457&amp;sourceID=14","0.0457")</f>
        <v>0.0457</v>
      </c>
    </row>
    <row r="4730" spans="1:7">
      <c r="A4730" s="3"/>
      <c r="B4730" s="3"/>
      <c r="C4730" s="3"/>
      <c r="D4730" s="3"/>
      <c r="E4730" s="3">
        <v>7</v>
      </c>
      <c r="F4730" s="4" t="str">
        <f>HYPERLINK("http://141.218.60.56/~jnz1568/getInfo.php?workbook=14_09.xlsx&amp;sheet=U0&amp;row=4730&amp;col=6&amp;number=3.6&amp;sourceID=14","3.6")</f>
        <v>3.6</v>
      </c>
      <c r="G4730" s="4" t="str">
        <f>HYPERLINK("http://141.218.60.56/~jnz1568/getInfo.php?workbook=14_09.xlsx&amp;sheet=U0&amp;row=4730&amp;col=7&amp;number=0.0457&amp;sourceID=14","0.0457")</f>
        <v>0.0457</v>
      </c>
    </row>
    <row r="4731" spans="1:7">
      <c r="A4731" s="3"/>
      <c r="B4731" s="3"/>
      <c r="C4731" s="3"/>
      <c r="D4731" s="3"/>
      <c r="E4731" s="3">
        <v>8</v>
      </c>
      <c r="F4731" s="4" t="str">
        <f>HYPERLINK("http://141.218.60.56/~jnz1568/getInfo.php?workbook=14_09.xlsx&amp;sheet=U0&amp;row=4731&amp;col=6&amp;number=3.7&amp;sourceID=14","3.7")</f>
        <v>3.7</v>
      </c>
      <c r="G4731" s="4" t="str">
        <f>HYPERLINK("http://141.218.60.56/~jnz1568/getInfo.php?workbook=14_09.xlsx&amp;sheet=U0&amp;row=4731&amp;col=7&amp;number=0.0457&amp;sourceID=14","0.0457")</f>
        <v>0.0457</v>
      </c>
    </row>
    <row r="4732" spans="1:7">
      <c r="A4732" s="3"/>
      <c r="B4732" s="3"/>
      <c r="C4732" s="3"/>
      <c r="D4732" s="3"/>
      <c r="E4732" s="3">
        <v>9</v>
      </c>
      <c r="F4732" s="4" t="str">
        <f>HYPERLINK("http://141.218.60.56/~jnz1568/getInfo.php?workbook=14_09.xlsx&amp;sheet=U0&amp;row=4732&amp;col=6&amp;number=3.8&amp;sourceID=14","3.8")</f>
        <v>3.8</v>
      </c>
      <c r="G4732" s="4" t="str">
        <f>HYPERLINK("http://141.218.60.56/~jnz1568/getInfo.php?workbook=14_09.xlsx&amp;sheet=U0&amp;row=4732&amp;col=7&amp;number=0.0458&amp;sourceID=14","0.0458")</f>
        <v>0.0458</v>
      </c>
    </row>
    <row r="4733" spans="1:7">
      <c r="A4733" s="3"/>
      <c r="B4733" s="3"/>
      <c r="C4733" s="3"/>
      <c r="D4733" s="3"/>
      <c r="E4733" s="3">
        <v>10</v>
      </c>
      <c r="F4733" s="4" t="str">
        <f>HYPERLINK("http://141.218.60.56/~jnz1568/getInfo.php?workbook=14_09.xlsx&amp;sheet=U0&amp;row=4733&amp;col=6&amp;number=3.9&amp;sourceID=14","3.9")</f>
        <v>3.9</v>
      </c>
      <c r="G4733" s="4" t="str">
        <f>HYPERLINK("http://141.218.60.56/~jnz1568/getInfo.php?workbook=14_09.xlsx&amp;sheet=U0&amp;row=4733&amp;col=7&amp;number=0.0459&amp;sourceID=14","0.0459")</f>
        <v>0.0459</v>
      </c>
    </row>
    <row r="4734" spans="1:7">
      <c r="A4734" s="3"/>
      <c r="B4734" s="3"/>
      <c r="C4734" s="3"/>
      <c r="D4734" s="3"/>
      <c r="E4734" s="3">
        <v>11</v>
      </c>
      <c r="F4734" s="4" t="str">
        <f>HYPERLINK("http://141.218.60.56/~jnz1568/getInfo.php?workbook=14_09.xlsx&amp;sheet=U0&amp;row=4734&amp;col=6&amp;number=4&amp;sourceID=14","4")</f>
        <v>4</v>
      </c>
      <c r="G4734" s="4" t="str">
        <f>HYPERLINK("http://141.218.60.56/~jnz1568/getInfo.php?workbook=14_09.xlsx&amp;sheet=U0&amp;row=4734&amp;col=7&amp;number=0.0459&amp;sourceID=14","0.0459")</f>
        <v>0.0459</v>
      </c>
    </row>
    <row r="4735" spans="1:7">
      <c r="A4735" s="3"/>
      <c r="B4735" s="3"/>
      <c r="C4735" s="3"/>
      <c r="D4735" s="3"/>
      <c r="E4735" s="3">
        <v>12</v>
      </c>
      <c r="F4735" s="4" t="str">
        <f>HYPERLINK("http://141.218.60.56/~jnz1568/getInfo.php?workbook=14_09.xlsx&amp;sheet=U0&amp;row=4735&amp;col=6&amp;number=4.1&amp;sourceID=14","4.1")</f>
        <v>4.1</v>
      </c>
      <c r="G4735" s="4" t="str">
        <f>HYPERLINK("http://141.218.60.56/~jnz1568/getInfo.php?workbook=14_09.xlsx&amp;sheet=U0&amp;row=4735&amp;col=7&amp;number=0.046&amp;sourceID=14","0.046")</f>
        <v>0.046</v>
      </c>
    </row>
    <row r="4736" spans="1:7">
      <c r="A4736" s="3"/>
      <c r="B4736" s="3"/>
      <c r="C4736" s="3"/>
      <c r="D4736" s="3"/>
      <c r="E4736" s="3">
        <v>13</v>
      </c>
      <c r="F4736" s="4" t="str">
        <f>HYPERLINK("http://141.218.60.56/~jnz1568/getInfo.php?workbook=14_09.xlsx&amp;sheet=U0&amp;row=4736&amp;col=6&amp;number=4.2&amp;sourceID=14","4.2")</f>
        <v>4.2</v>
      </c>
      <c r="G4736" s="4" t="str">
        <f>HYPERLINK("http://141.218.60.56/~jnz1568/getInfo.php?workbook=14_09.xlsx&amp;sheet=U0&amp;row=4736&amp;col=7&amp;number=0.0462&amp;sourceID=14","0.0462")</f>
        <v>0.0462</v>
      </c>
    </row>
    <row r="4737" spans="1:7">
      <c r="A4737" s="3"/>
      <c r="B4737" s="3"/>
      <c r="C4737" s="3"/>
      <c r="D4737" s="3"/>
      <c r="E4737" s="3">
        <v>14</v>
      </c>
      <c r="F4737" s="4" t="str">
        <f>HYPERLINK("http://141.218.60.56/~jnz1568/getInfo.php?workbook=14_09.xlsx&amp;sheet=U0&amp;row=4737&amp;col=6&amp;number=4.3&amp;sourceID=14","4.3")</f>
        <v>4.3</v>
      </c>
      <c r="G4737" s="4" t="str">
        <f>HYPERLINK("http://141.218.60.56/~jnz1568/getInfo.php?workbook=14_09.xlsx&amp;sheet=U0&amp;row=4737&amp;col=7&amp;number=0.0463&amp;sourceID=14","0.0463")</f>
        <v>0.0463</v>
      </c>
    </row>
    <row r="4738" spans="1:7">
      <c r="A4738" s="3"/>
      <c r="B4738" s="3"/>
      <c r="C4738" s="3"/>
      <c r="D4738" s="3"/>
      <c r="E4738" s="3">
        <v>15</v>
      </c>
      <c r="F4738" s="4" t="str">
        <f>HYPERLINK("http://141.218.60.56/~jnz1568/getInfo.php?workbook=14_09.xlsx&amp;sheet=U0&amp;row=4738&amp;col=6&amp;number=4.4&amp;sourceID=14","4.4")</f>
        <v>4.4</v>
      </c>
      <c r="G4738" s="4" t="str">
        <f>HYPERLINK("http://141.218.60.56/~jnz1568/getInfo.php?workbook=14_09.xlsx&amp;sheet=U0&amp;row=4738&amp;col=7&amp;number=0.0465&amp;sourceID=14","0.0465")</f>
        <v>0.0465</v>
      </c>
    </row>
    <row r="4739" spans="1:7">
      <c r="A4739" s="3"/>
      <c r="B4739" s="3"/>
      <c r="C4739" s="3"/>
      <c r="D4739" s="3"/>
      <c r="E4739" s="3">
        <v>16</v>
      </c>
      <c r="F4739" s="4" t="str">
        <f>HYPERLINK("http://141.218.60.56/~jnz1568/getInfo.php?workbook=14_09.xlsx&amp;sheet=U0&amp;row=4739&amp;col=6&amp;number=4.5&amp;sourceID=14","4.5")</f>
        <v>4.5</v>
      </c>
      <c r="G4739" s="4" t="str">
        <f>HYPERLINK("http://141.218.60.56/~jnz1568/getInfo.php?workbook=14_09.xlsx&amp;sheet=U0&amp;row=4739&amp;col=7&amp;number=0.0467&amp;sourceID=14","0.0467")</f>
        <v>0.0467</v>
      </c>
    </row>
    <row r="4740" spans="1:7">
      <c r="A4740" s="3"/>
      <c r="B4740" s="3"/>
      <c r="C4740" s="3"/>
      <c r="D4740" s="3"/>
      <c r="E4740" s="3">
        <v>17</v>
      </c>
      <c r="F4740" s="4" t="str">
        <f>HYPERLINK("http://141.218.60.56/~jnz1568/getInfo.php?workbook=14_09.xlsx&amp;sheet=U0&amp;row=4740&amp;col=6&amp;number=4.6&amp;sourceID=14","4.6")</f>
        <v>4.6</v>
      </c>
      <c r="G4740" s="4" t="str">
        <f>HYPERLINK("http://141.218.60.56/~jnz1568/getInfo.php?workbook=14_09.xlsx&amp;sheet=U0&amp;row=4740&amp;col=7&amp;number=0.047&amp;sourceID=14","0.047")</f>
        <v>0.047</v>
      </c>
    </row>
    <row r="4741" spans="1:7">
      <c r="A4741" s="3"/>
      <c r="B4741" s="3"/>
      <c r="C4741" s="3"/>
      <c r="D4741" s="3"/>
      <c r="E4741" s="3">
        <v>18</v>
      </c>
      <c r="F4741" s="4" t="str">
        <f>HYPERLINK("http://141.218.60.56/~jnz1568/getInfo.php?workbook=14_09.xlsx&amp;sheet=U0&amp;row=4741&amp;col=6&amp;number=4.7&amp;sourceID=14","4.7")</f>
        <v>4.7</v>
      </c>
      <c r="G4741" s="4" t="str">
        <f>HYPERLINK("http://141.218.60.56/~jnz1568/getInfo.php?workbook=14_09.xlsx&amp;sheet=U0&amp;row=4741&amp;col=7&amp;number=0.0473&amp;sourceID=14","0.0473")</f>
        <v>0.0473</v>
      </c>
    </row>
    <row r="4742" spans="1:7">
      <c r="A4742" s="3"/>
      <c r="B4742" s="3"/>
      <c r="C4742" s="3"/>
      <c r="D4742" s="3"/>
      <c r="E4742" s="3">
        <v>19</v>
      </c>
      <c r="F4742" s="4" t="str">
        <f>HYPERLINK("http://141.218.60.56/~jnz1568/getInfo.php?workbook=14_09.xlsx&amp;sheet=U0&amp;row=4742&amp;col=6&amp;number=4.8&amp;sourceID=14","4.8")</f>
        <v>4.8</v>
      </c>
      <c r="G4742" s="4" t="str">
        <f>HYPERLINK("http://141.218.60.56/~jnz1568/getInfo.php?workbook=14_09.xlsx&amp;sheet=U0&amp;row=4742&amp;col=7&amp;number=0.0477&amp;sourceID=14","0.0477")</f>
        <v>0.0477</v>
      </c>
    </row>
    <row r="4743" spans="1:7">
      <c r="A4743" s="3"/>
      <c r="B4743" s="3"/>
      <c r="C4743" s="3"/>
      <c r="D4743" s="3"/>
      <c r="E4743" s="3">
        <v>20</v>
      </c>
      <c r="F4743" s="4" t="str">
        <f>HYPERLINK("http://141.218.60.56/~jnz1568/getInfo.php?workbook=14_09.xlsx&amp;sheet=U0&amp;row=4743&amp;col=6&amp;number=4.9&amp;sourceID=14","4.9")</f>
        <v>4.9</v>
      </c>
      <c r="G4743" s="4" t="str">
        <f>HYPERLINK("http://141.218.60.56/~jnz1568/getInfo.php?workbook=14_09.xlsx&amp;sheet=U0&amp;row=4743&amp;col=7&amp;number=0.0481&amp;sourceID=14","0.0481")</f>
        <v>0.0481</v>
      </c>
    </row>
    <row r="4744" spans="1:7">
      <c r="A4744" s="3">
        <v>14</v>
      </c>
      <c r="B4744" s="3">
        <v>9</v>
      </c>
      <c r="C4744" s="3">
        <v>2</v>
      </c>
      <c r="D4744" s="3">
        <v>46</v>
      </c>
      <c r="E4744" s="3">
        <v>1</v>
      </c>
      <c r="F4744" s="4" t="str">
        <f>HYPERLINK("http://141.218.60.56/~jnz1568/getInfo.php?workbook=14_09.xlsx&amp;sheet=U0&amp;row=4744&amp;col=6&amp;number=3&amp;sourceID=14","3")</f>
        <v>3</v>
      </c>
      <c r="G4744" s="4" t="str">
        <f>HYPERLINK("http://141.218.60.56/~jnz1568/getInfo.php?workbook=14_09.xlsx&amp;sheet=U0&amp;row=4744&amp;col=7&amp;number=0.0272&amp;sourceID=14","0.0272")</f>
        <v>0.0272</v>
      </c>
    </row>
    <row r="4745" spans="1:7">
      <c r="A4745" s="3"/>
      <c r="B4745" s="3"/>
      <c r="C4745" s="3"/>
      <c r="D4745" s="3"/>
      <c r="E4745" s="3">
        <v>2</v>
      </c>
      <c r="F4745" s="4" t="str">
        <f>HYPERLINK("http://141.218.60.56/~jnz1568/getInfo.php?workbook=14_09.xlsx&amp;sheet=U0&amp;row=4745&amp;col=6&amp;number=3.1&amp;sourceID=14","3.1")</f>
        <v>3.1</v>
      </c>
      <c r="G4745" s="4" t="str">
        <f>HYPERLINK("http://141.218.60.56/~jnz1568/getInfo.php?workbook=14_09.xlsx&amp;sheet=U0&amp;row=4745&amp;col=7&amp;number=0.0271&amp;sourceID=14","0.0271")</f>
        <v>0.0271</v>
      </c>
    </row>
    <row r="4746" spans="1:7">
      <c r="A4746" s="3"/>
      <c r="B4746" s="3"/>
      <c r="C4746" s="3"/>
      <c r="D4746" s="3"/>
      <c r="E4746" s="3">
        <v>3</v>
      </c>
      <c r="F4746" s="4" t="str">
        <f>HYPERLINK("http://141.218.60.56/~jnz1568/getInfo.php?workbook=14_09.xlsx&amp;sheet=U0&amp;row=4746&amp;col=6&amp;number=3.2&amp;sourceID=14","3.2")</f>
        <v>3.2</v>
      </c>
      <c r="G4746" s="4" t="str">
        <f>HYPERLINK("http://141.218.60.56/~jnz1568/getInfo.php?workbook=14_09.xlsx&amp;sheet=U0&amp;row=4746&amp;col=7&amp;number=0.0271&amp;sourceID=14","0.0271")</f>
        <v>0.0271</v>
      </c>
    </row>
    <row r="4747" spans="1:7">
      <c r="A4747" s="3"/>
      <c r="B4747" s="3"/>
      <c r="C4747" s="3"/>
      <c r="D4747" s="3"/>
      <c r="E4747" s="3">
        <v>4</v>
      </c>
      <c r="F4747" s="4" t="str">
        <f>HYPERLINK("http://141.218.60.56/~jnz1568/getInfo.php?workbook=14_09.xlsx&amp;sheet=U0&amp;row=4747&amp;col=6&amp;number=3.3&amp;sourceID=14","3.3")</f>
        <v>3.3</v>
      </c>
      <c r="G4747" s="4" t="str">
        <f>HYPERLINK("http://141.218.60.56/~jnz1568/getInfo.php?workbook=14_09.xlsx&amp;sheet=U0&amp;row=4747&amp;col=7&amp;number=0.0271&amp;sourceID=14","0.0271")</f>
        <v>0.0271</v>
      </c>
    </row>
    <row r="4748" spans="1:7">
      <c r="A4748" s="3"/>
      <c r="B4748" s="3"/>
      <c r="C4748" s="3"/>
      <c r="D4748" s="3"/>
      <c r="E4748" s="3">
        <v>5</v>
      </c>
      <c r="F4748" s="4" t="str">
        <f>HYPERLINK("http://141.218.60.56/~jnz1568/getInfo.php?workbook=14_09.xlsx&amp;sheet=U0&amp;row=4748&amp;col=6&amp;number=3.4&amp;sourceID=14","3.4")</f>
        <v>3.4</v>
      </c>
      <c r="G4748" s="4" t="str">
        <f>HYPERLINK("http://141.218.60.56/~jnz1568/getInfo.php?workbook=14_09.xlsx&amp;sheet=U0&amp;row=4748&amp;col=7&amp;number=0.027&amp;sourceID=14","0.027")</f>
        <v>0.027</v>
      </c>
    </row>
    <row r="4749" spans="1:7">
      <c r="A4749" s="3"/>
      <c r="B4749" s="3"/>
      <c r="C4749" s="3"/>
      <c r="D4749" s="3"/>
      <c r="E4749" s="3">
        <v>6</v>
      </c>
      <c r="F4749" s="4" t="str">
        <f>HYPERLINK("http://141.218.60.56/~jnz1568/getInfo.php?workbook=14_09.xlsx&amp;sheet=U0&amp;row=4749&amp;col=6&amp;number=3.5&amp;sourceID=14","3.5")</f>
        <v>3.5</v>
      </c>
      <c r="G4749" s="4" t="str">
        <f>HYPERLINK("http://141.218.60.56/~jnz1568/getInfo.php?workbook=14_09.xlsx&amp;sheet=U0&amp;row=4749&amp;col=7&amp;number=0.027&amp;sourceID=14","0.027")</f>
        <v>0.027</v>
      </c>
    </row>
    <row r="4750" spans="1:7">
      <c r="A4750" s="3"/>
      <c r="B4750" s="3"/>
      <c r="C4750" s="3"/>
      <c r="D4750" s="3"/>
      <c r="E4750" s="3">
        <v>7</v>
      </c>
      <c r="F4750" s="4" t="str">
        <f>HYPERLINK("http://141.218.60.56/~jnz1568/getInfo.php?workbook=14_09.xlsx&amp;sheet=U0&amp;row=4750&amp;col=6&amp;number=3.6&amp;sourceID=14","3.6")</f>
        <v>3.6</v>
      </c>
      <c r="G4750" s="4" t="str">
        <f>HYPERLINK("http://141.218.60.56/~jnz1568/getInfo.php?workbook=14_09.xlsx&amp;sheet=U0&amp;row=4750&amp;col=7&amp;number=0.0269&amp;sourceID=14","0.0269")</f>
        <v>0.0269</v>
      </c>
    </row>
    <row r="4751" spans="1:7">
      <c r="A4751" s="3"/>
      <c r="B4751" s="3"/>
      <c r="C4751" s="3"/>
      <c r="D4751" s="3"/>
      <c r="E4751" s="3">
        <v>8</v>
      </c>
      <c r="F4751" s="4" t="str">
        <f>HYPERLINK("http://141.218.60.56/~jnz1568/getInfo.php?workbook=14_09.xlsx&amp;sheet=U0&amp;row=4751&amp;col=6&amp;number=3.7&amp;sourceID=14","3.7")</f>
        <v>3.7</v>
      </c>
      <c r="G4751" s="4" t="str">
        <f>HYPERLINK("http://141.218.60.56/~jnz1568/getInfo.php?workbook=14_09.xlsx&amp;sheet=U0&amp;row=4751&amp;col=7&amp;number=0.0269&amp;sourceID=14","0.0269")</f>
        <v>0.0269</v>
      </c>
    </row>
    <row r="4752" spans="1:7">
      <c r="A4752" s="3"/>
      <c r="B4752" s="3"/>
      <c r="C4752" s="3"/>
      <c r="D4752" s="3"/>
      <c r="E4752" s="3">
        <v>9</v>
      </c>
      <c r="F4752" s="4" t="str">
        <f>HYPERLINK("http://141.218.60.56/~jnz1568/getInfo.php?workbook=14_09.xlsx&amp;sheet=U0&amp;row=4752&amp;col=6&amp;number=3.8&amp;sourceID=14","3.8")</f>
        <v>3.8</v>
      </c>
      <c r="G4752" s="4" t="str">
        <f>HYPERLINK("http://141.218.60.56/~jnz1568/getInfo.php?workbook=14_09.xlsx&amp;sheet=U0&amp;row=4752&amp;col=7&amp;number=0.0268&amp;sourceID=14","0.0268")</f>
        <v>0.0268</v>
      </c>
    </row>
    <row r="4753" spans="1:7">
      <c r="A4753" s="3"/>
      <c r="B4753" s="3"/>
      <c r="C4753" s="3"/>
      <c r="D4753" s="3"/>
      <c r="E4753" s="3">
        <v>10</v>
      </c>
      <c r="F4753" s="4" t="str">
        <f>HYPERLINK("http://141.218.60.56/~jnz1568/getInfo.php?workbook=14_09.xlsx&amp;sheet=U0&amp;row=4753&amp;col=6&amp;number=3.9&amp;sourceID=14","3.9")</f>
        <v>3.9</v>
      </c>
      <c r="G4753" s="4" t="str">
        <f>HYPERLINK("http://141.218.60.56/~jnz1568/getInfo.php?workbook=14_09.xlsx&amp;sheet=U0&amp;row=4753&amp;col=7&amp;number=0.0266&amp;sourceID=14","0.0266")</f>
        <v>0.0266</v>
      </c>
    </row>
    <row r="4754" spans="1:7">
      <c r="A4754" s="3"/>
      <c r="B4754" s="3"/>
      <c r="C4754" s="3"/>
      <c r="D4754" s="3"/>
      <c r="E4754" s="3">
        <v>11</v>
      </c>
      <c r="F4754" s="4" t="str">
        <f>HYPERLINK("http://141.218.60.56/~jnz1568/getInfo.php?workbook=14_09.xlsx&amp;sheet=U0&amp;row=4754&amp;col=6&amp;number=4&amp;sourceID=14","4")</f>
        <v>4</v>
      </c>
      <c r="G4754" s="4" t="str">
        <f>HYPERLINK("http://141.218.60.56/~jnz1568/getInfo.php?workbook=14_09.xlsx&amp;sheet=U0&amp;row=4754&amp;col=7&amp;number=0.0265&amp;sourceID=14","0.0265")</f>
        <v>0.0265</v>
      </c>
    </row>
    <row r="4755" spans="1:7">
      <c r="A4755" s="3"/>
      <c r="B4755" s="3"/>
      <c r="C4755" s="3"/>
      <c r="D4755" s="3"/>
      <c r="E4755" s="3">
        <v>12</v>
      </c>
      <c r="F4755" s="4" t="str">
        <f>HYPERLINK("http://141.218.60.56/~jnz1568/getInfo.php?workbook=14_09.xlsx&amp;sheet=U0&amp;row=4755&amp;col=6&amp;number=4.1&amp;sourceID=14","4.1")</f>
        <v>4.1</v>
      </c>
      <c r="G4755" s="4" t="str">
        <f>HYPERLINK("http://141.218.60.56/~jnz1568/getInfo.php?workbook=14_09.xlsx&amp;sheet=U0&amp;row=4755&amp;col=7&amp;number=0.0263&amp;sourceID=14","0.0263")</f>
        <v>0.0263</v>
      </c>
    </row>
    <row r="4756" spans="1:7">
      <c r="A4756" s="3"/>
      <c r="B4756" s="3"/>
      <c r="C4756" s="3"/>
      <c r="D4756" s="3"/>
      <c r="E4756" s="3">
        <v>13</v>
      </c>
      <c r="F4756" s="4" t="str">
        <f>HYPERLINK("http://141.218.60.56/~jnz1568/getInfo.php?workbook=14_09.xlsx&amp;sheet=U0&amp;row=4756&amp;col=6&amp;number=4.2&amp;sourceID=14","4.2")</f>
        <v>4.2</v>
      </c>
      <c r="G4756" s="4" t="str">
        <f>HYPERLINK("http://141.218.60.56/~jnz1568/getInfo.php?workbook=14_09.xlsx&amp;sheet=U0&amp;row=4756&amp;col=7&amp;number=0.0261&amp;sourceID=14","0.0261")</f>
        <v>0.0261</v>
      </c>
    </row>
    <row r="4757" spans="1:7">
      <c r="A4757" s="3"/>
      <c r="B4757" s="3"/>
      <c r="C4757" s="3"/>
      <c r="D4757" s="3"/>
      <c r="E4757" s="3">
        <v>14</v>
      </c>
      <c r="F4757" s="4" t="str">
        <f>HYPERLINK("http://141.218.60.56/~jnz1568/getInfo.php?workbook=14_09.xlsx&amp;sheet=U0&amp;row=4757&amp;col=6&amp;number=4.3&amp;sourceID=14","4.3")</f>
        <v>4.3</v>
      </c>
      <c r="G4757" s="4" t="str">
        <f>HYPERLINK("http://141.218.60.56/~jnz1568/getInfo.php?workbook=14_09.xlsx&amp;sheet=U0&amp;row=4757&amp;col=7&amp;number=0.0258&amp;sourceID=14","0.0258")</f>
        <v>0.0258</v>
      </c>
    </row>
    <row r="4758" spans="1:7">
      <c r="A4758" s="3"/>
      <c r="B4758" s="3"/>
      <c r="C4758" s="3"/>
      <c r="D4758" s="3"/>
      <c r="E4758" s="3">
        <v>15</v>
      </c>
      <c r="F4758" s="4" t="str">
        <f>HYPERLINK("http://141.218.60.56/~jnz1568/getInfo.php?workbook=14_09.xlsx&amp;sheet=U0&amp;row=4758&amp;col=6&amp;number=4.4&amp;sourceID=14","4.4")</f>
        <v>4.4</v>
      </c>
      <c r="G4758" s="4" t="str">
        <f>HYPERLINK("http://141.218.60.56/~jnz1568/getInfo.php?workbook=14_09.xlsx&amp;sheet=U0&amp;row=4758&amp;col=7&amp;number=0.0254&amp;sourceID=14","0.0254")</f>
        <v>0.0254</v>
      </c>
    </row>
    <row r="4759" spans="1:7">
      <c r="A4759" s="3"/>
      <c r="B4759" s="3"/>
      <c r="C4759" s="3"/>
      <c r="D4759" s="3"/>
      <c r="E4759" s="3">
        <v>16</v>
      </c>
      <c r="F4759" s="4" t="str">
        <f>HYPERLINK("http://141.218.60.56/~jnz1568/getInfo.php?workbook=14_09.xlsx&amp;sheet=U0&amp;row=4759&amp;col=6&amp;number=4.5&amp;sourceID=14","4.5")</f>
        <v>4.5</v>
      </c>
      <c r="G4759" s="4" t="str">
        <f>HYPERLINK("http://141.218.60.56/~jnz1568/getInfo.php?workbook=14_09.xlsx&amp;sheet=U0&amp;row=4759&amp;col=7&amp;number=0.025&amp;sourceID=14","0.025")</f>
        <v>0.025</v>
      </c>
    </row>
    <row r="4760" spans="1:7">
      <c r="A4760" s="3"/>
      <c r="B4760" s="3"/>
      <c r="C4760" s="3"/>
      <c r="D4760" s="3"/>
      <c r="E4760" s="3">
        <v>17</v>
      </c>
      <c r="F4760" s="4" t="str">
        <f>HYPERLINK("http://141.218.60.56/~jnz1568/getInfo.php?workbook=14_09.xlsx&amp;sheet=U0&amp;row=4760&amp;col=6&amp;number=4.6&amp;sourceID=14","4.6")</f>
        <v>4.6</v>
      </c>
      <c r="G4760" s="4" t="str">
        <f>HYPERLINK("http://141.218.60.56/~jnz1568/getInfo.php?workbook=14_09.xlsx&amp;sheet=U0&amp;row=4760&amp;col=7&amp;number=0.0245&amp;sourceID=14","0.0245")</f>
        <v>0.0245</v>
      </c>
    </row>
    <row r="4761" spans="1:7">
      <c r="A4761" s="3"/>
      <c r="B4761" s="3"/>
      <c r="C4761" s="3"/>
      <c r="D4761" s="3"/>
      <c r="E4761" s="3">
        <v>18</v>
      </c>
      <c r="F4761" s="4" t="str">
        <f>HYPERLINK("http://141.218.60.56/~jnz1568/getInfo.php?workbook=14_09.xlsx&amp;sheet=U0&amp;row=4761&amp;col=6&amp;number=4.7&amp;sourceID=14","4.7")</f>
        <v>4.7</v>
      </c>
      <c r="G4761" s="4" t="str">
        <f>HYPERLINK("http://141.218.60.56/~jnz1568/getInfo.php?workbook=14_09.xlsx&amp;sheet=U0&amp;row=4761&amp;col=7&amp;number=0.0239&amp;sourceID=14","0.0239")</f>
        <v>0.0239</v>
      </c>
    </row>
    <row r="4762" spans="1:7">
      <c r="A4762" s="3"/>
      <c r="B4762" s="3"/>
      <c r="C4762" s="3"/>
      <c r="D4762" s="3"/>
      <c r="E4762" s="3">
        <v>19</v>
      </c>
      <c r="F4762" s="4" t="str">
        <f>HYPERLINK("http://141.218.60.56/~jnz1568/getInfo.php?workbook=14_09.xlsx&amp;sheet=U0&amp;row=4762&amp;col=6&amp;number=4.8&amp;sourceID=14","4.8")</f>
        <v>4.8</v>
      </c>
      <c r="G4762" s="4" t="str">
        <f>HYPERLINK("http://141.218.60.56/~jnz1568/getInfo.php?workbook=14_09.xlsx&amp;sheet=U0&amp;row=4762&amp;col=7&amp;number=0.0232&amp;sourceID=14","0.0232")</f>
        <v>0.0232</v>
      </c>
    </row>
    <row r="4763" spans="1:7">
      <c r="A4763" s="3"/>
      <c r="B4763" s="3"/>
      <c r="C4763" s="3"/>
      <c r="D4763" s="3"/>
      <c r="E4763" s="3">
        <v>20</v>
      </c>
      <c r="F4763" s="4" t="str">
        <f>HYPERLINK("http://141.218.60.56/~jnz1568/getInfo.php?workbook=14_09.xlsx&amp;sheet=U0&amp;row=4763&amp;col=6&amp;number=4.9&amp;sourceID=14","4.9")</f>
        <v>4.9</v>
      </c>
      <c r="G4763" s="4" t="str">
        <f>HYPERLINK("http://141.218.60.56/~jnz1568/getInfo.php?workbook=14_09.xlsx&amp;sheet=U0&amp;row=4763&amp;col=7&amp;number=0.0224&amp;sourceID=14","0.0224")</f>
        <v>0.0224</v>
      </c>
    </row>
    <row r="4764" spans="1:7">
      <c r="A4764" s="3">
        <v>14</v>
      </c>
      <c r="B4764" s="3">
        <v>9</v>
      </c>
      <c r="C4764" s="3">
        <v>2</v>
      </c>
      <c r="D4764" s="3">
        <v>47</v>
      </c>
      <c r="E4764" s="3">
        <v>1</v>
      </c>
      <c r="F4764" s="4" t="str">
        <f>HYPERLINK("http://141.218.60.56/~jnz1568/getInfo.php?workbook=14_09.xlsx&amp;sheet=U0&amp;row=4764&amp;col=6&amp;number=3&amp;sourceID=14","3")</f>
        <v>3</v>
      </c>
      <c r="G4764" s="4" t="str">
        <f>HYPERLINK("http://141.218.60.56/~jnz1568/getInfo.php?workbook=14_09.xlsx&amp;sheet=U0&amp;row=4764&amp;col=7&amp;number=0.0712&amp;sourceID=14","0.0712")</f>
        <v>0.0712</v>
      </c>
    </row>
    <row r="4765" spans="1:7">
      <c r="A4765" s="3"/>
      <c r="B4765" s="3"/>
      <c r="C4765" s="3"/>
      <c r="D4765" s="3"/>
      <c r="E4765" s="3">
        <v>2</v>
      </c>
      <c r="F4765" s="4" t="str">
        <f>HYPERLINK("http://141.218.60.56/~jnz1568/getInfo.php?workbook=14_09.xlsx&amp;sheet=U0&amp;row=4765&amp;col=6&amp;number=3.1&amp;sourceID=14","3.1")</f>
        <v>3.1</v>
      </c>
      <c r="G4765" s="4" t="str">
        <f>HYPERLINK("http://141.218.60.56/~jnz1568/getInfo.php?workbook=14_09.xlsx&amp;sheet=U0&amp;row=4765&amp;col=7&amp;number=0.0712&amp;sourceID=14","0.0712")</f>
        <v>0.0712</v>
      </c>
    </row>
    <row r="4766" spans="1:7">
      <c r="A4766" s="3"/>
      <c r="B4766" s="3"/>
      <c r="C4766" s="3"/>
      <c r="D4766" s="3"/>
      <c r="E4766" s="3">
        <v>3</v>
      </c>
      <c r="F4766" s="4" t="str">
        <f>HYPERLINK("http://141.218.60.56/~jnz1568/getInfo.php?workbook=14_09.xlsx&amp;sheet=U0&amp;row=4766&amp;col=6&amp;number=3.2&amp;sourceID=14","3.2")</f>
        <v>3.2</v>
      </c>
      <c r="G4766" s="4" t="str">
        <f>HYPERLINK("http://141.218.60.56/~jnz1568/getInfo.php?workbook=14_09.xlsx&amp;sheet=U0&amp;row=4766&amp;col=7&amp;number=0.0711&amp;sourceID=14","0.0711")</f>
        <v>0.0711</v>
      </c>
    </row>
    <row r="4767" spans="1:7">
      <c r="A4767" s="3"/>
      <c r="B4767" s="3"/>
      <c r="C4767" s="3"/>
      <c r="D4767" s="3"/>
      <c r="E4767" s="3">
        <v>4</v>
      </c>
      <c r="F4767" s="4" t="str">
        <f>HYPERLINK("http://141.218.60.56/~jnz1568/getInfo.php?workbook=14_09.xlsx&amp;sheet=U0&amp;row=4767&amp;col=6&amp;number=3.3&amp;sourceID=14","3.3")</f>
        <v>3.3</v>
      </c>
      <c r="G4767" s="4" t="str">
        <f>HYPERLINK("http://141.218.60.56/~jnz1568/getInfo.php?workbook=14_09.xlsx&amp;sheet=U0&amp;row=4767&amp;col=7&amp;number=0.0711&amp;sourceID=14","0.0711")</f>
        <v>0.0711</v>
      </c>
    </row>
    <row r="4768" spans="1:7">
      <c r="A4768" s="3"/>
      <c r="B4768" s="3"/>
      <c r="C4768" s="3"/>
      <c r="D4768" s="3"/>
      <c r="E4768" s="3">
        <v>5</v>
      </c>
      <c r="F4768" s="4" t="str">
        <f>HYPERLINK("http://141.218.60.56/~jnz1568/getInfo.php?workbook=14_09.xlsx&amp;sheet=U0&amp;row=4768&amp;col=6&amp;number=3.4&amp;sourceID=14","3.4")</f>
        <v>3.4</v>
      </c>
      <c r="G4768" s="4" t="str">
        <f>HYPERLINK("http://141.218.60.56/~jnz1568/getInfo.php?workbook=14_09.xlsx&amp;sheet=U0&amp;row=4768&amp;col=7&amp;number=0.071&amp;sourceID=14","0.071")</f>
        <v>0.071</v>
      </c>
    </row>
    <row r="4769" spans="1:7">
      <c r="A4769" s="3"/>
      <c r="B4769" s="3"/>
      <c r="C4769" s="3"/>
      <c r="D4769" s="3"/>
      <c r="E4769" s="3">
        <v>6</v>
      </c>
      <c r="F4769" s="4" t="str">
        <f>HYPERLINK("http://141.218.60.56/~jnz1568/getInfo.php?workbook=14_09.xlsx&amp;sheet=U0&amp;row=4769&amp;col=6&amp;number=3.5&amp;sourceID=14","3.5")</f>
        <v>3.5</v>
      </c>
      <c r="G4769" s="4" t="str">
        <f>HYPERLINK("http://141.218.60.56/~jnz1568/getInfo.php?workbook=14_09.xlsx&amp;sheet=U0&amp;row=4769&amp;col=7&amp;number=0.0709&amp;sourceID=14","0.0709")</f>
        <v>0.0709</v>
      </c>
    </row>
    <row r="4770" spans="1:7">
      <c r="A4770" s="3"/>
      <c r="B4770" s="3"/>
      <c r="C4770" s="3"/>
      <c r="D4770" s="3"/>
      <c r="E4770" s="3">
        <v>7</v>
      </c>
      <c r="F4770" s="4" t="str">
        <f>HYPERLINK("http://141.218.60.56/~jnz1568/getInfo.php?workbook=14_09.xlsx&amp;sheet=U0&amp;row=4770&amp;col=6&amp;number=3.6&amp;sourceID=14","3.6")</f>
        <v>3.6</v>
      </c>
      <c r="G4770" s="4" t="str">
        <f>HYPERLINK("http://141.218.60.56/~jnz1568/getInfo.php?workbook=14_09.xlsx&amp;sheet=U0&amp;row=4770&amp;col=7&amp;number=0.0708&amp;sourceID=14","0.0708")</f>
        <v>0.0708</v>
      </c>
    </row>
    <row r="4771" spans="1:7">
      <c r="A4771" s="3"/>
      <c r="B4771" s="3"/>
      <c r="C4771" s="3"/>
      <c r="D4771" s="3"/>
      <c r="E4771" s="3">
        <v>8</v>
      </c>
      <c r="F4771" s="4" t="str">
        <f>HYPERLINK("http://141.218.60.56/~jnz1568/getInfo.php?workbook=14_09.xlsx&amp;sheet=U0&amp;row=4771&amp;col=6&amp;number=3.7&amp;sourceID=14","3.7")</f>
        <v>3.7</v>
      </c>
      <c r="G4771" s="4" t="str">
        <f>HYPERLINK("http://141.218.60.56/~jnz1568/getInfo.php?workbook=14_09.xlsx&amp;sheet=U0&amp;row=4771&amp;col=7&amp;number=0.0707&amp;sourceID=14","0.0707")</f>
        <v>0.0707</v>
      </c>
    </row>
    <row r="4772" spans="1:7">
      <c r="A4772" s="3"/>
      <c r="B4772" s="3"/>
      <c r="C4772" s="3"/>
      <c r="D4772" s="3"/>
      <c r="E4772" s="3">
        <v>9</v>
      </c>
      <c r="F4772" s="4" t="str">
        <f>HYPERLINK("http://141.218.60.56/~jnz1568/getInfo.php?workbook=14_09.xlsx&amp;sheet=U0&amp;row=4772&amp;col=6&amp;number=3.8&amp;sourceID=14","3.8")</f>
        <v>3.8</v>
      </c>
      <c r="G4772" s="4" t="str">
        <f>HYPERLINK("http://141.218.60.56/~jnz1568/getInfo.php?workbook=14_09.xlsx&amp;sheet=U0&amp;row=4772&amp;col=7&amp;number=0.0705&amp;sourceID=14","0.0705")</f>
        <v>0.0705</v>
      </c>
    </row>
    <row r="4773" spans="1:7">
      <c r="A4773" s="3"/>
      <c r="B4773" s="3"/>
      <c r="C4773" s="3"/>
      <c r="D4773" s="3"/>
      <c r="E4773" s="3">
        <v>10</v>
      </c>
      <c r="F4773" s="4" t="str">
        <f>HYPERLINK("http://141.218.60.56/~jnz1568/getInfo.php?workbook=14_09.xlsx&amp;sheet=U0&amp;row=4773&amp;col=6&amp;number=3.9&amp;sourceID=14","3.9")</f>
        <v>3.9</v>
      </c>
      <c r="G4773" s="4" t="str">
        <f>HYPERLINK("http://141.218.60.56/~jnz1568/getInfo.php?workbook=14_09.xlsx&amp;sheet=U0&amp;row=4773&amp;col=7&amp;number=0.0703&amp;sourceID=14","0.0703")</f>
        <v>0.0703</v>
      </c>
    </row>
    <row r="4774" spans="1:7">
      <c r="A4774" s="3"/>
      <c r="B4774" s="3"/>
      <c r="C4774" s="3"/>
      <c r="D4774" s="3"/>
      <c r="E4774" s="3">
        <v>11</v>
      </c>
      <c r="F4774" s="4" t="str">
        <f>HYPERLINK("http://141.218.60.56/~jnz1568/getInfo.php?workbook=14_09.xlsx&amp;sheet=U0&amp;row=4774&amp;col=6&amp;number=4&amp;sourceID=14","4")</f>
        <v>4</v>
      </c>
      <c r="G4774" s="4" t="str">
        <f>HYPERLINK("http://141.218.60.56/~jnz1568/getInfo.php?workbook=14_09.xlsx&amp;sheet=U0&amp;row=4774&amp;col=7&amp;number=0.07&amp;sourceID=14","0.07")</f>
        <v>0.07</v>
      </c>
    </row>
    <row r="4775" spans="1:7">
      <c r="A4775" s="3"/>
      <c r="B4775" s="3"/>
      <c r="C4775" s="3"/>
      <c r="D4775" s="3"/>
      <c r="E4775" s="3">
        <v>12</v>
      </c>
      <c r="F4775" s="4" t="str">
        <f>HYPERLINK("http://141.218.60.56/~jnz1568/getInfo.php?workbook=14_09.xlsx&amp;sheet=U0&amp;row=4775&amp;col=6&amp;number=4.1&amp;sourceID=14","4.1")</f>
        <v>4.1</v>
      </c>
      <c r="G4775" s="4" t="str">
        <f>HYPERLINK("http://141.218.60.56/~jnz1568/getInfo.php?workbook=14_09.xlsx&amp;sheet=U0&amp;row=4775&amp;col=7&amp;number=0.0697&amp;sourceID=14","0.0697")</f>
        <v>0.0697</v>
      </c>
    </row>
    <row r="4776" spans="1:7">
      <c r="A4776" s="3"/>
      <c r="B4776" s="3"/>
      <c r="C4776" s="3"/>
      <c r="D4776" s="3"/>
      <c r="E4776" s="3">
        <v>13</v>
      </c>
      <c r="F4776" s="4" t="str">
        <f>HYPERLINK("http://141.218.60.56/~jnz1568/getInfo.php?workbook=14_09.xlsx&amp;sheet=U0&amp;row=4776&amp;col=6&amp;number=4.2&amp;sourceID=14","4.2")</f>
        <v>4.2</v>
      </c>
      <c r="G4776" s="4" t="str">
        <f>HYPERLINK("http://141.218.60.56/~jnz1568/getInfo.php?workbook=14_09.xlsx&amp;sheet=U0&amp;row=4776&amp;col=7&amp;number=0.0693&amp;sourceID=14","0.0693")</f>
        <v>0.0693</v>
      </c>
    </row>
    <row r="4777" spans="1:7">
      <c r="A4777" s="3"/>
      <c r="B4777" s="3"/>
      <c r="C4777" s="3"/>
      <c r="D4777" s="3"/>
      <c r="E4777" s="3">
        <v>14</v>
      </c>
      <c r="F4777" s="4" t="str">
        <f>HYPERLINK("http://141.218.60.56/~jnz1568/getInfo.php?workbook=14_09.xlsx&amp;sheet=U0&amp;row=4777&amp;col=6&amp;number=4.3&amp;sourceID=14","4.3")</f>
        <v>4.3</v>
      </c>
      <c r="G4777" s="4" t="str">
        <f>HYPERLINK("http://141.218.60.56/~jnz1568/getInfo.php?workbook=14_09.xlsx&amp;sheet=U0&amp;row=4777&amp;col=7&amp;number=0.0688&amp;sourceID=14","0.0688")</f>
        <v>0.0688</v>
      </c>
    </row>
    <row r="4778" spans="1:7">
      <c r="A4778" s="3"/>
      <c r="B4778" s="3"/>
      <c r="C4778" s="3"/>
      <c r="D4778" s="3"/>
      <c r="E4778" s="3">
        <v>15</v>
      </c>
      <c r="F4778" s="4" t="str">
        <f>HYPERLINK("http://141.218.60.56/~jnz1568/getInfo.php?workbook=14_09.xlsx&amp;sheet=U0&amp;row=4778&amp;col=6&amp;number=4.4&amp;sourceID=14","4.4")</f>
        <v>4.4</v>
      </c>
      <c r="G4778" s="4" t="str">
        <f>HYPERLINK("http://141.218.60.56/~jnz1568/getInfo.php?workbook=14_09.xlsx&amp;sheet=U0&amp;row=4778&amp;col=7&amp;number=0.0682&amp;sourceID=14","0.0682")</f>
        <v>0.0682</v>
      </c>
    </row>
    <row r="4779" spans="1:7">
      <c r="A4779" s="3"/>
      <c r="B4779" s="3"/>
      <c r="C4779" s="3"/>
      <c r="D4779" s="3"/>
      <c r="E4779" s="3">
        <v>16</v>
      </c>
      <c r="F4779" s="4" t="str">
        <f>HYPERLINK("http://141.218.60.56/~jnz1568/getInfo.php?workbook=14_09.xlsx&amp;sheet=U0&amp;row=4779&amp;col=6&amp;number=4.5&amp;sourceID=14","4.5")</f>
        <v>4.5</v>
      </c>
      <c r="G4779" s="4" t="str">
        <f>HYPERLINK("http://141.218.60.56/~jnz1568/getInfo.php?workbook=14_09.xlsx&amp;sheet=U0&amp;row=4779&amp;col=7&amp;number=0.0675&amp;sourceID=14","0.0675")</f>
        <v>0.0675</v>
      </c>
    </row>
    <row r="4780" spans="1:7">
      <c r="A4780" s="3"/>
      <c r="B4780" s="3"/>
      <c r="C4780" s="3"/>
      <c r="D4780" s="3"/>
      <c r="E4780" s="3">
        <v>17</v>
      </c>
      <c r="F4780" s="4" t="str">
        <f>HYPERLINK("http://141.218.60.56/~jnz1568/getInfo.php?workbook=14_09.xlsx&amp;sheet=U0&amp;row=4780&amp;col=6&amp;number=4.6&amp;sourceID=14","4.6")</f>
        <v>4.6</v>
      </c>
      <c r="G4780" s="4" t="str">
        <f>HYPERLINK("http://141.218.60.56/~jnz1568/getInfo.php?workbook=14_09.xlsx&amp;sheet=U0&amp;row=4780&amp;col=7&amp;number=0.0666&amp;sourceID=14","0.0666")</f>
        <v>0.0666</v>
      </c>
    </row>
    <row r="4781" spans="1:7">
      <c r="A4781" s="3"/>
      <c r="B4781" s="3"/>
      <c r="C4781" s="3"/>
      <c r="D4781" s="3"/>
      <c r="E4781" s="3">
        <v>18</v>
      </c>
      <c r="F4781" s="4" t="str">
        <f>HYPERLINK("http://141.218.60.56/~jnz1568/getInfo.php?workbook=14_09.xlsx&amp;sheet=U0&amp;row=4781&amp;col=6&amp;number=4.7&amp;sourceID=14","4.7")</f>
        <v>4.7</v>
      </c>
      <c r="G4781" s="4" t="str">
        <f>HYPERLINK("http://141.218.60.56/~jnz1568/getInfo.php?workbook=14_09.xlsx&amp;sheet=U0&amp;row=4781&amp;col=7&amp;number=0.0657&amp;sourceID=14","0.0657")</f>
        <v>0.0657</v>
      </c>
    </row>
    <row r="4782" spans="1:7">
      <c r="A4782" s="3"/>
      <c r="B4782" s="3"/>
      <c r="C4782" s="3"/>
      <c r="D4782" s="3"/>
      <c r="E4782" s="3">
        <v>19</v>
      </c>
      <c r="F4782" s="4" t="str">
        <f>HYPERLINK("http://141.218.60.56/~jnz1568/getInfo.php?workbook=14_09.xlsx&amp;sheet=U0&amp;row=4782&amp;col=6&amp;number=4.8&amp;sourceID=14","4.8")</f>
        <v>4.8</v>
      </c>
      <c r="G4782" s="4" t="str">
        <f>HYPERLINK("http://141.218.60.56/~jnz1568/getInfo.php?workbook=14_09.xlsx&amp;sheet=U0&amp;row=4782&amp;col=7&amp;number=0.0648&amp;sourceID=14","0.0648")</f>
        <v>0.0648</v>
      </c>
    </row>
    <row r="4783" spans="1:7">
      <c r="A4783" s="3"/>
      <c r="B4783" s="3"/>
      <c r="C4783" s="3"/>
      <c r="D4783" s="3"/>
      <c r="E4783" s="3">
        <v>20</v>
      </c>
      <c r="F4783" s="4" t="str">
        <f>HYPERLINK("http://141.218.60.56/~jnz1568/getInfo.php?workbook=14_09.xlsx&amp;sheet=U0&amp;row=4783&amp;col=6&amp;number=4.9&amp;sourceID=14","4.9")</f>
        <v>4.9</v>
      </c>
      <c r="G4783" s="4" t="str">
        <f>HYPERLINK("http://141.218.60.56/~jnz1568/getInfo.php?workbook=14_09.xlsx&amp;sheet=U0&amp;row=4783&amp;col=7&amp;number=0.064&amp;sourceID=14","0.064")</f>
        <v>0.064</v>
      </c>
    </row>
    <row r="4784" spans="1:7">
      <c r="A4784" s="3">
        <v>14</v>
      </c>
      <c r="B4784" s="3">
        <v>9</v>
      </c>
      <c r="C4784" s="3">
        <v>2</v>
      </c>
      <c r="D4784" s="3">
        <v>48</v>
      </c>
      <c r="E4784" s="3">
        <v>1</v>
      </c>
      <c r="F4784" s="4" t="str">
        <f>HYPERLINK("http://141.218.60.56/~jnz1568/getInfo.php?workbook=14_09.xlsx&amp;sheet=U0&amp;row=4784&amp;col=6&amp;number=3&amp;sourceID=14","3")</f>
        <v>3</v>
      </c>
      <c r="G4784" s="4" t="str">
        <f>HYPERLINK("http://141.218.60.56/~jnz1568/getInfo.php?workbook=14_09.xlsx&amp;sheet=U0&amp;row=4784&amp;col=7&amp;number=0.053&amp;sourceID=14","0.053")</f>
        <v>0.053</v>
      </c>
    </row>
    <row r="4785" spans="1:7">
      <c r="A4785" s="3"/>
      <c r="B4785" s="3"/>
      <c r="C4785" s="3"/>
      <c r="D4785" s="3"/>
      <c r="E4785" s="3">
        <v>2</v>
      </c>
      <c r="F4785" s="4" t="str">
        <f>HYPERLINK("http://141.218.60.56/~jnz1568/getInfo.php?workbook=14_09.xlsx&amp;sheet=U0&amp;row=4785&amp;col=6&amp;number=3.1&amp;sourceID=14","3.1")</f>
        <v>3.1</v>
      </c>
      <c r="G4785" s="4" t="str">
        <f>HYPERLINK("http://141.218.60.56/~jnz1568/getInfo.php?workbook=14_09.xlsx&amp;sheet=U0&amp;row=4785&amp;col=7&amp;number=0.0529&amp;sourceID=14","0.0529")</f>
        <v>0.0529</v>
      </c>
    </row>
    <row r="4786" spans="1:7">
      <c r="A4786" s="3"/>
      <c r="B4786" s="3"/>
      <c r="C4786" s="3"/>
      <c r="D4786" s="3"/>
      <c r="E4786" s="3">
        <v>3</v>
      </c>
      <c r="F4786" s="4" t="str">
        <f>HYPERLINK("http://141.218.60.56/~jnz1568/getInfo.php?workbook=14_09.xlsx&amp;sheet=U0&amp;row=4786&amp;col=6&amp;number=3.2&amp;sourceID=14","3.2")</f>
        <v>3.2</v>
      </c>
      <c r="G4786" s="4" t="str">
        <f>HYPERLINK("http://141.218.60.56/~jnz1568/getInfo.php?workbook=14_09.xlsx&amp;sheet=U0&amp;row=4786&amp;col=7&amp;number=0.0528&amp;sourceID=14","0.0528")</f>
        <v>0.0528</v>
      </c>
    </row>
    <row r="4787" spans="1:7">
      <c r="A4787" s="3"/>
      <c r="B4787" s="3"/>
      <c r="C4787" s="3"/>
      <c r="D4787" s="3"/>
      <c r="E4787" s="3">
        <v>4</v>
      </c>
      <c r="F4787" s="4" t="str">
        <f>HYPERLINK("http://141.218.60.56/~jnz1568/getInfo.php?workbook=14_09.xlsx&amp;sheet=U0&amp;row=4787&amp;col=6&amp;number=3.3&amp;sourceID=14","3.3")</f>
        <v>3.3</v>
      </c>
      <c r="G4787" s="4" t="str">
        <f>HYPERLINK("http://141.218.60.56/~jnz1568/getInfo.php?workbook=14_09.xlsx&amp;sheet=U0&amp;row=4787&amp;col=7&amp;number=0.0527&amp;sourceID=14","0.0527")</f>
        <v>0.0527</v>
      </c>
    </row>
    <row r="4788" spans="1:7">
      <c r="A4788" s="3"/>
      <c r="B4788" s="3"/>
      <c r="C4788" s="3"/>
      <c r="D4788" s="3"/>
      <c r="E4788" s="3">
        <v>5</v>
      </c>
      <c r="F4788" s="4" t="str">
        <f>HYPERLINK("http://141.218.60.56/~jnz1568/getInfo.php?workbook=14_09.xlsx&amp;sheet=U0&amp;row=4788&amp;col=6&amp;number=3.4&amp;sourceID=14","3.4")</f>
        <v>3.4</v>
      </c>
      <c r="G4788" s="4" t="str">
        <f>HYPERLINK("http://141.218.60.56/~jnz1568/getInfo.php?workbook=14_09.xlsx&amp;sheet=U0&amp;row=4788&amp;col=7&amp;number=0.0526&amp;sourceID=14","0.0526")</f>
        <v>0.0526</v>
      </c>
    </row>
    <row r="4789" spans="1:7">
      <c r="A4789" s="3"/>
      <c r="B4789" s="3"/>
      <c r="C4789" s="3"/>
      <c r="D4789" s="3"/>
      <c r="E4789" s="3">
        <v>6</v>
      </c>
      <c r="F4789" s="4" t="str">
        <f>HYPERLINK("http://141.218.60.56/~jnz1568/getInfo.php?workbook=14_09.xlsx&amp;sheet=U0&amp;row=4789&amp;col=6&amp;number=3.5&amp;sourceID=14","3.5")</f>
        <v>3.5</v>
      </c>
      <c r="G4789" s="4" t="str">
        <f>HYPERLINK("http://141.218.60.56/~jnz1568/getInfo.php?workbook=14_09.xlsx&amp;sheet=U0&amp;row=4789&amp;col=7&amp;number=0.0524&amp;sourceID=14","0.0524")</f>
        <v>0.0524</v>
      </c>
    </row>
    <row r="4790" spans="1:7">
      <c r="A4790" s="3"/>
      <c r="B4790" s="3"/>
      <c r="C4790" s="3"/>
      <c r="D4790" s="3"/>
      <c r="E4790" s="3">
        <v>7</v>
      </c>
      <c r="F4790" s="4" t="str">
        <f>HYPERLINK("http://141.218.60.56/~jnz1568/getInfo.php?workbook=14_09.xlsx&amp;sheet=U0&amp;row=4790&amp;col=6&amp;number=3.6&amp;sourceID=14","3.6")</f>
        <v>3.6</v>
      </c>
      <c r="G4790" s="4" t="str">
        <f>HYPERLINK("http://141.218.60.56/~jnz1568/getInfo.php?workbook=14_09.xlsx&amp;sheet=U0&amp;row=4790&amp;col=7&amp;number=0.0521&amp;sourceID=14","0.0521")</f>
        <v>0.0521</v>
      </c>
    </row>
    <row r="4791" spans="1:7">
      <c r="A4791" s="3"/>
      <c r="B4791" s="3"/>
      <c r="C4791" s="3"/>
      <c r="D4791" s="3"/>
      <c r="E4791" s="3">
        <v>8</v>
      </c>
      <c r="F4791" s="4" t="str">
        <f>HYPERLINK("http://141.218.60.56/~jnz1568/getInfo.php?workbook=14_09.xlsx&amp;sheet=U0&amp;row=4791&amp;col=6&amp;number=3.7&amp;sourceID=14","3.7")</f>
        <v>3.7</v>
      </c>
      <c r="G4791" s="4" t="str">
        <f>HYPERLINK("http://141.218.60.56/~jnz1568/getInfo.php?workbook=14_09.xlsx&amp;sheet=U0&amp;row=4791&amp;col=7&amp;number=0.0519&amp;sourceID=14","0.0519")</f>
        <v>0.0519</v>
      </c>
    </row>
    <row r="4792" spans="1:7">
      <c r="A4792" s="3"/>
      <c r="B4792" s="3"/>
      <c r="C4792" s="3"/>
      <c r="D4792" s="3"/>
      <c r="E4792" s="3">
        <v>9</v>
      </c>
      <c r="F4792" s="4" t="str">
        <f>HYPERLINK("http://141.218.60.56/~jnz1568/getInfo.php?workbook=14_09.xlsx&amp;sheet=U0&amp;row=4792&amp;col=6&amp;number=3.8&amp;sourceID=14","3.8")</f>
        <v>3.8</v>
      </c>
      <c r="G4792" s="4" t="str">
        <f>HYPERLINK("http://141.218.60.56/~jnz1568/getInfo.php?workbook=14_09.xlsx&amp;sheet=U0&amp;row=4792&amp;col=7&amp;number=0.0515&amp;sourceID=14","0.0515")</f>
        <v>0.0515</v>
      </c>
    </row>
    <row r="4793" spans="1:7">
      <c r="A4793" s="3"/>
      <c r="B4793" s="3"/>
      <c r="C4793" s="3"/>
      <c r="D4793" s="3"/>
      <c r="E4793" s="3">
        <v>10</v>
      </c>
      <c r="F4793" s="4" t="str">
        <f>HYPERLINK("http://141.218.60.56/~jnz1568/getInfo.php?workbook=14_09.xlsx&amp;sheet=U0&amp;row=4793&amp;col=6&amp;number=3.9&amp;sourceID=14","3.9")</f>
        <v>3.9</v>
      </c>
      <c r="G4793" s="4" t="str">
        <f>HYPERLINK("http://141.218.60.56/~jnz1568/getInfo.php?workbook=14_09.xlsx&amp;sheet=U0&amp;row=4793&amp;col=7&amp;number=0.051&amp;sourceID=14","0.051")</f>
        <v>0.051</v>
      </c>
    </row>
    <row r="4794" spans="1:7">
      <c r="A4794" s="3"/>
      <c r="B4794" s="3"/>
      <c r="C4794" s="3"/>
      <c r="D4794" s="3"/>
      <c r="E4794" s="3">
        <v>11</v>
      </c>
      <c r="F4794" s="4" t="str">
        <f>HYPERLINK("http://141.218.60.56/~jnz1568/getInfo.php?workbook=14_09.xlsx&amp;sheet=U0&amp;row=4794&amp;col=6&amp;number=4&amp;sourceID=14","4")</f>
        <v>4</v>
      </c>
      <c r="G4794" s="4" t="str">
        <f>HYPERLINK("http://141.218.60.56/~jnz1568/getInfo.php?workbook=14_09.xlsx&amp;sheet=U0&amp;row=4794&amp;col=7&amp;number=0.0505&amp;sourceID=14","0.0505")</f>
        <v>0.0505</v>
      </c>
    </row>
    <row r="4795" spans="1:7">
      <c r="A4795" s="3"/>
      <c r="B4795" s="3"/>
      <c r="C4795" s="3"/>
      <c r="D4795" s="3"/>
      <c r="E4795" s="3">
        <v>12</v>
      </c>
      <c r="F4795" s="4" t="str">
        <f>HYPERLINK("http://141.218.60.56/~jnz1568/getInfo.php?workbook=14_09.xlsx&amp;sheet=U0&amp;row=4795&amp;col=6&amp;number=4.1&amp;sourceID=14","4.1")</f>
        <v>4.1</v>
      </c>
      <c r="G4795" s="4" t="str">
        <f>HYPERLINK("http://141.218.60.56/~jnz1568/getInfo.php?workbook=14_09.xlsx&amp;sheet=U0&amp;row=4795&amp;col=7&amp;number=0.0498&amp;sourceID=14","0.0498")</f>
        <v>0.0498</v>
      </c>
    </row>
    <row r="4796" spans="1:7">
      <c r="A4796" s="3"/>
      <c r="B4796" s="3"/>
      <c r="C4796" s="3"/>
      <c r="D4796" s="3"/>
      <c r="E4796" s="3">
        <v>13</v>
      </c>
      <c r="F4796" s="4" t="str">
        <f>HYPERLINK("http://141.218.60.56/~jnz1568/getInfo.php?workbook=14_09.xlsx&amp;sheet=U0&amp;row=4796&amp;col=6&amp;number=4.2&amp;sourceID=14","4.2")</f>
        <v>4.2</v>
      </c>
      <c r="G4796" s="4" t="str">
        <f>HYPERLINK("http://141.218.60.56/~jnz1568/getInfo.php?workbook=14_09.xlsx&amp;sheet=U0&amp;row=4796&amp;col=7&amp;number=0.0489&amp;sourceID=14","0.0489")</f>
        <v>0.0489</v>
      </c>
    </row>
    <row r="4797" spans="1:7">
      <c r="A4797" s="3"/>
      <c r="B4797" s="3"/>
      <c r="C4797" s="3"/>
      <c r="D4797" s="3"/>
      <c r="E4797" s="3">
        <v>14</v>
      </c>
      <c r="F4797" s="4" t="str">
        <f>HYPERLINK("http://141.218.60.56/~jnz1568/getInfo.php?workbook=14_09.xlsx&amp;sheet=U0&amp;row=4797&amp;col=6&amp;number=4.3&amp;sourceID=14","4.3")</f>
        <v>4.3</v>
      </c>
      <c r="G4797" s="4" t="str">
        <f>HYPERLINK("http://141.218.60.56/~jnz1568/getInfo.php?workbook=14_09.xlsx&amp;sheet=U0&amp;row=4797&amp;col=7&amp;number=0.0478&amp;sourceID=14","0.0478")</f>
        <v>0.0478</v>
      </c>
    </row>
    <row r="4798" spans="1:7">
      <c r="A4798" s="3"/>
      <c r="B4798" s="3"/>
      <c r="C4798" s="3"/>
      <c r="D4798" s="3"/>
      <c r="E4798" s="3">
        <v>15</v>
      </c>
      <c r="F4798" s="4" t="str">
        <f>HYPERLINK("http://141.218.60.56/~jnz1568/getInfo.php?workbook=14_09.xlsx&amp;sheet=U0&amp;row=4798&amp;col=6&amp;number=4.4&amp;sourceID=14","4.4")</f>
        <v>4.4</v>
      </c>
      <c r="G4798" s="4" t="str">
        <f>HYPERLINK("http://141.218.60.56/~jnz1568/getInfo.php?workbook=14_09.xlsx&amp;sheet=U0&amp;row=4798&amp;col=7&amp;number=0.0465&amp;sourceID=14","0.0465")</f>
        <v>0.0465</v>
      </c>
    </row>
    <row r="4799" spans="1:7">
      <c r="A4799" s="3"/>
      <c r="B4799" s="3"/>
      <c r="C4799" s="3"/>
      <c r="D4799" s="3"/>
      <c r="E4799" s="3">
        <v>16</v>
      </c>
      <c r="F4799" s="4" t="str">
        <f>HYPERLINK("http://141.218.60.56/~jnz1568/getInfo.php?workbook=14_09.xlsx&amp;sheet=U0&amp;row=4799&amp;col=6&amp;number=4.5&amp;sourceID=14","4.5")</f>
        <v>4.5</v>
      </c>
      <c r="G4799" s="4" t="str">
        <f>HYPERLINK("http://141.218.60.56/~jnz1568/getInfo.php?workbook=14_09.xlsx&amp;sheet=U0&amp;row=4799&amp;col=7&amp;number=0.045&amp;sourceID=14","0.045")</f>
        <v>0.045</v>
      </c>
    </row>
    <row r="4800" spans="1:7">
      <c r="A4800" s="3"/>
      <c r="B4800" s="3"/>
      <c r="C4800" s="3"/>
      <c r="D4800" s="3"/>
      <c r="E4800" s="3">
        <v>17</v>
      </c>
      <c r="F4800" s="4" t="str">
        <f>HYPERLINK("http://141.218.60.56/~jnz1568/getInfo.php?workbook=14_09.xlsx&amp;sheet=U0&amp;row=4800&amp;col=6&amp;number=4.6&amp;sourceID=14","4.6")</f>
        <v>4.6</v>
      </c>
      <c r="G4800" s="4" t="str">
        <f>HYPERLINK("http://141.218.60.56/~jnz1568/getInfo.php?workbook=14_09.xlsx&amp;sheet=U0&amp;row=4800&amp;col=7&amp;number=0.0431&amp;sourceID=14","0.0431")</f>
        <v>0.0431</v>
      </c>
    </row>
    <row r="4801" spans="1:7">
      <c r="A4801" s="3"/>
      <c r="B4801" s="3"/>
      <c r="C4801" s="3"/>
      <c r="D4801" s="3"/>
      <c r="E4801" s="3">
        <v>18</v>
      </c>
      <c r="F4801" s="4" t="str">
        <f>HYPERLINK("http://141.218.60.56/~jnz1568/getInfo.php?workbook=14_09.xlsx&amp;sheet=U0&amp;row=4801&amp;col=6&amp;number=4.7&amp;sourceID=14","4.7")</f>
        <v>4.7</v>
      </c>
      <c r="G4801" s="4" t="str">
        <f>HYPERLINK("http://141.218.60.56/~jnz1568/getInfo.php?workbook=14_09.xlsx&amp;sheet=U0&amp;row=4801&amp;col=7&amp;number=0.041&amp;sourceID=14","0.041")</f>
        <v>0.041</v>
      </c>
    </row>
    <row r="4802" spans="1:7">
      <c r="A4802" s="3"/>
      <c r="B4802" s="3"/>
      <c r="C4802" s="3"/>
      <c r="D4802" s="3"/>
      <c r="E4802" s="3">
        <v>19</v>
      </c>
      <c r="F4802" s="4" t="str">
        <f>HYPERLINK("http://141.218.60.56/~jnz1568/getInfo.php?workbook=14_09.xlsx&amp;sheet=U0&amp;row=4802&amp;col=6&amp;number=4.8&amp;sourceID=14","4.8")</f>
        <v>4.8</v>
      </c>
      <c r="G4802" s="4" t="str">
        <f>HYPERLINK("http://141.218.60.56/~jnz1568/getInfo.php?workbook=14_09.xlsx&amp;sheet=U0&amp;row=4802&amp;col=7&amp;number=0.0388&amp;sourceID=14","0.0388")</f>
        <v>0.0388</v>
      </c>
    </row>
    <row r="4803" spans="1:7">
      <c r="A4803" s="3"/>
      <c r="B4803" s="3"/>
      <c r="C4803" s="3"/>
      <c r="D4803" s="3"/>
      <c r="E4803" s="3">
        <v>20</v>
      </c>
      <c r="F4803" s="4" t="str">
        <f>HYPERLINK("http://141.218.60.56/~jnz1568/getInfo.php?workbook=14_09.xlsx&amp;sheet=U0&amp;row=4803&amp;col=6&amp;number=4.9&amp;sourceID=14","4.9")</f>
        <v>4.9</v>
      </c>
      <c r="G4803" s="4" t="str">
        <f>HYPERLINK("http://141.218.60.56/~jnz1568/getInfo.php?workbook=14_09.xlsx&amp;sheet=U0&amp;row=4803&amp;col=7&amp;number=0.0366&amp;sourceID=14","0.0366")</f>
        <v>0.0366</v>
      </c>
    </row>
    <row r="4804" spans="1:7">
      <c r="A4804" s="3">
        <v>14</v>
      </c>
      <c r="B4804" s="3">
        <v>9</v>
      </c>
      <c r="C4804" s="3">
        <v>2</v>
      </c>
      <c r="D4804" s="3">
        <v>49</v>
      </c>
      <c r="E4804" s="3">
        <v>1</v>
      </c>
      <c r="F4804" s="4" t="str">
        <f>HYPERLINK("http://141.218.60.56/~jnz1568/getInfo.php?workbook=14_09.xlsx&amp;sheet=U0&amp;row=4804&amp;col=6&amp;number=3&amp;sourceID=14","3")</f>
        <v>3</v>
      </c>
      <c r="G4804" s="4" t="str">
        <f>HYPERLINK("http://141.218.60.56/~jnz1568/getInfo.php?workbook=14_09.xlsx&amp;sheet=U0&amp;row=4804&amp;col=7&amp;number=0.0846&amp;sourceID=14","0.0846")</f>
        <v>0.0846</v>
      </c>
    </row>
    <row r="4805" spans="1:7">
      <c r="A4805" s="3"/>
      <c r="B4805" s="3"/>
      <c r="C4805" s="3"/>
      <c r="D4805" s="3"/>
      <c r="E4805" s="3">
        <v>2</v>
      </c>
      <c r="F4805" s="4" t="str">
        <f>HYPERLINK("http://141.218.60.56/~jnz1568/getInfo.php?workbook=14_09.xlsx&amp;sheet=U0&amp;row=4805&amp;col=6&amp;number=3.1&amp;sourceID=14","3.1")</f>
        <v>3.1</v>
      </c>
      <c r="G4805" s="4" t="str">
        <f>HYPERLINK("http://141.218.60.56/~jnz1568/getInfo.php?workbook=14_09.xlsx&amp;sheet=U0&amp;row=4805&amp;col=7&amp;number=0.0846&amp;sourceID=14","0.0846")</f>
        <v>0.0846</v>
      </c>
    </row>
    <row r="4806" spans="1:7">
      <c r="A4806" s="3"/>
      <c r="B4806" s="3"/>
      <c r="C4806" s="3"/>
      <c r="D4806" s="3"/>
      <c r="E4806" s="3">
        <v>3</v>
      </c>
      <c r="F4806" s="4" t="str">
        <f>HYPERLINK("http://141.218.60.56/~jnz1568/getInfo.php?workbook=14_09.xlsx&amp;sheet=U0&amp;row=4806&amp;col=6&amp;number=3.2&amp;sourceID=14","3.2")</f>
        <v>3.2</v>
      </c>
      <c r="G4806" s="4" t="str">
        <f>HYPERLINK("http://141.218.60.56/~jnz1568/getInfo.php?workbook=14_09.xlsx&amp;sheet=U0&amp;row=4806&amp;col=7&amp;number=0.0846&amp;sourceID=14","0.0846")</f>
        <v>0.0846</v>
      </c>
    </row>
    <row r="4807" spans="1:7">
      <c r="A4807" s="3"/>
      <c r="B4807" s="3"/>
      <c r="C4807" s="3"/>
      <c r="D4807" s="3"/>
      <c r="E4807" s="3">
        <v>4</v>
      </c>
      <c r="F4807" s="4" t="str">
        <f>HYPERLINK("http://141.218.60.56/~jnz1568/getInfo.php?workbook=14_09.xlsx&amp;sheet=U0&amp;row=4807&amp;col=6&amp;number=3.3&amp;sourceID=14","3.3")</f>
        <v>3.3</v>
      </c>
      <c r="G4807" s="4" t="str">
        <f>HYPERLINK("http://141.218.60.56/~jnz1568/getInfo.php?workbook=14_09.xlsx&amp;sheet=U0&amp;row=4807&amp;col=7&amp;number=0.0846&amp;sourceID=14","0.0846")</f>
        <v>0.0846</v>
      </c>
    </row>
    <row r="4808" spans="1:7">
      <c r="A4808" s="3"/>
      <c r="B4808" s="3"/>
      <c r="C4808" s="3"/>
      <c r="D4808" s="3"/>
      <c r="E4808" s="3">
        <v>5</v>
      </c>
      <c r="F4808" s="4" t="str">
        <f>HYPERLINK("http://141.218.60.56/~jnz1568/getInfo.php?workbook=14_09.xlsx&amp;sheet=U0&amp;row=4808&amp;col=6&amp;number=3.4&amp;sourceID=14","3.4")</f>
        <v>3.4</v>
      </c>
      <c r="G4808" s="4" t="str">
        <f>HYPERLINK("http://141.218.60.56/~jnz1568/getInfo.php?workbook=14_09.xlsx&amp;sheet=U0&amp;row=4808&amp;col=7&amp;number=0.0845&amp;sourceID=14","0.0845")</f>
        <v>0.0845</v>
      </c>
    </row>
    <row r="4809" spans="1:7">
      <c r="A4809" s="3"/>
      <c r="B4809" s="3"/>
      <c r="C4809" s="3"/>
      <c r="D4809" s="3"/>
      <c r="E4809" s="3">
        <v>6</v>
      </c>
      <c r="F4809" s="4" t="str">
        <f>HYPERLINK("http://141.218.60.56/~jnz1568/getInfo.php?workbook=14_09.xlsx&amp;sheet=U0&amp;row=4809&amp;col=6&amp;number=3.5&amp;sourceID=14","3.5")</f>
        <v>3.5</v>
      </c>
      <c r="G4809" s="4" t="str">
        <f>HYPERLINK("http://141.218.60.56/~jnz1568/getInfo.php?workbook=14_09.xlsx&amp;sheet=U0&amp;row=4809&amp;col=7&amp;number=0.0845&amp;sourceID=14","0.0845")</f>
        <v>0.0845</v>
      </c>
    </row>
    <row r="4810" spans="1:7">
      <c r="A4810" s="3"/>
      <c r="B4810" s="3"/>
      <c r="C4810" s="3"/>
      <c r="D4810" s="3"/>
      <c r="E4810" s="3">
        <v>7</v>
      </c>
      <c r="F4810" s="4" t="str">
        <f>HYPERLINK("http://141.218.60.56/~jnz1568/getInfo.php?workbook=14_09.xlsx&amp;sheet=U0&amp;row=4810&amp;col=6&amp;number=3.6&amp;sourceID=14","3.6")</f>
        <v>3.6</v>
      </c>
      <c r="G4810" s="4" t="str">
        <f>HYPERLINK("http://141.218.60.56/~jnz1568/getInfo.php?workbook=14_09.xlsx&amp;sheet=U0&amp;row=4810&amp;col=7&amp;number=0.0845&amp;sourceID=14","0.0845")</f>
        <v>0.0845</v>
      </c>
    </row>
    <row r="4811" spans="1:7">
      <c r="A4811" s="3"/>
      <c r="B4811" s="3"/>
      <c r="C4811" s="3"/>
      <c r="D4811" s="3"/>
      <c r="E4811" s="3">
        <v>8</v>
      </c>
      <c r="F4811" s="4" t="str">
        <f>HYPERLINK("http://141.218.60.56/~jnz1568/getInfo.php?workbook=14_09.xlsx&amp;sheet=U0&amp;row=4811&amp;col=6&amp;number=3.7&amp;sourceID=14","3.7")</f>
        <v>3.7</v>
      </c>
      <c r="G4811" s="4" t="str">
        <f>HYPERLINK("http://141.218.60.56/~jnz1568/getInfo.php?workbook=14_09.xlsx&amp;sheet=U0&amp;row=4811&amp;col=7&amp;number=0.0844&amp;sourceID=14","0.0844")</f>
        <v>0.0844</v>
      </c>
    </row>
    <row r="4812" spans="1:7">
      <c r="A4812" s="3"/>
      <c r="B4812" s="3"/>
      <c r="C4812" s="3"/>
      <c r="D4812" s="3"/>
      <c r="E4812" s="3">
        <v>9</v>
      </c>
      <c r="F4812" s="4" t="str">
        <f>HYPERLINK("http://141.218.60.56/~jnz1568/getInfo.php?workbook=14_09.xlsx&amp;sheet=U0&amp;row=4812&amp;col=6&amp;number=3.8&amp;sourceID=14","3.8")</f>
        <v>3.8</v>
      </c>
      <c r="G4812" s="4" t="str">
        <f>HYPERLINK("http://141.218.60.56/~jnz1568/getInfo.php?workbook=14_09.xlsx&amp;sheet=U0&amp;row=4812&amp;col=7&amp;number=0.0844&amp;sourceID=14","0.0844")</f>
        <v>0.0844</v>
      </c>
    </row>
    <row r="4813" spans="1:7">
      <c r="A4813" s="3"/>
      <c r="B4813" s="3"/>
      <c r="C4813" s="3"/>
      <c r="D4813" s="3"/>
      <c r="E4813" s="3">
        <v>10</v>
      </c>
      <c r="F4813" s="4" t="str">
        <f>HYPERLINK("http://141.218.60.56/~jnz1568/getInfo.php?workbook=14_09.xlsx&amp;sheet=U0&amp;row=4813&amp;col=6&amp;number=3.9&amp;sourceID=14","3.9")</f>
        <v>3.9</v>
      </c>
      <c r="G4813" s="4" t="str">
        <f>HYPERLINK("http://141.218.60.56/~jnz1568/getInfo.php?workbook=14_09.xlsx&amp;sheet=U0&amp;row=4813&amp;col=7&amp;number=0.0843&amp;sourceID=14","0.0843")</f>
        <v>0.0843</v>
      </c>
    </row>
    <row r="4814" spans="1:7">
      <c r="A4814" s="3"/>
      <c r="B4814" s="3"/>
      <c r="C4814" s="3"/>
      <c r="D4814" s="3"/>
      <c r="E4814" s="3">
        <v>11</v>
      </c>
      <c r="F4814" s="4" t="str">
        <f>HYPERLINK("http://141.218.60.56/~jnz1568/getInfo.php?workbook=14_09.xlsx&amp;sheet=U0&amp;row=4814&amp;col=6&amp;number=4&amp;sourceID=14","4")</f>
        <v>4</v>
      </c>
      <c r="G4814" s="4" t="str">
        <f>HYPERLINK("http://141.218.60.56/~jnz1568/getInfo.php?workbook=14_09.xlsx&amp;sheet=U0&amp;row=4814&amp;col=7&amp;number=0.0842&amp;sourceID=14","0.0842")</f>
        <v>0.0842</v>
      </c>
    </row>
    <row r="4815" spans="1:7">
      <c r="A4815" s="3"/>
      <c r="B4815" s="3"/>
      <c r="C4815" s="3"/>
      <c r="D4815" s="3"/>
      <c r="E4815" s="3">
        <v>12</v>
      </c>
      <c r="F4815" s="4" t="str">
        <f>HYPERLINK("http://141.218.60.56/~jnz1568/getInfo.php?workbook=14_09.xlsx&amp;sheet=U0&amp;row=4815&amp;col=6&amp;number=4.1&amp;sourceID=14","4.1")</f>
        <v>4.1</v>
      </c>
      <c r="G4815" s="4" t="str">
        <f>HYPERLINK("http://141.218.60.56/~jnz1568/getInfo.php?workbook=14_09.xlsx&amp;sheet=U0&amp;row=4815&amp;col=7&amp;number=0.0841&amp;sourceID=14","0.0841")</f>
        <v>0.0841</v>
      </c>
    </row>
    <row r="4816" spans="1:7">
      <c r="A4816" s="3"/>
      <c r="B4816" s="3"/>
      <c r="C4816" s="3"/>
      <c r="D4816" s="3"/>
      <c r="E4816" s="3">
        <v>13</v>
      </c>
      <c r="F4816" s="4" t="str">
        <f>HYPERLINK("http://141.218.60.56/~jnz1568/getInfo.php?workbook=14_09.xlsx&amp;sheet=U0&amp;row=4816&amp;col=6&amp;number=4.2&amp;sourceID=14","4.2")</f>
        <v>4.2</v>
      </c>
      <c r="G4816" s="4" t="str">
        <f>HYPERLINK("http://141.218.60.56/~jnz1568/getInfo.php?workbook=14_09.xlsx&amp;sheet=U0&amp;row=4816&amp;col=7&amp;number=0.0839&amp;sourceID=14","0.0839")</f>
        <v>0.0839</v>
      </c>
    </row>
    <row r="4817" spans="1:7">
      <c r="A4817" s="3"/>
      <c r="B4817" s="3"/>
      <c r="C4817" s="3"/>
      <c r="D4817" s="3"/>
      <c r="E4817" s="3">
        <v>14</v>
      </c>
      <c r="F4817" s="4" t="str">
        <f>HYPERLINK("http://141.218.60.56/~jnz1568/getInfo.php?workbook=14_09.xlsx&amp;sheet=U0&amp;row=4817&amp;col=6&amp;number=4.3&amp;sourceID=14","4.3")</f>
        <v>4.3</v>
      </c>
      <c r="G4817" s="4" t="str">
        <f>HYPERLINK("http://141.218.60.56/~jnz1568/getInfo.php?workbook=14_09.xlsx&amp;sheet=U0&amp;row=4817&amp;col=7&amp;number=0.0837&amp;sourceID=14","0.0837")</f>
        <v>0.0837</v>
      </c>
    </row>
    <row r="4818" spans="1:7">
      <c r="A4818" s="3"/>
      <c r="B4818" s="3"/>
      <c r="C4818" s="3"/>
      <c r="D4818" s="3"/>
      <c r="E4818" s="3">
        <v>15</v>
      </c>
      <c r="F4818" s="4" t="str">
        <f>HYPERLINK("http://141.218.60.56/~jnz1568/getInfo.php?workbook=14_09.xlsx&amp;sheet=U0&amp;row=4818&amp;col=6&amp;number=4.4&amp;sourceID=14","4.4")</f>
        <v>4.4</v>
      </c>
      <c r="G4818" s="4" t="str">
        <f>HYPERLINK("http://141.218.60.56/~jnz1568/getInfo.php?workbook=14_09.xlsx&amp;sheet=U0&amp;row=4818&amp;col=7&amp;number=0.0835&amp;sourceID=14","0.0835")</f>
        <v>0.0835</v>
      </c>
    </row>
    <row r="4819" spans="1:7">
      <c r="A4819" s="3"/>
      <c r="B4819" s="3"/>
      <c r="C4819" s="3"/>
      <c r="D4819" s="3"/>
      <c r="E4819" s="3">
        <v>16</v>
      </c>
      <c r="F4819" s="4" t="str">
        <f>HYPERLINK("http://141.218.60.56/~jnz1568/getInfo.php?workbook=14_09.xlsx&amp;sheet=U0&amp;row=4819&amp;col=6&amp;number=4.5&amp;sourceID=14","4.5")</f>
        <v>4.5</v>
      </c>
      <c r="G4819" s="4" t="str">
        <f>HYPERLINK("http://141.218.60.56/~jnz1568/getInfo.php?workbook=14_09.xlsx&amp;sheet=U0&amp;row=4819&amp;col=7&amp;number=0.0832&amp;sourceID=14","0.0832")</f>
        <v>0.0832</v>
      </c>
    </row>
    <row r="4820" spans="1:7">
      <c r="A4820" s="3"/>
      <c r="B4820" s="3"/>
      <c r="C4820" s="3"/>
      <c r="D4820" s="3"/>
      <c r="E4820" s="3">
        <v>17</v>
      </c>
      <c r="F4820" s="4" t="str">
        <f>HYPERLINK("http://141.218.60.56/~jnz1568/getInfo.php?workbook=14_09.xlsx&amp;sheet=U0&amp;row=4820&amp;col=6&amp;number=4.6&amp;sourceID=14","4.6")</f>
        <v>4.6</v>
      </c>
      <c r="G4820" s="4" t="str">
        <f>HYPERLINK("http://141.218.60.56/~jnz1568/getInfo.php?workbook=14_09.xlsx&amp;sheet=U0&amp;row=4820&amp;col=7&amp;number=0.0829&amp;sourceID=14","0.0829")</f>
        <v>0.0829</v>
      </c>
    </row>
    <row r="4821" spans="1:7">
      <c r="A4821" s="3"/>
      <c r="B4821" s="3"/>
      <c r="C4821" s="3"/>
      <c r="D4821" s="3"/>
      <c r="E4821" s="3">
        <v>18</v>
      </c>
      <c r="F4821" s="4" t="str">
        <f>HYPERLINK("http://141.218.60.56/~jnz1568/getInfo.php?workbook=14_09.xlsx&amp;sheet=U0&amp;row=4821&amp;col=6&amp;number=4.7&amp;sourceID=14","4.7")</f>
        <v>4.7</v>
      </c>
      <c r="G4821" s="4" t="str">
        <f>HYPERLINK("http://141.218.60.56/~jnz1568/getInfo.php?workbook=14_09.xlsx&amp;sheet=U0&amp;row=4821&amp;col=7&amp;number=0.0825&amp;sourceID=14","0.0825")</f>
        <v>0.0825</v>
      </c>
    </row>
    <row r="4822" spans="1:7">
      <c r="A4822" s="3"/>
      <c r="B4822" s="3"/>
      <c r="C4822" s="3"/>
      <c r="D4822" s="3"/>
      <c r="E4822" s="3">
        <v>19</v>
      </c>
      <c r="F4822" s="4" t="str">
        <f>HYPERLINK("http://141.218.60.56/~jnz1568/getInfo.php?workbook=14_09.xlsx&amp;sheet=U0&amp;row=4822&amp;col=6&amp;number=4.8&amp;sourceID=14","4.8")</f>
        <v>4.8</v>
      </c>
      <c r="G4822" s="4" t="str">
        <f>HYPERLINK("http://141.218.60.56/~jnz1568/getInfo.php?workbook=14_09.xlsx&amp;sheet=U0&amp;row=4822&amp;col=7&amp;number=0.0821&amp;sourceID=14","0.0821")</f>
        <v>0.0821</v>
      </c>
    </row>
    <row r="4823" spans="1:7">
      <c r="A4823" s="3"/>
      <c r="B4823" s="3"/>
      <c r="C4823" s="3"/>
      <c r="D4823" s="3"/>
      <c r="E4823" s="3">
        <v>20</v>
      </c>
      <c r="F4823" s="4" t="str">
        <f>HYPERLINK("http://141.218.60.56/~jnz1568/getInfo.php?workbook=14_09.xlsx&amp;sheet=U0&amp;row=4823&amp;col=6&amp;number=4.9&amp;sourceID=14","4.9")</f>
        <v>4.9</v>
      </c>
      <c r="G4823" s="4" t="str">
        <f>HYPERLINK("http://141.218.60.56/~jnz1568/getInfo.php?workbook=14_09.xlsx&amp;sheet=U0&amp;row=4823&amp;col=7&amp;number=0.0817&amp;sourceID=14","0.0817")</f>
        <v>0.0817</v>
      </c>
    </row>
    <row r="4824" spans="1:7">
      <c r="A4824" s="3">
        <v>14</v>
      </c>
      <c r="B4824" s="3">
        <v>9</v>
      </c>
      <c r="C4824" s="3">
        <v>2</v>
      </c>
      <c r="D4824" s="3">
        <v>50</v>
      </c>
      <c r="E4824" s="3">
        <v>1</v>
      </c>
      <c r="F4824" s="4" t="str">
        <f>HYPERLINK("http://141.218.60.56/~jnz1568/getInfo.php?workbook=14_09.xlsx&amp;sheet=U0&amp;row=4824&amp;col=6&amp;number=3&amp;sourceID=14","3")</f>
        <v>3</v>
      </c>
      <c r="G4824" s="4" t="str">
        <f>HYPERLINK("http://141.218.60.56/~jnz1568/getInfo.php?workbook=14_09.xlsx&amp;sheet=U0&amp;row=4824&amp;col=7&amp;number=0.0462&amp;sourceID=14","0.0462")</f>
        <v>0.0462</v>
      </c>
    </row>
    <row r="4825" spans="1:7">
      <c r="A4825" s="3"/>
      <c r="B4825" s="3"/>
      <c r="C4825" s="3"/>
      <c r="D4825" s="3"/>
      <c r="E4825" s="3">
        <v>2</v>
      </c>
      <c r="F4825" s="4" t="str">
        <f>HYPERLINK("http://141.218.60.56/~jnz1568/getInfo.php?workbook=14_09.xlsx&amp;sheet=U0&amp;row=4825&amp;col=6&amp;number=3.1&amp;sourceID=14","3.1")</f>
        <v>3.1</v>
      </c>
      <c r="G4825" s="4" t="str">
        <f>HYPERLINK("http://141.218.60.56/~jnz1568/getInfo.php?workbook=14_09.xlsx&amp;sheet=U0&amp;row=4825&amp;col=7&amp;number=0.0461&amp;sourceID=14","0.0461")</f>
        <v>0.0461</v>
      </c>
    </row>
    <row r="4826" spans="1:7">
      <c r="A4826" s="3"/>
      <c r="B4826" s="3"/>
      <c r="C4826" s="3"/>
      <c r="D4826" s="3"/>
      <c r="E4826" s="3">
        <v>3</v>
      </c>
      <c r="F4826" s="4" t="str">
        <f>HYPERLINK("http://141.218.60.56/~jnz1568/getInfo.php?workbook=14_09.xlsx&amp;sheet=U0&amp;row=4826&amp;col=6&amp;number=3.2&amp;sourceID=14","3.2")</f>
        <v>3.2</v>
      </c>
      <c r="G4826" s="4" t="str">
        <f>HYPERLINK("http://141.218.60.56/~jnz1568/getInfo.php?workbook=14_09.xlsx&amp;sheet=U0&amp;row=4826&amp;col=7&amp;number=0.046&amp;sourceID=14","0.046")</f>
        <v>0.046</v>
      </c>
    </row>
    <row r="4827" spans="1:7">
      <c r="A4827" s="3"/>
      <c r="B4827" s="3"/>
      <c r="C4827" s="3"/>
      <c r="D4827" s="3"/>
      <c r="E4827" s="3">
        <v>4</v>
      </c>
      <c r="F4827" s="4" t="str">
        <f>HYPERLINK("http://141.218.60.56/~jnz1568/getInfo.php?workbook=14_09.xlsx&amp;sheet=U0&amp;row=4827&amp;col=6&amp;number=3.3&amp;sourceID=14","3.3")</f>
        <v>3.3</v>
      </c>
      <c r="G4827" s="4" t="str">
        <f>HYPERLINK("http://141.218.60.56/~jnz1568/getInfo.php?workbook=14_09.xlsx&amp;sheet=U0&amp;row=4827&amp;col=7&amp;number=0.0459&amp;sourceID=14","0.0459")</f>
        <v>0.0459</v>
      </c>
    </row>
    <row r="4828" spans="1:7">
      <c r="A4828" s="3"/>
      <c r="B4828" s="3"/>
      <c r="C4828" s="3"/>
      <c r="D4828" s="3"/>
      <c r="E4828" s="3">
        <v>5</v>
      </c>
      <c r="F4828" s="4" t="str">
        <f>HYPERLINK("http://141.218.60.56/~jnz1568/getInfo.php?workbook=14_09.xlsx&amp;sheet=U0&amp;row=4828&amp;col=6&amp;number=3.4&amp;sourceID=14","3.4")</f>
        <v>3.4</v>
      </c>
      <c r="G4828" s="4" t="str">
        <f>HYPERLINK("http://141.218.60.56/~jnz1568/getInfo.php?workbook=14_09.xlsx&amp;sheet=U0&amp;row=4828&amp;col=7&amp;number=0.0458&amp;sourceID=14","0.0458")</f>
        <v>0.0458</v>
      </c>
    </row>
    <row r="4829" spans="1:7">
      <c r="A4829" s="3"/>
      <c r="B4829" s="3"/>
      <c r="C4829" s="3"/>
      <c r="D4829" s="3"/>
      <c r="E4829" s="3">
        <v>6</v>
      </c>
      <c r="F4829" s="4" t="str">
        <f>HYPERLINK("http://141.218.60.56/~jnz1568/getInfo.php?workbook=14_09.xlsx&amp;sheet=U0&amp;row=4829&amp;col=6&amp;number=3.5&amp;sourceID=14","3.5")</f>
        <v>3.5</v>
      </c>
      <c r="G4829" s="4" t="str">
        <f>HYPERLINK("http://141.218.60.56/~jnz1568/getInfo.php?workbook=14_09.xlsx&amp;sheet=U0&amp;row=4829&amp;col=7&amp;number=0.0457&amp;sourceID=14","0.0457")</f>
        <v>0.0457</v>
      </c>
    </row>
    <row r="4830" spans="1:7">
      <c r="A4830" s="3"/>
      <c r="B4830" s="3"/>
      <c r="C4830" s="3"/>
      <c r="D4830" s="3"/>
      <c r="E4830" s="3">
        <v>7</v>
      </c>
      <c r="F4830" s="4" t="str">
        <f>HYPERLINK("http://141.218.60.56/~jnz1568/getInfo.php?workbook=14_09.xlsx&amp;sheet=U0&amp;row=4830&amp;col=6&amp;number=3.6&amp;sourceID=14","3.6")</f>
        <v>3.6</v>
      </c>
      <c r="G4830" s="4" t="str">
        <f>HYPERLINK("http://141.218.60.56/~jnz1568/getInfo.php?workbook=14_09.xlsx&amp;sheet=U0&amp;row=4830&amp;col=7&amp;number=0.0455&amp;sourceID=14","0.0455")</f>
        <v>0.0455</v>
      </c>
    </row>
    <row r="4831" spans="1:7">
      <c r="A4831" s="3"/>
      <c r="B4831" s="3"/>
      <c r="C4831" s="3"/>
      <c r="D4831" s="3"/>
      <c r="E4831" s="3">
        <v>8</v>
      </c>
      <c r="F4831" s="4" t="str">
        <f>HYPERLINK("http://141.218.60.56/~jnz1568/getInfo.php?workbook=14_09.xlsx&amp;sheet=U0&amp;row=4831&amp;col=6&amp;number=3.7&amp;sourceID=14","3.7")</f>
        <v>3.7</v>
      </c>
      <c r="G4831" s="4" t="str">
        <f>HYPERLINK("http://141.218.60.56/~jnz1568/getInfo.php?workbook=14_09.xlsx&amp;sheet=U0&amp;row=4831&amp;col=7&amp;number=0.0453&amp;sourceID=14","0.0453")</f>
        <v>0.0453</v>
      </c>
    </row>
    <row r="4832" spans="1:7">
      <c r="A4832" s="3"/>
      <c r="B4832" s="3"/>
      <c r="C4832" s="3"/>
      <c r="D4832" s="3"/>
      <c r="E4832" s="3">
        <v>9</v>
      </c>
      <c r="F4832" s="4" t="str">
        <f>HYPERLINK("http://141.218.60.56/~jnz1568/getInfo.php?workbook=14_09.xlsx&amp;sheet=U0&amp;row=4832&amp;col=6&amp;number=3.8&amp;sourceID=14","3.8")</f>
        <v>3.8</v>
      </c>
      <c r="G4832" s="4" t="str">
        <f>HYPERLINK("http://141.218.60.56/~jnz1568/getInfo.php?workbook=14_09.xlsx&amp;sheet=U0&amp;row=4832&amp;col=7&amp;number=0.045&amp;sourceID=14","0.045")</f>
        <v>0.045</v>
      </c>
    </row>
    <row r="4833" spans="1:7">
      <c r="A4833" s="3"/>
      <c r="B4833" s="3"/>
      <c r="C4833" s="3"/>
      <c r="D4833" s="3"/>
      <c r="E4833" s="3">
        <v>10</v>
      </c>
      <c r="F4833" s="4" t="str">
        <f>HYPERLINK("http://141.218.60.56/~jnz1568/getInfo.php?workbook=14_09.xlsx&amp;sheet=U0&amp;row=4833&amp;col=6&amp;number=3.9&amp;sourceID=14","3.9")</f>
        <v>3.9</v>
      </c>
      <c r="G4833" s="4" t="str">
        <f>HYPERLINK("http://141.218.60.56/~jnz1568/getInfo.php?workbook=14_09.xlsx&amp;sheet=U0&amp;row=4833&amp;col=7&amp;number=0.0446&amp;sourceID=14","0.0446")</f>
        <v>0.0446</v>
      </c>
    </row>
    <row r="4834" spans="1:7">
      <c r="A4834" s="3"/>
      <c r="B4834" s="3"/>
      <c r="C4834" s="3"/>
      <c r="D4834" s="3"/>
      <c r="E4834" s="3">
        <v>11</v>
      </c>
      <c r="F4834" s="4" t="str">
        <f>HYPERLINK("http://141.218.60.56/~jnz1568/getInfo.php?workbook=14_09.xlsx&amp;sheet=U0&amp;row=4834&amp;col=6&amp;number=4&amp;sourceID=14","4")</f>
        <v>4</v>
      </c>
      <c r="G4834" s="4" t="str">
        <f>HYPERLINK("http://141.218.60.56/~jnz1568/getInfo.php?workbook=14_09.xlsx&amp;sheet=U0&amp;row=4834&amp;col=7&amp;number=0.0442&amp;sourceID=14","0.0442")</f>
        <v>0.0442</v>
      </c>
    </row>
    <row r="4835" spans="1:7">
      <c r="A4835" s="3"/>
      <c r="B4835" s="3"/>
      <c r="C4835" s="3"/>
      <c r="D4835" s="3"/>
      <c r="E4835" s="3">
        <v>12</v>
      </c>
      <c r="F4835" s="4" t="str">
        <f>HYPERLINK("http://141.218.60.56/~jnz1568/getInfo.php?workbook=14_09.xlsx&amp;sheet=U0&amp;row=4835&amp;col=6&amp;number=4.1&amp;sourceID=14","4.1")</f>
        <v>4.1</v>
      </c>
      <c r="G4835" s="4" t="str">
        <f>HYPERLINK("http://141.218.60.56/~jnz1568/getInfo.php?workbook=14_09.xlsx&amp;sheet=U0&amp;row=4835&amp;col=7&amp;number=0.0436&amp;sourceID=14","0.0436")</f>
        <v>0.0436</v>
      </c>
    </row>
    <row r="4836" spans="1:7">
      <c r="A4836" s="3"/>
      <c r="B4836" s="3"/>
      <c r="C4836" s="3"/>
      <c r="D4836" s="3"/>
      <c r="E4836" s="3">
        <v>13</v>
      </c>
      <c r="F4836" s="4" t="str">
        <f>HYPERLINK("http://141.218.60.56/~jnz1568/getInfo.php?workbook=14_09.xlsx&amp;sheet=U0&amp;row=4836&amp;col=6&amp;number=4.2&amp;sourceID=14","4.2")</f>
        <v>4.2</v>
      </c>
      <c r="G4836" s="4" t="str">
        <f>HYPERLINK("http://141.218.60.56/~jnz1568/getInfo.php?workbook=14_09.xlsx&amp;sheet=U0&amp;row=4836&amp;col=7&amp;number=0.0429&amp;sourceID=14","0.0429")</f>
        <v>0.0429</v>
      </c>
    </row>
    <row r="4837" spans="1:7">
      <c r="A4837" s="3"/>
      <c r="B4837" s="3"/>
      <c r="C4837" s="3"/>
      <c r="D4837" s="3"/>
      <c r="E4837" s="3">
        <v>14</v>
      </c>
      <c r="F4837" s="4" t="str">
        <f>HYPERLINK("http://141.218.60.56/~jnz1568/getInfo.php?workbook=14_09.xlsx&amp;sheet=U0&amp;row=4837&amp;col=6&amp;number=4.3&amp;sourceID=14","4.3")</f>
        <v>4.3</v>
      </c>
      <c r="G4837" s="4" t="str">
        <f>HYPERLINK("http://141.218.60.56/~jnz1568/getInfo.php?workbook=14_09.xlsx&amp;sheet=U0&amp;row=4837&amp;col=7&amp;number=0.042&amp;sourceID=14","0.042")</f>
        <v>0.042</v>
      </c>
    </row>
    <row r="4838" spans="1:7">
      <c r="A4838" s="3"/>
      <c r="B4838" s="3"/>
      <c r="C4838" s="3"/>
      <c r="D4838" s="3"/>
      <c r="E4838" s="3">
        <v>15</v>
      </c>
      <c r="F4838" s="4" t="str">
        <f>HYPERLINK("http://141.218.60.56/~jnz1568/getInfo.php?workbook=14_09.xlsx&amp;sheet=U0&amp;row=4838&amp;col=6&amp;number=4.4&amp;sourceID=14","4.4")</f>
        <v>4.4</v>
      </c>
      <c r="G4838" s="4" t="str">
        <f>HYPERLINK("http://141.218.60.56/~jnz1568/getInfo.php?workbook=14_09.xlsx&amp;sheet=U0&amp;row=4838&amp;col=7&amp;number=0.041&amp;sourceID=14","0.041")</f>
        <v>0.041</v>
      </c>
    </row>
    <row r="4839" spans="1:7">
      <c r="A4839" s="3"/>
      <c r="B4839" s="3"/>
      <c r="C4839" s="3"/>
      <c r="D4839" s="3"/>
      <c r="E4839" s="3">
        <v>16</v>
      </c>
      <c r="F4839" s="4" t="str">
        <f>HYPERLINK("http://141.218.60.56/~jnz1568/getInfo.php?workbook=14_09.xlsx&amp;sheet=U0&amp;row=4839&amp;col=6&amp;number=4.5&amp;sourceID=14","4.5")</f>
        <v>4.5</v>
      </c>
      <c r="G4839" s="4" t="str">
        <f>HYPERLINK("http://141.218.60.56/~jnz1568/getInfo.php?workbook=14_09.xlsx&amp;sheet=U0&amp;row=4839&amp;col=7&amp;number=0.0397&amp;sourceID=14","0.0397")</f>
        <v>0.0397</v>
      </c>
    </row>
    <row r="4840" spans="1:7">
      <c r="A4840" s="3"/>
      <c r="B4840" s="3"/>
      <c r="C4840" s="3"/>
      <c r="D4840" s="3"/>
      <c r="E4840" s="3">
        <v>17</v>
      </c>
      <c r="F4840" s="4" t="str">
        <f>HYPERLINK("http://141.218.60.56/~jnz1568/getInfo.php?workbook=14_09.xlsx&amp;sheet=U0&amp;row=4840&amp;col=6&amp;number=4.6&amp;sourceID=14","4.6")</f>
        <v>4.6</v>
      </c>
      <c r="G4840" s="4" t="str">
        <f>HYPERLINK("http://141.218.60.56/~jnz1568/getInfo.php?workbook=14_09.xlsx&amp;sheet=U0&amp;row=4840&amp;col=7&amp;number=0.0381&amp;sourceID=14","0.0381")</f>
        <v>0.0381</v>
      </c>
    </row>
    <row r="4841" spans="1:7">
      <c r="A4841" s="3"/>
      <c r="B4841" s="3"/>
      <c r="C4841" s="3"/>
      <c r="D4841" s="3"/>
      <c r="E4841" s="3">
        <v>18</v>
      </c>
      <c r="F4841" s="4" t="str">
        <f>HYPERLINK("http://141.218.60.56/~jnz1568/getInfo.php?workbook=14_09.xlsx&amp;sheet=U0&amp;row=4841&amp;col=6&amp;number=4.7&amp;sourceID=14","4.7")</f>
        <v>4.7</v>
      </c>
      <c r="G4841" s="4" t="str">
        <f>HYPERLINK("http://141.218.60.56/~jnz1568/getInfo.php?workbook=14_09.xlsx&amp;sheet=U0&amp;row=4841&amp;col=7&amp;number=0.0363&amp;sourceID=14","0.0363")</f>
        <v>0.0363</v>
      </c>
    </row>
    <row r="4842" spans="1:7">
      <c r="A4842" s="3"/>
      <c r="B4842" s="3"/>
      <c r="C4842" s="3"/>
      <c r="D4842" s="3"/>
      <c r="E4842" s="3">
        <v>19</v>
      </c>
      <c r="F4842" s="4" t="str">
        <f>HYPERLINK("http://141.218.60.56/~jnz1568/getInfo.php?workbook=14_09.xlsx&amp;sheet=U0&amp;row=4842&amp;col=6&amp;number=4.8&amp;sourceID=14","4.8")</f>
        <v>4.8</v>
      </c>
      <c r="G4842" s="4" t="str">
        <f>HYPERLINK("http://141.218.60.56/~jnz1568/getInfo.php?workbook=14_09.xlsx&amp;sheet=U0&amp;row=4842&amp;col=7&amp;number=0.0342&amp;sourceID=14","0.0342")</f>
        <v>0.0342</v>
      </c>
    </row>
    <row r="4843" spans="1:7">
      <c r="A4843" s="3"/>
      <c r="B4843" s="3"/>
      <c r="C4843" s="3"/>
      <c r="D4843" s="3"/>
      <c r="E4843" s="3">
        <v>20</v>
      </c>
      <c r="F4843" s="4" t="str">
        <f>HYPERLINK("http://141.218.60.56/~jnz1568/getInfo.php?workbook=14_09.xlsx&amp;sheet=U0&amp;row=4843&amp;col=6&amp;number=4.9&amp;sourceID=14","4.9")</f>
        <v>4.9</v>
      </c>
      <c r="G4843" s="4" t="str">
        <f>HYPERLINK("http://141.218.60.56/~jnz1568/getInfo.php?workbook=14_09.xlsx&amp;sheet=U0&amp;row=4843&amp;col=7&amp;number=0.0319&amp;sourceID=14","0.0319")</f>
        <v>0.0319</v>
      </c>
    </row>
    <row r="4844" spans="1:7">
      <c r="A4844" s="3">
        <v>14</v>
      </c>
      <c r="B4844" s="3">
        <v>9</v>
      </c>
      <c r="C4844" s="3">
        <v>2</v>
      </c>
      <c r="D4844" s="3">
        <v>51</v>
      </c>
      <c r="E4844" s="3">
        <v>1</v>
      </c>
      <c r="F4844" s="4" t="str">
        <f>HYPERLINK("http://141.218.60.56/~jnz1568/getInfo.php?workbook=14_09.xlsx&amp;sheet=U0&amp;row=4844&amp;col=6&amp;number=3&amp;sourceID=14","3")</f>
        <v>3</v>
      </c>
      <c r="G4844" s="4" t="str">
        <f>HYPERLINK("http://141.218.60.56/~jnz1568/getInfo.php?workbook=14_09.xlsx&amp;sheet=U0&amp;row=4844&amp;col=7&amp;number=0.0452&amp;sourceID=14","0.0452")</f>
        <v>0.0452</v>
      </c>
    </row>
    <row r="4845" spans="1:7">
      <c r="A4845" s="3"/>
      <c r="B4845" s="3"/>
      <c r="C4845" s="3"/>
      <c r="D4845" s="3"/>
      <c r="E4845" s="3">
        <v>2</v>
      </c>
      <c r="F4845" s="4" t="str">
        <f>HYPERLINK("http://141.218.60.56/~jnz1568/getInfo.php?workbook=14_09.xlsx&amp;sheet=U0&amp;row=4845&amp;col=6&amp;number=3.1&amp;sourceID=14","3.1")</f>
        <v>3.1</v>
      </c>
      <c r="G4845" s="4" t="str">
        <f>HYPERLINK("http://141.218.60.56/~jnz1568/getInfo.php?workbook=14_09.xlsx&amp;sheet=U0&amp;row=4845&amp;col=7&amp;number=0.0451&amp;sourceID=14","0.0451")</f>
        <v>0.0451</v>
      </c>
    </row>
    <row r="4846" spans="1:7">
      <c r="A4846" s="3"/>
      <c r="B4846" s="3"/>
      <c r="C4846" s="3"/>
      <c r="D4846" s="3"/>
      <c r="E4846" s="3">
        <v>3</v>
      </c>
      <c r="F4846" s="4" t="str">
        <f>HYPERLINK("http://141.218.60.56/~jnz1568/getInfo.php?workbook=14_09.xlsx&amp;sheet=U0&amp;row=4846&amp;col=6&amp;number=3.2&amp;sourceID=14","3.2")</f>
        <v>3.2</v>
      </c>
      <c r="G4846" s="4" t="str">
        <f>HYPERLINK("http://141.218.60.56/~jnz1568/getInfo.php?workbook=14_09.xlsx&amp;sheet=U0&amp;row=4846&amp;col=7&amp;number=0.0451&amp;sourceID=14","0.0451")</f>
        <v>0.0451</v>
      </c>
    </row>
    <row r="4847" spans="1:7">
      <c r="A4847" s="3"/>
      <c r="B4847" s="3"/>
      <c r="C4847" s="3"/>
      <c r="D4847" s="3"/>
      <c r="E4847" s="3">
        <v>4</v>
      </c>
      <c r="F4847" s="4" t="str">
        <f>HYPERLINK("http://141.218.60.56/~jnz1568/getInfo.php?workbook=14_09.xlsx&amp;sheet=U0&amp;row=4847&amp;col=6&amp;number=3.3&amp;sourceID=14","3.3")</f>
        <v>3.3</v>
      </c>
      <c r="G4847" s="4" t="str">
        <f>HYPERLINK("http://141.218.60.56/~jnz1568/getInfo.php?workbook=14_09.xlsx&amp;sheet=U0&amp;row=4847&amp;col=7&amp;number=0.045&amp;sourceID=14","0.045")</f>
        <v>0.045</v>
      </c>
    </row>
    <row r="4848" spans="1:7">
      <c r="A4848" s="3"/>
      <c r="B4848" s="3"/>
      <c r="C4848" s="3"/>
      <c r="D4848" s="3"/>
      <c r="E4848" s="3">
        <v>5</v>
      </c>
      <c r="F4848" s="4" t="str">
        <f>HYPERLINK("http://141.218.60.56/~jnz1568/getInfo.php?workbook=14_09.xlsx&amp;sheet=U0&amp;row=4848&amp;col=6&amp;number=3.4&amp;sourceID=14","3.4")</f>
        <v>3.4</v>
      </c>
      <c r="G4848" s="4" t="str">
        <f>HYPERLINK("http://141.218.60.56/~jnz1568/getInfo.php?workbook=14_09.xlsx&amp;sheet=U0&amp;row=4848&amp;col=7&amp;number=0.045&amp;sourceID=14","0.045")</f>
        <v>0.045</v>
      </c>
    </row>
    <row r="4849" spans="1:7">
      <c r="A4849" s="3"/>
      <c r="B4849" s="3"/>
      <c r="C4849" s="3"/>
      <c r="D4849" s="3"/>
      <c r="E4849" s="3">
        <v>6</v>
      </c>
      <c r="F4849" s="4" t="str">
        <f>HYPERLINK("http://141.218.60.56/~jnz1568/getInfo.php?workbook=14_09.xlsx&amp;sheet=U0&amp;row=4849&amp;col=6&amp;number=3.5&amp;sourceID=14","3.5")</f>
        <v>3.5</v>
      </c>
      <c r="G4849" s="4" t="str">
        <f>HYPERLINK("http://141.218.60.56/~jnz1568/getInfo.php?workbook=14_09.xlsx&amp;sheet=U0&amp;row=4849&amp;col=7&amp;number=0.0449&amp;sourceID=14","0.0449")</f>
        <v>0.0449</v>
      </c>
    </row>
    <row r="4850" spans="1:7">
      <c r="A4850" s="3"/>
      <c r="B4850" s="3"/>
      <c r="C4850" s="3"/>
      <c r="D4850" s="3"/>
      <c r="E4850" s="3">
        <v>7</v>
      </c>
      <c r="F4850" s="4" t="str">
        <f>HYPERLINK("http://141.218.60.56/~jnz1568/getInfo.php?workbook=14_09.xlsx&amp;sheet=U0&amp;row=4850&amp;col=6&amp;number=3.6&amp;sourceID=14","3.6")</f>
        <v>3.6</v>
      </c>
      <c r="G4850" s="4" t="str">
        <f>HYPERLINK("http://141.218.60.56/~jnz1568/getInfo.php?workbook=14_09.xlsx&amp;sheet=U0&amp;row=4850&amp;col=7&amp;number=0.0448&amp;sourceID=14","0.0448")</f>
        <v>0.0448</v>
      </c>
    </row>
    <row r="4851" spans="1:7">
      <c r="A4851" s="3"/>
      <c r="B4851" s="3"/>
      <c r="C4851" s="3"/>
      <c r="D4851" s="3"/>
      <c r="E4851" s="3">
        <v>8</v>
      </c>
      <c r="F4851" s="4" t="str">
        <f>HYPERLINK("http://141.218.60.56/~jnz1568/getInfo.php?workbook=14_09.xlsx&amp;sheet=U0&amp;row=4851&amp;col=6&amp;number=3.7&amp;sourceID=14","3.7")</f>
        <v>3.7</v>
      </c>
      <c r="G4851" s="4" t="str">
        <f>HYPERLINK("http://141.218.60.56/~jnz1568/getInfo.php?workbook=14_09.xlsx&amp;sheet=U0&amp;row=4851&amp;col=7&amp;number=0.0446&amp;sourceID=14","0.0446")</f>
        <v>0.0446</v>
      </c>
    </row>
    <row r="4852" spans="1:7">
      <c r="A4852" s="3"/>
      <c r="B4852" s="3"/>
      <c r="C4852" s="3"/>
      <c r="D4852" s="3"/>
      <c r="E4852" s="3">
        <v>9</v>
      </c>
      <c r="F4852" s="4" t="str">
        <f>HYPERLINK("http://141.218.60.56/~jnz1568/getInfo.php?workbook=14_09.xlsx&amp;sheet=U0&amp;row=4852&amp;col=6&amp;number=3.8&amp;sourceID=14","3.8")</f>
        <v>3.8</v>
      </c>
      <c r="G4852" s="4" t="str">
        <f>HYPERLINK("http://141.218.60.56/~jnz1568/getInfo.php?workbook=14_09.xlsx&amp;sheet=U0&amp;row=4852&amp;col=7&amp;number=0.0445&amp;sourceID=14","0.0445")</f>
        <v>0.0445</v>
      </c>
    </row>
    <row r="4853" spans="1:7">
      <c r="A4853" s="3"/>
      <c r="B4853" s="3"/>
      <c r="C4853" s="3"/>
      <c r="D4853" s="3"/>
      <c r="E4853" s="3">
        <v>10</v>
      </c>
      <c r="F4853" s="4" t="str">
        <f>HYPERLINK("http://141.218.60.56/~jnz1568/getInfo.php?workbook=14_09.xlsx&amp;sheet=U0&amp;row=4853&amp;col=6&amp;number=3.9&amp;sourceID=14","3.9")</f>
        <v>3.9</v>
      </c>
      <c r="G4853" s="4" t="str">
        <f>HYPERLINK("http://141.218.60.56/~jnz1568/getInfo.php?workbook=14_09.xlsx&amp;sheet=U0&amp;row=4853&amp;col=7&amp;number=0.0442&amp;sourceID=14","0.0442")</f>
        <v>0.0442</v>
      </c>
    </row>
    <row r="4854" spans="1:7">
      <c r="A4854" s="3"/>
      <c r="B4854" s="3"/>
      <c r="C4854" s="3"/>
      <c r="D4854" s="3"/>
      <c r="E4854" s="3">
        <v>11</v>
      </c>
      <c r="F4854" s="4" t="str">
        <f>HYPERLINK("http://141.218.60.56/~jnz1568/getInfo.php?workbook=14_09.xlsx&amp;sheet=U0&amp;row=4854&amp;col=6&amp;number=4&amp;sourceID=14","4")</f>
        <v>4</v>
      </c>
      <c r="G4854" s="4" t="str">
        <f>HYPERLINK("http://141.218.60.56/~jnz1568/getInfo.php?workbook=14_09.xlsx&amp;sheet=U0&amp;row=4854&amp;col=7&amp;number=0.044&amp;sourceID=14","0.044")</f>
        <v>0.044</v>
      </c>
    </row>
    <row r="4855" spans="1:7">
      <c r="A4855" s="3"/>
      <c r="B4855" s="3"/>
      <c r="C4855" s="3"/>
      <c r="D4855" s="3"/>
      <c r="E4855" s="3">
        <v>12</v>
      </c>
      <c r="F4855" s="4" t="str">
        <f>HYPERLINK("http://141.218.60.56/~jnz1568/getInfo.php?workbook=14_09.xlsx&amp;sheet=U0&amp;row=4855&amp;col=6&amp;number=4.1&amp;sourceID=14","4.1")</f>
        <v>4.1</v>
      </c>
      <c r="G4855" s="4" t="str">
        <f>HYPERLINK("http://141.218.60.56/~jnz1568/getInfo.php?workbook=14_09.xlsx&amp;sheet=U0&amp;row=4855&amp;col=7&amp;number=0.0436&amp;sourceID=14","0.0436")</f>
        <v>0.0436</v>
      </c>
    </row>
    <row r="4856" spans="1:7">
      <c r="A4856" s="3"/>
      <c r="B4856" s="3"/>
      <c r="C4856" s="3"/>
      <c r="D4856" s="3"/>
      <c r="E4856" s="3">
        <v>13</v>
      </c>
      <c r="F4856" s="4" t="str">
        <f>HYPERLINK("http://141.218.60.56/~jnz1568/getInfo.php?workbook=14_09.xlsx&amp;sheet=U0&amp;row=4856&amp;col=6&amp;number=4.2&amp;sourceID=14","4.2")</f>
        <v>4.2</v>
      </c>
      <c r="G4856" s="4" t="str">
        <f>HYPERLINK("http://141.218.60.56/~jnz1568/getInfo.php?workbook=14_09.xlsx&amp;sheet=U0&amp;row=4856&amp;col=7&amp;number=0.0432&amp;sourceID=14","0.0432")</f>
        <v>0.0432</v>
      </c>
    </row>
    <row r="4857" spans="1:7">
      <c r="A4857" s="3"/>
      <c r="B4857" s="3"/>
      <c r="C4857" s="3"/>
      <c r="D4857" s="3"/>
      <c r="E4857" s="3">
        <v>14</v>
      </c>
      <c r="F4857" s="4" t="str">
        <f>HYPERLINK("http://141.218.60.56/~jnz1568/getInfo.php?workbook=14_09.xlsx&amp;sheet=U0&amp;row=4857&amp;col=6&amp;number=4.3&amp;sourceID=14","4.3")</f>
        <v>4.3</v>
      </c>
      <c r="G4857" s="4" t="str">
        <f>HYPERLINK("http://141.218.60.56/~jnz1568/getInfo.php?workbook=14_09.xlsx&amp;sheet=U0&amp;row=4857&amp;col=7&amp;number=0.0427&amp;sourceID=14","0.0427")</f>
        <v>0.0427</v>
      </c>
    </row>
    <row r="4858" spans="1:7">
      <c r="A4858" s="3"/>
      <c r="B4858" s="3"/>
      <c r="C4858" s="3"/>
      <c r="D4858" s="3"/>
      <c r="E4858" s="3">
        <v>15</v>
      </c>
      <c r="F4858" s="4" t="str">
        <f>HYPERLINK("http://141.218.60.56/~jnz1568/getInfo.php?workbook=14_09.xlsx&amp;sheet=U0&amp;row=4858&amp;col=6&amp;number=4.4&amp;sourceID=14","4.4")</f>
        <v>4.4</v>
      </c>
      <c r="G4858" s="4" t="str">
        <f>HYPERLINK("http://141.218.60.56/~jnz1568/getInfo.php?workbook=14_09.xlsx&amp;sheet=U0&amp;row=4858&amp;col=7&amp;number=0.042&amp;sourceID=14","0.042")</f>
        <v>0.042</v>
      </c>
    </row>
    <row r="4859" spans="1:7">
      <c r="A4859" s="3"/>
      <c r="B4859" s="3"/>
      <c r="C4859" s="3"/>
      <c r="D4859" s="3"/>
      <c r="E4859" s="3">
        <v>16</v>
      </c>
      <c r="F4859" s="4" t="str">
        <f>HYPERLINK("http://141.218.60.56/~jnz1568/getInfo.php?workbook=14_09.xlsx&amp;sheet=U0&amp;row=4859&amp;col=6&amp;number=4.5&amp;sourceID=14","4.5")</f>
        <v>4.5</v>
      </c>
      <c r="G4859" s="4" t="str">
        <f>HYPERLINK("http://141.218.60.56/~jnz1568/getInfo.php?workbook=14_09.xlsx&amp;sheet=U0&amp;row=4859&amp;col=7&amp;number=0.0413&amp;sourceID=14","0.0413")</f>
        <v>0.0413</v>
      </c>
    </row>
    <row r="4860" spans="1:7">
      <c r="A4860" s="3"/>
      <c r="B4860" s="3"/>
      <c r="C4860" s="3"/>
      <c r="D4860" s="3"/>
      <c r="E4860" s="3">
        <v>17</v>
      </c>
      <c r="F4860" s="4" t="str">
        <f>HYPERLINK("http://141.218.60.56/~jnz1568/getInfo.php?workbook=14_09.xlsx&amp;sheet=U0&amp;row=4860&amp;col=6&amp;number=4.6&amp;sourceID=14","4.6")</f>
        <v>4.6</v>
      </c>
      <c r="G4860" s="4" t="str">
        <f>HYPERLINK("http://141.218.60.56/~jnz1568/getInfo.php?workbook=14_09.xlsx&amp;sheet=U0&amp;row=4860&amp;col=7&amp;number=0.0403&amp;sourceID=14","0.0403")</f>
        <v>0.0403</v>
      </c>
    </row>
    <row r="4861" spans="1:7">
      <c r="A4861" s="3"/>
      <c r="B4861" s="3"/>
      <c r="C4861" s="3"/>
      <c r="D4861" s="3"/>
      <c r="E4861" s="3">
        <v>18</v>
      </c>
      <c r="F4861" s="4" t="str">
        <f>HYPERLINK("http://141.218.60.56/~jnz1568/getInfo.php?workbook=14_09.xlsx&amp;sheet=U0&amp;row=4861&amp;col=6&amp;number=4.7&amp;sourceID=14","4.7")</f>
        <v>4.7</v>
      </c>
      <c r="G4861" s="4" t="str">
        <f>HYPERLINK("http://141.218.60.56/~jnz1568/getInfo.php?workbook=14_09.xlsx&amp;sheet=U0&amp;row=4861&amp;col=7&amp;number=0.0392&amp;sourceID=14","0.0392")</f>
        <v>0.0392</v>
      </c>
    </row>
    <row r="4862" spans="1:7">
      <c r="A4862" s="3"/>
      <c r="B4862" s="3"/>
      <c r="C4862" s="3"/>
      <c r="D4862" s="3"/>
      <c r="E4862" s="3">
        <v>19</v>
      </c>
      <c r="F4862" s="4" t="str">
        <f>HYPERLINK("http://141.218.60.56/~jnz1568/getInfo.php?workbook=14_09.xlsx&amp;sheet=U0&amp;row=4862&amp;col=6&amp;number=4.8&amp;sourceID=14","4.8")</f>
        <v>4.8</v>
      </c>
      <c r="G4862" s="4" t="str">
        <f>HYPERLINK("http://141.218.60.56/~jnz1568/getInfo.php?workbook=14_09.xlsx&amp;sheet=U0&amp;row=4862&amp;col=7&amp;number=0.0379&amp;sourceID=14","0.0379")</f>
        <v>0.0379</v>
      </c>
    </row>
    <row r="4863" spans="1:7">
      <c r="A4863" s="3"/>
      <c r="B4863" s="3"/>
      <c r="C4863" s="3"/>
      <c r="D4863" s="3"/>
      <c r="E4863" s="3">
        <v>20</v>
      </c>
      <c r="F4863" s="4" t="str">
        <f>HYPERLINK("http://141.218.60.56/~jnz1568/getInfo.php?workbook=14_09.xlsx&amp;sheet=U0&amp;row=4863&amp;col=6&amp;number=4.9&amp;sourceID=14","4.9")</f>
        <v>4.9</v>
      </c>
      <c r="G4863" s="4" t="str">
        <f>HYPERLINK("http://141.218.60.56/~jnz1568/getInfo.php?workbook=14_09.xlsx&amp;sheet=U0&amp;row=4863&amp;col=7&amp;number=0.0365&amp;sourceID=14","0.0365")</f>
        <v>0.0365</v>
      </c>
    </row>
    <row r="4864" spans="1:7">
      <c r="A4864" s="3">
        <v>14</v>
      </c>
      <c r="B4864" s="3">
        <v>9</v>
      </c>
      <c r="C4864" s="3">
        <v>2</v>
      </c>
      <c r="D4864" s="3">
        <v>52</v>
      </c>
      <c r="E4864" s="3">
        <v>1</v>
      </c>
      <c r="F4864" s="4" t="str">
        <f>HYPERLINK("http://141.218.60.56/~jnz1568/getInfo.php?workbook=14_09.xlsx&amp;sheet=U0&amp;row=4864&amp;col=6&amp;number=3&amp;sourceID=14","3")</f>
        <v>3</v>
      </c>
      <c r="G4864" s="4" t="str">
        <f>HYPERLINK("http://141.218.60.56/~jnz1568/getInfo.php?workbook=14_09.xlsx&amp;sheet=U0&amp;row=4864&amp;col=7&amp;number=0.0289&amp;sourceID=14","0.0289")</f>
        <v>0.0289</v>
      </c>
    </row>
    <row r="4865" spans="1:7">
      <c r="A4865" s="3"/>
      <c r="B4865" s="3"/>
      <c r="C4865" s="3"/>
      <c r="D4865" s="3"/>
      <c r="E4865" s="3">
        <v>2</v>
      </c>
      <c r="F4865" s="4" t="str">
        <f>HYPERLINK("http://141.218.60.56/~jnz1568/getInfo.php?workbook=14_09.xlsx&amp;sheet=U0&amp;row=4865&amp;col=6&amp;number=3.1&amp;sourceID=14","3.1")</f>
        <v>3.1</v>
      </c>
      <c r="G4865" s="4" t="str">
        <f>HYPERLINK("http://141.218.60.56/~jnz1568/getInfo.php?workbook=14_09.xlsx&amp;sheet=U0&amp;row=4865&amp;col=7&amp;number=0.0289&amp;sourceID=14","0.0289")</f>
        <v>0.0289</v>
      </c>
    </row>
    <row r="4866" spans="1:7">
      <c r="A4866" s="3"/>
      <c r="B4866" s="3"/>
      <c r="C4866" s="3"/>
      <c r="D4866" s="3"/>
      <c r="E4866" s="3">
        <v>3</v>
      </c>
      <c r="F4866" s="4" t="str">
        <f>HYPERLINK("http://141.218.60.56/~jnz1568/getInfo.php?workbook=14_09.xlsx&amp;sheet=U0&amp;row=4866&amp;col=6&amp;number=3.2&amp;sourceID=14","3.2")</f>
        <v>3.2</v>
      </c>
      <c r="G4866" s="4" t="str">
        <f>HYPERLINK("http://141.218.60.56/~jnz1568/getInfo.php?workbook=14_09.xlsx&amp;sheet=U0&amp;row=4866&amp;col=7&amp;number=0.0288&amp;sourceID=14","0.0288")</f>
        <v>0.0288</v>
      </c>
    </row>
    <row r="4867" spans="1:7">
      <c r="A4867" s="3"/>
      <c r="B4867" s="3"/>
      <c r="C4867" s="3"/>
      <c r="D4867" s="3"/>
      <c r="E4867" s="3">
        <v>4</v>
      </c>
      <c r="F4867" s="4" t="str">
        <f>HYPERLINK("http://141.218.60.56/~jnz1568/getInfo.php?workbook=14_09.xlsx&amp;sheet=U0&amp;row=4867&amp;col=6&amp;number=3.3&amp;sourceID=14","3.3")</f>
        <v>3.3</v>
      </c>
      <c r="G4867" s="4" t="str">
        <f>HYPERLINK("http://141.218.60.56/~jnz1568/getInfo.php?workbook=14_09.xlsx&amp;sheet=U0&amp;row=4867&amp;col=7&amp;number=0.0288&amp;sourceID=14","0.0288")</f>
        <v>0.0288</v>
      </c>
    </row>
    <row r="4868" spans="1:7">
      <c r="A4868" s="3"/>
      <c r="B4868" s="3"/>
      <c r="C4868" s="3"/>
      <c r="D4868" s="3"/>
      <c r="E4868" s="3">
        <v>5</v>
      </c>
      <c r="F4868" s="4" t="str">
        <f>HYPERLINK("http://141.218.60.56/~jnz1568/getInfo.php?workbook=14_09.xlsx&amp;sheet=U0&amp;row=4868&amp;col=6&amp;number=3.4&amp;sourceID=14","3.4")</f>
        <v>3.4</v>
      </c>
      <c r="G4868" s="4" t="str">
        <f>HYPERLINK("http://141.218.60.56/~jnz1568/getInfo.php?workbook=14_09.xlsx&amp;sheet=U0&amp;row=4868&amp;col=7&amp;number=0.0288&amp;sourceID=14","0.0288")</f>
        <v>0.0288</v>
      </c>
    </row>
    <row r="4869" spans="1:7">
      <c r="A4869" s="3"/>
      <c r="B4869" s="3"/>
      <c r="C4869" s="3"/>
      <c r="D4869" s="3"/>
      <c r="E4869" s="3">
        <v>6</v>
      </c>
      <c r="F4869" s="4" t="str">
        <f>HYPERLINK("http://141.218.60.56/~jnz1568/getInfo.php?workbook=14_09.xlsx&amp;sheet=U0&amp;row=4869&amp;col=6&amp;number=3.5&amp;sourceID=14","3.5")</f>
        <v>3.5</v>
      </c>
      <c r="G4869" s="4" t="str">
        <f>HYPERLINK("http://141.218.60.56/~jnz1568/getInfo.php?workbook=14_09.xlsx&amp;sheet=U0&amp;row=4869&amp;col=7&amp;number=0.0288&amp;sourceID=14","0.0288")</f>
        <v>0.0288</v>
      </c>
    </row>
    <row r="4870" spans="1:7">
      <c r="A4870" s="3"/>
      <c r="B4870" s="3"/>
      <c r="C4870" s="3"/>
      <c r="D4870" s="3"/>
      <c r="E4870" s="3">
        <v>7</v>
      </c>
      <c r="F4870" s="4" t="str">
        <f>HYPERLINK("http://141.218.60.56/~jnz1568/getInfo.php?workbook=14_09.xlsx&amp;sheet=U0&amp;row=4870&amp;col=6&amp;number=3.6&amp;sourceID=14","3.6")</f>
        <v>3.6</v>
      </c>
      <c r="G4870" s="4" t="str">
        <f>HYPERLINK("http://141.218.60.56/~jnz1568/getInfo.php?workbook=14_09.xlsx&amp;sheet=U0&amp;row=4870&amp;col=7&amp;number=0.0288&amp;sourceID=14","0.0288")</f>
        <v>0.0288</v>
      </c>
    </row>
    <row r="4871" spans="1:7">
      <c r="A4871" s="3"/>
      <c r="B4871" s="3"/>
      <c r="C4871" s="3"/>
      <c r="D4871" s="3"/>
      <c r="E4871" s="3">
        <v>8</v>
      </c>
      <c r="F4871" s="4" t="str">
        <f>HYPERLINK("http://141.218.60.56/~jnz1568/getInfo.php?workbook=14_09.xlsx&amp;sheet=U0&amp;row=4871&amp;col=6&amp;number=3.7&amp;sourceID=14","3.7")</f>
        <v>3.7</v>
      </c>
      <c r="G4871" s="4" t="str">
        <f>HYPERLINK("http://141.218.60.56/~jnz1568/getInfo.php?workbook=14_09.xlsx&amp;sheet=U0&amp;row=4871&amp;col=7&amp;number=0.0288&amp;sourceID=14","0.0288")</f>
        <v>0.0288</v>
      </c>
    </row>
    <row r="4872" spans="1:7">
      <c r="A4872" s="3"/>
      <c r="B4872" s="3"/>
      <c r="C4872" s="3"/>
      <c r="D4872" s="3"/>
      <c r="E4872" s="3">
        <v>9</v>
      </c>
      <c r="F4872" s="4" t="str">
        <f>HYPERLINK("http://141.218.60.56/~jnz1568/getInfo.php?workbook=14_09.xlsx&amp;sheet=U0&amp;row=4872&amp;col=6&amp;number=3.8&amp;sourceID=14","3.8")</f>
        <v>3.8</v>
      </c>
      <c r="G4872" s="4" t="str">
        <f>HYPERLINK("http://141.218.60.56/~jnz1568/getInfo.php?workbook=14_09.xlsx&amp;sheet=U0&amp;row=4872&amp;col=7&amp;number=0.0288&amp;sourceID=14","0.0288")</f>
        <v>0.0288</v>
      </c>
    </row>
    <row r="4873" spans="1:7">
      <c r="A4873" s="3"/>
      <c r="B4873" s="3"/>
      <c r="C4873" s="3"/>
      <c r="D4873" s="3"/>
      <c r="E4873" s="3">
        <v>10</v>
      </c>
      <c r="F4873" s="4" t="str">
        <f>HYPERLINK("http://141.218.60.56/~jnz1568/getInfo.php?workbook=14_09.xlsx&amp;sheet=U0&amp;row=4873&amp;col=6&amp;number=3.9&amp;sourceID=14","3.9")</f>
        <v>3.9</v>
      </c>
      <c r="G4873" s="4" t="str">
        <f>HYPERLINK("http://141.218.60.56/~jnz1568/getInfo.php?workbook=14_09.xlsx&amp;sheet=U0&amp;row=4873&amp;col=7&amp;number=0.0288&amp;sourceID=14","0.0288")</f>
        <v>0.0288</v>
      </c>
    </row>
    <row r="4874" spans="1:7">
      <c r="A4874" s="3"/>
      <c r="B4874" s="3"/>
      <c r="C4874" s="3"/>
      <c r="D4874" s="3"/>
      <c r="E4874" s="3">
        <v>11</v>
      </c>
      <c r="F4874" s="4" t="str">
        <f>HYPERLINK("http://141.218.60.56/~jnz1568/getInfo.php?workbook=14_09.xlsx&amp;sheet=U0&amp;row=4874&amp;col=6&amp;number=4&amp;sourceID=14","4")</f>
        <v>4</v>
      </c>
      <c r="G4874" s="4" t="str">
        <f>HYPERLINK("http://141.218.60.56/~jnz1568/getInfo.php?workbook=14_09.xlsx&amp;sheet=U0&amp;row=4874&amp;col=7&amp;number=0.0288&amp;sourceID=14","0.0288")</f>
        <v>0.0288</v>
      </c>
    </row>
    <row r="4875" spans="1:7">
      <c r="A4875" s="3"/>
      <c r="B4875" s="3"/>
      <c r="C4875" s="3"/>
      <c r="D4875" s="3"/>
      <c r="E4875" s="3">
        <v>12</v>
      </c>
      <c r="F4875" s="4" t="str">
        <f>HYPERLINK("http://141.218.60.56/~jnz1568/getInfo.php?workbook=14_09.xlsx&amp;sheet=U0&amp;row=4875&amp;col=6&amp;number=4.1&amp;sourceID=14","4.1")</f>
        <v>4.1</v>
      </c>
      <c r="G4875" s="4" t="str">
        <f>HYPERLINK("http://141.218.60.56/~jnz1568/getInfo.php?workbook=14_09.xlsx&amp;sheet=U0&amp;row=4875&amp;col=7&amp;number=0.0288&amp;sourceID=14","0.0288")</f>
        <v>0.0288</v>
      </c>
    </row>
    <row r="4876" spans="1:7">
      <c r="A4876" s="3"/>
      <c r="B4876" s="3"/>
      <c r="C4876" s="3"/>
      <c r="D4876" s="3"/>
      <c r="E4876" s="3">
        <v>13</v>
      </c>
      <c r="F4876" s="4" t="str">
        <f>HYPERLINK("http://141.218.60.56/~jnz1568/getInfo.php?workbook=14_09.xlsx&amp;sheet=U0&amp;row=4876&amp;col=6&amp;number=4.2&amp;sourceID=14","4.2")</f>
        <v>4.2</v>
      </c>
      <c r="G4876" s="4" t="str">
        <f>HYPERLINK("http://141.218.60.56/~jnz1568/getInfo.php?workbook=14_09.xlsx&amp;sheet=U0&amp;row=4876&amp;col=7&amp;number=0.0288&amp;sourceID=14","0.0288")</f>
        <v>0.0288</v>
      </c>
    </row>
    <row r="4877" spans="1:7">
      <c r="A4877" s="3"/>
      <c r="B4877" s="3"/>
      <c r="C4877" s="3"/>
      <c r="D4877" s="3"/>
      <c r="E4877" s="3">
        <v>14</v>
      </c>
      <c r="F4877" s="4" t="str">
        <f>HYPERLINK("http://141.218.60.56/~jnz1568/getInfo.php?workbook=14_09.xlsx&amp;sheet=U0&amp;row=4877&amp;col=6&amp;number=4.3&amp;sourceID=14","4.3")</f>
        <v>4.3</v>
      </c>
      <c r="G4877" s="4" t="str">
        <f>HYPERLINK("http://141.218.60.56/~jnz1568/getInfo.php?workbook=14_09.xlsx&amp;sheet=U0&amp;row=4877&amp;col=7&amp;number=0.0287&amp;sourceID=14","0.0287")</f>
        <v>0.0287</v>
      </c>
    </row>
    <row r="4878" spans="1:7">
      <c r="A4878" s="3"/>
      <c r="B4878" s="3"/>
      <c r="C4878" s="3"/>
      <c r="D4878" s="3"/>
      <c r="E4878" s="3">
        <v>15</v>
      </c>
      <c r="F4878" s="4" t="str">
        <f>HYPERLINK("http://141.218.60.56/~jnz1568/getInfo.php?workbook=14_09.xlsx&amp;sheet=U0&amp;row=4878&amp;col=6&amp;number=4.4&amp;sourceID=14","4.4")</f>
        <v>4.4</v>
      </c>
      <c r="G4878" s="4" t="str">
        <f>HYPERLINK("http://141.218.60.56/~jnz1568/getInfo.php?workbook=14_09.xlsx&amp;sheet=U0&amp;row=4878&amp;col=7&amp;number=0.0287&amp;sourceID=14","0.0287")</f>
        <v>0.0287</v>
      </c>
    </row>
    <row r="4879" spans="1:7">
      <c r="A4879" s="3"/>
      <c r="B4879" s="3"/>
      <c r="C4879" s="3"/>
      <c r="D4879" s="3"/>
      <c r="E4879" s="3">
        <v>16</v>
      </c>
      <c r="F4879" s="4" t="str">
        <f>HYPERLINK("http://141.218.60.56/~jnz1568/getInfo.php?workbook=14_09.xlsx&amp;sheet=U0&amp;row=4879&amp;col=6&amp;number=4.5&amp;sourceID=14","4.5")</f>
        <v>4.5</v>
      </c>
      <c r="G4879" s="4" t="str">
        <f>HYPERLINK("http://141.218.60.56/~jnz1568/getInfo.php?workbook=14_09.xlsx&amp;sheet=U0&amp;row=4879&amp;col=7&amp;number=0.0287&amp;sourceID=14","0.0287")</f>
        <v>0.0287</v>
      </c>
    </row>
    <row r="4880" spans="1:7">
      <c r="A4880" s="3"/>
      <c r="B4880" s="3"/>
      <c r="C4880" s="3"/>
      <c r="D4880" s="3"/>
      <c r="E4880" s="3">
        <v>17</v>
      </c>
      <c r="F4880" s="4" t="str">
        <f>HYPERLINK("http://141.218.60.56/~jnz1568/getInfo.php?workbook=14_09.xlsx&amp;sheet=U0&amp;row=4880&amp;col=6&amp;number=4.6&amp;sourceID=14","4.6")</f>
        <v>4.6</v>
      </c>
      <c r="G4880" s="4" t="str">
        <f>HYPERLINK("http://141.218.60.56/~jnz1568/getInfo.php?workbook=14_09.xlsx&amp;sheet=U0&amp;row=4880&amp;col=7&amp;number=0.0286&amp;sourceID=14","0.0286")</f>
        <v>0.0286</v>
      </c>
    </row>
    <row r="4881" spans="1:7">
      <c r="A4881" s="3"/>
      <c r="B4881" s="3"/>
      <c r="C4881" s="3"/>
      <c r="D4881" s="3"/>
      <c r="E4881" s="3">
        <v>18</v>
      </c>
      <c r="F4881" s="4" t="str">
        <f>HYPERLINK("http://141.218.60.56/~jnz1568/getInfo.php?workbook=14_09.xlsx&amp;sheet=U0&amp;row=4881&amp;col=6&amp;number=4.7&amp;sourceID=14","4.7")</f>
        <v>4.7</v>
      </c>
      <c r="G4881" s="4" t="str">
        <f>HYPERLINK("http://141.218.60.56/~jnz1568/getInfo.php?workbook=14_09.xlsx&amp;sheet=U0&amp;row=4881&amp;col=7&amp;number=0.0286&amp;sourceID=14","0.0286")</f>
        <v>0.0286</v>
      </c>
    </row>
    <row r="4882" spans="1:7">
      <c r="A4882" s="3"/>
      <c r="B4882" s="3"/>
      <c r="C4882" s="3"/>
      <c r="D4882" s="3"/>
      <c r="E4882" s="3">
        <v>19</v>
      </c>
      <c r="F4882" s="4" t="str">
        <f>HYPERLINK("http://141.218.60.56/~jnz1568/getInfo.php?workbook=14_09.xlsx&amp;sheet=U0&amp;row=4882&amp;col=6&amp;number=4.8&amp;sourceID=14","4.8")</f>
        <v>4.8</v>
      </c>
      <c r="G4882" s="4" t="str">
        <f>HYPERLINK("http://141.218.60.56/~jnz1568/getInfo.php?workbook=14_09.xlsx&amp;sheet=U0&amp;row=4882&amp;col=7&amp;number=0.0285&amp;sourceID=14","0.0285")</f>
        <v>0.0285</v>
      </c>
    </row>
    <row r="4883" spans="1:7">
      <c r="A4883" s="3"/>
      <c r="B4883" s="3"/>
      <c r="C4883" s="3"/>
      <c r="D4883" s="3"/>
      <c r="E4883" s="3">
        <v>20</v>
      </c>
      <c r="F4883" s="4" t="str">
        <f>HYPERLINK("http://141.218.60.56/~jnz1568/getInfo.php?workbook=14_09.xlsx&amp;sheet=U0&amp;row=4883&amp;col=6&amp;number=4.9&amp;sourceID=14","4.9")</f>
        <v>4.9</v>
      </c>
      <c r="G4883" s="4" t="str">
        <f>HYPERLINK("http://141.218.60.56/~jnz1568/getInfo.php?workbook=14_09.xlsx&amp;sheet=U0&amp;row=4883&amp;col=7&amp;number=0.0284&amp;sourceID=14","0.0284")</f>
        <v>0.0284</v>
      </c>
    </row>
    <row r="4884" spans="1:7">
      <c r="A4884" s="3">
        <v>14</v>
      </c>
      <c r="B4884" s="3">
        <v>9</v>
      </c>
      <c r="C4884" s="3">
        <v>2</v>
      </c>
      <c r="D4884" s="3">
        <v>53</v>
      </c>
      <c r="E4884" s="3">
        <v>1</v>
      </c>
      <c r="F4884" s="4" t="str">
        <f>HYPERLINK("http://141.218.60.56/~jnz1568/getInfo.php?workbook=14_09.xlsx&amp;sheet=U0&amp;row=4884&amp;col=6&amp;number=3&amp;sourceID=14","3")</f>
        <v>3</v>
      </c>
      <c r="G4884" s="4" t="str">
        <f>HYPERLINK("http://141.218.60.56/~jnz1568/getInfo.php?workbook=14_09.xlsx&amp;sheet=U0&amp;row=4884&amp;col=7&amp;number=0.0494&amp;sourceID=14","0.0494")</f>
        <v>0.0494</v>
      </c>
    </row>
    <row r="4885" spans="1:7">
      <c r="A4885" s="3"/>
      <c r="B4885" s="3"/>
      <c r="C4885" s="3"/>
      <c r="D4885" s="3"/>
      <c r="E4885" s="3">
        <v>2</v>
      </c>
      <c r="F4885" s="4" t="str">
        <f>HYPERLINK("http://141.218.60.56/~jnz1568/getInfo.php?workbook=14_09.xlsx&amp;sheet=U0&amp;row=4885&amp;col=6&amp;number=3.1&amp;sourceID=14","3.1")</f>
        <v>3.1</v>
      </c>
      <c r="G4885" s="4" t="str">
        <f>HYPERLINK("http://141.218.60.56/~jnz1568/getInfo.php?workbook=14_09.xlsx&amp;sheet=U0&amp;row=4885&amp;col=7&amp;number=0.0494&amp;sourceID=14","0.0494")</f>
        <v>0.0494</v>
      </c>
    </row>
    <row r="4886" spans="1:7">
      <c r="A4886" s="3"/>
      <c r="B4886" s="3"/>
      <c r="C4886" s="3"/>
      <c r="D4886" s="3"/>
      <c r="E4886" s="3">
        <v>3</v>
      </c>
      <c r="F4886" s="4" t="str">
        <f>HYPERLINK("http://141.218.60.56/~jnz1568/getInfo.php?workbook=14_09.xlsx&amp;sheet=U0&amp;row=4886&amp;col=6&amp;number=3.2&amp;sourceID=14","3.2")</f>
        <v>3.2</v>
      </c>
      <c r="G4886" s="4" t="str">
        <f>HYPERLINK("http://141.218.60.56/~jnz1568/getInfo.php?workbook=14_09.xlsx&amp;sheet=U0&amp;row=4886&amp;col=7&amp;number=0.0494&amp;sourceID=14","0.0494")</f>
        <v>0.0494</v>
      </c>
    </row>
    <row r="4887" spans="1:7">
      <c r="A4887" s="3"/>
      <c r="B4887" s="3"/>
      <c r="C4887" s="3"/>
      <c r="D4887" s="3"/>
      <c r="E4887" s="3">
        <v>4</v>
      </c>
      <c r="F4887" s="4" t="str">
        <f>HYPERLINK("http://141.218.60.56/~jnz1568/getInfo.php?workbook=14_09.xlsx&amp;sheet=U0&amp;row=4887&amp;col=6&amp;number=3.3&amp;sourceID=14","3.3")</f>
        <v>3.3</v>
      </c>
      <c r="G4887" s="4" t="str">
        <f>HYPERLINK("http://141.218.60.56/~jnz1568/getInfo.php?workbook=14_09.xlsx&amp;sheet=U0&amp;row=4887&amp;col=7&amp;number=0.0494&amp;sourceID=14","0.0494")</f>
        <v>0.0494</v>
      </c>
    </row>
    <row r="4888" spans="1:7">
      <c r="A4888" s="3"/>
      <c r="B4888" s="3"/>
      <c r="C4888" s="3"/>
      <c r="D4888" s="3"/>
      <c r="E4888" s="3">
        <v>5</v>
      </c>
      <c r="F4888" s="4" t="str">
        <f>HYPERLINK("http://141.218.60.56/~jnz1568/getInfo.php?workbook=14_09.xlsx&amp;sheet=U0&amp;row=4888&amp;col=6&amp;number=3.4&amp;sourceID=14","3.4")</f>
        <v>3.4</v>
      </c>
      <c r="G4888" s="4" t="str">
        <f>HYPERLINK("http://141.218.60.56/~jnz1568/getInfo.php?workbook=14_09.xlsx&amp;sheet=U0&amp;row=4888&amp;col=7&amp;number=0.0494&amp;sourceID=14","0.0494")</f>
        <v>0.0494</v>
      </c>
    </row>
    <row r="4889" spans="1:7">
      <c r="A4889" s="3"/>
      <c r="B4889" s="3"/>
      <c r="C4889" s="3"/>
      <c r="D4889" s="3"/>
      <c r="E4889" s="3">
        <v>6</v>
      </c>
      <c r="F4889" s="4" t="str">
        <f>HYPERLINK("http://141.218.60.56/~jnz1568/getInfo.php?workbook=14_09.xlsx&amp;sheet=U0&amp;row=4889&amp;col=6&amp;number=3.5&amp;sourceID=14","3.5")</f>
        <v>3.5</v>
      </c>
      <c r="G4889" s="4" t="str">
        <f>HYPERLINK("http://141.218.60.56/~jnz1568/getInfo.php?workbook=14_09.xlsx&amp;sheet=U0&amp;row=4889&amp;col=7&amp;number=0.0494&amp;sourceID=14","0.0494")</f>
        <v>0.0494</v>
      </c>
    </row>
    <row r="4890" spans="1:7">
      <c r="A4890" s="3"/>
      <c r="B4890" s="3"/>
      <c r="C4890" s="3"/>
      <c r="D4890" s="3"/>
      <c r="E4890" s="3">
        <v>7</v>
      </c>
      <c r="F4890" s="4" t="str">
        <f>HYPERLINK("http://141.218.60.56/~jnz1568/getInfo.php?workbook=14_09.xlsx&amp;sheet=U0&amp;row=4890&amp;col=6&amp;number=3.6&amp;sourceID=14","3.6")</f>
        <v>3.6</v>
      </c>
      <c r="G4890" s="4" t="str">
        <f>HYPERLINK("http://141.218.60.56/~jnz1568/getInfo.php?workbook=14_09.xlsx&amp;sheet=U0&amp;row=4890&amp;col=7&amp;number=0.0494&amp;sourceID=14","0.0494")</f>
        <v>0.0494</v>
      </c>
    </row>
    <row r="4891" spans="1:7">
      <c r="A4891" s="3"/>
      <c r="B4891" s="3"/>
      <c r="C4891" s="3"/>
      <c r="D4891" s="3"/>
      <c r="E4891" s="3">
        <v>8</v>
      </c>
      <c r="F4891" s="4" t="str">
        <f>HYPERLINK("http://141.218.60.56/~jnz1568/getInfo.php?workbook=14_09.xlsx&amp;sheet=U0&amp;row=4891&amp;col=6&amp;number=3.7&amp;sourceID=14","3.7")</f>
        <v>3.7</v>
      </c>
      <c r="G4891" s="4" t="str">
        <f>HYPERLINK("http://141.218.60.56/~jnz1568/getInfo.php?workbook=14_09.xlsx&amp;sheet=U0&amp;row=4891&amp;col=7&amp;number=0.0494&amp;sourceID=14","0.0494")</f>
        <v>0.0494</v>
      </c>
    </row>
    <row r="4892" spans="1:7">
      <c r="A4892" s="3"/>
      <c r="B4892" s="3"/>
      <c r="C4892" s="3"/>
      <c r="D4892" s="3"/>
      <c r="E4892" s="3">
        <v>9</v>
      </c>
      <c r="F4892" s="4" t="str">
        <f>HYPERLINK("http://141.218.60.56/~jnz1568/getInfo.php?workbook=14_09.xlsx&amp;sheet=U0&amp;row=4892&amp;col=6&amp;number=3.8&amp;sourceID=14","3.8")</f>
        <v>3.8</v>
      </c>
      <c r="G4892" s="4" t="str">
        <f>HYPERLINK("http://141.218.60.56/~jnz1568/getInfo.php?workbook=14_09.xlsx&amp;sheet=U0&amp;row=4892&amp;col=7&amp;number=0.0494&amp;sourceID=14","0.0494")</f>
        <v>0.0494</v>
      </c>
    </row>
    <row r="4893" spans="1:7">
      <c r="A4893" s="3"/>
      <c r="B4893" s="3"/>
      <c r="C4893" s="3"/>
      <c r="D4893" s="3"/>
      <c r="E4893" s="3">
        <v>10</v>
      </c>
      <c r="F4893" s="4" t="str">
        <f>HYPERLINK("http://141.218.60.56/~jnz1568/getInfo.php?workbook=14_09.xlsx&amp;sheet=U0&amp;row=4893&amp;col=6&amp;number=3.9&amp;sourceID=14","3.9")</f>
        <v>3.9</v>
      </c>
      <c r="G4893" s="4" t="str">
        <f>HYPERLINK("http://141.218.60.56/~jnz1568/getInfo.php?workbook=14_09.xlsx&amp;sheet=U0&amp;row=4893&amp;col=7&amp;number=0.0494&amp;sourceID=14","0.0494")</f>
        <v>0.0494</v>
      </c>
    </row>
    <row r="4894" spans="1:7">
      <c r="A4894" s="3"/>
      <c r="B4894" s="3"/>
      <c r="C4894" s="3"/>
      <c r="D4894" s="3"/>
      <c r="E4894" s="3">
        <v>11</v>
      </c>
      <c r="F4894" s="4" t="str">
        <f>HYPERLINK("http://141.218.60.56/~jnz1568/getInfo.php?workbook=14_09.xlsx&amp;sheet=U0&amp;row=4894&amp;col=6&amp;number=4&amp;sourceID=14","4")</f>
        <v>4</v>
      </c>
      <c r="G4894" s="4" t="str">
        <f>HYPERLINK("http://141.218.60.56/~jnz1568/getInfo.php?workbook=14_09.xlsx&amp;sheet=U0&amp;row=4894&amp;col=7&amp;number=0.0494&amp;sourceID=14","0.0494")</f>
        <v>0.0494</v>
      </c>
    </row>
    <row r="4895" spans="1:7">
      <c r="A4895" s="3"/>
      <c r="B4895" s="3"/>
      <c r="C4895" s="3"/>
      <c r="D4895" s="3"/>
      <c r="E4895" s="3">
        <v>12</v>
      </c>
      <c r="F4895" s="4" t="str">
        <f>HYPERLINK("http://141.218.60.56/~jnz1568/getInfo.php?workbook=14_09.xlsx&amp;sheet=U0&amp;row=4895&amp;col=6&amp;number=4.1&amp;sourceID=14","4.1")</f>
        <v>4.1</v>
      </c>
      <c r="G4895" s="4" t="str">
        <f>HYPERLINK("http://141.218.60.56/~jnz1568/getInfo.php?workbook=14_09.xlsx&amp;sheet=U0&amp;row=4895&amp;col=7&amp;number=0.0495&amp;sourceID=14","0.0495")</f>
        <v>0.0495</v>
      </c>
    </row>
    <row r="4896" spans="1:7">
      <c r="A4896" s="3"/>
      <c r="B4896" s="3"/>
      <c r="C4896" s="3"/>
      <c r="D4896" s="3"/>
      <c r="E4896" s="3">
        <v>13</v>
      </c>
      <c r="F4896" s="4" t="str">
        <f>HYPERLINK("http://141.218.60.56/~jnz1568/getInfo.php?workbook=14_09.xlsx&amp;sheet=U0&amp;row=4896&amp;col=6&amp;number=4.2&amp;sourceID=14","4.2")</f>
        <v>4.2</v>
      </c>
      <c r="G4896" s="4" t="str">
        <f>HYPERLINK("http://141.218.60.56/~jnz1568/getInfo.php?workbook=14_09.xlsx&amp;sheet=U0&amp;row=4896&amp;col=7&amp;number=0.0495&amp;sourceID=14","0.0495")</f>
        <v>0.0495</v>
      </c>
    </row>
    <row r="4897" spans="1:7">
      <c r="A4897" s="3"/>
      <c r="B4897" s="3"/>
      <c r="C4897" s="3"/>
      <c r="D4897" s="3"/>
      <c r="E4897" s="3">
        <v>14</v>
      </c>
      <c r="F4897" s="4" t="str">
        <f>HYPERLINK("http://141.218.60.56/~jnz1568/getInfo.php?workbook=14_09.xlsx&amp;sheet=U0&amp;row=4897&amp;col=6&amp;number=4.3&amp;sourceID=14","4.3")</f>
        <v>4.3</v>
      </c>
      <c r="G4897" s="4" t="str">
        <f>HYPERLINK("http://141.218.60.56/~jnz1568/getInfo.php?workbook=14_09.xlsx&amp;sheet=U0&amp;row=4897&amp;col=7&amp;number=0.0495&amp;sourceID=14","0.0495")</f>
        <v>0.0495</v>
      </c>
    </row>
    <row r="4898" spans="1:7">
      <c r="A4898" s="3"/>
      <c r="B4898" s="3"/>
      <c r="C4898" s="3"/>
      <c r="D4898" s="3"/>
      <c r="E4898" s="3">
        <v>15</v>
      </c>
      <c r="F4898" s="4" t="str">
        <f>HYPERLINK("http://141.218.60.56/~jnz1568/getInfo.php?workbook=14_09.xlsx&amp;sheet=U0&amp;row=4898&amp;col=6&amp;number=4.4&amp;sourceID=14","4.4")</f>
        <v>4.4</v>
      </c>
      <c r="G4898" s="4" t="str">
        <f>HYPERLINK("http://141.218.60.56/~jnz1568/getInfo.php?workbook=14_09.xlsx&amp;sheet=U0&amp;row=4898&amp;col=7&amp;number=0.0495&amp;sourceID=14","0.0495")</f>
        <v>0.0495</v>
      </c>
    </row>
    <row r="4899" spans="1:7">
      <c r="A4899" s="3"/>
      <c r="B4899" s="3"/>
      <c r="C4899" s="3"/>
      <c r="D4899" s="3"/>
      <c r="E4899" s="3">
        <v>16</v>
      </c>
      <c r="F4899" s="4" t="str">
        <f>HYPERLINK("http://141.218.60.56/~jnz1568/getInfo.php?workbook=14_09.xlsx&amp;sheet=U0&amp;row=4899&amp;col=6&amp;number=4.5&amp;sourceID=14","4.5")</f>
        <v>4.5</v>
      </c>
      <c r="G4899" s="4" t="str">
        <f>HYPERLINK("http://141.218.60.56/~jnz1568/getInfo.php?workbook=14_09.xlsx&amp;sheet=U0&amp;row=4899&amp;col=7&amp;number=0.0496&amp;sourceID=14","0.0496")</f>
        <v>0.0496</v>
      </c>
    </row>
    <row r="4900" spans="1:7">
      <c r="A4900" s="3"/>
      <c r="B4900" s="3"/>
      <c r="C4900" s="3"/>
      <c r="D4900" s="3"/>
      <c r="E4900" s="3">
        <v>17</v>
      </c>
      <c r="F4900" s="4" t="str">
        <f>HYPERLINK("http://141.218.60.56/~jnz1568/getInfo.php?workbook=14_09.xlsx&amp;sheet=U0&amp;row=4900&amp;col=6&amp;number=4.6&amp;sourceID=14","4.6")</f>
        <v>4.6</v>
      </c>
      <c r="G4900" s="4" t="str">
        <f>HYPERLINK("http://141.218.60.56/~jnz1568/getInfo.php?workbook=14_09.xlsx&amp;sheet=U0&amp;row=4900&amp;col=7&amp;number=0.0496&amp;sourceID=14","0.0496")</f>
        <v>0.0496</v>
      </c>
    </row>
    <row r="4901" spans="1:7">
      <c r="A4901" s="3"/>
      <c r="B4901" s="3"/>
      <c r="C4901" s="3"/>
      <c r="D4901" s="3"/>
      <c r="E4901" s="3">
        <v>18</v>
      </c>
      <c r="F4901" s="4" t="str">
        <f>HYPERLINK("http://141.218.60.56/~jnz1568/getInfo.php?workbook=14_09.xlsx&amp;sheet=U0&amp;row=4901&amp;col=6&amp;number=4.7&amp;sourceID=14","4.7")</f>
        <v>4.7</v>
      </c>
      <c r="G4901" s="4" t="str">
        <f>HYPERLINK("http://141.218.60.56/~jnz1568/getInfo.php?workbook=14_09.xlsx&amp;sheet=U0&amp;row=4901&amp;col=7&amp;number=0.0497&amp;sourceID=14","0.0497")</f>
        <v>0.0497</v>
      </c>
    </row>
    <row r="4902" spans="1:7">
      <c r="A4902" s="3"/>
      <c r="B4902" s="3"/>
      <c r="C4902" s="3"/>
      <c r="D4902" s="3"/>
      <c r="E4902" s="3">
        <v>19</v>
      </c>
      <c r="F4902" s="4" t="str">
        <f>HYPERLINK("http://141.218.60.56/~jnz1568/getInfo.php?workbook=14_09.xlsx&amp;sheet=U0&amp;row=4902&amp;col=6&amp;number=4.8&amp;sourceID=14","4.8")</f>
        <v>4.8</v>
      </c>
      <c r="G4902" s="4" t="str">
        <f>HYPERLINK("http://141.218.60.56/~jnz1568/getInfo.php?workbook=14_09.xlsx&amp;sheet=U0&amp;row=4902&amp;col=7&amp;number=0.0498&amp;sourceID=14","0.0498")</f>
        <v>0.0498</v>
      </c>
    </row>
    <row r="4903" spans="1:7">
      <c r="A4903" s="3"/>
      <c r="B4903" s="3"/>
      <c r="C4903" s="3"/>
      <c r="D4903" s="3"/>
      <c r="E4903" s="3">
        <v>20</v>
      </c>
      <c r="F4903" s="4" t="str">
        <f>HYPERLINK("http://141.218.60.56/~jnz1568/getInfo.php?workbook=14_09.xlsx&amp;sheet=U0&amp;row=4903&amp;col=6&amp;number=4.9&amp;sourceID=14","4.9")</f>
        <v>4.9</v>
      </c>
      <c r="G4903" s="4" t="str">
        <f>HYPERLINK("http://141.218.60.56/~jnz1568/getInfo.php?workbook=14_09.xlsx&amp;sheet=U0&amp;row=4903&amp;col=7&amp;number=0.0499&amp;sourceID=14","0.0499")</f>
        <v>0.0499</v>
      </c>
    </row>
    <row r="4904" spans="1:7">
      <c r="A4904" s="3">
        <v>14</v>
      </c>
      <c r="B4904" s="3">
        <v>9</v>
      </c>
      <c r="C4904" s="3">
        <v>2</v>
      </c>
      <c r="D4904" s="3">
        <v>54</v>
      </c>
      <c r="E4904" s="3">
        <v>1</v>
      </c>
      <c r="F4904" s="4" t="str">
        <f>HYPERLINK("http://141.218.60.56/~jnz1568/getInfo.php?workbook=14_09.xlsx&amp;sheet=U0&amp;row=4904&amp;col=6&amp;number=3&amp;sourceID=14","3")</f>
        <v>3</v>
      </c>
      <c r="G4904" s="4" t="str">
        <f>HYPERLINK("http://141.218.60.56/~jnz1568/getInfo.php?workbook=14_09.xlsx&amp;sheet=U0&amp;row=4904&amp;col=7&amp;number=0.0203&amp;sourceID=14","0.0203")</f>
        <v>0.0203</v>
      </c>
    </row>
    <row r="4905" spans="1:7">
      <c r="A4905" s="3"/>
      <c r="B4905" s="3"/>
      <c r="C4905" s="3"/>
      <c r="D4905" s="3"/>
      <c r="E4905" s="3">
        <v>2</v>
      </c>
      <c r="F4905" s="4" t="str">
        <f>HYPERLINK("http://141.218.60.56/~jnz1568/getInfo.php?workbook=14_09.xlsx&amp;sheet=U0&amp;row=4905&amp;col=6&amp;number=3.1&amp;sourceID=14","3.1")</f>
        <v>3.1</v>
      </c>
      <c r="G4905" s="4" t="str">
        <f>HYPERLINK("http://141.218.60.56/~jnz1568/getInfo.php?workbook=14_09.xlsx&amp;sheet=U0&amp;row=4905&amp;col=7&amp;number=0.0203&amp;sourceID=14","0.0203")</f>
        <v>0.0203</v>
      </c>
    </row>
    <row r="4906" spans="1:7">
      <c r="A4906" s="3"/>
      <c r="B4906" s="3"/>
      <c r="C4906" s="3"/>
      <c r="D4906" s="3"/>
      <c r="E4906" s="3">
        <v>3</v>
      </c>
      <c r="F4906" s="4" t="str">
        <f>HYPERLINK("http://141.218.60.56/~jnz1568/getInfo.php?workbook=14_09.xlsx&amp;sheet=U0&amp;row=4906&amp;col=6&amp;number=3.2&amp;sourceID=14","3.2")</f>
        <v>3.2</v>
      </c>
      <c r="G4906" s="4" t="str">
        <f>HYPERLINK("http://141.218.60.56/~jnz1568/getInfo.php?workbook=14_09.xlsx&amp;sheet=U0&amp;row=4906&amp;col=7&amp;number=0.0203&amp;sourceID=14","0.0203")</f>
        <v>0.0203</v>
      </c>
    </row>
    <row r="4907" spans="1:7">
      <c r="A4907" s="3"/>
      <c r="B4907" s="3"/>
      <c r="C4907" s="3"/>
      <c r="D4907" s="3"/>
      <c r="E4907" s="3">
        <v>4</v>
      </c>
      <c r="F4907" s="4" t="str">
        <f>HYPERLINK("http://141.218.60.56/~jnz1568/getInfo.php?workbook=14_09.xlsx&amp;sheet=U0&amp;row=4907&amp;col=6&amp;number=3.3&amp;sourceID=14","3.3")</f>
        <v>3.3</v>
      </c>
      <c r="G4907" s="4" t="str">
        <f>HYPERLINK("http://141.218.60.56/~jnz1568/getInfo.php?workbook=14_09.xlsx&amp;sheet=U0&amp;row=4907&amp;col=7&amp;number=0.0203&amp;sourceID=14","0.0203")</f>
        <v>0.0203</v>
      </c>
    </row>
    <row r="4908" spans="1:7">
      <c r="A4908" s="3"/>
      <c r="B4908" s="3"/>
      <c r="C4908" s="3"/>
      <c r="D4908" s="3"/>
      <c r="E4908" s="3">
        <v>5</v>
      </c>
      <c r="F4908" s="4" t="str">
        <f>HYPERLINK("http://141.218.60.56/~jnz1568/getInfo.php?workbook=14_09.xlsx&amp;sheet=U0&amp;row=4908&amp;col=6&amp;number=3.4&amp;sourceID=14","3.4")</f>
        <v>3.4</v>
      </c>
      <c r="G4908" s="4" t="str">
        <f>HYPERLINK("http://141.218.60.56/~jnz1568/getInfo.php?workbook=14_09.xlsx&amp;sheet=U0&amp;row=4908&amp;col=7&amp;number=0.0203&amp;sourceID=14","0.0203")</f>
        <v>0.0203</v>
      </c>
    </row>
    <row r="4909" spans="1:7">
      <c r="A4909" s="3"/>
      <c r="B4909" s="3"/>
      <c r="C4909" s="3"/>
      <c r="D4909" s="3"/>
      <c r="E4909" s="3">
        <v>6</v>
      </c>
      <c r="F4909" s="4" t="str">
        <f>HYPERLINK("http://141.218.60.56/~jnz1568/getInfo.php?workbook=14_09.xlsx&amp;sheet=U0&amp;row=4909&amp;col=6&amp;number=3.5&amp;sourceID=14","3.5")</f>
        <v>3.5</v>
      </c>
      <c r="G4909" s="4" t="str">
        <f>HYPERLINK("http://141.218.60.56/~jnz1568/getInfo.php?workbook=14_09.xlsx&amp;sheet=U0&amp;row=4909&amp;col=7&amp;number=0.0203&amp;sourceID=14","0.0203")</f>
        <v>0.0203</v>
      </c>
    </row>
    <row r="4910" spans="1:7">
      <c r="A4910" s="3"/>
      <c r="B4910" s="3"/>
      <c r="C4910" s="3"/>
      <c r="D4910" s="3"/>
      <c r="E4910" s="3">
        <v>7</v>
      </c>
      <c r="F4910" s="4" t="str">
        <f>HYPERLINK("http://141.218.60.56/~jnz1568/getInfo.php?workbook=14_09.xlsx&amp;sheet=U0&amp;row=4910&amp;col=6&amp;number=3.6&amp;sourceID=14","3.6")</f>
        <v>3.6</v>
      </c>
      <c r="G4910" s="4" t="str">
        <f>HYPERLINK("http://141.218.60.56/~jnz1568/getInfo.php?workbook=14_09.xlsx&amp;sheet=U0&amp;row=4910&amp;col=7&amp;number=0.0203&amp;sourceID=14","0.0203")</f>
        <v>0.0203</v>
      </c>
    </row>
    <row r="4911" spans="1:7">
      <c r="A4911" s="3"/>
      <c r="B4911" s="3"/>
      <c r="C4911" s="3"/>
      <c r="D4911" s="3"/>
      <c r="E4911" s="3">
        <v>8</v>
      </c>
      <c r="F4911" s="4" t="str">
        <f>HYPERLINK("http://141.218.60.56/~jnz1568/getInfo.php?workbook=14_09.xlsx&amp;sheet=U0&amp;row=4911&amp;col=6&amp;number=3.7&amp;sourceID=14","3.7")</f>
        <v>3.7</v>
      </c>
      <c r="G4911" s="4" t="str">
        <f>HYPERLINK("http://141.218.60.56/~jnz1568/getInfo.php?workbook=14_09.xlsx&amp;sheet=U0&amp;row=4911&amp;col=7&amp;number=0.0203&amp;sourceID=14","0.0203")</f>
        <v>0.0203</v>
      </c>
    </row>
    <row r="4912" spans="1:7">
      <c r="A4912" s="3"/>
      <c r="B4912" s="3"/>
      <c r="C4912" s="3"/>
      <c r="D4912" s="3"/>
      <c r="E4912" s="3">
        <v>9</v>
      </c>
      <c r="F4912" s="4" t="str">
        <f>HYPERLINK("http://141.218.60.56/~jnz1568/getInfo.php?workbook=14_09.xlsx&amp;sheet=U0&amp;row=4912&amp;col=6&amp;number=3.8&amp;sourceID=14","3.8")</f>
        <v>3.8</v>
      </c>
      <c r="G4912" s="4" t="str">
        <f>HYPERLINK("http://141.218.60.56/~jnz1568/getInfo.php?workbook=14_09.xlsx&amp;sheet=U0&amp;row=4912&amp;col=7&amp;number=0.0203&amp;sourceID=14","0.0203")</f>
        <v>0.0203</v>
      </c>
    </row>
    <row r="4913" spans="1:7">
      <c r="A4913" s="3"/>
      <c r="B4913" s="3"/>
      <c r="C4913" s="3"/>
      <c r="D4913" s="3"/>
      <c r="E4913" s="3">
        <v>10</v>
      </c>
      <c r="F4913" s="4" t="str">
        <f>HYPERLINK("http://141.218.60.56/~jnz1568/getInfo.php?workbook=14_09.xlsx&amp;sheet=U0&amp;row=4913&amp;col=6&amp;number=3.9&amp;sourceID=14","3.9")</f>
        <v>3.9</v>
      </c>
      <c r="G4913" s="4" t="str">
        <f>HYPERLINK("http://141.218.60.56/~jnz1568/getInfo.php?workbook=14_09.xlsx&amp;sheet=U0&amp;row=4913&amp;col=7&amp;number=0.0202&amp;sourceID=14","0.0202")</f>
        <v>0.0202</v>
      </c>
    </row>
    <row r="4914" spans="1:7">
      <c r="A4914" s="3"/>
      <c r="B4914" s="3"/>
      <c r="C4914" s="3"/>
      <c r="D4914" s="3"/>
      <c r="E4914" s="3">
        <v>11</v>
      </c>
      <c r="F4914" s="4" t="str">
        <f>HYPERLINK("http://141.218.60.56/~jnz1568/getInfo.php?workbook=14_09.xlsx&amp;sheet=U0&amp;row=4914&amp;col=6&amp;number=4&amp;sourceID=14","4")</f>
        <v>4</v>
      </c>
      <c r="G4914" s="4" t="str">
        <f>HYPERLINK("http://141.218.60.56/~jnz1568/getInfo.php?workbook=14_09.xlsx&amp;sheet=U0&amp;row=4914&amp;col=7&amp;number=0.0202&amp;sourceID=14","0.0202")</f>
        <v>0.0202</v>
      </c>
    </row>
    <row r="4915" spans="1:7">
      <c r="A4915" s="3"/>
      <c r="B4915" s="3"/>
      <c r="C4915" s="3"/>
      <c r="D4915" s="3"/>
      <c r="E4915" s="3">
        <v>12</v>
      </c>
      <c r="F4915" s="4" t="str">
        <f>HYPERLINK("http://141.218.60.56/~jnz1568/getInfo.php?workbook=14_09.xlsx&amp;sheet=U0&amp;row=4915&amp;col=6&amp;number=4.1&amp;sourceID=14","4.1")</f>
        <v>4.1</v>
      </c>
      <c r="G4915" s="4" t="str">
        <f>HYPERLINK("http://141.218.60.56/~jnz1568/getInfo.php?workbook=14_09.xlsx&amp;sheet=U0&amp;row=4915&amp;col=7&amp;number=0.0202&amp;sourceID=14","0.0202")</f>
        <v>0.0202</v>
      </c>
    </row>
    <row r="4916" spans="1:7">
      <c r="A4916" s="3"/>
      <c r="B4916" s="3"/>
      <c r="C4916" s="3"/>
      <c r="D4916" s="3"/>
      <c r="E4916" s="3">
        <v>13</v>
      </c>
      <c r="F4916" s="4" t="str">
        <f>HYPERLINK("http://141.218.60.56/~jnz1568/getInfo.php?workbook=14_09.xlsx&amp;sheet=U0&amp;row=4916&amp;col=6&amp;number=4.2&amp;sourceID=14","4.2")</f>
        <v>4.2</v>
      </c>
      <c r="G4916" s="4" t="str">
        <f>HYPERLINK("http://141.218.60.56/~jnz1568/getInfo.php?workbook=14_09.xlsx&amp;sheet=U0&amp;row=4916&amp;col=7&amp;number=0.0201&amp;sourceID=14","0.0201")</f>
        <v>0.0201</v>
      </c>
    </row>
    <row r="4917" spans="1:7">
      <c r="A4917" s="3"/>
      <c r="B4917" s="3"/>
      <c r="C4917" s="3"/>
      <c r="D4917" s="3"/>
      <c r="E4917" s="3">
        <v>14</v>
      </c>
      <c r="F4917" s="4" t="str">
        <f>HYPERLINK("http://141.218.60.56/~jnz1568/getInfo.php?workbook=14_09.xlsx&amp;sheet=U0&amp;row=4917&amp;col=6&amp;number=4.3&amp;sourceID=14","4.3")</f>
        <v>4.3</v>
      </c>
      <c r="G4917" s="4" t="str">
        <f>HYPERLINK("http://141.218.60.56/~jnz1568/getInfo.php?workbook=14_09.xlsx&amp;sheet=U0&amp;row=4917&amp;col=7&amp;number=0.02&amp;sourceID=14","0.02")</f>
        <v>0.02</v>
      </c>
    </row>
    <row r="4918" spans="1:7">
      <c r="A4918" s="3"/>
      <c r="B4918" s="3"/>
      <c r="C4918" s="3"/>
      <c r="D4918" s="3"/>
      <c r="E4918" s="3">
        <v>15</v>
      </c>
      <c r="F4918" s="4" t="str">
        <f>HYPERLINK("http://141.218.60.56/~jnz1568/getInfo.php?workbook=14_09.xlsx&amp;sheet=U0&amp;row=4918&amp;col=6&amp;number=4.4&amp;sourceID=14","4.4")</f>
        <v>4.4</v>
      </c>
      <c r="G4918" s="4" t="str">
        <f>HYPERLINK("http://141.218.60.56/~jnz1568/getInfo.php?workbook=14_09.xlsx&amp;sheet=U0&amp;row=4918&amp;col=7&amp;number=0.02&amp;sourceID=14","0.02")</f>
        <v>0.02</v>
      </c>
    </row>
    <row r="4919" spans="1:7">
      <c r="A4919" s="3"/>
      <c r="B4919" s="3"/>
      <c r="C4919" s="3"/>
      <c r="D4919" s="3"/>
      <c r="E4919" s="3">
        <v>16</v>
      </c>
      <c r="F4919" s="4" t="str">
        <f>HYPERLINK("http://141.218.60.56/~jnz1568/getInfo.php?workbook=14_09.xlsx&amp;sheet=U0&amp;row=4919&amp;col=6&amp;number=4.5&amp;sourceID=14","4.5")</f>
        <v>4.5</v>
      </c>
      <c r="G4919" s="4" t="str">
        <f>HYPERLINK("http://141.218.60.56/~jnz1568/getInfo.php?workbook=14_09.xlsx&amp;sheet=U0&amp;row=4919&amp;col=7&amp;number=0.0199&amp;sourceID=14","0.0199")</f>
        <v>0.0199</v>
      </c>
    </row>
    <row r="4920" spans="1:7">
      <c r="A4920" s="3"/>
      <c r="B4920" s="3"/>
      <c r="C4920" s="3"/>
      <c r="D4920" s="3"/>
      <c r="E4920" s="3">
        <v>17</v>
      </c>
      <c r="F4920" s="4" t="str">
        <f>HYPERLINK("http://141.218.60.56/~jnz1568/getInfo.php?workbook=14_09.xlsx&amp;sheet=U0&amp;row=4920&amp;col=6&amp;number=4.6&amp;sourceID=14","4.6")</f>
        <v>4.6</v>
      </c>
      <c r="G4920" s="4" t="str">
        <f>HYPERLINK("http://141.218.60.56/~jnz1568/getInfo.php?workbook=14_09.xlsx&amp;sheet=U0&amp;row=4920&amp;col=7&amp;number=0.0197&amp;sourceID=14","0.0197")</f>
        <v>0.0197</v>
      </c>
    </row>
    <row r="4921" spans="1:7">
      <c r="A4921" s="3"/>
      <c r="B4921" s="3"/>
      <c r="C4921" s="3"/>
      <c r="D4921" s="3"/>
      <c r="E4921" s="3">
        <v>18</v>
      </c>
      <c r="F4921" s="4" t="str">
        <f>HYPERLINK("http://141.218.60.56/~jnz1568/getInfo.php?workbook=14_09.xlsx&amp;sheet=U0&amp;row=4921&amp;col=6&amp;number=4.7&amp;sourceID=14","4.7")</f>
        <v>4.7</v>
      </c>
      <c r="G4921" s="4" t="str">
        <f>HYPERLINK("http://141.218.60.56/~jnz1568/getInfo.php?workbook=14_09.xlsx&amp;sheet=U0&amp;row=4921&amp;col=7&amp;number=0.0196&amp;sourceID=14","0.0196")</f>
        <v>0.0196</v>
      </c>
    </row>
    <row r="4922" spans="1:7">
      <c r="A4922" s="3"/>
      <c r="B4922" s="3"/>
      <c r="C4922" s="3"/>
      <c r="D4922" s="3"/>
      <c r="E4922" s="3">
        <v>19</v>
      </c>
      <c r="F4922" s="4" t="str">
        <f>HYPERLINK("http://141.218.60.56/~jnz1568/getInfo.php?workbook=14_09.xlsx&amp;sheet=U0&amp;row=4922&amp;col=6&amp;number=4.8&amp;sourceID=14","4.8")</f>
        <v>4.8</v>
      </c>
      <c r="G4922" s="4" t="str">
        <f>HYPERLINK("http://141.218.60.56/~jnz1568/getInfo.php?workbook=14_09.xlsx&amp;sheet=U0&amp;row=4922&amp;col=7&amp;number=0.0194&amp;sourceID=14","0.0194")</f>
        <v>0.0194</v>
      </c>
    </row>
    <row r="4923" spans="1:7">
      <c r="A4923" s="3"/>
      <c r="B4923" s="3"/>
      <c r="C4923" s="3"/>
      <c r="D4923" s="3"/>
      <c r="E4923" s="3">
        <v>20</v>
      </c>
      <c r="F4923" s="4" t="str">
        <f>HYPERLINK("http://141.218.60.56/~jnz1568/getInfo.php?workbook=14_09.xlsx&amp;sheet=U0&amp;row=4923&amp;col=6&amp;number=4.9&amp;sourceID=14","4.9")</f>
        <v>4.9</v>
      </c>
      <c r="G4923" s="4" t="str">
        <f>HYPERLINK("http://141.218.60.56/~jnz1568/getInfo.php?workbook=14_09.xlsx&amp;sheet=U0&amp;row=4923&amp;col=7&amp;number=0.0191&amp;sourceID=14","0.0191")</f>
        <v>0.0191</v>
      </c>
    </row>
    <row r="4924" spans="1:7">
      <c r="A4924" s="3">
        <v>14</v>
      </c>
      <c r="B4924" s="3">
        <v>9</v>
      </c>
      <c r="C4924" s="3">
        <v>2</v>
      </c>
      <c r="D4924" s="3">
        <v>55</v>
      </c>
      <c r="E4924" s="3">
        <v>1</v>
      </c>
      <c r="F4924" s="4" t="str">
        <f>HYPERLINK("http://141.218.60.56/~jnz1568/getInfo.php?workbook=14_09.xlsx&amp;sheet=U0&amp;row=4924&amp;col=6&amp;number=3&amp;sourceID=14","3")</f>
        <v>3</v>
      </c>
      <c r="G4924" s="4" t="str">
        <f>HYPERLINK("http://141.218.60.56/~jnz1568/getInfo.php?workbook=14_09.xlsx&amp;sheet=U0&amp;row=4924&amp;col=7&amp;number=0.0719&amp;sourceID=14","0.0719")</f>
        <v>0.0719</v>
      </c>
    </row>
    <row r="4925" spans="1:7">
      <c r="A4925" s="3"/>
      <c r="B4925" s="3"/>
      <c r="C4925" s="3"/>
      <c r="D4925" s="3"/>
      <c r="E4925" s="3">
        <v>2</v>
      </c>
      <c r="F4925" s="4" t="str">
        <f>HYPERLINK("http://141.218.60.56/~jnz1568/getInfo.php?workbook=14_09.xlsx&amp;sheet=U0&amp;row=4925&amp;col=6&amp;number=3.1&amp;sourceID=14","3.1")</f>
        <v>3.1</v>
      </c>
      <c r="G4925" s="4" t="str">
        <f>HYPERLINK("http://141.218.60.56/~jnz1568/getInfo.php?workbook=14_09.xlsx&amp;sheet=U0&amp;row=4925&amp;col=7&amp;number=0.0719&amp;sourceID=14","0.0719")</f>
        <v>0.0719</v>
      </c>
    </row>
    <row r="4926" spans="1:7">
      <c r="A4926" s="3"/>
      <c r="B4926" s="3"/>
      <c r="C4926" s="3"/>
      <c r="D4926" s="3"/>
      <c r="E4926" s="3">
        <v>3</v>
      </c>
      <c r="F4926" s="4" t="str">
        <f>HYPERLINK("http://141.218.60.56/~jnz1568/getInfo.php?workbook=14_09.xlsx&amp;sheet=U0&amp;row=4926&amp;col=6&amp;number=3.2&amp;sourceID=14","3.2")</f>
        <v>3.2</v>
      </c>
      <c r="G4926" s="4" t="str">
        <f>HYPERLINK("http://141.218.60.56/~jnz1568/getInfo.php?workbook=14_09.xlsx&amp;sheet=U0&amp;row=4926&amp;col=7&amp;number=0.0719&amp;sourceID=14","0.0719")</f>
        <v>0.0719</v>
      </c>
    </row>
    <row r="4927" spans="1:7">
      <c r="A4927" s="3"/>
      <c r="B4927" s="3"/>
      <c r="C4927" s="3"/>
      <c r="D4927" s="3"/>
      <c r="E4927" s="3">
        <v>4</v>
      </c>
      <c r="F4927" s="4" t="str">
        <f>HYPERLINK("http://141.218.60.56/~jnz1568/getInfo.php?workbook=14_09.xlsx&amp;sheet=U0&amp;row=4927&amp;col=6&amp;number=3.3&amp;sourceID=14","3.3")</f>
        <v>3.3</v>
      </c>
      <c r="G4927" s="4" t="str">
        <f>HYPERLINK("http://141.218.60.56/~jnz1568/getInfo.php?workbook=14_09.xlsx&amp;sheet=U0&amp;row=4927&amp;col=7&amp;number=0.072&amp;sourceID=14","0.072")</f>
        <v>0.072</v>
      </c>
    </row>
    <row r="4928" spans="1:7">
      <c r="A4928" s="3"/>
      <c r="B4928" s="3"/>
      <c r="C4928" s="3"/>
      <c r="D4928" s="3"/>
      <c r="E4928" s="3">
        <v>5</v>
      </c>
      <c r="F4928" s="4" t="str">
        <f>HYPERLINK("http://141.218.60.56/~jnz1568/getInfo.php?workbook=14_09.xlsx&amp;sheet=U0&amp;row=4928&amp;col=6&amp;number=3.4&amp;sourceID=14","3.4")</f>
        <v>3.4</v>
      </c>
      <c r="G4928" s="4" t="str">
        <f>HYPERLINK("http://141.218.60.56/~jnz1568/getInfo.php?workbook=14_09.xlsx&amp;sheet=U0&amp;row=4928&amp;col=7&amp;number=0.072&amp;sourceID=14","0.072")</f>
        <v>0.072</v>
      </c>
    </row>
    <row r="4929" spans="1:7">
      <c r="A4929" s="3"/>
      <c r="B4929" s="3"/>
      <c r="C4929" s="3"/>
      <c r="D4929" s="3"/>
      <c r="E4929" s="3">
        <v>6</v>
      </c>
      <c r="F4929" s="4" t="str">
        <f>HYPERLINK("http://141.218.60.56/~jnz1568/getInfo.php?workbook=14_09.xlsx&amp;sheet=U0&amp;row=4929&amp;col=6&amp;number=3.5&amp;sourceID=14","3.5")</f>
        <v>3.5</v>
      </c>
      <c r="G4929" s="4" t="str">
        <f>HYPERLINK("http://141.218.60.56/~jnz1568/getInfo.php?workbook=14_09.xlsx&amp;sheet=U0&amp;row=4929&amp;col=7&amp;number=0.0721&amp;sourceID=14","0.0721")</f>
        <v>0.0721</v>
      </c>
    </row>
    <row r="4930" spans="1:7">
      <c r="A4930" s="3"/>
      <c r="B4930" s="3"/>
      <c r="C4930" s="3"/>
      <c r="D4930" s="3"/>
      <c r="E4930" s="3">
        <v>7</v>
      </c>
      <c r="F4930" s="4" t="str">
        <f>HYPERLINK("http://141.218.60.56/~jnz1568/getInfo.php?workbook=14_09.xlsx&amp;sheet=U0&amp;row=4930&amp;col=6&amp;number=3.6&amp;sourceID=14","3.6")</f>
        <v>3.6</v>
      </c>
      <c r="G4930" s="4" t="str">
        <f>HYPERLINK("http://141.218.60.56/~jnz1568/getInfo.php?workbook=14_09.xlsx&amp;sheet=U0&amp;row=4930&amp;col=7&amp;number=0.0721&amp;sourceID=14","0.0721")</f>
        <v>0.0721</v>
      </c>
    </row>
    <row r="4931" spans="1:7">
      <c r="A4931" s="3"/>
      <c r="B4931" s="3"/>
      <c r="C4931" s="3"/>
      <c r="D4931" s="3"/>
      <c r="E4931" s="3">
        <v>8</v>
      </c>
      <c r="F4931" s="4" t="str">
        <f>HYPERLINK("http://141.218.60.56/~jnz1568/getInfo.php?workbook=14_09.xlsx&amp;sheet=U0&amp;row=4931&amp;col=6&amp;number=3.7&amp;sourceID=14","3.7")</f>
        <v>3.7</v>
      </c>
      <c r="G4931" s="4" t="str">
        <f>HYPERLINK("http://141.218.60.56/~jnz1568/getInfo.php?workbook=14_09.xlsx&amp;sheet=U0&amp;row=4931&amp;col=7&amp;number=0.0722&amp;sourceID=14","0.0722")</f>
        <v>0.0722</v>
      </c>
    </row>
    <row r="4932" spans="1:7">
      <c r="A4932" s="3"/>
      <c r="B4932" s="3"/>
      <c r="C4932" s="3"/>
      <c r="D4932" s="3"/>
      <c r="E4932" s="3">
        <v>9</v>
      </c>
      <c r="F4932" s="4" t="str">
        <f>HYPERLINK("http://141.218.60.56/~jnz1568/getInfo.php?workbook=14_09.xlsx&amp;sheet=U0&amp;row=4932&amp;col=6&amp;number=3.8&amp;sourceID=14","3.8")</f>
        <v>3.8</v>
      </c>
      <c r="G4932" s="4" t="str">
        <f>HYPERLINK("http://141.218.60.56/~jnz1568/getInfo.php?workbook=14_09.xlsx&amp;sheet=U0&amp;row=4932&amp;col=7&amp;number=0.0724&amp;sourceID=14","0.0724")</f>
        <v>0.0724</v>
      </c>
    </row>
    <row r="4933" spans="1:7">
      <c r="A4933" s="3"/>
      <c r="B4933" s="3"/>
      <c r="C4933" s="3"/>
      <c r="D4933" s="3"/>
      <c r="E4933" s="3">
        <v>10</v>
      </c>
      <c r="F4933" s="4" t="str">
        <f>HYPERLINK("http://141.218.60.56/~jnz1568/getInfo.php?workbook=14_09.xlsx&amp;sheet=U0&amp;row=4933&amp;col=6&amp;number=3.9&amp;sourceID=14","3.9")</f>
        <v>3.9</v>
      </c>
      <c r="G4933" s="4" t="str">
        <f>HYPERLINK("http://141.218.60.56/~jnz1568/getInfo.php?workbook=14_09.xlsx&amp;sheet=U0&amp;row=4933&amp;col=7&amp;number=0.0725&amp;sourceID=14","0.0725")</f>
        <v>0.0725</v>
      </c>
    </row>
    <row r="4934" spans="1:7">
      <c r="A4934" s="3"/>
      <c r="B4934" s="3"/>
      <c r="C4934" s="3"/>
      <c r="D4934" s="3"/>
      <c r="E4934" s="3">
        <v>11</v>
      </c>
      <c r="F4934" s="4" t="str">
        <f>HYPERLINK("http://141.218.60.56/~jnz1568/getInfo.php?workbook=14_09.xlsx&amp;sheet=U0&amp;row=4934&amp;col=6&amp;number=4&amp;sourceID=14","4")</f>
        <v>4</v>
      </c>
      <c r="G4934" s="4" t="str">
        <f>HYPERLINK("http://141.218.60.56/~jnz1568/getInfo.php?workbook=14_09.xlsx&amp;sheet=U0&amp;row=4934&amp;col=7&amp;number=0.0727&amp;sourceID=14","0.0727")</f>
        <v>0.0727</v>
      </c>
    </row>
    <row r="4935" spans="1:7">
      <c r="A4935" s="3"/>
      <c r="B4935" s="3"/>
      <c r="C4935" s="3"/>
      <c r="D4935" s="3"/>
      <c r="E4935" s="3">
        <v>12</v>
      </c>
      <c r="F4935" s="4" t="str">
        <f>HYPERLINK("http://141.218.60.56/~jnz1568/getInfo.php?workbook=14_09.xlsx&amp;sheet=U0&amp;row=4935&amp;col=6&amp;number=4.1&amp;sourceID=14","4.1")</f>
        <v>4.1</v>
      </c>
      <c r="G4935" s="4" t="str">
        <f>HYPERLINK("http://141.218.60.56/~jnz1568/getInfo.php?workbook=14_09.xlsx&amp;sheet=U0&amp;row=4935&amp;col=7&amp;number=0.0729&amp;sourceID=14","0.0729")</f>
        <v>0.0729</v>
      </c>
    </row>
    <row r="4936" spans="1:7">
      <c r="A4936" s="3"/>
      <c r="B4936" s="3"/>
      <c r="C4936" s="3"/>
      <c r="D4936" s="3"/>
      <c r="E4936" s="3">
        <v>13</v>
      </c>
      <c r="F4936" s="4" t="str">
        <f>HYPERLINK("http://141.218.60.56/~jnz1568/getInfo.php?workbook=14_09.xlsx&amp;sheet=U0&amp;row=4936&amp;col=6&amp;number=4.2&amp;sourceID=14","4.2")</f>
        <v>4.2</v>
      </c>
      <c r="G4936" s="4" t="str">
        <f>HYPERLINK("http://141.218.60.56/~jnz1568/getInfo.php?workbook=14_09.xlsx&amp;sheet=U0&amp;row=4936&amp;col=7&amp;number=0.0732&amp;sourceID=14","0.0732")</f>
        <v>0.0732</v>
      </c>
    </row>
    <row r="4937" spans="1:7">
      <c r="A4937" s="3"/>
      <c r="B4937" s="3"/>
      <c r="C4937" s="3"/>
      <c r="D4937" s="3"/>
      <c r="E4937" s="3">
        <v>14</v>
      </c>
      <c r="F4937" s="4" t="str">
        <f>HYPERLINK("http://141.218.60.56/~jnz1568/getInfo.php?workbook=14_09.xlsx&amp;sheet=U0&amp;row=4937&amp;col=6&amp;number=4.3&amp;sourceID=14","4.3")</f>
        <v>4.3</v>
      </c>
      <c r="G4937" s="4" t="str">
        <f>HYPERLINK("http://141.218.60.56/~jnz1568/getInfo.php?workbook=14_09.xlsx&amp;sheet=U0&amp;row=4937&amp;col=7&amp;number=0.0736&amp;sourceID=14","0.0736")</f>
        <v>0.0736</v>
      </c>
    </row>
    <row r="4938" spans="1:7">
      <c r="A4938" s="3"/>
      <c r="B4938" s="3"/>
      <c r="C4938" s="3"/>
      <c r="D4938" s="3"/>
      <c r="E4938" s="3">
        <v>15</v>
      </c>
      <c r="F4938" s="4" t="str">
        <f>HYPERLINK("http://141.218.60.56/~jnz1568/getInfo.php?workbook=14_09.xlsx&amp;sheet=U0&amp;row=4938&amp;col=6&amp;number=4.4&amp;sourceID=14","4.4")</f>
        <v>4.4</v>
      </c>
      <c r="G4938" s="4" t="str">
        <f>HYPERLINK("http://141.218.60.56/~jnz1568/getInfo.php?workbook=14_09.xlsx&amp;sheet=U0&amp;row=4938&amp;col=7&amp;number=0.074&amp;sourceID=14","0.074")</f>
        <v>0.074</v>
      </c>
    </row>
    <row r="4939" spans="1:7">
      <c r="A4939" s="3"/>
      <c r="B4939" s="3"/>
      <c r="C4939" s="3"/>
      <c r="D4939" s="3"/>
      <c r="E4939" s="3">
        <v>16</v>
      </c>
      <c r="F4939" s="4" t="str">
        <f>HYPERLINK("http://141.218.60.56/~jnz1568/getInfo.php?workbook=14_09.xlsx&amp;sheet=U0&amp;row=4939&amp;col=6&amp;number=4.5&amp;sourceID=14","4.5")</f>
        <v>4.5</v>
      </c>
      <c r="G4939" s="4" t="str">
        <f>HYPERLINK("http://141.218.60.56/~jnz1568/getInfo.php?workbook=14_09.xlsx&amp;sheet=U0&amp;row=4939&amp;col=7&amp;number=0.0746&amp;sourceID=14","0.0746")</f>
        <v>0.0746</v>
      </c>
    </row>
    <row r="4940" spans="1:7">
      <c r="A4940" s="3"/>
      <c r="B4940" s="3"/>
      <c r="C4940" s="3"/>
      <c r="D4940" s="3"/>
      <c r="E4940" s="3">
        <v>17</v>
      </c>
      <c r="F4940" s="4" t="str">
        <f>HYPERLINK("http://141.218.60.56/~jnz1568/getInfo.php?workbook=14_09.xlsx&amp;sheet=U0&amp;row=4940&amp;col=6&amp;number=4.6&amp;sourceID=14","4.6")</f>
        <v>4.6</v>
      </c>
      <c r="G4940" s="4" t="str">
        <f>HYPERLINK("http://141.218.60.56/~jnz1568/getInfo.php?workbook=14_09.xlsx&amp;sheet=U0&amp;row=4940&amp;col=7&amp;number=0.0753&amp;sourceID=14","0.0753")</f>
        <v>0.0753</v>
      </c>
    </row>
    <row r="4941" spans="1:7">
      <c r="A4941" s="3"/>
      <c r="B4941" s="3"/>
      <c r="C4941" s="3"/>
      <c r="D4941" s="3"/>
      <c r="E4941" s="3">
        <v>18</v>
      </c>
      <c r="F4941" s="4" t="str">
        <f>HYPERLINK("http://141.218.60.56/~jnz1568/getInfo.php?workbook=14_09.xlsx&amp;sheet=U0&amp;row=4941&amp;col=6&amp;number=4.7&amp;sourceID=14","4.7")</f>
        <v>4.7</v>
      </c>
      <c r="G4941" s="4" t="str">
        <f>HYPERLINK("http://141.218.60.56/~jnz1568/getInfo.php?workbook=14_09.xlsx&amp;sheet=U0&amp;row=4941&amp;col=7&amp;number=0.0762&amp;sourceID=14","0.0762")</f>
        <v>0.0762</v>
      </c>
    </row>
    <row r="4942" spans="1:7">
      <c r="A4942" s="3"/>
      <c r="B4942" s="3"/>
      <c r="C4942" s="3"/>
      <c r="D4942" s="3"/>
      <c r="E4942" s="3">
        <v>19</v>
      </c>
      <c r="F4942" s="4" t="str">
        <f>HYPERLINK("http://141.218.60.56/~jnz1568/getInfo.php?workbook=14_09.xlsx&amp;sheet=U0&amp;row=4942&amp;col=6&amp;number=4.8&amp;sourceID=14","4.8")</f>
        <v>4.8</v>
      </c>
      <c r="G4942" s="4" t="str">
        <f>HYPERLINK("http://141.218.60.56/~jnz1568/getInfo.php?workbook=14_09.xlsx&amp;sheet=U0&amp;row=4942&amp;col=7&amp;number=0.0773&amp;sourceID=14","0.0773")</f>
        <v>0.0773</v>
      </c>
    </row>
    <row r="4943" spans="1:7">
      <c r="A4943" s="3"/>
      <c r="B4943" s="3"/>
      <c r="C4943" s="3"/>
      <c r="D4943" s="3"/>
      <c r="E4943" s="3">
        <v>20</v>
      </c>
      <c r="F4943" s="4" t="str">
        <f>HYPERLINK("http://141.218.60.56/~jnz1568/getInfo.php?workbook=14_09.xlsx&amp;sheet=U0&amp;row=4943&amp;col=6&amp;number=4.9&amp;sourceID=14","4.9")</f>
        <v>4.9</v>
      </c>
      <c r="G4943" s="4" t="str">
        <f>HYPERLINK("http://141.218.60.56/~jnz1568/getInfo.php?workbook=14_09.xlsx&amp;sheet=U0&amp;row=4943&amp;col=7&amp;number=0.0786&amp;sourceID=14","0.0786")</f>
        <v>0.0786</v>
      </c>
    </row>
    <row r="4944" spans="1:7">
      <c r="A4944" s="3">
        <v>14</v>
      </c>
      <c r="B4944" s="3">
        <v>9</v>
      </c>
      <c r="C4944" s="3">
        <v>2</v>
      </c>
      <c r="D4944" s="3">
        <v>56</v>
      </c>
      <c r="E4944" s="3">
        <v>1</v>
      </c>
      <c r="F4944" s="4" t="str">
        <f>HYPERLINK("http://141.218.60.56/~jnz1568/getInfo.php?workbook=14_09.xlsx&amp;sheet=U0&amp;row=4944&amp;col=6&amp;number=3&amp;sourceID=14","3")</f>
        <v>3</v>
      </c>
      <c r="G4944" s="4" t="str">
        <f>HYPERLINK("http://141.218.60.56/~jnz1568/getInfo.php?workbook=14_09.xlsx&amp;sheet=U0&amp;row=4944&amp;col=7&amp;number=0.0218&amp;sourceID=14","0.0218")</f>
        <v>0.0218</v>
      </c>
    </row>
    <row r="4945" spans="1:7">
      <c r="A4945" s="3"/>
      <c r="B4945" s="3"/>
      <c r="C4945" s="3"/>
      <c r="D4945" s="3"/>
      <c r="E4945" s="3">
        <v>2</v>
      </c>
      <c r="F4945" s="4" t="str">
        <f>HYPERLINK("http://141.218.60.56/~jnz1568/getInfo.php?workbook=14_09.xlsx&amp;sheet=U0&amp;row=4945&amp;col=6&amp;number=3.1&amp;sourceID=14","3.1")</f>
        <v>3.1</v>
      </c>
      <c r="G4945" s="4" t="str">
        <f>HYPERLINK("http://141.218.60.56/~jnz1568/getInfo.php?workbook=14_09.xlsx&amp;sheet=U0&amp;row=4945&amp;col=7&amp;number=0.0218&amp;sourceID=14","0.0218")</f>
        <v>0.0218</v>
      </c>
    </row>
    <row r="4946" spans="1:7">
      <c r="A4946" s="3"/>
      <c r="B4946" s="3"/>
      <c r="C4946" s="3"/>
      <c r="D4946" s="3"/>
      <c r="E4946" s="3">
        <v>3</v>
      </c>
      <c r="F4946" s="4" t="str">
        <f>HYPERLINK("http://141.218.60.56/~jnz1568/getInfo.php?workbook=14_09.xlsx&amp;sheet=U0&amp;row=4946&amp;col=6&amp;number=3.2&amp;sourceID=14","3.2")</f>
        <v>3.2</v>
      </c>
      <c r="G4946" s="4" t="str">
        <f>HYPERLINK("http://141.218.60.56/~jnz1568/getInfo.php?workbook=14_09.xlsx&amp;sheet=U0&amp;row=4946&amp;col=7&amp;number=0.0218&amp;sourceID=14","0.0218")</f>
        <v>0.0218</v>
      </c>
    </row>
    <row r="4947" spans="1:7">
      <c r="A4947" s="3"/>
      <c r="B4947" s="3"/>
      <c r="C4947" s="3"/>
      <c r="D4947" s="3"/>
      <c r="E4947" s="3">
        <v>4</v>
      </c>
      <c r="F4947" s="4" t="str">
        <f>HYPERLINK("http://141.218.60.56/~jnz1568/getInfo.php?workbook=14_09.xlsx&amp;sheet=U0&amp;row=4947&amp;col=6&amp;number=3.3&amp;sourceID=14","3.3")</f>
        <v>3.3</v>
      </c>
      <c r="G4947" s="4" t="str">
        <f>HYPERLINK("http://141.218.60.56/~jnz1568/getInfo.php?workbook=14_09.xlsx&amp;sheet=U0&amp;row=4947&amp;col=7&amp;number=0.0218&amp;sourceID=14","0.0218")</f>
        <v>0.0218</v>
      </c>
    </row>
    <row r="4948" spans="1:7">
      <c r="A4948" s="3"/>
      <c r="B4948" s="3"/>
      <c r="C4948" s="3"/>
      <c r="D4948" s="3"/>
      <c r="E4948" s="3">
        <v>5</v>
      </c>
      <c r="F4948" s="4" t="str">
        <f>HYPERLINK("http://141.218.60.56/~jnz1568/getInfo.php?workbook=14_09.xlsx&amp;sheet=U0&amp;row=4948&amp;col=6&amp;number=3.4&amp;sourceID=14","3.4")</f>
        <v>3.4</v>
      </c>
      <c r="G4948" s="4" t="str">
        <f>HYPERLINK("http://141.218.60.56/~jnz1568/getInfo.php?workbook=14_09.xlsx&amp;sheet=U0&amp;row=4948&amp;col=7&amp;number=0.0218&amp;sourceID=14","0.0218")</f>
        <v>0.0218</v>
      </c>
    </row>
    <row r="4949" spans="1:7">
      <c r="A4949" s="3"/>
      <c r="B4949" s="3"/>
      <c r="C4949" s="3"/>
      <c r="D4949" s="3"/>
      <c r="E4949" s="3">
        <v>6</v>
      </c>
      <c r="F4949" s="4" t="str">
        <f>HYPERLINK("http://141.218.60.56/~jnz1568/getInfo.php?workbook=14_09.xlsx&amp;sheet=U0&amp;row=4949&amp;col=6&amp;number=3.5&amp;sourceID=14","3.5")</f>
        <v>3.5</v>
      </c>
      <c r="G4949" s="4" t="str">
        <f>HYPERLINK("http://141.218.60.56/~jnz1568/getInfo.php?workbook=14_09.xlsx&amp;sheet=U0&amp;row=4949&amp;col=7&amp;number=0.0218&amp;sourceID=14","0.0218")</f>
        <v>0.0218</v>
      </c>
    </row>
    <row r="4950" spans="1:7">
      <c r="A4950" s="3"/>
      <c r="B4950" s="3"/>
      <c r="C4950" s="3"/>
      <c r="D4950" s="3"/>
      <c r="E4950" s="3">
        <v>7</v>
      </c>
      <c r="F4950" s="4" t="str">
        <f>HYPERLINK("http://141.218.60.56/~jnz1568/getInfo.php?workbook=14_09.xlsx&amp;sheet=U0&amp;row=4950&amp;col=6&amp;number=3.6&amp;sourceID=14","3.6")</f>
        <v>3.6</v>
      </c>
      <c r="G4950" s="4" t="str">
        <f>HYPERLINK("http://141.218.60.56/~jnz1568/getInfo.php?workbook=14_09.xlsx&amp;sheet=U0&amp;row=4950&amp;col=7&amp;number=0.0218&amp;sourceID=14","0.0218")</f>
        <v>0.0218</v>
      </c>
    </row>
    <row r="4951" spans="1:7">
      <c r="A4951" s="3"/>
      <c r="B4951" s="3"/>
      <c r="C4951" s="3"/>
      <c r="D4951" s="3"/>
      <c r="E4951" s="3">
        <v>8</v>
      </c>
      <c r="F4951" s="4" t="str">
        <f>HYPERLINK("http://141.218.60.56/~jnz1568/getInfo.php?workbook=14_09.xlsx&amp;sheet=U0&amp;row=4951&amp;col=6&amp;number=3.7&amp;sourceID=14","3.7")</f>
        <v>3.7</v>
      </c>
      <c r="G4951" s="4" t="str">
        <f>HYPERLINK("http://141.218.60.56/~jnz1568/getInfo.php?workbook=14_09.xlsx&amp;sheet=U0&amp;row=4951&amp;col=7&amp;number=0.0218&amp;sourceID=14","0.0218")</f>
        <v>0.0218</v>
      </c>
    </row>
    <row r="4952" spans="1:7">
      <c r="A4952" s="3"/>
      <c r="B4952" s="3"/>
      <c r="C4952" s="3"/>
      <c r="D4952" s="3"/>
      <c r="E4952" s="3">
        <v>9</v>
      </c>
      <c r="F4952" s="4" t="str">
        <f>HYPERLINK("http://141.218.60.56/~jnz1568/getInfo.php?workbook=14_09.xlsx&amp;sheet=U0&amp;row=4952&amp;col=6&amp;number=3.8&amp;sourceID=14","3.8")</f>
        <v>3.8</v>
      </c>
      <c r="G4952" s="4" t="str">
        <f>HYPERLINK("http://141.218.60.56/~jnz1568/getInfo.php?workbook=14_09.xlsx&amp;sheet=U0&amp;row=4952&amp;col=7&amp;number=0.0217&amp;sourceID=14","0.0217")</f>
        <v>0.0217</v>
      </c>
    </row>
    <row r="4953" spans="1:7">
      <c r="A4953" s="3"/>
      <c r="B4953" s="3"/>
      <c r="C4953" s="3"/>
      <c r="D4953" s="3"/>
      <c r="E4953" s="3">
        <v>10</v>
      </c>
      <c r="F4953" s="4" t="str">
        <f>HYPERLINK("http://141.218.60.56/~jnz1568/getInfo.php?workbook=14_09.xlsx&amp;sheet=U0&amp;row=4953&amp;col=6&amp;number=3.9&amp;sourceID=14","3.9")</f>
        <v>3.9</v>
      </c>
      <c r="G4953" s="4" t="str">
        <f>HYPERLINK("http://141.218.60.56/~jnz1568/getInfo.php?workbook=14_09.xlsx&amp;sheet=U0&amp;row=4953&amp;col=7&amp;number=0.0217&amp;sourceID=14","0.0217")</f>
        <v>0.0217</v>
      </c>
    </row>
    <row r="4954" spans="1:7">
      <c r="A4954" s="3"/>
      <c r="B4954" s="3"/>
      <c r="C4954" s="3"/>
      <c r="D4954" s="3"/>
      <c r="E4954" s="3">
        <v>11</v>
      </c>
      <c r="F4954" s="4" t="str">
        <f>HYPERLINK("http://141.218.60.56/~jnz1568/getInfo.php?workbook=14_09.xlsx&amp;sheet=U0&amp;row=4954&amp;col=6&amp;number=4&amp;sourceID=14","4")</f>
        <v>4</v>
      </c>
      <c r="G4954" s="4" t="str">
        <f>HYPERLINK("http://141.218.60.56/~jnz1568/getInfo.php?workbook=14_09.xlsx&amp;sheet=U0&amp;row=4954&amp;col=7&amp;number=0.0217&amp;sourceID=14","0.0217")</f>
        <v>0.0217</v>
      </c>
    </row>
    <row r="4955" spans="1:7">
      <c r="A4955" s="3"/>
      <c r="B4955" s="3"/>
      <c r="C4955" s="3"/>
      <c r="D4955" s="3"/>
      <c r="E4955" s="3">
        <v>12</v>
      </c>
      <c r="F4955" s="4" t="str">
        <f>HYPERLINK("http://141.218.60.56/~jnz1568/getInfo.php?workbook=14_09.xlsx&amp;sheet=U0&amp;row=4955&amp;col=6&amp;number=4.1&amp;sourceID=14","4.1")</f>
        <v>4.1</v>
      </c>
      <c r="G4955" s="4" t="str">
        <f>HYPERLINK("http://141.218.60.56/~jnz1568/getInfo.php?workbook=14_09.xlsx&amp;sheet=U0&amp;row=4955&amp;col=7&amp;number=0.0216&amp;sourceID=14","0.0216")</f>
        <v>0.0216</v>
      </c>
    </row>
    <row r="4956" spans="1:7">
      <c r="A4956" s="3"/>
      <c r="B4956" s="3"/>
      <c r="C4956" s="3"/>
      <c r="D4956" s="3"/>
      <c r="E4956" s="3">
        <v>13</v>
      </c>
      <c r="F4956" s="4" t="str">
        <f>HYPERLINK("http://141.218.60.56/~jnz1568/getInfo.php?workbook=14_09.xlsx&amp;sheet=U0&amp;row=4956&amp;col=6&amp;number=4.2&amp;sourceID=14","4.2")</f>
        <v>4.2</v>
      </c>
      <c r="G4956" s="4" t="str">
        <f>HYPERLINK("http://141.218.60.56/~jnz1568/getInfo.php?workbook=14_09.xlsx&amp;sheet=U0&amp;row=4956&amp;col=7&amp;number=0.0216&amp;sourceID=14","0.0216")</f>
        <v>0.0216</v>
      </c>
    </row>
    <row r="4957" spans="1:7">
      <c r="A4957" s="3"/>
      <c r="B4957" s="3"/>
      <c r="C4957" s="3"/>
      <c r="D4957" s="3"/>
      <c r="E4957" s="3">
        <v>14</v>
      </c>
      <c r="F4957" s="4" t="str">
        <f>HYPERLINK("http://141.218.60.56/~jnz1568/getInfo.php?workbook=14_09.xlsx&amp;sheet=U0&amp;row=4957&amp;col=6&amp;number=4.3&amp;sourceID=14","4.3")</f>
        <v>4.3</v>
      </c>
      <c r="G4957" s="4" t="str">
        <f>HYPERLINK("http://141.218.60.56/~jnz1568/getInfo.php?workbook=14_09.xlsx&amp;sheet=U0&amp;row=4957&amp;col=7&amp;number=0.0215&amp;sourceID=14","0.0215")</f>
        <v>0.0215</v>
      </c>
    </row>
    <row r="4958" spans="1:7">
      <c r="A4958" s="3"/>
      <c r="B4958" s="3"/>
      <c r="C4958" s="3"/>
      <c r="D4958" s="3"/>
      <c r="E4958" s="3">
        <v>15</v>
      </c>
      <c r="F4958" s="4" t="str">
        <f>HYPERLINK("http://141.218.60.56/~jnz1568/getInfo.php?workbook=14_09.xlsx&amp;sheet=U0&amp;row=4958&amp;col=6&amp;number=4.4&amp;sourceID=14","4.4")</f>
        <v>4.4</v>
      </c>
      <c r="G4958" s="4" t="str">
        <f>HYPERLINK("http://141.218.60.56/~jnz1568/getInfo.php?workbook=14_09.xlsx&amp;sheet=U0&amp;row=4958&amp;col=7&amp;number=0.0214&amp;sourceID=14","0.0214")</f>
        <v>0.0214</v>
      </c>
    </row>
    <row r="4959" spans="1:7">
      <c r="A4959" s="3"/>
      <c r="B4959" s="3"/>
      <c r="C4959" s="3"/>
      <c r="D4959" s="3"/>
      <c r="E4959" s="3">
        <v>16</v>
      </c>
      <c r="F4959" s="4" t="str">
        <f>HYPERLINK("http://141.218.60.56/~jnz1568/getInfo.php?workbook=14_09.xlsx&amp;sheet=U0&amp;row=4959&amp;col=6&amp;number=4.5&amp;sourceID=14","4.5")</f>
        <v>4.5</v>
      </c>
      <c r="G4959" s="4" t="str">
        <f>HYPERLINK("http://141.218.60.56/~jnz1568/getInfo.php?workbook=14_09.xlsx&amp;sheet=U0&amp;row=4959&amp;col=7&amp;number=0.0213&amp;sourceID=14","0.0213")</f>
        <v>0.0213</v>
      </c>
    </row>
    <row r="4960" spans="1:7">
      <c r="A4960" s="3"/>
      <c r="B4960" s="3"/>
      <c r="C4960" s="3"/>
      <c r="D4960" s="3"/>
      <c r="E4960" s="3">
        <v>17</v>
      </c>
      <c r="F4960" s="4" t="str">
        <f>HYPERLINK("http://141.218.60.56/~jnz1568/getInfo.php?workbook=14_09.xlsx&amp;sheet=U0&amp;row=4960&amp;col=6&amp;number=4.6&amp;sourceID=14","4.6")</f>
        <v>4.6</v>
      </c>
      <c r="G4960" s="4" t="str">
        <f>HYPERLINK("http://141.218.60.56/~jnz1568/getInfo.php?workbook=14_09.xlsx&amp;sheet=U0&amp;row=4960&amp;col=7&amp;number=0.0212&amp;sourceID=14","0.0212")</f>
        <v>0.0212</v>
      </c>
    </row>
    <row r="4961" spans="1:7">
      <c r="A4961" s="3"/>
      <c r="B4961" s="3"/>
      <c r="C4961" s="3"/>
      <c r="D4961" s="3"/>
      <c r="E4961" s="3">
        <v>18</v>
      </c>
      <c r="F4961" s="4" t="str">
        <f>HYPERLINK("http://141.218.60.56/~jnz1568/getInfo.php?workbook=14_09.xlsx&amp;sheet=U0&amp;row=4961&amp;col=6&amp;number=4.7&amp;sourceID=14","4.7")</f>
        <v>4.7</v>
      </c>
      <c r="G4961" s="4" t="str">
        <f>HYPERLINK("http://141.218.60.56/~jnz1568/getInfo.php?workbook=14_09.xlsx&amp;sheet=U0&amp;row=4961&amp;col=7&amp;number=0.0211&amp;sourceID=14","0.0211")</f>
        <v>0.0211</v>
      </c>
    </row>
    <row r="4962" spans="1:7">
      <c r="A4962" s="3"/>
      <c r="B4962" s="3"/>
      <c r="C4962" s="3"/>
      <c r="D4962" s="3"/>
      <c r="E4962" s="3">
        <v>19</v>
      </c>
      <c r="F4962" s="4" t="str">
        <f>HYPERLINK("http://141.218.60.56/~jnz1568/getInfo.php?workbook=14_09.xlsx&amp;sheet=U0&amp;row=4962&amp;col=6&amp;number=4.8&amp;sourceID=14","4.8")</f>
        <v>4.8</v>
      </c>
      <c r="G4962" s="4" t="str">
        <f>HYPERLINK("http://141.218.60.56/~jnz1568/getInfo.php?workbook=14_09.xlsx&amp;sheet=U0&amp;row=4962&amp;col=7&amp;number=0.0209&amp;sourceID=14","0.0209")</f>
        <v>0.0209</v>
      </c>
    </row>
    <row r="4963" spans="1:7">
      <c r="A4963" s="3"/>
      <c r="B4963" s="3"/>
      <c r="C4963" s="3"/>
      <c r="D4963" s="3"/>
      <c r="E4963" s="3">
        <v>20</v>
      </c>
      <c r="F4963" s="4" t="str">
        <f>HYPERLINK("http://141.218.60.56/~jnz1568/getInfo.php?workbook=14_09.xlsx&amp;sheet=U0&amp;row=4963&amp;col=6&amp;number=4.9&amp;sourceID=14","4.9")</f>
        <v>4.9</v>
      </c>
      <c r="G4963" s="4" t="str">
        <f>HYPERLINK("http://141.218.60.56/~jnz1568/getInfo.php?workbook=14_09.xlsx&amp;sheet=U0&amp;row=4963&amp;col=7&amp;number=0.0206&amp;sourceID=14","0.0206")</f>
        <v>0.0206</v>
      </c>
    </row>
    <row r="4964" spans="1:7">
      <c r="A4964" s="3">
        <v>14</v>
      </c>
      <c r="B4964" s="3">
        <v>9</v>
      </c>
      <c r="C4964" s="3">
        <v>2</v>
      </c>
      <c r="D4964" s="3">
        <v>57</v>
      </c>
      <c r="E4964" s="3">
        <v>1</v>
      </c>
      <c r="F4964" s="4" t="str">
        <f>HYPERLINK("http://141.218.60.56/~jnz1568/getInfo.php?workbook=14_09.xlsx&amp;sheet=U0&amp;row=4964&amp;col=6&amp;number=3&amp;sourceID=14","3")</f>
        <v>3</v>
      </c>
      <c r="G4964" s="4" t="str">
        <f>HYPERLINK("http://141.218.60.56/~jnz1568/getInfo.php?workbook=14_09.xlsx&amp;sheet=U0&amp;row=4964&amp;col=7&amp;number=0.0221&amp;sourceID=14","0.0221")</f>
        <v>0.0221</v>
      </c>
    </row>
    <row r="4965" spans="1:7">
      <c r="A4965" s="3"/>
      <c r="B4965" s="3"/>
      <c r="C4965" s="3"/>
      <c r="D4965" s="3"/>
      <c r="E4965" s="3">
        <v>2</v>
      </c>
      <c r="F4965" s="4" t="str">
        <f>HYPERLINK("http://141.218.60.56/~jnz1568/getInfo.php?workbook=14_09.xlsx&amp;sheet=U0&amp;row=4965&amp;col=6&amp;number=3.1&amp;sourceID=14","3.1")</f>
        <v>3.1</v>
      </c>
      <c r="G4965" s="4" t="str">
        <f>HYPERLINK("http://141.218.60.56/~jnz1568/getInfo.php?workbook=14_09.xlsx&amp;sheet=U0&amp;row=4965&amp;col=7&amp;number=0.0221&amp;sourceID=14","0.0221")</f>
        <v>0.0221</v>
      </c>
    </row>
    <row r="4966" spans="1:7">
      <c r="A4966" s="3"/>
      <c r="B4966" s="3"/>
      <c r="C4966" s="3"/>
      <c r="D4966" s="3"/>
      <c r="E4966" s="3">
        <v>3</v>
      </c>
      <c r="F4966" s="4" t="str">
        <f>HYPERLINK("http://141.218.60.56/~jnz1568/getInfo.php?workbook=14_09.xlsx&amp;sheet=U0&amp;row=4966&amp;col=6&amp;number=3.2&amp;sourceID=14","3.2")</f>
        <v>3.2</v>
      </c>
      <c r="G4966" s="4" t="str">
        <f>HYPERLINK("http://141.218.60.56/~jnz1568/getInfo.php?workbook=14_09.xlsx&amp;sheet=U0&amp;row=4966&amp;col=7&amp;number=0.0221&amp;sourceID=14","0.0221")</f>
        <v>0.0221</v>
      </c>
    </row>
    <row r="4967" spans="1:7">
      <c r="A4967" s="3"/>
      <c r="B4967" s="3"/>
      <c r="C4967" s="3"/>
      <c r="D4967" s="3"/>
      <c r="E4967" s="3">
        <v>4</v>
      </c>
      <c r="F4967" s="4" t="str">
        <f>HYPERLINK("http://141.218.60.56/~jnz1568/getInfo.php?workbook=14_09.xlsx&amp;sheet=U0&amp;row=4967&amp;col=6&amp;number=3.3&amp;sourceID=14","3.3")</f>
        <v>3.3</v>
      </c>
      <c r="G4967" s="4" t="str">
        <f>HYPERLINK("http://141.218.60.56/~jnz1568/getInfo.php?workbook=14_09.xlsx&amp;sheet=U0&amp;row=4967&amp;col=7&amp;number=0.0221&amp;sourceID=14","0.0221")</f>
        <v>0.0221</v>
      </c>
    </row>
    <row r="4968" spans="1:7">
      <c r="A4968" s="3"/>
      <c r="B4968" s="3"/>
      <c r="C4968" s="3"/>
      <c r="D4968" s="3"/>
      <c r="E4968" s="3">
        <v>5</v>
      </c>
      <c r="F4968" s="4" t="str">
        <f>HYPERLINK("http://141.218.60.56/~jnz1568/getInfo.php?workbook=14_09.xlsx&amp;sheet=U0&amp;row=4968&amp;col=6&amp;number=3.4&amp;sourceID=14","3.4")</f>
        <v>3.4</v>
      </c>
      <c r="G4968" s="4" t="str">
        <f>HYPERLINK("http://141.218.60.56/~jnz1568/getInfo.php?workbook=14_09.xlsx&amp;sheet=U0&amp;row=4968&amp;col=7&amp;number=0.0221&amp;sourceID=14","0.0221")</f>
        <v>0.0221</v>
      </c>
    </row>
    <row r="4969" spans="1:7">
      <c r="A4969" s="3"/>
      <c r="B4969" s="3"/>
      <c r="C4969" s="3"/>
      <c r="D4969" s="3"/>
      <c r="E4969" s="3">
        <v>6</v>
      </c>
      <c r="F4969" s="4" t="str">
        <f>HYPERLINK("http://141.218.60.56/~jnz1568/getInfo.php?workbook=14_09.xlsx&amp;sheet=U0&amp;row=4969&amp;col=6&amp;number=3.5&amp;sourceID=14","3.5")</f>
        <v>3.5</v>
      </c>
      <c r="G4969" s="4" t="str">
        <f>HYPERLINK("http://141.218.60.56/~jnz1568/getInfo.php?workbook=14_09.xlsx&amp;sheet=U0&amp;row=4969&amp;col=7&amp;number=0.0221&amp;sourceID=14","0.0221")</f>
        <v>0.0221</v>
      </c>
    </row>
    <row r="4970" spans="1:7">
      <c r="A4970" s="3"/>
      <c r="B4970" s="3"/>
      <c r="C4970" s="3"/>
      <c r="D4970" s="3"/>
      <c r="E4970" s="3">
        <v>7</v>
      </c>
      <c r="F4970" s="4" t="str">
        <f>HYPERLINK("http://141.218.60.56/~jnz1568/getInfo.php?workbook=14_09.xlsx&amp;sheet=U0&amp;row=4970&amp;col=6&amp;number=3.6&amp;sourceID=14","3.6")</f>
        <v>3.6</v>
      </c>
      <c r="G4970" s="4" t="str">
        <f>HYPERLINK("http://141.218.60.56/~jnz1568/getInfo.php?workbook=14_09.xlsx&amp;sheet=U0&amp;row=4970&amp;col=7&amp;number=0.0222&amp;sourceID=14","0.0222")</f>
        <v>0.0222</v>
      </c>
    </row>
    <row r="4971" spans="1:7">
      <c r="A4971" s="3"/>
      <c r="B4971" s="3"/>
      <c r="C4971" s="3"/>
      <c r="D4971" s="3"/>
      <c r="E4971" s="3">
        <v>8</v>
      </c>
      <c r="F4971" s="4" t="str">
        <f>HYPERLINK("http://141.218.60.56/~jnz1568/getInfo.php?workbook=14_09.xlsx&amp;sheet=U0&amp;row=4971&amp;col=6&amp;number=3.7&amp;sourceID=14","3.7")</f>
        <v>3.7</v>
      </c>
      <c r="G4971" s="4" t="str">
        <f>HYPERLINK("http://141.218.60.56/~jnz1568/getInfo.php?workbook=14_09.xlsx&amp;sheet=U0&amp;row=4971&amp;col=7&amp;number=0.0222&amp;sourceID=14","0.0222")</f>
        <v>0.0222</v>
      </c>
    </row>
    <row r="4972" spans="1:7">
      <c r="A4972" s="3"/>
      <c r="B4972" s="3"/>
      <c r="C4972" s="3"/>
      <c r="D4972" s="3"/>
      <c r="E4972" s="3">
        <v>9</v>
      </c>
      <c r="F4972" s="4" t="str">
        <f>HYPERLINK("http://141.218.60.56/~jnz1568/getInfo.php?workbook=14_09.xlsx&amp;sheet=U0&amp;row=4972&amp;col=6&amp;number=3.8&amp;sourceID=14","3.8")</f>
        <v>3.8</v>
      </c>
      <c r="G4972" s="4" t="str">
        <f>HYPERLINK("http://141.218.60.56/~jnz1568/getInfo.php?workbook=14_09.xlsx&amp;sheet=U0&amp;row=4972&amp;col=7&amp;number=0.0222&amp;sourceID=14","0.0222")</f>
        <v>0.0222</v>
      </c>
    </row>
    <row r="4973" spans="1:7">
      <c r="A4973" s="3"/>
      <c r="B4973" s="3"/>
      <c r="C4973" s="3"/>
      <c r="D4973" s="3"/>
      <c r="E4973" s="3">
        <v>10</v>
      </c>
      <c r="F4973" s="4" t="str">
        <f>HYPERLINK("http://141.218.60.56/~jnz1568/getInfo.php?workbook=14_09.xlsx&amp;sheet=U0&amp;row=4973&amp;col=6&amp;number=3.9&amp;sourceID=14","3.9")</f>
        <v>3.9</v>
      </c>
      <c r="G4973" s="4" t="str">
        <f>HYPERLINK("http://141.218.60.56/~jnz1568/getInfo.php?workbook=14_09.xlsx&amp;sheet=U0&amp;row=4973&amp;col=7&amp;number=0.0222&amp;sourceID=14","0.0222")</f>
        <v>0.0222</v>
      </c>
    </row>
    <row r="4974" spans="1:7">
      <c r="A4974" s="3"/>
      <c r="B4974" s="3"/>
      <c r="C4974" s="3"/>
      <c r="D4974" s="3"/>
      <c r="E4974" s="3">
        <v>11</v>
      </c>
      <c r="F4974" s="4" t="str">
        <f>HYPERLINK("http://141.218.60.56/~jnz1568/getInfo.php?workbook=14_09.xlsx&amp;sheet=U0&amp;row=4974&amp;col=6&amp;number=4&amp;sourceID=14","4")</f>
        <v>4</v>
      </c>
      <c r="G4974" s="4" t="str">
        <f>HYPERLINK("http://141.218.60.56/~jnz1568/getInfo.php?workbook=14_09.xlsx&amp;sheet=U0&amp;row=4974&amp;col=7&amp;number=0.0223&amp;sourceID=14","0.0223")</f>
        <v>0.0223</v>
      </c>
    </row>
    <row r="4975" spans="1:7">
      <c r="A4975" s="3"/>
      <c r="B4975" s="3"/>
      <c r="C4975" s="3"/>
      <c r="D4975" s="3"/>
      <c r="E4975" s="3">
        <v>12</v>
      </c>
      <c r="F4975" s="4" t="str">
        <f>HYPERLINK("http://141.218.60.56/~jnz1568/getInfo.php?workbook=14_09.xlsx&amp;sheet=U0&amp;row=4975&amp;col=6&amp;number=4.1&amp;sourceID=14","4.1")</f>
        <v>4.1</v>
      </c>
      <c r="G4975" s="4" t="str">
        <f>HYPERLINK("http://141.218.60.56/~jnz1568/getInfo.php?workbook=14_09.xlsx&amp;sheet=U0&amp;row=4975&amp;col=7&amp;number=0.0223&amp;sourceID=14","0.0223")</f>
        <v>0.0223</v>
      </c>
    </row>
    <row r="4976" spans="1:7">
      <c r="A4976" s="3"/>
      <c r="B4976" s="3"/>
      <c r="C4976" s="3"/>
      <c r="D4976" s="3"/>
      <c r="E4976" s="3">
        <v>13</v>
      </c>
      <c r="F4976" s="4" t="str">
        <f>HYPERLINK("http://141.218.60.56/~jnz1568/getInfo.php?workbook=14_09.xlsx&amp;sheet=U0&amp;row=4976&amp;col=6&amp;number=4.2&amp;sourceID=14","4.2")</f>
        <v>4.2</v>
      </c>
      <c r="G4976" s="4" t="str">
        <f>HYPERLINK("http://141.218.60.56/~jnz1568/getInfo.php?workbook=14_09.xlsx&amp;sheet=U0&amp;row=4976&amp;col=7&amp;number=0.0224&amp;sourceID=14","0.0224")</f>
        <v>0.0224</v>
      </c>
    </row>
    <row r="4977" spans="1:7">
      <c r="A4977" s="3"/>
      <c r="B4977" s="3"/>
      <c r="C4977" s="3"/>
      <c r="D4977" s="3"/>
      <c r="E4977" s="3">
        <v>14</v>
      </c>
      <c r="F4977" s="4" t="str">
        <f>HYPERLINK("http://141.218.60.56/~jnz1568/getInfo.php?workbook=14_09.xlsx&amp;sheet=U0&amp;row=4977&amp;col=6&amp;number=4.3&amp;sourceID=14","4.3")</f>
        <v>4.3</v>
      </c>
      <c r="G4977" s="4" t="str">
        <f>HYPERLINK("http://141.218.60.56/~jnz1568/getInfo.php?workbook=14_09.xlsx&amp;sheet=U0&amp;row=4977&amp;col=7&amp;number=0.0225&amp;sourceID=14","0.0225")</f>
        <v>0.0225</v>
      </c>
    </row>
    <row r="4978" spans="1:7">
      <c r="A4978" s="3"/>
      <c r="B4978" s="3"/>
      <c r="C4978" s="3"/>
      <c r="D4978" s="3"/>
      <c r="E4978" s="3">
        <v>15</v>
      </c>
      <c r="F4978" s="4" t="str">
        <f>HYPERLINK("http://141.218.60.56/~jnz1568/getInfo.php?workbook=14_09.xlsx&amp;sheet=U0&amp;row=4978&amp;col=6&amp;number=4.4&amp;sourceID=14","4.4")</f>
        <v>4.4</v>
      </c>
      <c r="G4978" s="4" t="str">
        <f>HYPERLINK("http://141.218.60.56/~jnz1568/getInfo.php?workbook=14_09.xlsx&amp;sheet=U0&amp;row=4978&amp;col=7&amp;number=0.0226&amp;sourceID=14","0.0226")</f>
        <v>0.0226</v>
      </c>
    </row>
    <row r="4979" spans="1:7">
      <c r="A4979" s="3"/>
      <c r="B4979" s="3"/>
      <c r="C4979" s="3"/>
      <c r="D4979" s="3"/>
      <c r="E4979" s="3">
        <v>16</v>
      </c>
      <c r="F4979" s="4" t="str">
        <f>HYPERLINK("http://141.218.60.56/~jnz1568/getInfo.php?workbook=14_09.xlsx&amp;sheet=U0&amp;row=4979&amp;col=6&amp;number=4.5&amp;sourceID=14","4.5")</f>
        <v>4.5</v>
      </c>
      <c r="G4979" s="4" t="str">
        <f>HYPERLINK("http://141.218.60.56/~jnz1568/getInfo.php?workbook=14_09.xlsx&amp;sheet=U0&amp;row=4979&amp;col=7&amp;number=0.0227&amp;sourceID=14","0.0227")</f>
        <v>0.0227</v>
      </c>
    </row>
    <row r="4980" spans="1:7">
      <c r="A4980" s="3"/>
      <c r="B4980" s="3"/>
      <c r="C4980" s="3"/>
      <c r="D4980" s="3"/>
      <c r="E4980" s="3">
        <v>17</v>
      </c>
      <c r="F4980" s="4" t="str">
        <f>HYPERLINK("http://141.218.60.56/~jnz1568/getInfo.php?workbook=14_09.xlsx&amp;sheet=U0&amp;row=4980&amp;col=6&amp;number=4.6&amp;sourceID=14","4.6")</f>
        <v>4.6</v>
      </c>
      <c r="G4980" s="4" t="str">
        <f>HYPERLINK("http://141.218.60.56/~jnz1568/getInfo.php?workbook=14_09.xlsx&amp;sheet=U0&amp;row=4980&amp;col=7&amp;number=0.0229&amp;sourceID=14","0.0229")</f>
        <v>0.0229</v>
      </c>
    </row>
    <row r="4981" spans="1:7">
      <c r="A4981" s="3"/>
      <c r="B4981" s="3"/>
      <c r="C4981" s="3"/>
      <c r="D4981" s="3"/>
      <c r="E4981" s="3">
        <v>18</v>
      </c>
      <c r="F4981" s="4" t="str">
        <f>HYPERLINK("http://141.218.60.56/~jnz1568/getInfo.php?workbook=14_09.xlsx&amp;sheet=U0&amp;row=4981&amp;col=6&amp;number=4.7&amp;sourceID=14","4.7")</f>
        <v>4.7</v>
      </c>
      <c r="G4981" s="4" t="str">
        <f>HYPERLINK("http://141.218.60.56/~jnz1568/getInfo.php?workbook=14_09.xlsx&amp;sheet=U0&amp;row=4981&amp;col=7&amp;number=0.023&amp;sourceID=14","0.023")</f>
        <v>0.023</v>
      </c>
    </row>
    <row r="4982" spans="1:7">
      <c r="A4982" s="3"/>
      <c r="B4982" s="3"/>
      <c r="C4982" s="3"/>
      <c r="D4982" s="3"/>
      <c r="E4982" s="3">
        <v>19</v>
      </c>
      <c r="F4982" s="4" t="str">
        <f>HYPERLINK("http://141.218.60.56/~jnz1568/getInfo.php?workbook=14_09.xlsx&amp;sheet=U0&amp;row=4982&amp;col=6&amp;number=4.8&amp;sourceID=14","4.8")</f>
        <v>4.8</v>
      </c>
      <c r="G4982" s="4" t="str">
        <f>HYPERLINK("http://141.218.60.56/~jnz1568/getInfo.php?workbook=14_09.xlsx&amp;sheet=U0&amp;row=4982&amp;col=7&amp;number=0.0232&amp;sourceID=14","0.0232")</f>
        <v>0.0232</v>
      </c>
    </row>
    <row r="4983" spans="1:7">
      <c r="A4983" s="3"/>
      <c r="B4983" s="3"/>
      <c r="C4983" s="3"/>
      <c r="D4983" s="3"/>
      <c r="E4983" s="3">
        <v>20</v>
      </c>
      <c r="F4983" s="4" t="str">
        <f>HYPERLINK("http://141.218.60.56/~jnz1568/getInfo.php?workbook=14_09.xlsx&amp;sheet=U0&amp;row=4983&amp;col=6&amp;number=4.9&amp;sourceID=14","4.9")</f>
        <v>4.9</v>
      </c>
      <c r="G4983" s="4" t="str">
        <f>HYPERLINK("http://141.218.60.56/~jnz1568/getInfo.php?workbook=14_09.xlsx&amp;sheet=U0&amp;row=4983&amp;col=7&amp;number=0.0233&amp;sourceID=14","0.0233")</f>
        <v>0.0233</v>
      </c>
    </row>
    <row r="4984" spans="1:7">
      <c r="A4984" s="3">
        <v>14</v>
      </c>
      <c r="B4984" s="3">
        <v>9</v>
      </c>
      <c r="C4984" s="3">
        <v>2</v>
      </c>
      <c r="D4984" s="3">
        <v>58</v>
      </c>
      <c r="E4984" s="3">
        <v>1</v>
      </c>
      <c r="F4984" s="4" t="str">
        <f>HYPERLINK("http://141.218.60.56/~jnz1568/getInfo.php?workbook=14_09.xlsx&amp;sheet=U0&amp;row=4984&amp;col=6&amp;number=3&amp;sourceID=14","3")</f>
        <v>3</v>
      </c>
      <c r="G4984" s="4" t="str">
        <f>HYPERLINK("http://141.218.60.56/~jnz1568/getInfo.php?workbook=14_09.xlsx&amp;sheet=U0&amp;row=4984&amp;col=7&amp;number=0.0842&amp;sourceID=14","0.0842")</f>
        <v>0.0842</v>
      </c>
    </row>
    <row r="4985" spans="1:7">
      <c r="A4985" s="3"/>
      <c r="B4985" s="3"/>
      <c r="C4985" s="3"/>
      <c r="D4985" s="3"/>
      <c r="E4985" s="3">
        <v>2</v>
      </c>
      <c r="F4985" s="4" t="str">
        <f>HYPERLINK("http://141.218.60.56/~jnz1568/getInfo.php?workbook=14_09.xlsx&amp;sheet=U0&amp;row=4985&amp;col=6&amp;number=3.1&amp;sourceID=14","3.1")</f>
        <v>3.1</v>
      </c>
      <c r="G4985" s="4" t="str">
        <f>HYPERLINK("http://141.218.60.56/~jnz1568/getInfo.php?workbook=14_09.xlsx&amp;sheet=U0&amp;row=4985&amp;col=7&amp;number=0.0843&amp;sourceID=14","0.0843")</f>
        <v>0.0843</v>
      </c>
    </row>
    <row r="4986" spans="1:7">
      <c r="A4986" s="3"/>
      <c r="B4986" s="3"/>
      <c r="C4986" s="3"/>
      <c r="D4986" s="3"/>
      <c r="E4986" s="3">
        <v>3</v>
      </c>
      <c r="F4986" s="4" t="str">
        <f>HYPERLINK("http://141.218.60.56/~jnz1568/getInfo.php?workbook=14_09.xlsx&amp;sheet=U0&amp;row=4986&amp;col=6&amp;number=3.2&amp;sourceID=14","3.2")</f>
        <v>3.2</v>
      </c>
      <c r="G4986" s="4" t="str">
        <f>HYPERLINK("http://141.218.60.56/~jnz1568/getInfo.php?workbook=14_09.xlsx&amp;sheet=U0&amp;row=4986&amp;col=7&amp;number=0.0843&amp;sourceID=14","0.0843")</f>
        <v>0.0843</v>
      </c>
    </row>
    <row r="4987" spans="1:7">
      <c r="A4987" s="3"/>
      <c r="B4987" s="3"/>
      <c r="C4987" s="3"/>
      <c r="D4987" s="3"/>
      <c r="E4987" s="3">
        <v>4</v>
      </c>
      <c r="F4987" s="4" t="str">
        <f>HYPERLINK("http://141.218.60.56/~jnz1568/getInfo.php?workbook=14_09.xlsx&amp;sheet=U0&amp;row=4987&amp;col=6&amp;number=3.3&amp;sourceID=14","3.3")</f>
        <v>3.3</v>
      </c>
      <c r="G4987" s="4" t="str">
        <f>HYPERLINK("http://141.218.60.56/~jnz1568/getInfo.php?workbook=14_09.xlsx&amp;sheet=U0&amp;row=4987&amp;col=7&amp;number=0.0844&amp;sourceID=14","0.0844")</f>
        <v>0.0844</v>
      </c>
    </row>
    <row r="4988" spans="1:7">
      <c r="A4988" s="3"/>
      <c r="B4988" s="3"/>
      <c r="C4988" s="3"/>
      <c r="D4988" s="3"/>
      <c r="E4988" s="3">
        <v>5</v>
      </c>
      <c r="F4988" s="4" t="str">
        <f>HYPERLINK("http://141.218.60.56/~jnz1568/getInfo.php?workbook=14_09.xlsx&amp;sheet=U0&amp;row=4988&amp;col=6&amp;number=3.4&amp;sourceID=14","3.4")</f>
        <v>3.4</v>
      </c>
      <c r="G4988" s="4" t="str">
        <f>HYPERLINK("http://141.218.60.56/~jnz1568/getInfo.php?workbook=14_09.xlsx&amp;sheet=U0&amp;row=4988&amp;col=7&amp;number=0.0845&amp;sourceID=14","0.0845")</f>
        <v>0.0845</v>
      </c>
    </row>
    <row r="4989" spans="1:7">
      <c r="A4989" s="3"/>
      <c r="B4989" s="3"/>
      <c r="C4989" s="3"/>
      <c r="D4989" s="3"/>
      <c r="E4989" s="3">
        <v>6</v>
      </c>
      <c r="F4989" s="4" t="str">
        <f>HYPERLINK("http://141.218.60.56/~jnz1568/getInfo.php?workbook=14_09.xlsx&amp;sheet=U0&amp;row=4989&amp;col=6&amp;number=3.5&amp;sourceID=14","3.5")</f>
        <v>3.5</v>
      </c>
      <c r="G4989" s="4" t="str">
        <f>HYPERLINK("http://141.218.60.56/~jnz1568/getInfo.php?workbook=14_09.xlsx&amp;sheet=U0&amp;row=4989&amp;col=7&amp;number=0.0846&amp;sourceID=14","0.0846")</f>
        <v>0.0846</v>
      </c>
    </row>
    <row r="4990" spans="1:7">
      <c r="A4990" s="3"/>
      <c r="B4990" s="3"/>
      <c r="C4990" s="3"/>
      <c r="D4990" s="3"/>
      <c r="E4990" s="3">
        <v>7</v>
      </c>
      <c r="F4990" s="4" t="str">
        <f>HYPERLINK("http://141.218.60.56/~jnz1568/getInfo.php?workbook=14_09.xlsx&amp;sheet=U0&amp;row=4990&amp;col=6&amp;number=3.6&amp;sourceID=14","3.6")</f>
        <v>3.6</v>
      </c>
      <c r="G4990" s="4" t="str">
        <f>HYPERLINK("http://141.218.60.56/~jnz1568/getInfo.php?workbook=14_09.xlsx&amp;sheet=U0&amp;row=4990&amp;col=7&amp;number=0.0848&amp;sourceID=14","0.0848")</f>
        <v>0.0848</v>
      </c>
    </row>
    <row r="4991" spans="1:7">
      <c r="A4991" s="3"/>
      <c r="B4991" s="3"/>
      <c r="C4991" s="3"/>
      <c r="D4991" s="3"/>
      <c r="E4991" s="3">
        <v>8</v>
      </c>
      <c r="F4991" s="4" t="str">
        <f>HYPERLINK("http://141.218.60.56/~jnz1568/getInfo.php?workbook=14_09.xlsx&amp;sheet=U0&amp;row=4991&amp;col=6&amp;number=3.7&amp;sourceID=14","3.7")</f>
        <v>3.7</v>
      </c>
      <c r="G4991" s="4" t="str">
        <f>HYPERLINK("http://141.218.60.56/~jnz1568/getInfo.php?workbook=14_09.xlsx&amp;sheet=U0&amp;row=4991&amp;col=7&amp;number=0.0849&amp;sourceID=14","0.0849")</f>
        <v>0.0849</v>
      </c>
    </row>
    <row r="4992" spans="1:7">
      <c r="A4992" s="3"/>
      <c r="B4992" s="3"/>
      <c r="C4992" s="3"/>
      <c r="D4992" s="3"/>
      <c r="E4992" s="3">
        <v>9</v>
      </c>
      <c r="F4992" s="4" t="str">
        <f>HYPERLINK("http://141.218.60.56/~jnz1568/getInfo.php?workbook=14_09.xlsx&amp;sheet=U0&amp;row=4992&amp;col=6&amp;number=3.8&amp;sourceID=14","3.8")</f>
        <v>3.8</v>
      </c>
      <c r="G4992" s="4" t="str">
        <f>HYPERLINK("http://141.218.60.56/~jnz1568/getInfo.php?workbook=14_09.xlsx&amp;sheet=U0&amp;row=4992&amp;col=7&amp;number=0.0851&amp;sourceID=14","0.0851")</f>
        <v>0.0851</v>
      </c>
    </row>
    <row r="4993" spans="1:7">
      <c r="A4993" s="3"/>
      <c r="B4993" s="3"/>
      <c r="C4993" s="3"/>
      <c r="D4993" s="3"/>
      <c r="E4993" s="3">
        <v>10</v>
      </c>
      <c r="F4993" s="4" t="str">
        <f>HYPERLINK("http://141.218.60.56/~jnz1568/getInfo.php?workbook=14_09.xlsx&amp;sheet=U0&amp;row=4993&amp;col=6&amp;number=3.9&amp;sourceID=14","3.9")</f>
        <v>3.9</v>
      </c>
      <c r="G4993" s="4" t="str">
        <f>HYPERLINK("http://141.218.60.56/~jnz1568/getInfo.php?workbook=14_09.xlsx&amp;sheet=U0&amp;row=4993&amp;col=7&amp;number=0.0854&amp;sourceID=14","0.0854")</f>
        <v>0.0854</v>
      </c>
    </row>
    <row r="4994" spans="1:7">
      <c r="A4994" s="3"/>
      <c r="B4994" s="3"/>
      <c r="C4994" s="3"/>
      <c r="D4994" s="3"/>
      <c r="E4994" s="3">
        <v>11</v>
      </c>
      <c r="F4994" s="4" t="str">
        <f>HYPERLINK("http://141.218.60.56/~jnz1568/getInfo.php?workbook=14_09.xlsx&amp;sheet=U0&amp;row=4994&amp;col=6&amp;number=4&amp;sourceID=14","4")</f>
        <v>4</v>
      </c>
      <c r="G4994" s="4" t="str">
        <f>HYPERLINK("http://141.218.60.56/~jnz1568/getInfo.php?workbook=14_09.xlsx&amp;sheet=U0&amp;row=4994&amp;col=7&amp;number=0.0858&amp;sourceID=14","0.0858")</f>
        <v>0.0858</v>
      </c>
    </row>
    <row r="4995" spans="1:7">
      <c r="A4995" s="3"/>
      <c r="B4995" s="3"/>
      <c r="C4995" s="3"/>
      <c r="D4995" s="3"/>
      <c r="E4995" s="3">
        <v>12</v>
      </c>
      <c r="F4995" s="4" t="str">
        <f>HYPERLINK("http://141.218.60.56/~jnz1568/getInfo.php?workbook=14_09.xlsx&amp;sheet=U0&amp;row=4995&amp;col=6&amp;number=4.1&amp;sourceID=14","4.1")</f>
        <v>4.1</v>
      </c>
      <c r="G4995" s="4" t="str">
        <f>HYPERLINK("http://141.218.60.56/~jnz1568/getInfo.php?workbook=14_09.xlsx&amp;sheet=U0&amp;row=4995&amp;col=7&amp;number=0.0862&amp;sourceID=14","0.0862")</f>
        <v>0.0862</v>
      </c>
    </row>
    <row r="4996" spans="1:7">
      <c r="A4996" s="3"/>
      <c r="B4996" s="3"/>
      <c r="C4996" s="3"/>
      <c r="D4996" s="3"/>
      <c r="E4996" s="3">
        <v>13</v>
      </c>
      <c r="F4996" s="4" t="str">
        <f>HYPERLINK("http://141.218.60.56/~jnz1568/getInfo.php?workbook=14_09.xlsx&amp;sheet=U0&amp;row=4996&amp;col=6&amp;number=4.2&amp;sourceID=14","4.2")</f>
        <v>4.2</v>
      </c>
      <c r="G4996" s="4" t="str">
        <f>HYPERLINK("http://141.218.60.56/~jnz1568/getInfo.php?workbook=14_09.xlsx&amp;sheet=U0&amp;row=4996&amp;col=7&amp;number=0.0867&amp;sourceID=14","0.0867")</f>
        <v>0.0867</v>
      </c>
    </row>
    <row r="4997" spans="1:7">
      <c r="A4997" s="3"/>
      <c r="B4997" s="3"/>
      <c r="C4997" s="3"/>
      <c r="D4997" s="3"/>
      <c r="E4997" s="3">
        <v>14</v>
      </c>
      <c r="F4997" s="4" t="str">
        <f>HYPERLINK("http://141.218.60.56/~jnz1568/getInfo.php?workbook=14_09.xlsx&amp;sheet=U0&amp;row=4997&amp;col=6&amp;number=4.3&amp;sourceID=14","4.3")</f>
        <v>4.3</v>
      </c>
      <c r="G4997" s="4" t="str">
        <f>HYPERLINK("http://141.218.60.56/~jnz1568/getInfo.php?workbook=14_09.xlsx&amp;sheet=U0&amp;row=4997&amp;col=7&amp;number=0.0874&amp;sourceID=14","0.0874")</f>
        <v>0.0874</v>
      </c>
    </row>
    <row r="4998" spans="1:7">
      <c r="A4998" s="3"/>
      <c r="B4998" s="3"/>
      <c r="C4998" s="3"/>
      <c r="D4998" s="3"/>
      <c r="E4998" s="3">
        <v>15</v>
      </c>
      <c r="F4998" s="4" t="str">
        <f>HYPERLINK("http://141.218.60.56/~jnz1568/getInfo.php?workbook=14_09.xlsx&amp;sheet=U0&amp;row=4998&amp;col=6&amp;number=4.4&amp;sourceID=14","4.4")</f>
        <v>4.4</v>
      </c>
      <c r="G4998" s="4" t="str">
        <f>HYPERLINK("http://141.218.60.56/~jnz1568/getInfo.php?workbook=14_09.xlsx&amp;sheet=U0&amp;row=4998&amp;col=7&amp;number=0.0883&amp;sourceID=14","0.0883")</f>
        <v>0.0883</v>
      </c>
    </row>
    <row r="4999" spans="1:7">
      <c r="A4999" s="3"/>
      <c r="B4999" s="3"/>
      <c r="C4999" s="3"/>
      <c r="D4999" s="3"/>
      <c r="E4999" s="3">
        <v>16</v>
      </c>
      <c r="F4999" s="4" t="str">
        <f>HYPERLINK("http://141.218.60.56/~jnz1568/getInfo.php?workbook=14_09.xlsx&amp;sheet=U0&amp;row=4999&amp;col=6&amp;number=4.5&amp;sourceID=14","4.5")</f>
        <v>4.5</v>
      </c>
      <c r="G4999" s="4" t="str">
        <f>HYPERLINK("http://141.218.60.56/~jnz1568/getInfo.php?workbook=14_09.xlsx&amp;sheet=U0&amp;row=4999&amp;col=7&amp;number=0.0893&amp;sourceID=14","0.0893")</f>
        <v>0.0893</v>
      </c>
    </row>
    <row r="5000" spans="1:7">
      <c r="A5000" s="3"/>
      <c r="B5000" s="3"/>
      <c r="C5000" s="3"/>
      <c r="D5000" s="3"/>
      <c r="E5000" s="3">
        <v>17</v>
      </c>
      <c r="F5000" s="4" t="str">
        <f>HYPERLINK("http://141.218.60.56/~jnz1568/getInfo.php?workbook=14_09.xlsx&amp;sheet=U0&amp;row=5000&amp;col=6&amp;number=4.6&amp;sourceID=14","4.6")</f>
        <v>4.6</v>
      </c>
      <c r="G5000" s="4" t="str">
        <f>HYPERLINK("http://141.218.60.56/~jnz1568/getInfo.php?workbook=14_09.xlsx&amp;sheet=U0&amp;row=5000&amp;col=7&amp;number=0.0906&amp;sourceID=14","0.0906")</f>
        <v>0.0906</v>
      </c>
    </row>
    <row r="5001" spans="1:7">
      <c r="A5001" s="3"/>
      <c r="B5001" s="3"/>
      <c r="C5001" s="3"/>
      <c r="D5001" s="3"/>
      <c r="E5001" s="3">
        <v>18</v>
      </c>
      <c r="F5001" s="4" t="str">
        <f>HYPERLINK("http://141.218.60.56/~jnz1568/getInfo.php?workbook=14_09.xlsx&amp;sheet=U0&amp;row=5001&amp;col=6&amp;number=4.7&amp;sourceID=14","4.7")</f>
        <v>4.7</v>
      </c>
      <c r="G5001" s="4" t="str">
        <f>HYPERLINK("http://141.218.60.56/~jnz1568/getInfo.php?workbook=14_09.xlsx&amp;sheet=U0&amp;row=5001&amp;col=7&amp;number=0.0921&amp;sourceID=14","0.0921")</f>
        <v>0.0921</v>
      </c>
    </row>
    <row r="5002" spans="1:7">
      <c r="A5002" s="3"/>
      <c r="B5002" s="3"/>
      <c r="C5002" s="3"/>
      <c r="D5002" s="3"/>
      <c r="E5002" s="3">
        <v>19</v>
      </c>
      <c r="F5002" s="4" t="str">
        <f>HYPERLINK("http://141.218.60.56/~jnz1568/getInfo.php?workbook=14_09.xlsx&amp;sheet=U0&amp;row=5002&amp;col=6&amp;number=4.8&amp;sourceID=14","4.8")</f>
        <v>4.8</v>
      </c>
      <c r="G5002" s="4" t="str">
        <f>HYPERLINK("http://141.218.60.56/~jnz1568/getInfo.php?workbook=14_09.xlsx&amp;sheet=U0&amp;row=5002&amp;col=7&amp;number=0.094&amp;sourceID=14","0.094")</f>
        <v>0.094</v>
      </c>
    </row>
    <row r="5003" spans="1:7">
      <c r="A5003" s="3"/>
      <c r="B5003" s="3"/>
      <c r="C5003" s="3"/>
      <c r="D5003" s="3"/>
      <c r="E5003" s="3">
        <v>20</v>
      </c>
      <c r="F5003" s="4" t="str">
        <f>HYPERLINK("http://141.218.60.56/~jnz1568/getInfo.php?workbook=14_09.xlsx&amp;sheet=U0&amp;row=5003&amp;col=6&amp;number=4.9&amp;sourceID=14","4.9")</f>
        <v>4.9</v>
      </c>
      <c r="G5003" s="4" t="str">
        <f>HYPERLINK("http://141.218.60.56/~jnz1568/getInfo.php?workbook=14_09.xlsx&amp;sheet=U0&amp;row=5003&amp;col=7&amp;number=0.0962&amp;sourceID=14","0.0962")</f>
        <v>0.0962</v>
      </c>
    </row>
    <row r="5004" spans="1:7">
      <c r="A5004" s="3">
        <v>14</v>
      </c>
      <c r="B5004" s="3">
        <v>9</v>
      </c>
      <c r="C5004" s="3">
        <v>2</v>
      </c>
      <c r="D5004" s="3">
        <v>59</v>
      </c>
      <c r="E5004" s="3">
        <v>1</v>
      </c>
      <c r="F5004" s="4" t="str">
        <f>HYPERLINK("http://141.218.60.56/~jnz1568/getInfo.php?workbook=14_09.xlsx&amp;sheet=U0&amp;row=5004&amp;col=6&amp;number=3&amp;sourceID=14","3")</f>
        <v>3</v>
      </c>
      <c r="G5004" s="4" t="str">
        <f>HYPERLINK("http://141.218.60.56/~jnz1568/getInfo.php?workbook=14_09.xlsx&amp;sheet=U0&amp;row=5004&amp;col=7&amp;number=0.0296&amp;sourceID=14","0.0296")</f>
        <v>0.0296</v>
      </c>
    </row>
    <row r="5005" spans="1:7">
      <c r="A5005" s="3"/>
      <c r="B5005" s="3"/>
      <c r="C5005" s="3"/>
      <c r="D5005" s="3"/>
      <c r="E5005" s="3">
        <v>2</v>
      </c>
      <c r="F5005" s="4" t="str">
        <f>HYPERLINK("http://141.218.60.56/~jnz1568/getInfo.php?workbook=14_09.xlsx&amp;sheet=U0&amp;row=5005&amp;col=6&amp;number=3.1&amp;sourceID=14","3.1")</f>
        <v>3.1</v>
      </c>
      <c r="G5005" s="4" t="str">
        <f>HYPERLINK("http://141.218.60.56/~jnz1568/getInfo.php?workbook=14_09.xlsx&amp;sheet=U0&amp;row=5005&amp;col=7&amp;number=0.0296&amp;sourceID=14","0.0296")</f>
        <v>0.0296</v>
      </c>
    </row>
    <row r="5006" spans="1:7">
      <c r="A5006" s="3"/>
      <c r="B5006" s="3"/>
      <c r="C5006" s="3"/>
      <c r="D5006" s="3"/>
      <c r="E5006" s="3">
        <v>3</v>
      </c>
      <c r="F5006" s="4" t="str">
        <f>HYPERLINK("http://141.218.60.56/~jnz1568/getInfo.php?workbook=14_09.xlsx&amp;sheet=U0&amp;row=5006&amp;col=6&amp;number=3.2&amp;sourceID=14","3.2")</f>
        <v>3.2</v>
      </c>
      <c r="G5006" s="4" t="str">
        <f>HYPERLINK("http://141.218.60.56/~jnz1568/getInfo.php?workbook=14_09.xlsx&amp;sheet=U0&amp;row=5006&amp;col=7&amp;number=0.0295&amp;sourceID=14","0.0295")</f>
        <v>0.0295</v>
      </c>
    </row>
    <row r="5007" spans="1:7">
      <c r="A5007" s="3"/>
      <c r="B5007" s="3"/>
      <c r="C5007" s="3"/>
      <c r="D5007" s="3"/>
      <c r="E5007" s="3">
        <v>4</v>
      </c>
      <c r="F5007" s="4" t="str">
        <f>HYPERLINK("http://141.218.60.56/~jnz1568/getInfo.php?workbook=14_09.xlsx&amp;sheet=U0&amp;row=5007&amp;col=6&amp;number=3.3&amp;sourceID=14","3.3")</f>
        <v>3.3</v>
      </c>
      <c r="G5007" s="4" t="str">
        <f>HYPERLINK("http://141.218.60.56/~jnz1568/getInfo.php?workbook=14_09.xlsx&amp;sheet=U0&amp;row=5007&amp;col=7&amp;number=0.0295&amp;sourceID=14","0.0295")</f>
        <v>0.0295</v>
      </c>
    </row>
    <row r="5008" spans="1:7">
      <c r="A5008" s="3"/>
      <c r="B5008" s="3"/>
      <c r="C5008" s="3"/>
      <c r="D5008" s="3"/>
      <c r="E5008" s="3">
        <v>5</v>
      </c>
      <c r="F5008" s="4" t="str">
        <f>HYPERLINK("http://141.218.60.56/~jnz1568/getInfo.php?workbook=14_09.xlsx&amp;sheet=U0&amp;row=5008&amp;col=6&amp;number=3.4&amp;sourceID=14","3.4")</f>
        <v>3.4</v>
      </c>
      <c r="G5008" s="4" t="str">
        <f>HYPERLINK("http://141.218.60.56/~jnz1568/getInfo.php?workbook=14_09.xlsx&amp;sheet=U0&amp;row=5008&amp;col=7&amp;number=0.0295&amp;sourceID=14","0.0295")</f>
        <v>0.0295</v>
      </c>
    </row>
    <row r="5009" spans="1:7">
      <c r="A5009" s="3"/>
      <c r="B5009" s="3"/>
      <c r="C5009" s="3"/>
      <c r="D5009" s="3"/>
      <c r="E5009" s="3">
        <v>6</v>
      </c>
      <c r="F5009" s="4" t="str">
        <f>HYPERLINK("http://141.218.60.56/~jnz1568/getInfo.php?workbook=14_09.xlsx&amp;sheet=U0&amp;row=5009&amp;col=6&amp;number=3.5&amp;sourceID=14","3.5")</f>
        <v>3.5</v>
      </c>
      <c r="G5009" s="4" t="str">
        <f>HYPERLINK("http://141.218.60.56/~jnz1568/getInfo.php?workbook=14_09.xlsx&amp;sheet=U0&amp;row=5009&amp;col=7&amp;number=0.0294&amp;sourceID=14","0.0294")</f>
        <v>0.0294</v>
      </c>
    </row>
    <row r="5010" spans="1:7">
      <c r="A5010" s="3"/>
      <c r="B5010" s="3"/>
      <c r="C5010" s="3"/>
      <c r="D5010" s="3"/>
      <c r="E5010" s="3">
        <v>7</v>
      </c>
      <c r="F5010" s="4" t="str">
        <f>HYPERLINK("http://141.218.60.56/~jnz1568/getInfo.php?workbook=14_09.xlsx&amp;sheet=U0&amp;row=5010&amp;col=6&amp;number=3.6&amp;sourceID=14","3.6")</f>
        <v>3.6</v>
      </c>
      <c r="G5010" s="4" t="str">
        <f>HYPERLINK("http://141.218.60.56/~jnz1568/getInfo.php?workbook=14_09.xlsx&amp;sheet=U0&amp;row=5010&amp;col=7&amp;number=0.0293&amp;sourceID=14","0.0293")</f>
        <v>0.0293</v>
      </c>
    </row>
    <row r="5011" spans="1:7">
      <c r="A5011" s="3"/>
      <c r="B5011" s="3"/>
      <c r="C5011" s="3"/>
      <c r="D5011" s="3"/>
      <c r="E5011" s="3">
        <v>8</v>
      </c>
      <c r="F5011" s="4" t="str">
        <f>HYPERLINK("http://141.218.60.56/~jnz1568/getInfo.php?workbook=14_09.xlsx&amp;sheet=U0&amp;row=5011&amp;col=6&amp;number=3.7&amp;sourceID=14","3.7")</f>
        <v>3.7</v>
      </c>
      <c r="G5011" s="4" t="str">
        <f>HYPERLINK("http://141.218.60.56/~jnz1568/getInfo.php?workbook=14_09.xlsx&amp;sheet=U0&amp;row=5011&amp;col=7&amp;number=0.0292&amp;sourceID=14","0.0292")</f>
        <v>0.0292</v>
      </c>
    </row>
    <row r="5012" spans="1:7">
      <c r="A5012" s="3"/>
      <c r="B5012" s="3"/>
      <c r="C5012" s="3"/>
      <c r="D5012" s="3"/>
      <c r="E5012" s="3">
        <v>9</v>
      </c>
      <c r="F5012" s="4" t="str">
        <f>HYPERLINK("http://141.218.60.56/~jnz1568/getInfo.php?workbook=14_09.xlsx&amp;sheet=U0&amp;row=5012&amp;col=6&amp;number=3.8&amp;sourceID=14","3.8")</f>
        <v>3.8</v>
      </c>
      <c r="G5012" s="4" t="str">
        <f>HYPERLINK("http://141.218.60.56/~jnz1568/getInfo.php?workbook=14_09.xlsx&amp;sheet=U0&amp;row=5012&amp;col=7&amp;number=0.0291&amp;sourceID=14","0.0291")</f>
        <v>0.0291</v>
      </c>
    </row>
    <row r="5013" spans="1:7">
      <c r="A5013" s="3"/>
      <c r="B5013" s="3"/>
      <c r="C5013" s="3"/>
      <c r="D5013" s="3"/>
      <c r="E5013" s="3">
        <v>10</v>
      </c>
      <c r="F5013" s="4" t="str">
        <f>HYPERLINK("http://141.218.60.56/~jnz1568/getInfo.php?workbook=14_09.xlsx&amp;sheet=U0&amp;row=5013&amp;col=6&amp;number=3.9&amp;sourceID=14","3.9")</f>
        <v>3.9</v>
      </c>
      <c r="G5013" s="4" t="str">
        <f>HYPERLINK("http://141.218.60.56/~jnz1568/getInfo.php?workbook=14_09.xlsx&amp;sheet=U0&amp;row=5013&amp;col=7&amp;number=0.029&amp;sourceID=14","0.029")</f>
        <v>0.029</v>
      </c>
    </row>
    <row r="5014" spans="1:7">
      <c r="A5014" s="3"/>
      <c r="B5014" s="3"/>
      <c r="C5014" s="3"/>
      <c r="D5014" s="3"/>
      <c r="E5014" s="3">
        <v>11</v>
      </c>
      <c r="F5014" s="4" t="str">
        <f>HYPERLINK("http://141.218.60.56/~jnz1568/getInfo.php?workbook=14_09.xlsx&amp;sheet=U0&amp;row=5014&amp;col=6&amp;number=4&amp;sourceID=14","4")</f>
        <v>4</v>
      </c>
      <c r="G5014" s="4" t="str">
        <f>HYPERLINK("http://141.218.60.56/~jnz1568/getInfo.php?workbook=14_09.xlsx&amp;sheet=U0&amp;row=5014&amp;col=7&amp;number=0.0288&amp;sourceID=14","0.0288")</f>
        <v>0.0288</v>
      </c>
    </row>
    <row r="5015" spans="1:7">
      <c r="A5015" s="3"/>
      <c r="B5015" s="3"/>
      <c r="C5015" s="3"/>
      <c r="D5015" s="3"/>
      <c r="E5015" s="3">
        <v>12</v>
      </c>
      <c r="F5015" s="4" t="str">
        <f>HYPERLINK("http://141.218.60.56/~jnz1568/getInfo.php?workbook=14_09.xlsx&amp;sheet=U0&amp;row=5015&amp;col=6&amp;number=4.1&amp;sourceID=14","4.1")</f>
        <v>4.1</v>
      </c>
      <c r="G5015" s="4" t="str">
        <f>HYPERLINK("http://141.218.60.56/~jnz1568/getInfo.php?workbook=14_09.xlsx&amp;sheet=U0&amp;row=5015&amp;col=7&amp;number=0.0286&amp;sourceID=14","0.0286")</f>
        <v>0.0286</v>
      </c>
    </row>
    <row r="5016" spans="1:7">
      <c r="A5016" s="3"/>
      <c r="B5016" s="3"/>
      <c r="C5016" s="3"/>
      <c r="D5016" s="3"/>
      <c r="E5016" s="3">
        <v>13</v>
      </c>
      <c r="F5016" s="4" t="str">
        <f>HYPERLINK("http://141.218.60.56/~jnz1568/getInfo.php?workbook=14_09.xlsx&amp;sheet=U0&amp;row=5016&amp;col=6&amp;number=4.2&amp;sourceID=14","4.2")</f>
        <v>4.2</v>
      </c>
      <c r="G5016" s="4" t="str">
        <f>HYPERLINK("http://141.218.60.56/~jnz1568/getInfo.php?workbook=14_09.xlsx&amp;sheet=U0&amp;row=5016&amp;col=7&amp;number=0.0283&amp;sourceID=14","0.0283")</f>
        <v>0.0283</v>
      </c>
    </row>
    <row r="5017" spans="1:7">
      <c r="A5017" s="3"/>
      <c r="B5017" s="3"/>
      <c r="C5017" s="3"/>
      <c r="D5017" s="3"/>
      <c r="E5017" s="3">
        <v>14</v>
      </c>
      <c r="F5017" s="4" t="str">
        <f>HYPERLINK("http://141.218.60.56/~jnz1568/getInfo.php?workbook=14_09.xlsx&amp;sheet=U0&amp;row=5017&amp;col=6&amp;number=4.3&amp;sourceID=14","4.3")</f>
        <v>4.3</v>
      </c>
      <c r="G5017" s="4" t="str">
        <f>HYPERLINK("http://141.218.60.56/~jnz1568/getInfo.php?workbook=14_09.xlsx&amp;sheet=U0&amp;row=5017&amp;col=7&amp;number=0.028&amp;sourceID=14","0.028")</f>
        <v>0.028</v>
      </c>
    </row>
    <row r="5018" spans="1:7">
      <c r="A5018" s="3"/>
      <c r="B5018" s="3"/>
      <c r="C5018" s="3"/>
      <c r="D5018" s="3"/>
      <c r="E5018" s="3">
        <v>15</v>
      </c>
      <c r="F5018" s="4" t="str">
        <f>HYPERLINK("http://141.218.60.56/~jnz1568/getInfo.php?workbook=14_09.xlsx&amp;sheet=U0&amp;row=5018&amp;col=6&amp;number=4.4&amp;sourceID=14","4.4")</f>
        <v>4.4</v>
      </c>
      <c r="G5018" s="4" t="str">
        <f>HYPERLINK("http://141.218.60.56/~jnz1568/getInfo.php?workbook=14_09.xlsx&amp;sheet=U0&amp;row=5018&amp;col=7&amp;number=0.0276&amp;sourceID=14","0.0276")</f>
        <v>0.0276</v>
      </c>
    </row>
    <row r="5019" spans="1:7">
      <c r="A5019" s="3"/>
      <c r="B5019" s="3"/>
      <c r="C5019" s="3"/>
      <c r="D5019" s="3"/>
      <c r="E5019" s="3">
        <v>16</v>
      </c>
      <c r="F5019" s="4" t="str">
        <f>HYPERLINK("http://141.218.60.56/~jnz1568/getInfo.php?workbook=14_09.xlsx&amp;sheet=U0&amp;row=5019&amp;col=6&amp;number=4.5&amp;sourceID=14","4.5")</f>
        <v>4.5</v>
      </c>
      <c r="G5019" s="4" t="str">
        <f>HYPERLINK("http://141.218.60.56/~jnz1568/getInfo.php?workbook=14_09.xlsx&amp;sheet=U0&amp;row=5019&amp;col=7&amp;number=0.0271&amp;sourceID=14","0.0271")</f>
        <v>0.0271</v>
      </c>
    </row>
    <row r="5020" spans="1:7">
      <c r="A5020" s="3"/>
      <c r="B5020" s="3"/>
      <c r="C5020" s="3"/>
      <c r="D5020" s="3"/>
      <c r="E5020" s="3">
        <v>17</v>
      </c>
      <c r="F5020" s="4" t="str">
        <f>HYPERLINK("http://141.218.60.56/~jnz1568/getInfo.php?workbook=14_09.xlsx&amp;sheet=U0&amp;row=5020&amp;col=6&amp;number=4.6&amp;sourceID=14","4.6")</f>
        <v>4.6</v>
      </c>
      <c r="G5020" s="4" t="str">
        <f>HYPERLINK("http://141.218.60.56/~jnz1568/getInfo.php?workbook=14_09.xlsx&amp;sheet=U0&amp;row=5020&amp;col=7&amp;number=0.0265&amp;sourceID=14","0.0265")</f>
        <v>0.0265</v>
      </c>
    </row>
    <row r="5021" spans="1:7">
      <c r="A5021" s="3"/>
      <c r="B5021" s="3"/>
      <c r="C5021" s="3"/>
      <c r="D5021" s="3"/>
      <c r="E5021" s="3">
        <v>18</v>
      </c>
      <c r="F5021" s="4" t="str">
        <f>HYPERLINK("http://141.218.60.56/~jnz1568/getInfo.php?workbook=14_09.xlsx&amp;sheet=U0&amp;row=5021&amp;col=6&amp;number=4.7&amp;sourceID=14","4.7")</f>
        <v>4.7</v>
      </c>
      <c r="G5021" s="4" t="str">
        <f>HYPERLINK("http://141.218.60.56/~jnz1568/getInfo.php?workbook=14_09.xlsx&amp;sheet=U0&amp;row=5021&amp;col=7&amp;number=0.0258&amp;sourceID=14","0.0258")</f>
        <v>0.0258</v>
      </c>
    </row>
    <row r="5022" spans="1:7">
      <c r="A5022" s="3"/>
      <c r="B5022" s="3"/>
      <c r="C5022" s="3"/>
      <c r="D5022" s="3"/>
      <c r="E5022" s="3">
        <v>19</v>
      </c>
      <c r="F5022" s="4" t="str">
        <f>HYPERLINK("http://141.218.60.56/~jnz1568/getInfo.php?workbook=14_09.xlsx&amp;sheet=U0&amp;row=5022&amp;col=6&amp;number=4.8&amp;sourceID=14","4.8")</f>
        <v>4.8</v>
      </c>
      <c r="G5022" s="4" t="str">
        <f>HYPERLINK("http://141.218.60.56/~jnz1568/getInfo.php?workbook=14_09.xlsx&amp;sheet=U0&amp;row=5022&amp;col=7&amp;number=0.0249&amp;sourceID=14","0.0249")</f>
        <v>0.0249</v>
      </c>
    </row>
    <row r="5023" spans="1:7">
      <c r="A5023" s="3"/>
      <c r="B5023" s="3"/>
      <c r="C5023" s="3"/>
      <c r="D5023" s="3"/>
      <c r="E5023" s="3">
        <v>20</v>
      </c>
      <c r="F5023" s="4" t="str">
        <f>HYPERLINK("http://141.218.60.56/~jnz1568/getInfo.php?workbook=14_09.xlsx&amp;sheet=U0&amp;row=5023&amp;col=6&amp;number=4.9&amp;sourceID=14","4.9")</f>
        <v>4.9</v>
      </c>
      <c r="G5023" s="4" t="str">
        <f>HYPERLINK("http://141.218.60.56/~jnz1568/getInfo.php?workbook=14_09.xlsx&amp;sheet=U0&amp;row=5023&amp;col=7&amp;number=0.024&amp;sourceID=14","0.024")</f>
        <v>0.024</v>
      </c>
    </row>
    <row r="5024" spans="1:7">
      <c r="A5024" s="3">
        <v>14</v>
      </c>
      <c r="B5024" s="3">
        <v>9</v>
      </c>
      <c r="C5024" s="3">
        <v>2</v>
      </c>
      <c r="D5024" s="3">
        <v>60</v>
      </c>
      <c r="E5024" s="3">
        <v>1</v>
      </c>
      <c r="F5024" s="4" t="str">
        <f>HYPERLINK("http://141.218.60.56/~jnz1568/getInfo.php?workbook=14_09.xlsx&amp;sheet=U0&amp;row=5024&amp;col=6&amp;number=3&amp;sourceID=14","3")</f>
        <v>3</v>
      </c>
      <c r="G5024" s="4" t="str">
        <f>HYPERLINK("http://141.218.60.56/~jnz1568/getInfo.php?workbook=14_09.xlsx&amp;sheet=U0&amp;row=5024&amp;col=7&amp;number=0.0399&amp;sourceID=14","0.0399")</f>
        <v>0.0399</v>
      </c>
    </row>
    <row r="5025" spans="1:7">
      <c r="A5025" s="3"/>
      <c r="B5025" s="3"/>
      <c r="C5025" s="3"/>
      <c r="D5025" s="3"/>
      <c r="E5025" s="3">
        <v>2</v>
      </c>
      <c r="F5025" s="4" t="str">
        <f>HYPERLINK("http://141.218.60.56/~jnz1568/getInfo.php?workbook=14_09.xlsx&amp;sheet=U0&amp;row=5025&amp;col=6&amp;number=3.1&amp;sourceID=14","3.1")</f>
        <v>3.1</v>
      </c>
      <c r="G5025" s="4" t="str">
        <f>HYPERLINK("http://141.218.60.56/~jnz1568/getInfo.php?workbook=14_09.xlsx&amp;sheet=U0&amp;row=5025&amp;col=7&amp;number=0.0399&amp;sourceID=14","0.0399")</f>
        <v>0.0399</v>
      </c>
    </row>
    <row r="5026" spans="1:7">
      <c r="A5026" s="3"/>
      <c r="B5026" s="3"/>
      <c r="C5026" s="3"/>
      <c r="D5026" s="3"/>
      <c r="E5026" s="3">
        <v>3</v>
      </c>
      <c r="F5026" s="4" t="str">
        <f>HYPERLINK("http://141.218.60.56/~jnz1568/getInfo.php?workbook=14_09.xlsx&amp;sheet=U0&amp;row=5026&amp;col=6&amp;number=3.2&amp;sourceID=14","3.2")</f>
        <v>3.2</v>
      </c>
      <c r="G5026" s="4" t="str">
        <f>HYPERLINK("http://141.218.60.56/~jnz1568/getInfo.php?workbook=14_09.xlsx&amp;sheet=U0&amp;row=5026&amp;col=7&amp;number=0.0398&amp;sourceID=14","0.0398")</f>
        <v>0.0398</v>
      </c>
    </row>
    <row r="5027" spans="1:7">
      <c r="A5027" s="3"/>
      <c r="B5027" s="3"/>
      <c r="C5027" s="3"/>
      <c r="D5027" s="3"/>
      <c r="E5027" s="3">
        <v>4</v>
      </c>
      <c r="F5027" s="4" t="str">
        <f>HYPERLINK("http://141.218.60.56/~jnz1568/getInfo.php?workbook=14_09.xlsx&amp;sheet=U0&amp;row=5027&amp;col=6&amp;number=3.3&amp;sourceID=14","3.3")</f>
        <v>3.3</v>
      </c>
      <c r="G5027" s="4" t="str">
        <f>HYPERLINK("http://141.218.60.56/~jnz1568/getInfo.php?workbook=14_09.xlsx&amp;sheet=U0&amp;row=5027&amp;col=7&amp;number=0.0398&amp;sourceID=14","0.0398")</f>
        <v>0.0398</v>
      </c>
    </row>
    <row r="5028" spans="1:7">
      <c r="A5028" s="3"/>
      <c r="B5028" s="3"/>
      <c r="C5028" s="3"/>
      <c r="D5028" s="3"/>
      <c r="E5028" s="3">
        <v>5</v>
      </c>
      <c r="F5028" s="4" t="str">
        <f>HYPERLINK("http://141.218.60.56/~jnz1568/getInfo.php?workbook=14_09.xlsx&amp;sheet=U0&amp;row=5028&amp;col=6&amp;number=3.4&amp;sourceID=14","3.4")</f>
        <v>3.4</v>
      </c>
      <c r="G5028" s="4" t="str">
        <f>HYPERLINK("http://141.218.60.56/~jnz1568/getInfo.php?workbook=14_09.xlsx&amp;sheet=U0&amp;row=5028&amp;col=7&amp;number=0.0398&amp;sourceID=14","0.0398")</f>
        <v>0.0398</v>
      </c>
    </row>
    <row r="5029" spans="1:7">
      <c r="A5029" s="3"/>
      <c r="B5029" s="3"/>
      <c r="C5029" s="3"/>
      <c r="D5029" s="3"/>
      <c r="E5029" s="3">
        <v>6</v>
      </c>
      <c r="F5029" s="4" t="str">
        <f>HYPERLINK("http://141.218.60.56/~jnz1568/getInfo.php?workbook=14_09.xlsx&amp;sheet=U0&amp;row=5029&amp;col=6&amp;number=3.5&amp;sourceID=14","3.5")</f>
        <v>3.5</v>
      </c>
      <c r="G5029" s="4" t="str">
        <f>HYPERLINK("http://141.218.60.56/~jnz1568/getInfo.php?workbook=14_09.xlsx&amp;sheet=U0&amp;row=5029&amp;col=7&amp;number=0.0398&amp;sourceID=14","0.0398")</f>
        <v>0.0398</v>
      </c>
    </row>
    <row r="5030" spans="1:7">
      <c r="A5030" s="3"/>
      <c r="B5030" s="3"/>
      <c r="C5030" s="3"/>
      <c r="D5030" s="3"/>
      <c r="E5030" s="3">
        <v>7</v>
      </c>
      <c r="F5030" s="4" t="str">
        <f>HYPERLINK("http://141.218.60.56/~jnz1568/getInfo.php?workbook=14_09.xlsx&amp;sheet=U0&amp;row=5030&amp;col=6&amp;number=3.6&amp;sourceID=14","3.6")</f>
        <v>3.6</v>
      </c>
      <c r="G5030" s="4" t="str">
        <f>HYPERLINK("http://141.218.60.56/~jnz1568/getInfo.php?workbook=14_09.xlsx&amp;sheet=U0&amp;row=5030&amp;col=7&amp;number=0.0397&amp;sourceID=14","0.0397")</f>
        <v>0.0397</v>
      </c>
    </row>
    <row r="5031" spans="1:7">
      <c r="A5031" s="3"/>
      <c r="B5031" s="3"/>
      <c r="C5031" s="3"/>
      <c r="D5031" s="3"/>
      <c r="E5031" s="3">
        <v>8</v>
      </c>
      <c r="F5031" s="4" t="str">
        <f>HYPERLINK("http://141.218.60.56/~jnz1568/getInfo.php?workbook=14_09.xlsx&amp;sheet=U0&amp;row=5031&amp;col=6&amp;number=3.7&amp;sourceID=14","3.7")</f>
        <v>3.7</v>
      </c>
      <c r="G5031" s="4" t="str">
        <f>HYPERLINK("http://141.218.60.56/~jnz1568/getInfo.php?workbook=14_09.xlsx&amp;sheet=U0&amp;row=5031&amp;col=7&amp;number=0.0397&amp;sourceID=14","0.0397")</f>
        <v>0.0397</v>
      </c>
    </row>
    <row r="5032" spans="1:7">
      <c r="A5032" s="3"/>
      <c r="B5032" s="3"/>
      <c r="C5032" s="3"/>
      <c r="D5032" s="3"/>
      <c r="E5032" s="3">
        <v>9</v>
      </c>
      <c r="F5032" s="4" t="str">
        <f>HYPERLINK("http://141.218.60.56/~jnz1568/getInfo.php?workbook=14_09.xlsx&amp;sheet=U0&amp;row=5032&amp;col=6&amp;number=3.8&amp;sourceID=14","3.8")</f>
        <v>3.8</v>
      </c>
      <c r="G5032" s="4" t="str">
        <f>HYPERLINK("http://141.218.60.56/~jnz1568/getInfo.php?workbook=14_09.xlsx&amp;sheet=U0&amp;row=5032&amp;col=7&amp;number=0.0396&amp;sourceID=14","0.0396")</f>
        <v>0.0396</v>
      </c>
    </row>
    <row r="5033" spans="1:7">
      <c r="A5033" s="3"/>
      <c r="B5033" s="3"/>
      <c r="C5033" s="3"/>
      <c r="D5033" s="3"/>
      <c r="E5033" s="3">
        <v>10</v>
      </c>
      <c r="F5033" s="4" t="str">
        <f>HYPERLINK("http://141.218.60.56/~jnz1568/getInfo.php?workbook=14_09.xlsx&amp;sheet=U0&amp;row=5033&amp;col=6&amp;number=3.9&amp;sourceID=14","3.9")</f>
        <v>3.9</v>
      </c>
      <c r="G5033" s="4" t="str">
        <f>HYPERLINK("http://141.218.60.56/~jnz1568/getInfo.php?workbook=14_09.xlsx&amp;sheet=U0&amp;row=5033&amp;col=7&amp;number=0.0396&amp;sourceID=14","0.0396")</f>
        <v>0.0396</v>
      </c>
    </row>
    <row r="5034" spans="1:7">
      <c r="A5034" s="3"/>
      <c r="B5034" s="3"/>
      <c r="C5034" s="3"/>
      <c r="D5034" s="3"/>
      <c r="E5034" s="3">
        <v>11</v>
      </c>
      <c r="F5034" s="4" t="str">
        <f>HYPERLINK("http://141.218.60.56/~jnz1568/getInfo.php?workbook=14_09.xlsx&amp;sheet=U0&amp;row=5034&amp;col=6&amp;number=4&amp;sourceID=14","4")</f>
        <v>4</v>
      </c>
      <c r="G5034" s="4" t="str">
        <f>HYPERLINK("http://141.218.60.56/~jnz1568/getInfo.php?workbook=14_09.xlsx&amp;sheet=U0&amp;row=5034&amp;col=7&amp;number=0.0395&amp;sourceID=14","0.0395")</f>
        <v>0.0395</v>
      </c>
    </row>
    <row r="5035" spans="1:7">
      <c r="A5035" s="3"/>
      <c r="B5035" s="3"/>
      <c r="C5035" s="3"/>
      <c r="D5035" s="3"/>
      <c r="E5035" s="3">
        <v>12</v>
      </c>
      <c r="F5035" s="4" t="str">
        <f>HYPERLINK("http://141.218.60.56/~jnz1568/getInfo.php?workbook=14_09.xlsx&amp;sheet=U0&amp;row=5035&amp;col=6&amp;number=4.1&amp;sourceID=14","4.1")</f>
        <v>4.1</v>
      </c>
      <c r="G5035" s="4" t="str">
        <f>HYPERLINK("http://141.218.60.56/~jnz1568/getInfo.php?workbook=14_09.xlsx&amp;sheet=U0&amp;row=5035&amp;col=7&amp;number=0.0394&amp;sourceID=14","0.0394")</f>
        <v>0.0394</v>
      </c>
    </row>
    <row r="5036" spans="1:7">
      <c r="A5036" s="3"/>
      <c r="B5036" s="3"/>
      <c r="C5036" s="3"/>
      <c r="D5036" s="3"/>
      <c r="E5036" s="3">
        <v>13</v>
      </c>
      <c r="F5036" s="4" t="str">
        <f>HYPERLINK("http://141.218.60.56/~jnz1568/getInfo.php?workbook=14_09.xlsx&amp;sheet=U0&amp;row=5036&amp;col=6&amp;number=4.2&amp;sourceID=14","4.2")</f>
        <v>4.2</v>
      </c>
      <c r="G5036" s="4" t="str">
        <f>HYPERLINK("http://141.218.60.56/~jnz1568/getInfo.php?workbook=14_09.xlsx&amp;sheet=U0&amp;row=5036&amp;col=7&amp;number=0.0392&amp;sourceID=14","0.0392")</f>
        <v>0.0392</v>
      </c>
    </row>
    <row r="5037" spans="1:7">
      <c r="A5037" s="3"/>
      <c r="B5037" s="3"/>
      <c r="C5037" s="3"/>
      <c r="D5037" s="3"/>
      <c r="E5037" s="3">
        <v>14</v>
      </c>
      <c r="F5037" s="4" t="str">
        <f>HYPERLINK("http://141.218.60.56/~jnz1568/getInfo.php?workbook=14_09.xlsx&amp;sheet=U0&amp;row=5037&amp;col=6&amp;number=4.3&amp;sourceID=14","4.3")</f>
        <v>4.3</v>
      </c>
      <c r="G5037" s="4" t="str">
        <f>HYPERLINK("http://141.218.60.56/~jnz1568/getInfo.php?workbook=14_09.xlsx&amp;sheet=U0&amp;row=5037&amp;col=7&amp;number=0.0391&amp;sourceID=14","0.0391")</f>
        <v>0.0391</v>
      </c>
    </row>
    <row r="5038" spans="1:7">
      <c r="A5038" s="3"/>
      <c r="B5038" s="3"/>
      <c r="C5038" s="3"/>
      <c r="D5038" s="3"/>
      <c r="E5038" s="3">
        <v>15</v>
      </c>
      <c r="F5038" s="4" t="str">
        <f>HYPERLINK("http://141.218.60.56/~jnz1568/getInfo.php?workbook=14_09.xlsx&amp;sheet=U0&amp;row=5038&amp;col=6&amp;number=4.4&amp;sourceID=14","4.4")</f>
        <v>4.4</v>
      </c>
      <c r="G5038" s="4" t="str">
        <f>HYPERLINK("http://141.218.60.56/~jnz1568/getInfo.php?workbook=14_09.xlsx&amp;sheet=U0&amp;row=5038&amp;col=7&amp;number=0.0389&amp;sourceID=14","0.0389")</f>
        <v>0.0389</v>
      </c>
    </row>
    <row r="5039" spans="1:7">
      <c r="A5039" s="3"/>
      <c r="B5039" s="3"/>
      <c r="C5039" s="3"/>
      <c r="D5039" s="3"/>
      <c r="E5039" s="3">
        <v>16</v>
      </c>
      <c r="F5039" s="4" t="str">
        <f>HYPERLINK("http://141.218.60.56/~jnz1568/getInfo.php?workbook=14_09.xlsx&amp;sheet=U0&amp;row=5039&amp;col=6&amp;number=4.5&amp;sourceID=14","4.5")</f>
        <v>4.5</v>
      </c>
      <c r="G5039" s="4" t="str">
        <f>HYPERLINK("http://141.218.60.56/~jnz1568/getInfo.php?workbook=14_09.xlsx&amp;sheet=U0&amp;row=5039&amp;col=7&amp;number=0.0386&amp;sourceID=14","0.0386")</f>
        <v>0.0386</v>
      </c>
    </row>
    <row r="5040" spans="1:7">
      <c r="A5040" s="3"/>
      <c r="B5040" s="3"/>
      <c r="C5040" s="3"/>
      <c r="D5040" s="3"/>
      <c r="E5040" s="3">
        <v>17</v>
      </c>
      <c r="F5040" s="4" t="str">
        <f>HYPERLINK("http://141.218.60.56/~jnz1568/getInfo.php?workbook=14_09.xlsx&amp;sheet=U0&amp;row=5040&amp;col=6&amp;number=4.6&amp;sourceID=14","4.6")</f>
        <v>4.6</v>
      </c>
      <c r="G5040" s="4" t="str">
        <f>HYPERLINK("http://141.218.60.56/~jnz1568/getInfo.php?workbook=14_09.xlsx&amp;sheet=U0&amp;row=5040&amp;col=7&amp;number=0.0383&amp;sourceID=14","0.0383")</f>
        <v>0.0383</v>
      </c>
    </row>
    <row r="5041" spans="1:7">
      <c r="A5041" s="3"/>
      <c r="B5041" s="3"/>
      <c r="C5041" s="3"/>
      <c r="D5041" s="3"/>
      <c r="E5041" s="3">
        <v>18</v>
      </c>
      <c r="F5041" s="4" t="str">
        <f>HYPERLINK("http://141.218.60.56/~jnz1568/getInfo.php?workbook=14_09.xlsx&amp;sheet=U0&amp;row=5041&amp;col=6&amp;number=4.7&amp;sourceID=14","4.7")</f>
        <v>4.7</v>
      </c>
      <c r="G5041" s="4" t="str">
        <f>HYPERLINK("http://141.218.60.56/~jnz1568/getInfo.php?workbook=14_09.xlsx&amp;sheet=U0&amp;row=5041&amp;col=7&amp;number=0.038&amp;sourceID=14","0.038")</f>
        <v>0.038</v>
      </c>
    </row>
    <row r="5042" spans="1:7">
      <c r="A5042" s="3"/>
      <c r="B5042" s="3"/>
      <c r="C5042" s="3"/>
      <c r="D5042" s="3"/>
      <c r="E5042" s="3">
        <v>19</v>
      </c>
      <c r="F5042" s="4" t="str">
        <f>HYPERLINK("http://141.218.60.56/~jnz1568/getInfo.php?workbook=14_09.xlsx&amp;sheet=U0&amp;row=5042&amp;col=6&amp;number=4.8&amp;sourceID=14","4.8")</f>
        <v>4.8</v>
      </c>
      <c r="G5042" s="4" t="str">
        <f>HYPERLINK("http://141.218.60.56/~jnz1568/getInfo.php?workbook=14_09.xlsx&amp;sheet=U0&amp;row=5042&amp;col=7&amp;number=0.0376&amp;sourceID=14","0.0376")</f>
        <v>0.0376</v>
      </c>
    </row>
    <row r="5043" spans="1:7">
      <c r="A5043" s="3"/>
      <c r="B5043" s="3"/>
      <c r="C5043" s="3"/>
      <c r="D5043" s="3"/>
      <c r="E5043" s="3">
        <v>20</v>
      </c>
      <c r="F5043" s="4" t="str">
        <f>HYPERLINK("http://141.218.60.56/~jnz1568/getInfo.php?workbook=14_09.xlsx&amp;sheet=U0&amp;row=5043&amp;col=6&amp;number=4.9&amp;sourceID=14","4.9")</f>
        <v>4.9</v>
      </c>
      <c r="G5043" s="4" t="str">
        <f>HYPERLINK("http://141.218.60.56/~jnz1568/getInfo.php?workbook=14_09.xlsx&amp;sheet=U0&amp;row=5043&amp;col=7&amp;number=0.0371&amp;sourceID=14","0.0371")</f>
        <v>0.0371</v>
      </c>
    </row>
    <row r="5044" spans="1:7">
      <c r="A5044" s="3">
        <v>14</v>
      </c>
      <c r="B5044" s="3">
        <v>9</v>
      </c>
      <c r="C5044" s="3">
        <v>2</v>
      </c>
      <c r="D5044" s="3">
        <v>61</v>
      </c>
      <c r="E5044" s="3">
        <v>1</v>
      </c>
      <c r="F5044" s="4" t="str">
        <f>HYPERLINK("http://141.218.60.56/~jnz1568/getInfo.php?workbook=14_09.xlsx&amp;sheet=U0&amp;row=5044&amp;col=6&amp;number=3&amp;sourceID=14","3")</f>
        <v>3</v>
      </c>
      <c r="G5044" s="4" t="str">
        <f>HYPERLINK("http://141.218.60.56/~jnz1568/getInfo.php?workbook=14_09.xlsx&amp;sheet=U0&amp;row=5044&amp;col=7&amp;number=0.0412&amp;sourceID=14","0.0412")</f>
        <v>0.0412</v>
      </c>
    </row>
    <row r="5045" spans="1:7">
      <c r="A5045" s="3"/>
      <c r="B5045" s="3"/>
      <c r="C5045" s="3"/>
      <c r="D5045" s="3"/>
      <c r="E5045" s="3">
        <v>2</v>
      </c>
      <c r="F5045" s="4" t="str">
        <f>HYPERLINK("http://141.218.60.56/~jnz1568/getInfo.php?workbook=14_09.xlsx&amp;sheet=U0&amp;row=5045&amp;col=6&amp;number=3.1&amp;sourceID=14","3.1")</f>
        <v>3.1</v>
      </c>
      <c r="G5045" s="4" t="str">
        <f>HYPERLINK("http://141.218.60.56/~jnz1568/getInfo.php?workbook=14_09.xlsx&amp;sheet=U0&amp;row=5045&amp;col=7&amp;number=0.0411&amp;sourceID=14","0.0411")</f>
        <v>0.0411</v>
      </c>
    </row>
    <row r="5046" spans="1:7">
      <c r="A5046" s="3"/>
      <c r="B5046" s="3"/>
      <c r="C5046" s="3"/>
      <c r="D5046" s="3"/>
      <c r="E5046" s="3">
        <v>3</v>
      </c>
      <c r="F5046" s="4" t="str">
        <f>HYPERLINK("http://141.218.60.56/~jnz1568/getInfo.php?workbook=14_09.xlsx&amp;sheet=U0&amp;row=5046&amp;col=6&amp;number=3.2&amp;sourceID=14","3.2")</f>
        <v>3.2</v>
      </c>
      <c r="G5046" s="4" t="str">
        <f>HYPERLINK("http://141.218.60.56/~jnz1568/getInfo.php?workbook=14_09.xlsx&amp;sheet=U0&amp;row=5046&amp;col=7&amp;number=0.0409&amp;sourceID=14","0.0409")</f>
        <v>0.0409</v>
      </c>
    </row>
    <row r="5047" spans="1:7">
      <c r="A5047" s="3"/>
      <c r="B5047" s="3"/>
      <c r="C5047" s="3"/>
      <c r="D5047" s="3"/>
      <c r="E5047" s="3">
        <v>4</v>
      </c>
      <c r="F5047" s="4" t="str">
        <f>HYPERLINK("http://141.218.60.56/~jnz1568/getInfo.php?workbook=14_09.xlsx&amp;sheet=U0&amp;row=5047&amp;col=6&amp;number=3.3&amp;sourceID=14","3.3")</f>
        <v>3.3</v>
      </c>
      <c r="G5047" s="4" t="str">
        <f>HYPERLINK("http://141.218.60.56/~jnz1568/getInfo.php?workbook=14_09.xlsx&amp;sheet=U0&amp;row=5047&amp;col=7&amp;number=0.0408&amp;sourceID=14","0.0408")</f>
        <v>0.0408</v>
      </c>
    </row>
    <row r="5048" spans="1:7">
      <c r="A5048" s="3"/>
      <c r="B5048" s="3"/>
      <c r="C5048" s="3"/>
      <c r="D5048" s="3"/>
      <c r="E5048" s="3">
        <v>5</v>
      </c>
      <c r="F5048" s="4" t="str">
        <f>HYPERLINK("http://141.218.60.56/~jnz1568/getInfo.php?workbook=14_09.xlsx&amp;sheet=U0&amp;row=5048&amp;col=6&amp;number=3.4&amp;sourceID=14","3.4")</f>
        <v>3.4</v>
      </c>
      <c r="G5048" s="4" t="str">
        <f>HYPERLINK("http://141.218.60.56/~jnz1568/getInfo.php?workbook=14_09.xlsx&amp;sheet=U0&amp;row=5048&amp;col=7&amp;number=0.0405&amp;sourceID=14","0.0405")</f>
        <v>0.0405</v>
      </c>
    </row>
    <row r="5049" spans="1:7">
      <c r="A5049" s="3"/>
      <c r="B5049" s="3"/>
      <c r="C5049" s="3"/>
      <c r="D5049" s="3"/>
      <c r="E5049" s="3">
        <v>6</v>
      </c>
      <c r="F5049" s="4" t="str">
        <f>HYPERLINK("http://141.218.60.56/~jnz1568/getInfo.php?workbook=14_09.xlsx&amp;sheet=U0&amp;row=5049&amp;col=6&amp;number=3.5&amp;sourceID=14","3.5")</f>
        <v>3.5</v>
      </c>
      <c r="G5049" s="4" t="str">
        <f>HYPERLINK("http://141.218.60.56/~jnz1568/getInfo.php?workbook=14_09.xlsx&amp;sheet=U0&amp;row=5049&amp;col=7&amp;number=0.0403&amp;sourceID=14","0.0403")</f>
        <v>0.0403</v>
      </c>
    </row>
    <row r="5050" spans="1:7">
      <c r="A5050" s="3"/>
      <c r="B5050" s="3"/>
      <c r="C5050" s="3"/>
      <c r="D5050" s="3"/>
      <c r="E5050" s="3">
        <v>7</v>
      </c>
      <c r="F5050" s="4" t="str">
        <f>HYPERLINK("http://141.218.60.56/~jnz1568/getInfo.php?workbook=14_09.xlsx&amp;sheet=U0&amp;row=5050&amp;col=6&amp;number=3.6&amp;sourceID=14","3.6")</f>
        <v>3.6</v>
      </c>
      <c r="G5050" s="4" t="str">
        <f>HYPERLINK("http://141.218.60.56/~jnz1568/getInfo.php?workbook=14_09.xlsx&amp;sheet=U0&amp;row=5050&amp;col=7&amp;number=0.0399&amp;sourceID=14","0.0399")</f>
        <v>0.0399</v>
      </c>
    </row>
    <row r="5051" spans="1:7">
      <c r="A5051" s="3"/>
      <c r="B5051" s="3"/>
      <c r="C5051" s="3"/>
      <c r="D5051" s="3"/>
      <c r="E5051" s="3">
        <v>8</v>
      </c>
      <c r="F5051" s="4" t="str">
        <f>HYPERLINK("http://141.218.60.56/~jnz1568/getInfo.php?workbook=14_09.xlsx&amp;sheet=U0&amp;row=5051&amp;col=6&amp;number=3.7&amp;sourceID=14","3.7")</f>
        <v>3.7</v>
      </c>
      <c r="G5051" s="4" t="str">
        <f>HYPERLINK("http://141.218.60.56/~jnz1568/getInfo.php?workbook=14_09.xlsx&amp;sheet=U0&amp;row=5051&amp;col=7&amp;number=0.0395&amp;sourceID=14","0.0395")</f>
        <v>0.0395</v>
      </c>
    </row>
    <row r="5052" spans="1:7">
      <c r="A5052" s="3"/>
      <c r="B5052" s="3"/>
      <c r="C5052" s="3"/>
      <c r="D5052" s="3"/>
      <c r="E5052" s="3">
        <v>9</v>
      </c>
      <c r="F5052" s="4" t="str">
        <f>HYPERLINK("http://141.218.60.56/~jnz1568/getInfo.php?workbook=14_09.xlsx&amp;sheet=U0&amp;row=5052&amp;col=6&amp;number=3.8&amp;sourceID=14","3.8")</f>
        <v>3.8</v>
      </c>
      <c r="G5052" s="4" t="str">
        <f>HYPERLINK("http://141.218.60.56/~jnz1568/getInfo.php?workbook=14_09.xlsx&amp;sheet=U0&amp;row=5052&amp;col=7&amp;number=0.0389&amp;sourceID=14","0.0389")</f>
        <v>0.0389</v>
      </c>
    </row>
    <row r="5053" spans="1:7">
      <c r="A5053" s="3"/>
      <c r="B5053" s="3"/>
      <c r="C5053" s="3"/>
      <c r="D5053" s="3"/>
      <c r="E5053" s="3">
        <v>10</v>
      </c>
      <c r="F5053" s="4" t="str">
        <f>HYPERLINK("http://141.218.60.56/~jnz1568/getInfo.php?workbook=14_09.xlsx&amp;sheet=U0&amp;row=5053&amp;col=6&amp;number=3.9&amp;sourceID=14","3.9")</f>
        <v>3.9</v>
      </c>
      <c r="G5053" s="4" t="str">
        <f>HYPERLINK("http://141.218.60.56/~jnz1568/getInfo.php?workbook=14_09.xlsx&amp;sheet=U0&amp;row=5053&amp;col=7&amp;number=0.0382&amp;sourceID=14","0.0382")</f>
        <v>0.0382</v>
      </c>
    </row>
    <row r="5054" spans="1:7">
      <c r="A5054" s="3"/>
      <c r="B5054" s="3"/>
      <c r="C5054" s="3"/>
      <c r="D5054" s="3"/>
      <c r="E5054" s="3">
        <v>11</v>
      </c>
      <c r="F5054" s="4" t="str">
        <f>HYPERLINK("http://141.218.60.56/~jnz1568/getInfo.php?workbook=14_09.xlsx&amp;sheet=U0&amp;row=5054&amp;col=6&amp;number=4&amp;sourceID=14","4")</f>
        <v>4</v>
      </c>
      <c r="G5054" s="4" t="str">
        <f>HYPERLINK("http://141.218.60.56/~jnz1568/getInfo.php?workbook=14_09.xlsx&amp;sheet=U0&amp;row=5054&amp;col=7&amp;number=0.0374&amp;sourceID=14","0.0374")</f>
        <v>0.0374</v>
      </c>
    </row>
    <row r="5055" spans="1:7">
      <c r="A5055" s="3"/>
      <c r="B5055" s="3"/>
      <c r="C5055" s="3"/>
      <c r="D5055" s="3"/>
      <c r="E5055" s="3">
        <v>12</v>
      </c>
      <c r="F5055" s="4" t="str">
        <f>HYPERLINK("http://141.218.60.56/~jnz1568/getInfo.php?workbook=14_09.xlsx&amp;sheet=U0&amp;row=5055&amp;col=6&amp;number=4.1&amp;sourceID=14","4.1")</f>
        <v>4.1</v>
      </c>
      <c r="G5055" s="4" t="str">
        <f>HYPERLINK("http://141.218.60.56/~jnz1568/getInfo.php?workbook=14_09.xlsx&amp;sheet=U0&amp;row=5055&amp;col=7&amp;number=0.0363&amp;sourceID=14","0.0363")</f>
        <v>0.0363</v>
      </c>
    </row>
    <row r="5056" spans="1:7">
      <c r="A5056" s="3"/>
      <c r="B5056" s="3"/>
      <c r="C5056" s="3"/>
      <c r="D5056" s="3"/>
      <c r="E5056" s="3">
        <v>13</v>
      </c>
      <c r="F5056" s="4" t="str">
        <f>HYPERLINK("http://141.218.60.56/~jnz1568/getInfo.php?workbook=14_09.xlsx&amp;sheet=U0&amp;row=5056&amp;col=6&amp;number=4.2&amp;sourceID=14","4.2")</f>
        <v>4.2</v>
      </c>
      <c r="G5056" s="4" t="str">
        <f>HYPERLINK("http://141.218.60.56/~jnz1568/getInfo.php?workbook=14_09.xlsx&amp;sheet=U0&amp;row=5056&amp;col=7&amp;number=0.035&amp;sourceID=14","0.035")</f>
        <v>0.035</v>
      </c>
    </row>
    <row r="5057" spans="1:7">
      <c r="A5057" s="3"/>
      <c r="B5057" s="3"/>
      <c r="C5057" s="3"/>
      <c r="D5057" s="3"/>
      <c r="E5057" s="3">
        <v>14</v>
      </c>
      <c r="F5057" s="4" t="str">
        <f>HYPERLINK("http://141.218.60.56/~jnz1568/getInfo.php?workbook=14_09.xlsx&amp;sheet=U0&amp;row=5057&amp;col=6&amp;number=4.3&amp;sourceID=14","4.3")</f>
        <v>4.3</v>
      </c>
      <c r="G5057" s="4" t="str">
        <f>HYPERLINK("http://141.218.60.56/~jnz1568/getInfo.php?workbook=14_09.xlsx&amp;sheet=U0&amp;row=5057&amp;col=7&amp;number=0.0335&amp;sourceID=14","0.0335")</f>
        <v>0.0335</v>
      </c>
    </row>
    <row r="5058" spans="1:7">
      <c r="A5058" s="3"/>
      <c r="B5058" s="3"/>
      <c r="C5058" s="3"/>
      <c r="D5058" s="3"/>
      <c r="E5058" s="3">
        <v>15</v>
      </c>
      <c r="F5058" s="4" t="str">
        <f>HYPERLINK("http://141.218.60.56/~jnz1568/getInfo.php?workbook=14_09.xlsx&amp;sheet=U0&amp;row=5058&amp;col=6&amp;number=4.4&amp;sourceID=14","4.4")</f>
        <v>4.4</v>
      </c>
      <c r="G5058" s="4" t="str">
        <f>HYPERLINK("http://141.218.60.56/~jnz1568/getInfo.php?workbook=14_09.xlsx&amp;sheet=U0&amp;row=5058&amp;col=7&amp;number=0.0316&amp;sourceID=14","0.0316")</f>
        <v>0.0316</v>
      </c>
    </row>
    <row r="5059" spans="1:7">
      <c r="A5059" s="3"/>
      <c r="B5059" s="3"/>
      <c r="C5059" s="3"/>
      <c r="D5059" s="3"/>
      <c r="E5059" s="3">
        <v>16</v>
      </c>
      <c r="F5059" s="4" t="str">
        <f>HYPERLINK("http://141.218.60.56/~jnz1568/getInfo.php?workbook=14_09.xlsx&amp;sheet=U0&amp;row=5059&amp;col=6&amp;number=4.5&amp;sourceID=14","4.5")</f>
        <v>4.5</v>
      </c>
      <c r="G5059" s="4" t="str">
        <f>HYPERLINK("http://141.218.60.56/~jnz1568/getInfo.php?workbook=14_09.xlsx&amp;sheet=U0&amp;row=5059&amp;col=7&amp;number=0.0293&amp;sourceID=14","0.0293")</f>
        <v>0.0293</v>
      </c>
    </row>
    <row r="5060" spans="1:7">
      <c r="A5060" s="3"/>
      <c r="B5060" s="3"/>
      <c r="C5060" s="3"/>
      <c r="D5060" s="3"/>
      <c r="E5060" s="3">
        <v>17</v>
      </c>
      <c r="F5060" s="4" t="str">
        <f>HYPERLINK("http://141.218.60.56/~jnz1568/getInfo.php?workbook=14_09.xlsx&amp;sheet=U0&amp;row=5060&amp;col=6&amp;number=4.6&amp;sourceID=14","4.6")</f>
        <v>4.6</v>
      </c>
      <c r="G5060" s="4" t="str">
        <f>HYPERLINK("http://141.218.60.56/~jnz1568/getInfo.php?workbook=14_09.xlsx&amp;sheet=U0&amp;row=5060&amp;col=7&amp;number=0.0268&amp;sourceID=14","0.0268")</f>
        <v>0.0268</v>
      </c>
    </row>
    <row r="5061" spans="1:7">
      <c r="A5061" s="3"/>
      <c r="B5061" s="3"/>
      <c r="C5061" s="3"/>
      <c r="D5061" s="3"/>
      <c r="E5061" s="3">
        <v>18</v>
      </c>
      <c r="F5061" s="4" t="str">
        <f>HYPERLINK("http://141.218.60.56/~jnz1568/getInfo.php?workbook=14_09.xlsx&amp;sheet=U0&amp;row=5061&amp;col=6&amp;number=4.7&amp;sourceID=14","4.7")</f>
        <v>4.7</v>
      </c>
      <c r="G5061" s="4" t="str">
        <f>HYPERLINK("http://141.218.60.56/~jnz1568/getInfo.php?workbook=14_09.xlsx&amp;sheet=U0&amp;row=5061&amp;col=7&amp;number=0.024&amp;sourceID=14","0.024")</f>
        <v>0.024</v>
      </c>
    </row>
    <row r="5062" spans="1:7">
      <c r="A5062" s="3"/>
      <c r="B5062" s="3"/>
      <c r="C5062" s="3"/>
      <c r="D5062" s="3"/>
      <c r="E5062" s="3">
        <v>19</v>
      </c>
      <c r="F5062" s="4" t="str">
        <f>HYPERLINK("http://141.218.60.56/~jnz1568/getInfo.php?workbook=14_09.xlsx&amp;sheet=U0&amp;row=5062&amp;col=6&amp;number=4.8&amp;sourceID=14","4.8")</f>
        <v>4.8</v>
      </c>
      <c r="G5062" s="4" t="str">
        <f>HYPERLINK("http://141.218.60.56/~jnz1568/getInfo.php?workbook=14_09.xlsx&amp;sheet=U0&amp;row=5062&amp;col=7&amp;number=0.0212&amp;sourceID=14","0.0212")</f>
        <v>0.0212</v>
      </c>
    </row>
    <row r="5063" spans="1:7">
      <c r="A5063" s="3"/>
      <c r="B5063" s="3"/>
      <c r="C5063" s="3"/>
      <c r="D5063" s="3"/>
      <c r="E5063" s="3">
        <v>20</v>
      </c>
      <c r="F5063" s="4" t="str">
        <f>HYPERLINK("http://141.218.60.56/~jnz1568/getInfo.php?workbook=14_09.xlsx&amp;sheet=U0&amp;row=5063&amp;col=6&amp;number=4.9&amp;sourceID=14","4.9")</f>
        <v>4.9</v>
      </c>
      <c r="G5063" s="4" t="str">
        <f>HYPERLINK("http://141.218.60.56/~jnz1568/getInfo.php?workbook=14_09.xlsx&amp;sheet=U0&amp;row=5063&amp;col=7&amp;number=0.0185&amp;sourceID=14","0.0185")</f>
        <v>0.0185</v>
      </c>
    </row>
    <row r="5064" spans="1:7">
      <c r="A5064" s="3">
        <v>14</v>
      </c>
      <c r="B5064" s="3">
        <v>9</v>
      </c>
      <c r="C5064" s="3">
        <v>2</v>
      </c>
      <c r="D5064" s="3">
        <v>62</v>
      </c>
      <c r="E5064" s="3">
        <v>1</v>
      </c>
      <c r="F5064" s="4" t="str">
        <f>HYPERLINK("http://141.218.60.56/~jnz1568/getInfo.php?workbook=14_09.xlsx&amp;sheet=U0&amp;row=5064&amp;col=6&amp;number=3&amp;sourceID=14","3")</f>
        <v>3</v>
      </c>
      <c r="G5064" s="4" t="str">
        <f>HYPERLINK("http://141.218.60.56/~jnz1568/getInfo.php?workbook=14_09.xlsx&amp;sheet=U0&amp;row=5064&amp;col=7&amp;number=0.0401&amp;sourceID=14","0.0401")</f>
        <v>0.0401</v>
      </c>
    </row>
    <row r="5065" spans="1:7">
      <c r="A5065" s="3"/>
      <c r="B5065" s="3"/>
      <c r="C5065" s="3"/>
      <c r="D5065" s="3"/>
      <c r="E5065" s="3">
        <v>2</v>
      </c>
      <c r="F5065" s="4" t="str">
        <f>HYPERLINK("http://141.218.60.56/~jnz1568/getInfo.php?workbook=14_09.xlsx&amp;sheet=U0&amp;row=5065&amp;col=6&amp;number=3.1&amp;sourceID=14","3.1")</f>
        <v>3.1</v>
      </c>
      <c r="G5065" s="4" t="str">
        <f>HYPERLINK("http://141.218.60.56/~jnz1568/getInfo.php?workbook=14_09.xlsx&amp;sheet=U0&amp;row=5065&amp;col=7&amp;number=0.0399&amp;sourceID=14","0.0399")</f>
        <v>0.0399</v>
      </c>
    </row>
    <row r="5066" spans="1:7">
      <c r="A5066" s="3"/>
      <c r="B5066" s="3"/>
      <c r="C5066" s="3"/>
      <c r="D5066" s="3"/>
      <c r="E5066" s="3">
        <v>3</v>
      </c>
      <c r="F5066" s="4" t="str">
        <f>HYPERLINK("http://141.218.60.56/~jnz1568/getInfo.php?workbook=14_09.xlsx&amp;sheet=U0&amp;row=5066&amp;col=6&amp;number=3.2&amp;sourceID=14","3.2")</f>
        <v>3.2</v>
      </c>
      <c r="G5066" s="4" t="str">
        <f>HYPERLINK("http://141.218.60.56/~jnz1568/getInfo.php?workbook=14_09.xlsx&amp;sheet=U0&amp;row=5066&amp;col=7&amp;number=0.0398&amp;sourceID=14","0.0398")</f>
        <v>0.0398</v>
      </c>
    </row>
    <row r="5067" spans="1:7">
      <c r="A5067" s="3"/>
      <c r="B5067" s="3"/>
      <c r="C5067" s="3"/>
      <c r="D5067" s="3"/>
      <c r="E5067" s="3">
        <v>4</v>
      </c>
      <c r="F5067" s="4" t="str">
        <f>HYPERLINK("http://141.218.60.56/~jnz1568/getInfo.php?workbook=14_09.xlsx&amp;sheet=U0&amp;row=5067&amp;col=6&amp;number=3.3&amp;sourceID=14","3.3")</f>
        <v>3.3</v>
      </c>
      <c r="G5067" s="4" t="str">
        <f>HYPERLINK("http://141.218.60.56/~jnz1568/getInfo.php?workbook=14_09.xlsx&amp;sheet=U0&amp;row=5067&amp;col=7&amp;number=0.0396&amp;sourceID=14","0.0396")</f>
        <v>0.0396</v>
      </c>
    </row>
    <row r="5068" spans="1:7">
      <c r="A5068" s="3"/>
      <c r="B5068" s="3"/>
      <c r="C5068" s="3"/>
      <c r="D5068" s="3"/>
      <c r="E5068" s="3">
        <v>5</v>
      </c>
      <c r="F5068" s="4" t="str">
        <f>HYPERLINK("http://141.218.60.56/~jnz1568/getInfo.php?workbook=14_09.xlsx&amp;sheet=U0&amp;row=5068&amp;col=6&amp;number=3.4&amp;sourceID=14","3.4")</f>
        <v>3.4</v>
      </c>
      <c r="G5068" s="4" t="str">
        <f>HYPERLINK("http://141.218.60.56/~jnz1568/getInfo.php?workbook=14_09.xlsx&amp;sheet=U0&amp;row=5068&amp;col=7&amp;number=0.0394&amp;sourceID=14","0.0394")</f>
        <v>0.0394</v>
      </c>
    </row>
    <row r="5069" spans="1:7">
      <c r="A5069" s="3"/>
      <c r="B5069" s="3"/>
      <c r="C5069" s="3"/>
      <c r="D5069" s="3"/>
      <c r="E5069" s="3">
        <v>6</v>
      </c>
      <c r="F5069" s="4" t="str">
        <f>HYPERLINK("http://141.218.60.56/~jnz1568/getInfo.php?workbook=14_09.xlsx&amp;sheet=U0&amp;row=5069&amp;col=6&amp;number=3.5&amp;sourceID=14","3.5")</f>
        <v>3.5</v>
      </c>
      <c r="G5069" s="4" t="str">
        <f>HYPERLINK("http://141.218.60.56/~jnz1568/getInfo.php?workbook=14_09.xlsx&amp;sheet=U0&amp;row=5069&amp;col=7&amp;number=0.0391&amp;sourceID=14","0.0391")</f>
        <v>0.0391</v>
      </c>
    </row>
    <row r="5070" spans="1:7">
      <c r="A5070" s="3"/>
      <c r="B5070" s="3"/>
      <c r="C5070" s="3"/>
      <c r="D5070" s="3"/>
      <c r="E5070" s="3">
        <v>7</v>
      </c>
      <c r="F5070" s="4" t="str">
        <f>HYPERLINK("http://141.218.60.56/~jnz1568/getInfo.php?workbook=14_09.xlsx&amp;sheet=U0&amp;row=5070&amp;col=6&amp;number=3.6&amp;sourceID=14","3.6")</f>
        <v>3.6</v>
      </c>
      <c r="G5070" s="4" t="str">
        <f>HYPERLINK("http://141.218.60.56/~jnz1568/getInfo.php?workbook=14_09.xlsx&amp;sheet=U0&amp;row=5070&amp;col=7&amp;number=0.0388&amp;sourceID=14","0.0388")</f>
        <v>0.0388</v>
      </c>
    </row>
    <row r="5071" spans="1:7">
      <c r="A5071" s="3"/>
      <c r="B5071" s="3"/>
      <c r="C5071" s="3"/>
      <c r="D5071" s="3"/>
      <c r="E5071" s="3">
        <v>8</v>
      </c>
      <c r="F5071" s="4" t="str">
        <f>HYPERLINK("http://141.218.60.56/~jnz1568/getInfo.php?workbook=14_09.xlsx&amp;sheet=U0&amp;row=5071&amp;col=6&amp;number=3.7&amp;sourceID=14","3.7")</f>
        <v>3.7</v>
      </c>
      <c r="G5071" s="4" t="str">
        <f>HYPERLINK("http://141.218.60.56/~jnz1568/getInfo.php?workbook=14_09.xlsx&amp;sheet=U0&amp;row=5071&amp;col=7&amp;number=0.0383&amp;sourceID=14","0.0383")</f>
        <v>0.0383</v>
      </c>
    </row>
    <row r="5072" spans="1:7">
      <c r="A5072" s="3"/>
      <c r="B5072" s="3"/>
      <c r="C5072" s="3"/>
      <c r="D5072" s="3"/>
      <c r="E5072" s="3">
        <v>9</v>
      </c>
      <c r="F5072" s="4" t="str">
        <f>HYPERLINK("http://141.218.60.56/~jnz1568/getInfo.php?workbook=14_09.xlsx&amp;sheet=U0&amp;row=5072&amp;col=6&amp;number=3.8&amp;sourceID=14","3.8")</f>
        <v>3.8</v>
      </c>
      <c r="G5072" s="4" t="str">
        <f>HYPERLINK("http://141.218.60.56/~jnz1568/getInfo.php?workbook=14_09.xlsx&amp;sheet=U0&amp;row=5072&amp;col=7&amp;number=0.0378&amp;sourceID=14","0.0378")</f>
        <v>0.0378</v>
      </c>
    </row>
    <row r="5073" spans="1:7">
      <c r="A5073" s="3"/>
      <c r="B5073" s="3"/>
      <c r="C5073" s="3"/>
      <c r="D5073" s="3"/>
      <c r="E5073" s="3">
        <v>10</v>
      </c>
      <c r="F5073" s="4" t="str">
        <f>HYPERLINK("http://141.218.60.56/~jnz1568/getInfo.php?workbook=14_09.xlsx&amp;sheet=U0&amp;row=5073&amp;col=6&amp;number=3.9&amp;sourceID=14","3.9")</f>
        <v>3.9</v>
      </c>
      <c r="G5073" s="4" t="str">
        <f>HYPERLINK("http://141.218.60.56/~jnz1568/getInfo.php?workbook=14_09.xlsx&amp;sheet=U0&amp;row=5073&amp;col=7&amp;number=0.0371&amp;sourceID=14","0.0371")</f>
        <v>0.0371</v>
      </c>
    </row>
    <row r="5074" spans="1:7">
      <c r="A5074" s="3"/>
      <c r="B5074" s="3"/>
      <c r="C5074" s="3"/>
      <c r="D5074" s="3"/>
      <c r="E5074" s="3">
        <v>11</v>
      </c>
      <c r="F5074" s="4" t="str">
        <f>HYPERLINK("http://141.218.60.56/~jnz1568/getInfo.php?workbook=14_09.xlsx&amp;sheet=U0&amp;row=5074&amp;col=6&amp;number=4&amp;sourceID=14","4")</f>
        <v>4</v>
      </c>
      <c r="G5074" s="4" t="str">
        <f>HYPERLINK("http://141.218.60.56/~jnz1568/getInfo.php?workbook=14_09.xlsx&amp;sheet=U0&amp;row=5074&amp;col=7&amp;number=0.0362&amp;sourceID=14","0.0362")</f>
        <v>0.0362</v>
      </c>
    </row>
    <row r="5075" spans="1:7">
      <c r="A5075" s="3"/>
      <c r="B5075" s="3"/>
      <c r="C5075" s="3"/>
      <c r="D5075" s="3"/>
      <c r="E5075" s="3">
        <v>12</v>
      </c>
      <c r="F5075" s="4" t="str">
        <f>HYPERLINK("http://141.218.60.56/~jnz1568/getInfo.php?workbook=14_09.xlsx&amp;sheet=U0&amp;row=5075&amp;col=6&amp;number=4.1&amp;sourceID=14","4.1")</f>
        <v>4.1</v>
      </c>
      <c r="G5075" s="4" t="str">
        <f>HYPERLINK("http://141.218.60.56/~jnz1568/getInfo.php?workbook=14_09.xlsx&amp;sheet=U0&amp;row=5075&amp;col=7&amp;number=0.0352&amp;sourceID=14","0.0352")</f>
        <v>0.0352</v>
      </c>
    </row>
    <row r="5076" spans="1:7">
      <c r="A5076" s="3"/>
      <c r="B5076" s="3"/>
      <c r="C5076" s="3"/>
      <c r="D5076" s="3"/>
      <c r="E5076" s="3">
        <v>13</v>
      </c>
      <c r="F5076" s="4" t="str">
        <f>HYPERLINK("http://141.218.60.56/~jnz1568/getInfo.php?workbook=14_09.xlsx&amp;sheet=U0&amp;row=5076&amp;col=6&amp;number=4.2&amp;sourceID=14","4.2")</f>
        <v>4.2</v>
      </c>
      <c r="G5076" s="4" t="str">
        <f>HYPERLINK("http://141.218.60.56/~jnz1568/getInfo.php?workbook=14_09.xlsx&amp;sheet=U0&amp;row=5076&amp;col=7&amp;number=0.0339&amp;sourceID=14","0.0339")</f>
        <v>0.0339</v>
      </c>
    </row>
    <row r="5077" spans="1:7">
      <c r="A5077" s="3"/>
      <c r="B5077" s="3"/>
      <c r="C5077" s="3"/>
      <c r="D5077" s="3"/>
      <c r="E5077" s="3">
        <v>14</v>
      </c>
      <c r="F5077" s="4" t="str">
        <f>HYPERLINK("http://141.218.60.56/~jnz1568/getInfo.php?workbook=14_09.xlsx&amp;sheet=U0&amp;row=5077&amp;col=6&amp;number=4.3&amp;sourceID=14","4.3")</f>
        <v>4.3</v>
      </c>
      <c r="G5077" s="4" t="str">
        <f>HYPERLINK("http://141.218.60.56/~jnz1568/getInfo.php?workbook=14_09.xlsx&amp;sheet=U0&amp;row=5077&amp;col=7&amp;number=0.0323&amp;sourceID=14","0.0323")</f>
        <v>0.0323</v>
      </c>
    </row>
    <row r="5078" spans="1:7">
      <c r="A5078" s="3"/>
      <c r="B5078" s="3"/>
      <c r="C5078" s="3"/>
      <c r="D5078" s="3"/>
      <c r="E5078" s="3">
        <v>15</v>
      </c>
      <c r="F5078" s="4" t="str">
        <f>HYPERLINK("http://141.218.60.56/~jnz1568/getInfo.php?workbook=14_09.xlsx&amp;sheet=U0&amp;row=5078&amp;col=6&amp;number=4.4&amp;sourceID=14","4.4")</f>
        <v>4.4</v>
      </c>
      <c r="G5078" s="4" t="str">
        <f>HYPERLINK("http://141.218.60.56/~jnz1568/getInfo.php?workbook=14_09.xlsx&amp;sheet=U0&amp;row=5078&amp;col=7&amp;number=0.0304&amp;sourceID=14","0.0304")</f>
        <v>0.0304</v>
      </c>
    </row>
    <row r="5079" spans="1:7">
      <c r="A5079" s="3"/>
      <c r="B5079" s="3"/>
      <c r="C5079" s="3"/>
      <c r="D5079" s="3"/>
      <c r="E5079" s="3">
        <v>16</v>
      </c>
      <c r="F5079" s="4" t="str">
        <f>HYPERLINK("http://141.218.60.56/~jnz1568/getInfo.php?workbook=14_09.xlsx&amp;sheet=U0&amp;row=5079&amp;col=6&amp;number=4.5&amp;sourceID=14","4.5")</f>
        <v>4.5</v>
      </c>
      <c r="G5079" s="4" t="str">
        <f>HYPERLINK("http://141.218.60.56/~jnz1568/getInfo.php?workbook=14_09.xlsx&amp;sheet=U0&amp;row=5079&amp;col=7&amp;number=0.0283&amp;sourceID=14","0.0283")</f>
        <v>0.0283</v>
      </c>
    </row>
    <row r="5080" spans="1:7">
      <c r="A5080" s="3"/>
      <c r="B5080" s="3"/>
      <c r="C5080" s="3"/>
      <c r="D5080" s="3"/>
      <c r="E5080" s="3">
        <v>17</v>
      </c>
      <c r="F5080" s="4" t="str">
        <f>HYPERLINK("http://141.218.60.56/~jnz1568/getInfo.php?workbook=14_09.xlsx&amp;sheet=U0&amp;row=5080&amp;col=6&amp;number=4.6&amp;sourceID=14","4.6")</f>
        <v>4.6</v>
      </c>
      <c r="G5080" s="4" t="str">
        <f>HYPERLINK("http://141.218.60.56/~jnz1568/getInfo.php?workbook=14_09.xlsx&amp;sheet=U0&amp;row=5080&amp;col=7&amp;number=0.0258&amp;sourceID=14","0.0258")</f>
        <v>0.0258</v>
      </c>
    </row>
    <row r="5081" spans="1:7">
      <c r="A5081" s="3"/>
      <c r="B5081" s="3"/>
      <c r="C5081" s="3"/>
      <c r="D5081" s="3"/>
      <c r="E5081" s="3">
        <v>18</v>
      </c>
      <c r="F5081" s="4" t="str">
        <f>HYPERLINK("http://141.218.60.56/~jnz1568/getInfo.php?workbook=14_09.xlsx&amp;sheet=U0&amp;row=5081&amp;col=6&amp;number=4.7&amp;sourceID=14","4.7")</f>
        <v>4.7</v>
      </c>
      <c r="G5081" s="4" t="str">
        <f>HYPERLINK("http://141.218.60.56/~jnz1568/getInfo.php?workbook=14_09.xlsx&amp;sheet=U0&amp;row=5081&amp;col=7&amp;number=0.0231&amp;sourceID=14","0.0231")</f>
        <v>0.0231</v>
      </c>
    </row>
    <row r="5082" spans="1:7">
      <c r="A5082" s="3"/>
      <c r="B5082" s="3"/>
      <c r="C5082" s="3"/>
      <c r="D5082" s="3"/>
      <c r="E5082" s="3">
        <v>19</v>
      </c>
      <c r="F5082" s="4" t="str">
        <f>HYPERLINK("http://141.218.60.56/~jnz1568/getInfo.php?workbook=14_09.xlsx&amp;sheet=U0&amp;row=5082&amp;col=6&amp;number=4.8&amp;sourceID=14","4.8")</f>
        <v>4.8</v>
      </c>
      <c r="G5082" s="4" t="str">
        <f>HYPERLINK("http://141.218.60.56/~jnz1568/getInfo.php?workbook=14_09.xlsx&amp;sheet=U0&amp;row=5082&amp;col=7&amp;number=0.0204&amp;sourceID=14","0.0204")</f>
        <v>0.0204</v>
      </c>
    </row>
    <row r="5083" spans="1:7">
      <c r="A5083" s="3"/>
      <c r="B5083" s="3"/>
      <c r="C5083" s="3"/>
      <c r="D5083" s="3"/>
      <c r="E5083" s="3">
        <v>20</v>
      </c>
      <c r="F5083" s="4" t="str">
        <f>HYPERLINK("http://141.218.60.56/~jnz1568/getInfo.php?workbook=14_09.xlsx&amp;sheet=U0&amp;row=5083&amp;col=6&amp;number=4.9&amp;sourceID=14","4.9")</f>
        <v>4.9</v>
      </c>
      <c r="G5083" s="4" t="str">
        <f>HYPERLINK("http://141.218.60.56/~jnz1568/getInfo.php?workbook=14_09.xlsx&amp;sheet=U0&amp;row=5083&amp;col=7&amp;number=0.018&amp;sourceID=14","0.018")</f>
        <v>0.018</v>
      </c>
    </row>
    <row r="5084" spans="1:7">
      <c r="A5084" s="3">
        <v>14</v>
      </c>
      <c r="B5084" s="3">
        <v>9</v>
      </c>
      <c r="C5084" s="3">
        <v>2</v>
      </c>
      <c r="D5084" s="3">
        <v>63</v>
      </c>
      <c r="E5084" s="3">
        <v>1</v>
      </c>
      <c r="F5084" s="4" t="str">
        <f>HYPERLINK("http://141.218.60.56/~jnz1568/getInfo.php?workbook=14_09.xlsx&amp;sheet=U0&amp;row=5084&amp;col=6&amp;number=3&amp;sourceID=14","3")</f>
        <v>3</v>
      </c>
      <c r="G5084" s="4" t="str">
        <f>HYPERLINK("http://141.218.60.56/~jnz1568/getInfo.php?workbook=14_09.xlsx&amp;sheet=U0&amp;row=5084&amp;col=7&amp;number=0.0222&amp;sourceID=14","0.0222")</f>
        <v>0.0222</v>
      </c>
    </row>
    <row r="5085" spans="1:7">
      <c r="A5085" s="3"/>
      <c r="B5085" s="3"/>
      <c r="C5085" s="3"/>
      <c r="D5085" s="3"/>
      <c r="E5085" s="3">
        <v>2</v>
      </c>
      <c r="F5085" s="4" t="str">
        <f>HYPERLINK("http://141.218.60.56/~jnz1568/getInfo.php?workbook=14_09.xlsx&amp;sheet=U0&amp;row=5085&amp;col=6&amp;number=3.1&amp;sourceID=14","3.1")</f>
        <v>3.1</v>
      </c>
      <c r="G5085" s="4" t="str">
        <f>HYPERLINK("http://141.218.60.56/~jnz1568/getInfo.php?workbook=14_09.xlsx&amp;sheet=U0&amp;row=5085&amp;col=7&amp;number=0.0222&amp;sourceID=14","0.0222")</f>
        <v>0.0222</v>
      </c>
    </row>
    <row r="5086" spans="1:7">
      <c r="A5086" s="3"/>
      <c r="B5086" s="3"/>
      <c r="C5086" s="3"/>
      <c r="D5086" s="3"/>
      <c r="E5086" s="3">
        <v>3</v>
      </c>
      <c r="F5086" s="4" t="str">
        <f>HYPERLINK("http://141.218.60.56/~jnz1568/getInfo.php?workbook=14_09.xlsx&amp;sheet=U0&amp;row=5086&amp;col=6&amp;number=3.2&amp;sourceID=14","3.2")</f>
        <v>3.2</v>
      </c>
      <c r="G5086" s="4" t="str">
        <f>HYPERLINK("http://141.218.60.56/~jnz1568/getInfo.php?workbook=14_09.xlsx&amp;sheet=U0&amp;row=5086&amp;col=7&amp;number=0.0221&amp;sourceID=14","0.0221")</f>
        <v>0.0221</v>
      </c>
    </row>
    <row r="5087" spans="1:7">
      <c r="A5087" s="3"/>
      <c r="B5087" s="3"/>
      <c r="C5087" s="3"/>
      <c r="D5087" s="3"/>
      <c r="E5087" s="3">
        <v>4</v>
      </c>
      <c r="F5087" s="4" t="str">
        <f>HYPERLINK("http://141.218.60.56/~jnz1568/getInfo.php?workbook=14_09.xlsx&amp;sheet=U0&amp;row=5087&amp;col=6&amp;number=3.3&amp;sourceID=14","3.3")</f>
        <v>3.3</v>
      </c>
      <c r="G5087" s="4" t="str">
        <f>HYPERLINK("http://141.218.60.56/~jnz1568/getInfo.php?workbook=14_09.xlsx&amp;sheet=U0&amp;row=5087&amp;col=7&amp;number=0.022&amp;sourceID=14","0.022")</f>
        <v>0.022</v>
      </c>
    </row>
    <row r="5088" spans="1:7">
      <c r="A5088" s="3"/>
      <c r="B5088" s="3"/>
      <c r="C5088" s="3"/>
      <c r="D5088" s="3"/>
      <c r="E5088" s="3">
        <v>5</v>
      </c>
      <c r="F5088" s="4" t="str">
        <f>HYPERLINK("http://141.218.60.56/~jnz1568/getInfo.php?workbook=14_09.xlsx&amp;sheet=U0&amp;row=5088&amp;col=6&amp;number=3.4&amp;sourceID=14","3.4")</f>
        <v>3.4</v>
      </c>
      <c r="G5088" s="4" t="str">
        <f>HYPERLINK("http://141.218.60.56/~jnz1568/getInfo.php?workbook=14_09.xlsx&amp;sheet=U0&amp;row=5088&amp;col=7&amp;number=0.0219&amp;sourceID=14","0.0219")</f>
        <v>0.0219</v>
      </c>
    </row>
    <row r="5089" spans="1:7">
      <c r="A5089" s="3"/>
      <c r="B5089" s="3"/>
      <c r="C5089" s="3"/>
      <c r="D5089" s="3"/>
      <c r="E5089" s="3">
        <v>6</v>
      </c>
      <c r="F5089" s="4" t="str">
        <f>HYPERLINK("http://141.218.60.56/~jnz1568/getInfo.php?workbook=14_09.xlsx&amp;sheet=U0&amp;row=5089&amp;col=6&amp;number=3.5&amp;sourceID=14","3.5")</f>
        <v>3.5</v>
      </c>
      <c r="G5089" s="4" t="str">
        <f>HYPERLINK("http://141.218.60.56/~jnz1568/getInfo.php?workbook=14_09.xlsx&amp;sheet=U0&amp;row=5089&amp;col=7&amp;number=0.0218&amp;sourceID=14","0.0218")</f>
        <v>0.0218</v>
      </c>
    </row>
    <row r="5090" spans="1:7">
      <c r="A5090" s="3"/>
      <c r="B5090" s="3"/>
      <c r="C5090" s="3"/>
      <c r="D5090" s="3"/>
      <c r="E5090" s="3">
        <v>7</v>
      </c>
      <c r="F5090" s="4" t="str">
        <f>HYPERLINK("http://141.218.60.56/~jnz1568/getInfo.php?workbook=14_09.xlsx&amp;sheet=U0&amp;row=5090&amp;col=6&amp;number=3.6&amp;sourceID=14","3.6")</f>
        <v>3.6</v>
      </c>
      <c r="G5090" s="4" t="str">
        <f>HYPERLINK("http://141.218.60.56/~jnz1568/getInfo.php?workbook=14_09.xlsx&amp;sheet=U0&amp;row=5090&amp;col=7&amp;number=0.0216&amp;sourceID=14","0.0216")</f>
        <v>0.0216</v>
      </c>
    </row>
    <row r="5091" spans="1:7">
      <c r="A5091" s="3"/>
      <c r="B5091" s="3"/>
      <c r="C5091" s="3"/>
      <c r="D5091" s="3"/>
      <c r="E5091" s="3">
        <v>8</v>
      </c>
      <c r="F5091" s="4" t="str">
        <f>HYPERLINK("http://141.218.60.56/~jnz1568/getInfo.php?workbook=14_09.xlsx&amp;sheet=U0&amp;row=5091&amp;col=6&amp;number=3.7&amp;sourceID=14","3.7")</f>
        <v>3.7</v>
      </c>
      <c r="G5091" s="4" t="str">
        <f>HYPERLINK("http://141.218.60.56/~jnz1568/getInfo.php?workbook=14_09.xlsx&amp;sheet=U0&amp;row=5091&amp;col=7&amp;number=0.0214&amp;sourceID=14","0.0214")</f>
        <v>0.0214</v>
      </c>
    </row>
    <row r="5092" spans="1:7">
      <c r="A5092" s="3"/>
      <c r="B5092" s="3"/>
      <c r="C5092" s="3"/>
      <c r="D5092" s="3"/>
      <c r="E5092" s="3">
        <v>9</v>
      </c>
      <c r="F5092" s="4" t="str">
        <f>HYPERLINK("http://141.218.60.56/~jnz1568/getInfo.php?workbook=14_09.xlsx&amp;sheet=U0&amp;row=5092&amp;col=6&amp;number=3.8&amp;sourceID=14","3.8")</f>
        <v>3.8</v>
      </c>
      <c r="G5092" s="4" t="str">
        <f>HYPERLINK("http://141.218.60.56/~jnz1568/getInfo.php?workbook=14_09.xlsx&amp;sheet=U0&amp;row=5092&amp;col=7&amp;number=0.0212&amp;sourceID=14","0.0212")</f>
        <v>0.0212</v>
      </c>
    </row>
    <row r="5093" spans="1:7">
      <c r="A5093" s="3"/>
      <c r="B5093" s="3"/>
      <c r="C5093" s="3"/>
      <c r="D5093" s="3"/>
      <c r="E5093" s="3">
        <v>10</v>
      </c>
      <c r="F5093" s="4" t="str">
        <f>HYPERLINK("http://141.218.60.56/~jnz1568/getInfo.php?workbook=14_09.xlsx&amp;sheet=U0&amp;row=5093&amp;col=6&amp;number=3.9&amp;sourceID=14","3.9")</f>
        <v>3.9</v>
      </c>
      <c r="G5093" s="4" t="str">
        <f>HYPERLINK("http://141.218.60.56/~jnz1568/getInfo.php?workbook=14_09.xlsx&amp;sheet=U0&amp;row=5093&amp;col=7&amp;number=0.0209&amp;sourceID=14","0.0209")</f>
        <v>0.0209</v>
      </c>
    </row>
    <row r="5094" spans="1:7">
      <c r="A5094" s="3"/>
      <c r="B5094" s="3"/>
      <c r="C5094" s="3"/>
      <c r="D5094" s="3"/>
      <c r="E5094" s="3">
        <v>11</v>
      </c>
      <c r="F5094" s="4" t="str">
        <f>HYPERLINK("http://141.218.60.56/~jnz1568/getInfo.php?workbook=14_09.xlsx&amp;sheet=U0&amp;row=5094&amp;col=6&amp;number=4&amp;sourceID=14","4")</f>
        <v>4</v>
      </c>
      <c r="G5094" s="4" t="str">
        <f>HYPERLINK("http://141.218.60.56/~jnz1568/getInfo.php?workbook=14_09.xlsx&amp;sheet=U0&amp;row=5094&amp;col=7&amp;number=0.0205&amp;sourceID=14","0.0205")</f>
        <v>0.0205</v>
      </c>
    </row>
    <row r="5095" spans="1:7">
      <c r="A5095" s="3"/>
      <c r="B5095" s="3"/>
      <c r="C5095" s="3"/>
      <c r="D5095" s="3"/>
      <c r="E5095" s="3">
        <v>12</v>
      </c>
      <c r="F5095" s="4" t="str">
        <f>HYPERLINK("http://141.218.60.56/~jnz1568/getInfo.php?workbook=14_09.xlsx&amp;sheet=U0&amp;row=5095&amp;col=6&amp;number=4.1&amp;sourceID=14","4.1")</f>
        <v>4.1</v>
      </c>
      <c r="G5095" s="4" t="str">
        <f>HYPERLINK("http://141.218.60.56/~jnz1568/getInfo.php?workbook=14_09.xlsx&amp;sheet=U0&amp;row=5095&amp;col=7&amp;number=0.02&amp;sourceID=14","0.02")</f>
        <v>0.02</v>
      </c>
    </row>
    <row r="5096" spans="1:7">
      <c r="A5096" s="3"/>
      <c r="B5096" s="3"/>
      <c r="C5096" s="3"/>
      <c r="D5096" s="3"/>
      <c r="E5096" s="3">
        <v>13</v>
      </c>
      <c r="F5096" s="4" t="str">
        <f>HYPERLINK("http://141.218.60.56/~jnz1568/getInfo.php?workbook=14_09.xlsx&amp;sheet=U0&amp;row=5096&amp;col=6&amp;number=4.2&amp;sourceID=14","4.2")</f>
        <v>4.2</v>
      </c>
      <c r="G5096" s="4" t="str">
        <f>HYPERLINK("http://141.218.60.56/~jnz1568/getInfo.php?workbook=14_09.xlsx&amp;sheet=U0&amp;row=5096&amp;col=7&amp;number=0.0194&amp;sourceID=14","0.0194")</f>
        <v>0.0194</v>
      </c>
    </row>
    <row r="5097" spans="1:7">
      <c r="A5097" s="3"/>
      <c r="B5097" s="3"/>
      <c r="C5097" s="3"/>
      <c r="D5097" s="3"/>
      <c r="E5097" s="3">
        <v>14</v>
      </c>
      <c r="F5097" s="4" t="str">
        <f>HYPERLINK("http://141.218.60.56/~jnz1568/getInfo.php?workbook=14_09.xlsx&amp;sheet=U0&amp;row=5097&amp;col=6&amp;number=4.3&amp;sourceID=14","4.3")</f>
        <v>4.3</v>
      </c>
      <c r="G5097" s="4" t="str">
        <f>HYPERLINK("http://141.218.60.56/~jnz1568/getInfo.php?workbook=14_09.xlsx&amp;sheet=U0&amp;row=5097&amp;col=7&amp;number=0.0187&amp;sourceID=14","0.0187")</f>
        <v>0.0187</v>
      </c>
    </row>
    <row r="5098" spans="1:7">
      <c r="A5098" s="3"/>
      <c r="B5098" s="3"/>
      <c r="C5098" s="3"/>
      <c r="D5098" s="3"/>
      <c r="E5098" s="3">
        <v>15</v>
      </c>
      <c r="F5098" s="4" t="str">
        <f>HYPERLINK("http://141.218.60.56/~jnz1568/getInfo.php?workbook=14_09.xlsx&amp;sheet=U0&amp;row=5098&amp;col=6&amp;number=4.4&amp;sourceID=14","4.4")</f>
        <v>4.4</v>
      </c>
      <c r="G5098" s="4" t="str">
        <f>HYPERLINK("http://141.218.60.56/~jnz1568/getInfo.php?workbook=14_09.xlsx&amp;sheet=U0&amp;row=5098&amp;col=7&amp;number=0.0179&amp;sourceID=14","0.0179")</f>
        <v>0.0179</v>
      </c>
    </row>
    <row r="5099" spans="1:7">
      <c r="A5099" s="3"/>
      <c r="B5099" s="3"/>
      <c r="C5099" s="3"/>
      <c r="D5099" s="3"/>
      <c r="E5099" s="3">
        <v>16</v>
      </c>
      <c r="F5099" s="4" t="str">
        <f>HYPERLINK("http://141.218.60.56/~jnz1568/getInfo.php?workbook=14_09.xlsx&amp;sheet=U0&amp;row=5099&amp;col=6&amp;number=4.5&amp;sourceID=14","4.5")</f>
        <v>4.5</v>
      </c>
      <c r="G5099" s="4" t="str">
        <f>HYPERLINK("http://141.218.60.56/~jnz1568/getInfo.php?workbook=14_09.xlsx&amp;sheet=U0&amp;row=5099&amp;col=7&amp;number=0.0168&amp;sourceID=14","0.0168")</f>
        <v>0.0168</v>
      </c>
    </row>
    <row r="5100" spans="1:7">
      <c r="A5100" s="3"/>
      <c r="B5100" s="3"/>
      <c r="C5100" s="3"/>
      <c r="D5100" s="3"/>
      <c r="E5100" s="3">
        <v>17</v>
      </c>
      <c r="F5100" s="4" t="str">
        <f>HYPERLINK("http://141.218.60.56/~jnz1568/getInfo.php?workbook=14_09.xlsx&amp;sheet=U0&amp;row=5100&amp;col=6&amp;number=4.6&amp;sourceID=14","4.6")</f>
        <v>4.6</v>
      </c>
      <c r="G5100" s="4" t="str">
        <f>HYPERLINK("http://141.218.60.56/~jnz1568/getInfo.php?workbook=14_09.xlsx&amp;sheet=U0&amp;row=5100&amp;col=7&amp;number=0.0157&amp;sourceID=14","0.0157")</f>
        <v>0.0157</v>
      </c>
    </row>
    <row r="5101" spans="1:7">
      <c r="A5101" s="3"/>
      <c r="B5101" s="3"/>
      <c r="C5101" s="3"/>
      <c r="D5101" s="3"/>
      <c r="E5101" s="3">
        <v>18</v>
      </c>
      <c r="F5101" s="4" t="str">
        <f>HYPERLINK("http://141.218.60.56/~jnz1568/getInfo.php?workbook=14_09.xlsx&amp;sheet=U0&amp;row=5101&amp;col=6&amp;number=4.7&amp;sourceID=14","4.7")</f>
        <v>4.7</v>
      </c>
      <c r="G5101" s="4" t="str">
        <f>HYPERLINK("http://141.218.60.56/~jnz1568/getInfo.php?workbook=14_09.xlsx&amp;sheet=U0&amp;row=5101&amp;col=7&amp;number=0.0144&amp;sourceID=14","0.0144")</f>
        <v>0.0144</v>
      </c>
    </row>
    <row r="5102" spans="1:7">
      <c r="A5102" s="3"/>
      <c r="B5102" s="3"/>
      <c r="C5102" s="3"/>
      <c r="D5102" s="3"/>
      <c r="E5102" s="3">
        <v>19</v>
      </c>
      <c r="F5102" s="4" t="str">
        <f>HYPERLINK("http://141.218.60.56/~jnz1568/getInfo.php?workbook=14_09.xlsx&amp;sheet=U0&amp;row=5102&amp;col=6&amp;number=4.8&amp;sourceID=14","4.8")</f>
        <v>4.8</v>
      </c>
      <c r="G5102" s="4" t="str">
        <f>HYPERLINK("http://141.218.60.56/~jnz1568/getInfo.php?workbook=14_09.xlsx&amp;sheet=U0&amp;row=5102&amp;col=7&amp;number=0.013&amp;sourceID=14","0.013")</f>
        <v>0.013</v>
      </c>
    </row>
    <row r="5103" spans="1:7">
      <c r="A5103" s="3"/>
      <c r="B5103" s="3"/>
      <c r="C5103" s="3"/>
      <c r="D5103" s="3"/>
      <c r="E5103" s="3">
        <v>20</v>
      </c>
      <c r="F5103" s="4" t="str">
        <f>HYPERLINK("http://141.218.60.56/~jnz1568/getInfo.php?workbook=14_09.xlsx&amp;sheet=U0&amp;row=5103&amp;col=6&amp;number=4.9&amp;sourceID=14","4.9")</f>
        <v>4.9</v>
      </c>
      <c r="G5103" s="4" t="str">
        <f>HYPERLINK("http://141.218.60.56/~jnz1568/getInfo.php?workbook=14_09.xlsx&amp;sheet=U0&amp;row=5103&amp;col=7&amp;number=0.0116&amp;sourceID=14","0.0116")</f>
        <v>0.0116</v>
      </c>
    </row>
    <row r="5104" spans="1:7">
      <c r="A5104" s="3">
        <v>14</v>
      </c>
      <c r="B5104" s="3">
        <v>9</v>
      </c>
      <c r="C5104" s="3">
        <v>2</v>
      </c>
      <c r="D5104" s="3">
        <v>64</v>
      </c>
      <c r="E5104" s="3">
        <v>1</v>
      </c>
      <c r="F5104" s="4" t="str">
        <f>HYPERLINK("http://141.218.60.56/~jnz1568/getInfo.php?workbook=14_09.xlsx&amp;sheet=U0&amp;row=5104&amp;col=6&amp;number=3&amp;sourceID=14","3")</f>
        <v>3</v>
      </c>
      <c r="G5104" s="4" t="str">
        <f>HYPERLINK("http://141.218.60.56/~jnz1568/getInfo.php?workbook=14_09.xlsx&amp;sheet=U0&amp;row=5104&amp;col=7&amp;number=0.0377&amp;sourceID=14","0.0377")</f>
        <v>0.0377</v>
      </c>
    </row>
    <row r="5105" spans="1:7">
      <c r="A5105" s="3"/>
      <c r="B5105" s="3"/>
      <c r="C5105" s="3"/>
      <c r="D5105" s="3"/>
      <c r="E5105" s="3">
        <v>2</v>
      </c>
      <c r="F5105" s="4" t="str">
        <f>HYPERLINK("http://141.218.60.56/~jnz1568/getInfo.php?workbook=14_09.xlsx&amp;sheet=U0&amp;row=5105&amp;col=6&amp;number=3.1&amp;sourceID=14","3.1")</f>
        <v>3.1</v>
      </c>
      <c r="G5105" s="4" t="str">
        <f>HYPERLINK("http://141.218.60.56/~jnz1568/getInfo.php?workbook=14_09.xlsx&amp;sheet=U0&amp;row=5105&amp;col=7&amp;number=0.0376&amp;sourceID=14","0.0376")</f>
        <v>0.0376</v>
      </c>
    </row>
    <row r="5106" spans="1:7">
      <c r="A5106" s="3"/>
      <c r="B5106" s="3"/>
      <c r="C5106" s="3"/>
      <c r="D5106" s="3"/>
      <c r="E5106" s="3">
        <v>3</v>
      </c>
      <c r="F5106" s="4" t="str">
        <f>HYPERLINK("http://141.218.60.56/~jnz1568/getInfo.php?workbook=14_09.xlsx&amp;sheet=U0&amp;row=5106&amp;col=6&amp;number=3.2&amp;sourceID=14","3.2")</f>
        <v>3.2</v>
      </c>
      <c r="G5106" s="4" t="str">
        <f>HYPERLINK("http://141.218.60.56/~jnz1568/getInfo.php?workbook=14_09.xlsx&amp;sheet=U0&amp;row=5106&amp;col=7&amp;number=0.0375&amp;sourceID=14","0.0375")</f>
        <v>0.0375</v>
      </c>
    </row>
    <row r="5107" spans="1:7">
      <c r="A5107" s="3"/>
      <c r="B5107" s="3"/>
      <c r="C5107" s="3"/>
      <c r="D5107" s="3"/>
      <c r="E5107" s="3">
        <v>4</v>
      </c>
      <c r="F5107" s="4" t="str">
        <f>HYPERLINK("http://141.218.60.56/~jnz1568/getInfo.php?workbook=14_09.xlsx&amp;sheet=U0&amp;row=5107&amp;col=6&amp;number=3.3&amp;sourceID=14","3.3")</f>
        <v>3.3</v>
      </c>
      <c r="G5107" s="4" t="str">
        <f>HYPERLINK("http://141.218.60.56/~jnz1568/getInfo.php?workbook=14_09.xlsx&amp;sheet=U0&amp;row=5107&amp;col=7&amp;number=0.0374&amp;sourceID=14","0.0374")</f>
        <v>0.0374</v>
      </c>
    </row>
    <row r="5108" spans="1:7">
      <c r="A5108" s="3"/>
      <c r="B5108" s="3"/>
      <c r="C5108" s="3"/>
      <c r="D5108" s="3"/>
      <c r="E5108" s="3">
        <v>5</v>
      </c>
      <c r="F5108" s="4" t="str">
        <f>HYPERLINK("http://141.218.60.56/~jnz1568/getInfo.php?workbook=14_09.xlsx&amp;sheet=U0&amp;row=5108&amp;col=6&amp;number=3.4&amp;sourceID=14","3.4")</f>
        <v>3.4</v>
      </c>
      <c r="G5108" s="4" t="str">
        <f>HYPERLINK("http://141.218.60.56/~jnz1568/getInfo.php?workbook=14_09.xlsx&amp;sheet=U0&amp;row=5108&amp;col=7&amp;number=0.0373&amp;sourceID=14","0.0373")</f>
        <v>0.0373</v>
      </c>
    </row>
    <row r="5109" spans="1:7">
      <c r="A5109" s="3"/>
      <c r="B5109" s="3"/>
      <c r="C5109" s="3"/>
      <c r="D5109" s="3"/>
      <c r="E5109" s="3">
        <v>6</v>
      </c>
      <c r="F5109" s="4" t="str">
        <f>HYPERLINK("http://141.218.60.56/~jnz1568/getInfo.php?workbook=14_09.xlsx&amp;sheet=U0&amp;row=5109&amp;col=6&amp;number=3.5&amp;sourceID=14","3.5")</f>
        <v>3.5</v>
      </c>
      <c r="G5109" s="4" t="str">
        <f>HYPERLINK("http://141.218.60.56/~jnz1568/getInfo.php?workbook=14_09.xlsx&amp;sheet=U0&amp;row=5109&amp;col=7&amp;number=0.0371&amp;sourceID=14","0.0371")</f>
        <v>0.0371</v>
      </c>
    </row>
    <row r="5110" spans="1:7">
      <c r="A5110" s="3"/>
      <c r="B5110" s="3"/>
      <c r="C5110" s="3"/>
      <c r="D5110" s="3"/>
      <c r="E5110" s="3">
        <v>7</v>
      </c>
      <c r="F5110" s="4" t="str">
        <f>HYPERLINK("http://141.218.60.56/~jnz1568/getInfo.php?workbook=14_09.xlsx&amp;sheet=U0&amp;row=5110&amp;col=6&amp;number=3.6&amp;sourceID=14","3.6")</f>
        <v>3.6</v>
      </c>
      <c r="G5110" s="4" t="str">
        <f>HYPERLINK("http://141.218.60.56/~jnz1568/getInfo.php?workbook=14_09.xlsx&amp;sheet=U0&amp;row=5110&amp;col=7&amp;number=0.0369&amp;sourceID=14","0.0369")</f>
        <v>0.0369</v>
      </c>
    </row>
    <row r="5111" spans="1:7">
      <c r="A5111" s="3"/>
      <c r="B5111" s="3"/>
      <c r="C5111" s="3"/>
      <c r="D5111" s="3"/>
      <c r="E5111" s="3">
        <v>8</v>
      </c>
      <c r="F5111" s="4" t="str">
        <f>HYPERLINK("http://141.218.60.56/~jnz1568/getInfo.php?workbook=14_09.xlsx&amp;sheet=U0&amp;row=5111&amp;col=6&amp;number=3.7&amp;sourceID=14","3.7")</f>
        <v>3.7</v>
      </c>
      <c r="G5111" s="4" t="str">
        <f>HYPERLINK("http://141.218.60.56/~jnz1568/getInfo.php?workbook=14_09.xlsx&amp;sheet=U0&amp;row=5111&amp;col=7&amp;number=0.0366&amp;sourceID=14","0.0366")</f>
        <v>0.0366</v>
      </c>
    </row>
    <row r="5112" spans="1:7">
      <c r="A5112" s="3"/>
      <c r="B5112" s="3"/>
      <c r="C5112" s="3"/>
      <c r="D5112" s="3"/>
      <c r="E5112" s="3">
        <v>9</v>
      </c>
      <c r="F5112" s="4" t="str">
        <f>HYPERLINK("http://141.218.60.56/~jnz1568/getInfo.php?workbook=14_09.xlsx&amp;sheet=U0&amp;row=5112&amp;col=6&amp;number=3.8&amp;sourceID=14","3.8")</f>
        <v>3.8</v>
      </c>
      <c r="G5112" s="4" t="str">
        <f>HYPERLINK("http://141.218.60.56/~jnz1568/getInfo.php?workbook=14_09.xlsx&amp;sheet=U0&amp;row=5112&amp;col=7&amp;number=0.0363&amp;sourceID=14","0.0363")</f>
        <v>0.0363</v>
      </c>
    </row>
    <row r="5113" spans="1:7">
      <c r="A5113" s="3"/>
      <c r="B5113" s="3"/>
      <c r="C5113" s="3"/>
      <c r="D5113" s="3"/>
      <c r="E5113" s="3">
        <v>10</v>
      </c>
      <c r="F5113" s="4" t="str">
        <f>HYPERLINK("http://141.218.60.56/~jnz1568/getInfo.php?workbook=14_09.xlsx&amp;sheet=U0&amp;row=5113&amp;col=6&amp;number=3.9&amp;sourceID=14","3.9")</f>
        <v>3.9</v>
      </c>
      <c r="G5113" s="4" t="str">
        <f>HYPERLINK("http://141.218.60.56/~jnz1568/getInfo.php?workbook=14_09.xlsx&amp;sheet=U0&amp;row=5113&amp;col=7&amp;number=0.0358&amp;sourceID=14","0.0358")</f>
        <v>0.0358</v>
      </c>
    </row>
    <row r="5114" spans="1:7">
      <c r="A5114" s="3"/>
      <c r="B5114" s="3"/>
      <c r="C5114" s="3"/>
      <c r="D5114" s="3"/>
      <c r="E5114" s="3">
        <v>11</v>
      </c>
      <c r="F5114" s="4" t="str">
        <f>HYPERLINK("http://141.218.60.56/~jnz1568/getInfo.php?workbook=14_09.xlsx&amp;sheet=U0&amp;row=5114&amp;col=6&amp;number=4&amp;sourceID=14","4")</f>
        <v>4</v>
      </c>
      <c r="G5114" s="4" t="str">
        <f>HYPERLINK("http://141.218.60.56/~jnz1568/getInfo.php?workbook=14_09.xlsx&amp;sheet=U0&amp;row=5114&amp;col=7&amp;number=0.0353&amp;sourceID=14","0.0353")</f>
        <v>0.0353</v>
      </c>
    </row>
    <row r="5115" spans="1:7">
      <c r="A5115" s="3"/>
      <c r="B5115" s="3"/>
      <c r="C5115" s="3"/>
      <c r="D5115" s="3"/>
      <c r="E5115" s="3">
        <v>12</v>
      </c>
      <c r="F5115" s="4" t="str">
        <f>HYPERLINK("http://141.218.60.56/~jnz1568/getInfo.php?workbook=14_09.xlsx&amp;sheet=U0&amp;row=5115&amp;col=6&amp;number=4.1&amp;sourceID=14","4.1")</f>
        <v>4.1</v>
      </c>
      <c r="G5115" s="4" t="str">
        <f>HYPERLINK("http://141.218.60.56/~jnz1568/getInfo.php?workbook=14_09.xlsx&amp;sheet=U0&amp;row=5115&amp;col=7&amp;number=0.0346&amp;sourceID=14","0.0346")</f>
        <v>0.0346</v>
      </c>
    </row>
    <row r="5116" spans="1:7">
      <c r="A5116" s="3"/>
      <c r="B5116" s="3"/>
      <c r="C5116" s="3"/>
      <c r="D5116" s="3"/>
      <c r="E5116" s="3">
        <v>13</v>
      </c>
      <c r="F5116" s="4" t="str">
        <f>HYPERLINK("http://141.218.60.56/~jnz1568/getInfo.php?workbook=14_09.xlsx&amp;sheet=U0&amp;row=5116&amp;col=6&amp;number=4.2&amp;sourceID=14","4.2")</f>
        <v>4.2</v>
      </c>
      <c r="G5116" s="4" t="str">
        <f>HYPERLINK("http://141.218.60.56/~jnz1568/getInfo.php?workbook=14_09.xlsx&amp;sheet=U0&amp;row=5116&amp;col=7&amp;number=0.0338&amp;sourceID=14","0.0338")</f>
        <v>0.0338</v>
      </c>
    </row>
    <row r="5117" spans="1:7">
      <c r="A5117" s="3"/>
      <c r="B5117" s="3"/>
      <c r="C5117" s="3"/>
      <c r="D5117" s="3"/>
      <c r="E5117" s="3">
        <v>14</v>
      </c>
      <c r="F5117" s="4" t="str">
        <f>HYPERLINK("http://141.218.60.56/~jnz1568/getInfo.php?workbook=14_09.xlsx&amp;sheet=U0&amp;row=5117&amp;col=6&amp;number=4.3&amp;sourceID=14","4.3")</f>
        <v>4.3</v>
      </c>
      <c r="G5117" s="4" t="str">
        <f>HYPERLINK("http://141.218.60.56/~jnz1568/getInfo.php?workbook=14_09.xlsx&amp;sheet=U0&amp;row=5117&amp;col=7&amp;number=0.0328&amp;sourceID=14","0.0328")</f>
        <v>0.0328</v>
      </c>
    </row>
    <row r="5118" spans="1:7">
      <c r="A5118" s="3"/>
      <c r="B5118" s="3"/>
      <c r="C5118" s="3"/>
      <c r="D5118" s="3"/>
      <c r="E5118" s="3">
        <v>15</v>
      </c>
      <c r="F5118" s="4" t="str">
        <f>HYPERLINK("http://141.218.60.56/~jnz1568/getInfo.php?workbook=14_09.xlsx&amp;sheet=U0&amp;row=5118&amp;col=6&amp;number=4.4&amp;sourceID=14","4.4")</f>
        <v>4.4</v>
      </c>
      <c r="G5118" s="4" t="str">
        <f>HYPERLINK("http://141.218.60.56/~jnz1568/getInfo.php?workbook=14_09.xlsx&amp;sheet=U0&amp;row=5118&amp;col=7&amp;number=0.0315&amp;sourceID=14","0.0315")</f>
        <v>0.0315</v>
      </c>
    </row>
    <row r="5119" spans="1:7">
      <c r="A5119" s="3"/>
      <c r="B5119" s="3"/>
      <c r="C5119" s="3"/>
      <c r="D5119" s="3"/>
      <c r="E5119" s="3">
        <v>16</v>
      </c>
      <c r="F5119" s="4" t="str">
        <f>HYPERLINK("http://141.218.60.56/~jnz1568/getInfo.php?workbook=14_09.xlsx&amp;sheet=U0&amp;row=5119&amp;col=6&amp;number=4.5&amp;sourceID=14","4.5")</f>
        <v>4.5</v>
      </c>
      <c r="G5119" s="4" t="str">
        <f>HYPERLINK("http://141.218.60.56/~jnz1568/getInfo.php?workbook=14_09.xlsx&amp;sheet=U0&amp;row=5119&amp;col=7&amp;number=0.03&amp;sourceID=14","0.03")</f>
        <v>0.03</v>
      </c>
    </row>
    <row r="5120" spans="1:7">
      <c r="A5120" s="3"/>
      <c r="B5120" s="3"/>
      <c r="C5120" s="3"/>
      <c r="D5120" s="3"/>
      <c r="E5120" s="3">
        <v>17</v>
      </c>
      <c r="F5120" s="4" t="str">
        <f>HYPERLINK("http://141.218.60.56/~jnz1568/getInfo.php?workbook=14_09.xlsx&amp;sheet=U0&amp;row=5120&amp;col=6&amp;number=4.6&amp;sourceID=14","4.6")</f>
        <v>4.6</v>
      </c>
      <c r="G5120" s="4" t="str">
        <f>HYPERLINK("http://141.218.60.56/~jnz1568/getInfo.php?workbook=14_09.xlsx&amp;sheet=U0&amp;row=5120&amp;col=7&amp;number=0.0282&amp;sourceID=14","0.0282")</f>
        <v>0.0282</v>
      </c>
    </row>
    <row r="5121" spans="1:7">
      <c r="A5121" s="3"/>
      <c r="B5121" s="3"/>
      <c r="C5121" s="3"/>
      <c r="D5121" s="3"/>
      <c r="E5121" s="3">
        <v>18</v>
      </c>
      <c r="F5121" s="4" t="str">
        <f>HYPERLINK("http://141.218.60.56/~jnz1568/getInfo.php?workbook=14_09.xlsx&amp;sheet=U0&amp;row=5121&amp;col=6&amp;number=4.7&amp;sourceID=14","4.7")</f>
        <v>4.7</v>
      </c>
      <c r="G5121" s="4" t="str">
        <f>HYPERLINK("http://141.218.60.56/~jnz1568/getInfo.php?workbook=14_09.xlsx&amp;sheet=U0&amp;row=5121&amp;col=7&amp;number=0.0261&amp;sourceID=14","0.0261")</f>
        <v>0.0261</v>
      </c>
    </row>
    <row r="5122" spans="1:7">
      <c r="A5122" s="3"/>
      <c r="B5122" s="3"/>
      <c r="C5122" s="3"/>
      <c r="D5122" s="3"/>
      <c r="E5122" s="3">
        <v>19</v>
      </c>
      <c r="F5122" s="4" t="str">
        <f>HYPERLINK("http://141.218.60.56/~jnz1568/getInfo.php?workbook=14_09.xlsx&amp;sheet=U0&amp;row=5122&amp;col=6&amp;number=4.8&amp;sourceID=14","4.8")</f>
        <v>4.8</v>
      </c>
      <c r="G5122" s="4" t="str">
        <f>HYPERLINK("http://141.218.60.56/~jnz1568/getInfo.php?workbook=14_09.xlsx&amp;sheet=U0&amp;row=5122&amp;col=7&amp;number=0.0236&amp;sourceID=14","0.0236")</f>
        <v>0.0236</v>
      </c>
    </row>
    <row r="5123" spans="1:7">
      <c r="A5123" s="3"/>
      <c r="B5123" s="3"/>
      <c r="C5123" s="3"/>
      <c r="D5123" s="3"/>
      <c r="E5123" s="3">
        <v>20</v>
      </c>
      <c r="F5123" s="4" t="str">
        <f>HYPERLINK("http://141.218.60.56/~jnz1568/getInfo.php?workbook=14_09.xlsx&amp;sheet=U0&amp;row=5123&amp;col=6&amp;number=4.9&amp;sourceID=14","4.9")</f>
        <v>4.9</v>
      </c>
      <c r="G5123" s="4" t="str">
        <f>HYPERLINK("http://141.218.60.56/~jnz1568/getInfo.php?workbook=14_09.xlsx&amp;sheet=U0&amp;row=5123&amp;col=7&amp;number=0.021&amp;sourceID=14","0.021")</f>
        <v>0.021</v>
      </c>
    </row>
    <row r="5124" spans="1:7">
      <c r="A5124" s="3">
        <v>14</v>
      </c>
      <c r="B5124" s="3">
        <v>9</v>
      </c>
      <c r="C5124" s="3">
        <v>2</v>
      </c>
      <c r="D5124" s="3">
        <v>65</v>
      </c>
      <c r="E5124" s="3">
        <v>1</v>
      </c>
      <c r="F5124" s="4" t="str">
        <f>HYPERLINK("http://141.218.60.56/~jnz1568/getInfo.php?workbook=14_09.xlsx&amp;sheet=U0&amp;row=5124&amp;col=6&amp;number=3&amp;sourceID=14","3")</f>
        <v>3</v>
      </c>
      <c r="G5124" s="4" t="str">
        <f>HYPERLINK("http://141.218.60.56/~jnz1568/getInfo.php?workbook=14_09.xlsx&amp;sheet=U0&amp;row=5124&amp;col=7&amp;number=0.0292&amp;sourceID=14","0.0292")</f>
        <v>0.0292</v>
      </c>
    </row>
    <row r="5125" spans="1:7">
      <c r="A5125" s="3"/>
      <c r="B5125" s="3"/>
      <c r="C5125" s="3"/>
      <c r="D5125" s="3"/>
      <c r="E5125" s="3">
        <v>2</v>
      </c>
      <c r="F5125" s="4" t="str">
        <f>HYPERLINK("http://141.218.60.56/~jnz1568/getInfo.php?workbook=14_09.xlsx&amp;sheet=U0&amp;row=5125&amp;col=6&amp;number=3.1&amp;sourceID=14","3.1")</f>
        <v>3.1</v>
      </c>
      <c r="G5125" s="4" t="str">
        <f>HYPERLINK("http://141.218.60.56/~jnz1568/getInfo.php?workbook=14_09.xlsx&amp;sheet=U0&amp;row=5125&amp;col=7&amp;number=0.0291&amp;sourceID=14","0.0291")</f>
        <v>0.0291</v>
      </c>
    </row>
    <row r="5126" spans="1:7">
      <c r="A5126" s="3"/>
      <c r="B5126" s="3"/>
      <c r="C5126" s="3"/>
      <c r="D5126" s="3"/>
      <c r="E5126" s="3">
        <v>3</v>
      </c>
      <c r="F5126" s="4" t="str">
        <f>HYPERLINK("http://141.218.60.56/~jnz1568/getInfo.php?workbook=14_09.xlsx&amp;sheet=U0&amp;row=5126&amp;col=6&amp;number=3.2&amp;sourceID=14","3.2")</f>
        <v>3.2</v>
      </c>
      <c r="G5126" s="4" t="str">
        <f>HYPERLINK("http://141.218.60.56/~jnz1568/getInfo.php?workbook=14_09.xlsx&amp;sheet=U0&amp;row=5126&amp;col=7&amp;number=0.0291&amp;sourceID=14","0.0291")</f>
        <v>0.0291</v>
      </c>
    </row>
    <row r="5127" spans="1:7">
      <c r="A5127" s="3"/>
      <c r="B5127" s="3"/>
      <c r="C5127" s="3"/>
      <c r="D5127" s="3"/>
      <c r="E5127" s="3">
        <v>4</v>
      </c>
      <c r="F5127" s="4" t="str">
        <f>HYPERLINK("http://141.218.60.56/~jnz1568/getInfo.php?workbook=14_09.xlsx&amp;sheet=U0&amp;row=5127&amp;col=6&amp;number=3.3&amp;sourceID=14","3.3")</f>
        <v>3.3</v>
      </c>
      <c r="G5127" s="4" t="str">
        <f>HYPERLINK("http://141.218.60.56/~jnz1568/getInfo.php?workbook=14_09.xlsx&amp;sheet=U0&amp;row=5127&amp;col=7&amp;number=0.029&amp;sourceID=14","0.029")</f>
        <v>0.029</v>
      </c>
    </row>
    <row r="5128" spans="1:7">
      <c r="A5128" s="3"/>
      <c r="B5128" s="3"/>
      <c r="C5128" s="3"/>
      <c r="D5128" s="3"/>
      <c r="E5128" s="3">
        <v>5</v>
      </c>
      <c r="F5128" s="4" t="str">
        <f>HYPERLINK("http://141.218.60.56/~jnz1568/getInfo.php?workbook=14_09.xlsx&amp;sheet=U0&amp;row=5128&amp;col=6&amp;number=3.4&amp;sourceID=14","3.4")</f>
        <v>3.4</v>
      </c>
      <c r="G5128" s="4" t="str">
        <f>HYPERLINK("http://141.218.60.56/~jnz1568/getInfo.php?workbook=14_09.xlsx&amp;sheet=U0&amp;row=5128&amp;col=7&amp;number=0.0289&amp;sourceID=14","0.0289")</f>
        <v>0.0289</v>
      </c>
    </row>
    <row r="5129" spans="1:7">
      <c r="A5129" s="3"/>
      <c r="B5129" s="3"/>
      <c r="C5129" s="3"/>
      <c r="D5129" s="3"/>
      <c r="E5129" s="3">
        <v>6</v>
      </c>
      <c r="F5129" s="4" t="str">
        <f>HYPERLINK("http://141.218.60.56/~jnz1568/getInfo.php?workbook=14_09.xlsx&amp;sheet=U0&amp;row=5129&amp;col=6&amp;number=3.5&amp;sourceID=14","3.5")</f>
        <v>3.5</v>
      </c>
      <c r="G5129" s="4" t="str">
        <f>HYPERLINK("http://141.218.60.56/~jnz1568/getInfo.php?workbook=14_09.xlsx&amp;sheet=U0&amp;row=5129&amp;col=7&amp;number=0.0288&amp;sourceID=14","0.0288")</f>
        <v>0.0288</v>
      </c>
    </row>
    <row r="5130" spans="1:7">
      <c r="A5130" s="3"/>
      <c r="B5130" s="3"/>
      <c r="C5130" s="3"/>
      <c r="D5130" s="3"/>
      <c r="E5130" s="3">
        <v>7</v>
      </c>
      <c r="F5130" s="4" t="str">
        <f>HYPERLINK("http://141.218.60.56/~jnz1568/getInfo.php?workbook=14_09.xlsx&amp;sheet=U0&amp;row=5130&amp;col=6&amp;number=3.6&amp;sourceID=14","3.6")</f>
        <v>3.6</v>
      </c>
      <c r="G5130" s="4" t="str">
        <f>HYPERLINK("http://141.218.60.56/~jnz1568/getInfo.php?workbook=14_09.xlsx&amp;sheet=U0&amp;row=5130&amp;col=7&amp;number=0.0286&amp;sourceID=14","0.0286")</f>
        <v>0.0286</v>
      </c>
    </row>
    <row r="5131" spans="1:7">
      <c r="A5131" s="3"/>
      <c r="B5131" s="3"/>
      <c r="C5131" s="3"/>
      <c r="D5131" s="3"/>
      <c r="E5131" s="3">
        <v>8</v>
      </c>
      <c r="F5131" s="4" t="str">
        <f>HYPERLINK("http://141.218.60.56/~jnz1568/getInfo.php?workbook=14_09.xlsx&amp;sheet=U0&amp;row=5131&amp;col=6&amp;number=3.7&amp;sourceID=14","3.7")</f>
        <v>3.7</v>
      </c>
      <c r="G5131" s="4" t="str">
        <f>HYPERLINK("http://141.218.60.56/~jnz1568/getInfo.php?workbook=14_09.xlsx&amp;sheet=U0&amp;row=5131&amp;col=7&amp;number=0.0284&amp;sourceID=14","0.0284")</f>
        <v>0.0284</v>
      </c>
    </row>
    <row r="5132" spans="1:7">
      <c r="A5132" s="3"/>
      <c r="B5132" s="3"/>
      <c r="C5132" s="3"/>
      <c r="D5132" s="3"/>
      <c r="E5132" s="3">
        <v>9</v>
      </c>
      <c r="F5132" s="4" t="str">
        <f>HYPERLINK("http://141.218.60.56/~jnz1568/getInfo.php?workbook=14_09.xlsx&amp;sheet=U0&amp;row=5132&amp;col=6&amp;number=3.8&amp;sourceID=14","3.8")</f>
        <v>3.8</v>
      </c>
      <c r="G5132" s="4" t="str">
        <f>HYPERLINK("http://141.218.60.56/~jnz1568/getInfo.php?workbook=14_09.xlsx&amp;sheet=U0&amp;row=5132&amp;col=7&amp;number=0.0282&amp;sourceID=14","0.0282")</f>
        <v>0.0282</v>
      </c>
    </row>
    <row r="5133" spans="1:7">
      <c r="A5133" s="3"/>
      <c r="B5133" s="3"/>
      <c r="C5133" s="3"/>
      <c r="D5133" s="3"/>
      <c r="E5133" s="3">
        <v>10</v>
      </c>
      <c r="F5133" s="4" t="str">
        <f>HYPERLINK("http://141.218.60.56/~jnz1568/getInfo.php?workbook=14_09.xlsx&amp;sheet=U0&amp;row=5133&amp;col=6&amp;number=3.9&amp;sourceID=14","3.9")</f>
        <v>3.9</v>
      </c>
      <c r="G5133" s="4" t="str">
        <f>HYPERLINK("http://141.218.60.56/~jnz1568/getInfo.php?workbook=14_09.xlsx&amp;sheet=U0&amp;row=5133&amp;col=7&amp;number=0.0279&amp;sourceID=14","0.0279")</f>
        <v>0.0279</v>
      </c>
    </row>
    <row r="5134" spans="1:7">
      <c r="A5134" s="3"/>
      <c r="B5134" s="3"/>
      <c r="C5134" s="3"/>
      <c r="D5134" s="3"/>
      <c r="E5134" s="3">
        <v>11</v>
      </c>
      <c r="F5134" s="4" t="str">
        <f>HYPERLINK("http://141.218.60.56/~jnz1568/getInfo.php?workbook=14_09.xlsx&amp;sheet=U0&amp;row=5134&amp;col=6&amp;number=4&amp;sourceID=14","4")</f>
        <v>4</v>
      </c>
      <c r="G5134" s="4" t="str">
        <f>HYPERLINK("http://141.218.60.56/~jnz1568/getInfo.php?workbook=14_09.xlsx&amp;sheet=U0&amp;row=5134&amp;col=7&amp;number=0.0276&amp;sourceID=14","0.0276")</f>
        <v>0.0276</v>
      </c>
    </row>
    <row r="5135" spans="1:7">
      <c r="A5135" s="3"/>
      <c r="B5135" s="3"/>
      <c r="C5135" s="3"/>
      <c r="D5135" s="3"/>
      <c r="E5135" s="3">
        <v>12</v>
      </c>
      <c r="F5135" s="4" t="str">
        <f>HYPERLINK("http://141.218.60.56/~jnz1568/getInfo.php?workbook=14_09.xlsx&amp;sheet=U0&amp;row=5135&amp;col=6&amp;number=4.1&amp;sourceID=14","4.1")</f>
        <v>4.1</v>
      </c>
      <c r="G5135" s="4" t="str">
        <f>HYPERLINK("http://141.218.60.56/~jnz1568/getInfo.php?workbook=14_09.xlsx&amp;sheet=U0&amp;row=5135&amp;col=7&amp;number=0.0271&amp;sourceID=14","0.0271")</f>
        <v>0.0271</v>
      </c>
    </row>
    <row r="5136" spans="1:7">
      <c r="A5136" s="3"/>
      <c r="B5136" s="3"/>
      <c r="C5136" s="3"/>
      <c r="D5136" s="3"/>
      <c r="E5136" s="3">
        <v>13</v>
      </c>
      <c r="F5136" s="4" t="str">
        <f>HYPERLINK("http://141.218.60.56/~jnz1568/getInfo.php?workbook=14_09.xlsx&amp;sheet=U0&amp;row=5136&amp;col=6&amp;number=4.2&amp;sourceID=14","4.2")</f>
        <v>4.2</v>
      </c>
      <c r="G5136" s="4" t="str">
        <f>HYPERLINK("http://141.218.60.56/~jnz1568/getInfo.php?workbook=14_09.xlsx&amp;sheet=U0&amp;row=5136&amp;col=7&amp;number=0.0266&amp;sourceID=14","0.0266")</f>
        <v>0.0266</v>
      </c>
    </row>
    <row r="5137" spans="1:7">
      <c r="A5137" s="3"/>
      <c r="B5137" s="3"/>
      <c r="C5137" s="3"/>
      <c r="D5137" s="3"/>
      <c r="E5137" s="3">
        <v>14</v>
      </c>
      <c r="F5137" s="4" t="str">
        <f>HYPERLINK("http://141.218.60.56/~jnz1568/getInfo.php?workbook=14_09.xlsx&amp;sheet=U0&amp;row=5137&amp;col=6&amp;number=4.3&amp;sourceID=14","4.3")</f>
        <v>4.3</v>
      </c>
      <c r="G5137" s="4" t="str">
        <f>HYPERLINK("http://141.218.60.56/~jnz1568/getInfo.php?workbook=14_09.xlsx&amp;sheet=U0&amp;row=5137&amp;col=7&amp;number=0.0259&amp;sourceID=14","0.0259")</f>
        <v>0.0259</v>
      </c>
    </row>
    <row r="5138" spans="1:7">
      <c r="A5138" s="3"/>
      <c r="B5138" s="3"/>
      <c r="C5138" s="3"/>
      <c r="D5138" s="3"/>
      <c r="E5138" s="3">
        <v>15</v>
      </c>
      <c r="F5138" s="4" t="str">
        <f>HYPERLINK("http://141.218.60.56/~jnz1568/getInfo.php?workbook=14_09.xlsx&amp;sheet=U0&amp;row=5138&amp;col=6&amp;number=4.4&amp;sourceID=14","4.4")</f>
        <v>4.4</v>
      </c>
      <c r="G5138" s="4" t="str">
        <f>HYPERLINK("http://141.218.60.56/~jnz1568/getInfo.php?workbook=14_09.xlsx&amp;sheet=U0&amp;row=5138&amp;col=7&amp;number=0.0251&amp;sourceID=14","0.0251")</f>
        <v>0.0251</v>
      </c>
    </row>
    <row r="5139" spans="1:7">
      <c r="A5139" s="3"/>
      <c r="B5139" s="3"/>
      <c r="C5139" s="3"/>
      <c r="D5139" s="3"/>
      <c r="E5139" s="3">
        <v>16</v>
      </c>
      <c r="F5139" s="4" t="str">
        <f>HYPERLINK("http://141.218.60.56/~jnz1568/getInfo.php?workbook=14_09.xlsx&amp;sheet=U0&amp;row=5139&amp;col=6&amp;number=4.5&amp;sourceID=14","4.5")</f>
        <v>4.5</v>
      </c>
      <c r="G5139" s="4" t="str">
        <f>HYPERLINK("http://141.218.60.56/~jnz1568/getInfo.php?workbook=14_09.xlsx&amp;sheet=U0&amp;row=5139&amp;col=7&amp;number=0.024&amp;sourceID=14","0.024")</f>
        <v>0.024</v>
      </c>
    </row>
    <row r="5140" spans="1:7">
      <c r="A5140" s="3"/>
      <c r="B5140" s="3"/>
      <c r="C5140" s="3"/>
      <c r="D5140" s="3"/>
      <c r="E5140" s="3">
        <v>17</v>
      </c>
      <c r="F5140" s="4" t="str">
        <f>HYPERLINK("http://141.218.60.56/~jnz1568/getInfo.php?workbook=14_09.xlsx&amp;sheet=U0&amp;row=5140&amp;col=6&amp;number=4.6&amp;sourceID=14","4.6")</f>
        <v>4.6</v>
      </c>
      <c r="G5140" s="4" t="str">
        <f>HYPERLINK("http://141.218.60.56/~jnz1568/getInfo.php?workbook=14_09.xlsx&amp;sheet=U0&amp;row=5140&amp;col=7&amp;number=0.0228&amp;sourceID=14","0.0228")</f>
        <v>0.0228</v>
      </c>
    </row>
    <row r="5141" spans="1:7">
      <c r="A5141" s="3"/>
      <c r="B5141" s="3"/>
      <c r="C5141" s="3"/>
      <c r="D5141" s="3"/>
      <c r="E5141" s="3">
        <v>18</v>
      </c>
      <c r="F5141" s="4" t="str">
        <f>HYPERLINK("http://141.218.60.56/~jnz1568/getInfo.php?workbook=14_09.xlsx&amp;sheet=U0&amp;row=5141&amp;col=6&amp;number=4.7&amp;sourceID=14","4.7")</f>
        <v>4.7</v>
      </c>
      <c r="G5141" s="4" t="str">
        <f>HYPERLINK("http://141.218.60.56/~jnz1568/getInfo.php?workbook=14_09.xlsx&amp;sheet=U0&amp;row=5141&amp;col=7&amp;number=0.0213&amp;sourceID=14","0.0213")</f>
        <v>0.0213</v>
      </c>
    </row>
    <row r="5142" spans="1:7">
      <c r="A5142" s="3"/>
      <c r="B5142" s="3"/>
      <c r="C5142" s="3"/>
      <c r="D5142" s="3"/>
      <c r="E5142" s="3">
        <v>19</v>
      </c>
      <c r="F5142" s="4" t="str">
        <f>HYPERLINK("http://141.218.60.56/~jnz1568/getInfo.php?workbook=14_09.xlsx&amp;sheet=U0&amp;row=5142&amp;col=6&amp;number=4.8&amp;sourceID=14","4.8")</f>
        <v>4.8</v>
      </c>
      <c r="G5142" s="4" t="str">
        <f>HYPERLINK("http://141.218.60.56/~jnz1568/getInfo.php?workbook=14_09.xlsx&amp;sheet=U0&amp;row=5142&amp;col=7&amp;number=0.0197&amp;sourceID=14","0.0197")</f>
        <v>0.0197</v>
      </c>
    </row>
    <row r="5143" spans="1:7">
      <c r="A5143" s="3"/>
      <c r="B5143" s="3"/>
      <c r="C5143" s="3"/>
      <c r="D5143" s="3"/>
      <c r="E5143" s="3">
        <v>20</v>
      </c>
      <c r="F5143" s="4" t="str">
        <f>HYPERLINK("http://141.218.60.56/~jnz1568/getInfo.php?workbook=14_09.xlsx&amp;sheet=U0&amp;row=5143&amp;col=6&amp;number=4.9&amp;sourceID=14","4.9")</f>
        <v>4.9</v>
      </c>
      <c r="G5143" s="4" t="str">
        <f>HYPERLINK("http://141.218.60.56/~jnz1568/getInfo.php?workbook=14_09.xlsx&amp;sheet=U0&amp;row=5143&amp;col=7&amp;number=0.0178&amp;sourceID=14","0.0178")</f>
        <v>0.0178</v>
      </c>
    </row>
    <row r="5144" spans="1:7">
      <c r="A5144" s="3">
        <v>14</v>
      </c>
      <c r="B5144" s="3">
        <v>9</v>
      </c>
      <c r="C5144" s="3">
        <v>2</v>
      </c>
      <c r="D5144" s="3">
        <v>66</v>
      </c>
      <c r="E5144" s="3">
        <v>1</v>
      </c>
      <c r="F5144" s="4" t="str">
        <f>HYPERLINK("http://141.218.60.56/~jnz1568/getInfo.php?workbook=14_09.xlsx&amp;sheet=U0&amp;row=5144&amp;col=6&amp;number=3&amp;sourceID=14","3")</f>
        <v>3</v>
      </c>
      <c r="G5144" s="4" t="str">
        <f>HYPERLINK("http://141.218.60.56/~jnz1568/getInfo.php?workbook=14_09.xlsx&amp;sheet=U0&amp;row=5144&amp;col=7&amp;number=0.0244&amp;sourceID=14","0.0244")</f>
        <v>0.0244</v>
      </c>
    </row>
    <row r="5145" spans="1:7">
      <c r="A5145" s="3"/>
      <c r="B5145" s="3"/>
      <c r="C5145" s="3"/>
      <c r="D5145" s="3"/>
      <c r="E5145" s="3">
        <v>2</v>
      </c>
      <c r="F5145" s="4" t="str">
        <f>HYPERLINK("http://141.218.60.56/~jnz1568/getInfo.php?workbook=14_09.xlsx&amp;sheet=U0&amp;row=5145&amp;col=6&amp;number=3.1&amp;sourceID=14","3.1")</f>
        <v>3.1</v>
      </c>
      <c r="G5145" s="4" t="str">
        <f>HYPERLINK("http://141.218.60.56/~jnz1568/getInfo.php?workbook=14_09.xlsx&amp;sheet=U0&amp;row=5145&amp;col=7&amp;number=0.0243&amp;sourceID=14","0.0243")</f>
        <v>0.0243</v>
      </c>
    </row>
    <row r="5146" spans="1:7">
      <c r="A5146" s="3"/>
      <c r="B5146" s="3"/>
      <c r="C5146" s="3"/>
      <c r="D5146" s="3"/>
      <c r="E5146" s="3">
        <v>3</v>
      </c>
      <c r="F5146" s="4" t="str">
        <f>HYPERLINK("http://141.218.60.56/~jnz1568/getInfo.php?workbook=14_09.xlsx&amp;sheet=U0&amp;row=5146&amp;col=6&amp;number=3.2&amp;sourceID=14","3.2")</f>
        <v>3.2</v>
      </c>
      <c r="G5146" s="4" t="str">
        <f>HYPERLINK("http://141.218.60.56/~jnz1568/getInfo.php?workbook=14_09.xlsx&amp;sheet=U0&amp;row=5146&amp;col=7&amp;number=0.0243&amp;sourceID=14","0.0243")</f>
        <v>0.0243</v>
      </c>
    </row>
    <row r="5147" spans="1:7">
      <c r="A5147" s="3"/>
      <c r="B5147" s="3"/>
      <c r="C5147" s="3"/>
      <c r="D5147" s="3"/>
      <c r="E5147" s="3">
        <v>4</v>
      </c>
      <c r="F5147" s="4" t="str">
        <f>HYPERLINK("http://141.218.60.56/~jnz1568/getInfo.php?workbook=14_09.xlsx&amp;sheet=U0&amp;row=5147&amp;col=6&amp;number=3.3&amp;sourceID=14","3.3")</f>
        <v>3.3</v>
      </c>
      <c r="G5147" s="4" t="str">
        <f>HYPERLINK("http://141.218.60.56/~jnz1568/getInfo.php?workbook=14_09.xlsx&amp;sheet=U0&amp;row=5147&amp;col=7&amp;number=0.0242&amp;sourceID=14","0.0242")</f>
        <v>0.0242</v>
      </c>
    </row>
    <row r="5148" spans="1:7">
      <c r="A5148" s="3"/>
      <c r="B5148" s="3"/>
      <c r="C5148" s="3"/>
      <c r="D5148" s="3"/>
      <c r="E5148" s="3">
        <v>5</v>
      </c>
      <c r="F5148" s="4" t="str">
        <f>HYPERLINK("http://141.218.60.56/~jnz1568/getInfo.php?workbook=14_09.xlsx&amp;sheet=U0&amp;row=5148&amp;col=6&amp;number=3.4&amp;sourceID=14","3.4")</f>
        <v>3.4</v>
      </c>
      <c r="G5148" s="4" t="str">
        <f>HYPERLINK("http://141.218.60.56/~jnz1568/getInfo.php?workbook=14_09.xlsx&amp;sheet=U0&amp;row=5148&amp;col=7&amp;number=0.0241&amp;sourceID=14","0.0241")</f>
        <v>0.0241</v>
      </c>
    </row>
    <row r="5149" spans="1:7">
      <c r="A5149" s="3"/>
      <c r="B5149" s="3"/>
      <c r="C5149" s="3"/>
      <c r="D5149" s="3"/>
      <c r="E5149" s="3">
        <v>6</v>
      </c>
      <c r="F5149" s="4" t="str">
        <f>HYPERLINK("http://141.218.60.56/~jnz1568/getInfo.php?workbook=14_09.xlsx&amp;sheet=U0&amp;row=5149&amp;col=6&amp;number=3.5&amp;sourceID=14","3.5")</f>
        <v>3.5</v>
      </c>
      <c r="G5149" s="4" t="str">
        <f>HYPERLINK("http://141.218.60.56/~jnz1568/getInfo.php?workbook=14_09.xlsx&amp;sheet=U0&amp;row=5149&amp;col=7&amp;number=0.0239&amp;sourceID=14","0.0239")</f>
        <v>0.0239</v>
      </c>
    </row>
    <row r="5150" spans="1:7">
      <c r="A5150" s="3"/>
      <c r="B5150" s="3"/>
      <c r="C5150" s="3"/>
      <c r="D5150" s="3"/>
      <c r="E5150" s="3">
        <v>7</v>
      </c>
      <c r="F5150" s="4" t="str">
        <f>HYPERLINK("http://141.218.60.56/~jnz1568/getInfo.php?workbook=14_09.xlsx&amp;sheet=U0&amp;row=5150&amp;col=6&amp;number=3.6&amp;sourceID=14","3.6")</f>
        <v>3.6</v>
      </c>
      <c r="G5150" s="4" t="str">
        <f>HYPERLINK("http://141.218.60.56/~jnz1568/getInfo.php?workbook=14_09.xlsx&amp;sheet=U0&amp;row=5150&amp;col=7&amp;number=0.0238&amp;sourceID=14","0.0238")</f>
        <v>0.0238</v>
      </c>
    </row>
    <row r="5151" spans="1:7">
      <c r="A5151" s="3"/>
      <c r="B5151" s="3"/>
      <c r="C5151" s="3"/>
      <c r="D5151" s="3"/>
      <c r="E5151" s="3">
        <v>8</v>
      </c>
      <c r="F5151" s="4" t="str">
        <f>HYPERLINK("http://141.218.60.56/~jnz1568/getInfo.php?workbook=14_09.xlsx&amp;sheet=U0&amp;row=5151&amp;col=6&amp;number=3.7&amp;sourceID=14","3.7")</f>
        <v>3.7</v>
      </c>
      <c r="G5151" s="4" t="str">
        <f>HYPERLINK("http://141.218.60.56/~jnz1568/getInfo.php?workbook=14_09.xlsx&amp;sheet=U0&amp;row=5151&amp;col=7&amp;number=0.0236&amp;sourceID=14","0.0236")</f>
        <v>0.0236</v>
      </c>
    </row>
    <row r="5152" spans="1:7">
      <c r="A5152" s="3"/>
      <c r="B5152" s="3"/>
      <c r="C5152" s="3"/>
      <c r="D5152" s="3"/>
      <c r="E5152" s="3">
        <v>9</v>
      </c>
      <c r="F5152" s="4" t="str">
        <f>HYPERLINK("http://141.218.60.56/~jnz1568/getInfo.php?workbook=14_09.xlsx&amp;sheet=U0&amp;row=5152&amp;col=6&amp;number=3.8&amp;sourceID=14","3.8")</f>
        <v>3.8</v>
      </c>
      <c r="G5152" s="4" t="str">
        <f>HYPERLINK("http://141.218.60.56/~jnz1568/getInfo.php?workbook=14_09.xlsx&amp;sheet=U0&amp;row=5152&amp;col=7&amp;number=0.0233&amp;sourceID=14","0.0233")</f>
        <v>0.0233</v>
      </c>
    </row>
    <row r="5153" spans="1:7">
      <c r="A5153" s="3"/>
      <c r="B5153" s="3"/>
      <c r="C5153" s="3"/>
      <c r="D5153" s="3"/>
      <c r="E5153" s="3">
        <v>10</v>
      </c>
      <c r="F5153" s="4" t="str">
        <f>HYPERLINK("http://141.218.60.56/~jnz1568/getInfo.php?workbook=14_09.xlsx&amp;sheet=U0&amp;row=5153&amp;col=6&amp;number=3.9&amp;sourceID=14","3.9")</f>
        <v>3.9</v>
      </c>
      <c r="G5153" s="4" t="str">
        <f>HYPERLINK("http://141.218.60.56/~jnz1568/getInfo.php?workbook=14_09.xlsx&amp;sheet=U0&amp;row=5153&amp;col=7&amp;number=0.023&amp;sourceID=14","0.023")</f>
        <v>0.023</v>
      </c>
    </row>
    <row r="5154" spans="1:7">
      <c r="A5154" s="3"/>
      <c r="B5154" s="3"/>
      <c r="C5154" s="3"/>
      <c r="D5154" s="3"/>
      <c r="E5154" s="3">
        <v>11</v>
      </c>
      <c r="F5154" s="4" t="str">
        <f>HYPERLINK("http://141.218.60.56/~jnz1568/getInfo.php?workbook=14_09.xlsx&amp;sheet=U0&amp;row=5154&amp;col=6&amp;number=4&amp;sourceID=14","4")</f>
        <v>4</v>
      </c>
      <c r="G5154" s="4" t="str">
        <f>HYPERLINK("http://141.218.60.56/~jnz1568/getInfo.php?workbook=14_09.xlsx&amp;sheet=U0&amp;row=5154&amp;col=7&amp;number=0.0226&amp;sourceID=14","0.0226")</f>
        <v>0.0226</v>
      </c>
    </row>
    <row r="5155" spans="1:7">
      <c r="A5155" s="3"/>
      <c r="B5155" s="3"/>
      <c r="C5155" s="3"/>
      <c r="D5155" s="3"/>
      <c r="E5155" s="3">
        <v>12</v>
      </c>
      <c r="F5155" s="4" t="str">
        <f>HYPERLINK("http://141.218.60.56/~jnz1568/getInfo.php?workbook=14_09.xlsx&amp;sheet=U0&amp;row=5155&amp;col=6&amp;number=4.1&amp;sourceID=14","4.1")</f>
        <v>4.1</v>
      </c>
      <c r="G5155" s="4" t="str">
        <f>HYPERLINK("http://141.218.60.56/~jnz1568/getInfo.php?workbook=14_09.xlsx&amp;sheet=U0&amp;row=5155&amp;col=7&amp;number=0.0221&amp;sourceID=14","0.0221")</f>
        <v>0.0221</v>
      </c>
    </row>
    <row r="5156" spans="1:7">
      <c r="A5156" s="3"/>
      <c r="B5156" s="3"/>
      <c r="C5156" s="3"/>
      <c r="D5156" s="3"/>
      <c r="E5156" s="3">
        <v>13</v>
      </c>
      <c r="F5156" s="4" t="str">
        <f>HYPERLINK("http://141.218.60.56/~jnz1568/getInfo.php?workbook=14_09.xlsx&amp;sheet=U0&amp;row=5156&amp;col=6&amp;number=4.2&amp;sourceID=14","4.2")</f>
        <v>4.2</v>
      </c>
      <c r="G5156" s="4" t="str">
        <f>HYPERLINK("http://141.218.60.56/~jnz1568/getInfo.php?workbook=14_09.xlsx&amp;sheet=U0&amp;row=5156&amp;col=7&amp;number=0.0215&amp;sourceID=14","0.0215")</f>
        <v>0.0215</v>
      </c>
    </row>
    <row r="5157" spans="1:7">
      <c r="A5157" s="3"/>
      <c r="B5157" s="3"/>
      <c r="C5157" s="3"/>
      <c r="D5157" s="3"/>
      <c r="E5157" s="3">
        <v>14</v>
      </c>
      <c r="F5157" s="4" t="str">
        <f>HYPERLINK("http://141.218.60.56/~jnz1568/getInfo.php?workbook=14_09.xlsx&amp;sheet=U0&amp;row=5157&amp;col=6&amp;number=4.3&amp;sourceID=14","4.3")</f>
        <v>4.3</v>
      </c>
      <c r="G5157" s="4" t="str">
        <f>HYPERLINK("http://141.218.60.56/~jnz1568/getInfo.php?workbook=14_09.xlsx&amp;sheet=U0&amp;row=5157&amp;col=7&amp;number=0.0208&amp;sourceID=14","0.0208")</f>
        <v>0.0208</v>
      </c>
    </row>
    <row r="5158" spans="1:7">
      <c r="A5158" s="3"/>
      <c r="B5158" s="3"/>
      <c r="C5158" s="3"/>
      <c r="D5158" s="3"/>
      <c r="E5158" s="3">
        <v>15</v>
      </c>
      <c r="F5158" s="4" t="str">
        <f>HYPERLINK("http://141.218.60.56/~jnz1568/getInfo.php?workbook=14_09.xlsx&amp;sheet=U0&amp;row=5158&amp;col=6&amp;number=4.4&amp;sourceID=14","4.4")</f>
        <v>4.4</v>
      </c>
      <c r="G5158" s="4" t="str">
        <f>HYPERLINK("http://141.218.60.56/~jnz1568/getInfo.php?workbook=14_09.xlsx&amp;sheet=U0&amp;row=5158&amp;col=7&amp;number=0.0198&amp;sourceID=14","0.0198")</f>
        <v>0.0198</v>
      </c>
    </row>
    <row r="5159" spans="1:7">
      <c r="A5159" s="3"/>
      <c r="B5159" s="3"/>
      <c r="C5159" s="3"/>
      <c r="D5159" s="3"/>
      <c r="E5159" s="3">
        <v>16</v>
      </c>
      <c r="F5159" s="4" t="str">
        <f>HYPERLINK("http://141.218.60.56/~jnz1568/getInfo.php?workbook=14_09.xlsx&amp;sheet=U0&amp;row=5159&amp;col=6&amp;number=4.5&amp;sourceID=14","4.5")</f>
        <v>4.5</v>
      </c>
      <c r="G5159" s="4" t="str">
        <f>HYPERLINK("http://141.218.60.56/~jnz1568/getInfo.php?workbook=14_09.xlsx&amp;sheet=U0&amp;row=5159&amp;col=7&amp;number=0.0187&amp;sourceID=14","0.0187")</f>
        <v>0.0187</v>
      </c>
    </row>
    <row r="5160" spans="1:7">
      <c r="A5160" s="3"/>
      <c r="B5160" s="3"/>
      <c r="C5160" s="3"/>
      <c r="D5160" s="3"/>
      <c r="E5160" s="3">
        <v>17</v>
      </c>
      <c r="F5160" s="4" t="str">
        <f>HYPERLINK("http://141.218.60.56/~jnz1568/getInfo.php?workbook=14_09.xlsx&amp;sheet=U0&amp;row=5160&amp;col=6&amp;number=4.6&amp;sourceID=14","4.6")</f>
        <v>4.6</v>
      </c>
      <c r="G5160" s="4" t="str">
        <f>HYPERLINK("http://141.218.60.56/~jnz1568/getInfo.php?workbook=14_09.xlsx&amp;sheet=U0&amp;row=5160&amp;col=7&amp;number=0.0174&amp;sourceID=14","0.0174")</f>
        <v>0.0174</v>
      </c>
    </row>
    <row r="5161" spans="1:7">
      <c r="A5161" s="3"/>
      <c r="B5161" s="3"/>
      <c r="C5161" s="3"/>
      <c r="D5161" s="3"/>
      <c r="E5161" s="3">
        <v>18</v>
      </c>
      <c r="F5161" s="4" t="str">
        <f>HYPERLINK("http://141.218.60.56/~jnz1568/getInfo.php?workbook=14_09.xlsx&amp;sheet=U0&amp;row=5161&amp;col=6&amp;number=4.7&amp;sourceID=14","4.7")</f>
        <v>4.7</v>
      </c>
      <c r="G5161" s="4" t="str">
        <f>HYPERLINK("http://141.218.60.56/~jnz1568/getInfo.php?workbook=14_09.xlsx&amp;sheet=U0&amp;row=5161&amp;col=7&amp;number=0.0159&amp;sourceID=14","0.0159")</f>
        <v>0.0159</v>
      </c>
    </row>
    <row r="5162" spans="1:7">
      <c r="A5162" s="3"/>
      <c r="B5162" s="3"/>
      <c r="C5162" s="3"/>
      <c r="D5162" s="3"/>
      <c r="E5162" s="3">
        <v>19</v>
      </c>
      <c r="F5162" s="4" t="str">
        <f>HYPERLINK("http://141.218.60.56/~jnz1568/getInfo.php?workbook=14_09.xlsx&amp;sheet=U0&amp;row=5162&amp;col=6&amp;number=4.8&amp;sourceID=14","4.8")</f>
        <v>4.8</v>
      </c>
      <c r="G5162" s="4" t="str">
        <f>HYPERLINK("http://141.218.60.56/~jnz1568/getInfo.php?workbook=14_09.xlsx&amp;sheet=U0&amp;row=5162&amp;col=7&amp;number=0.0142&amp;sourceID=14","0.0142")</f>
        <v>0.0142</v>
      </c>
    </row>
    <row r="5163" spans="1:7">
      <c r="A5163" s="3"/>
      <c r="B5163" s="3"/>
      <c r="C5163" s="3"/>
      <c r="D5163" s="3"/>
      <c r="E5163" s="3">
        <v>20</v>
      </c>
      <c r="F5163" s="4" t="str">
        <f>HYPERLINK("http://141.218.60.56/~jnz1568/getInfo.php?workbook=14_09.xlsx&amp;sheet=U0&amp;row=5163&amp;col=6&amp;number=4.9&amp;sourceID=14","4.9")</f>
        <v>4.9</v>
      </c>
      <c r="G5163" s="4" t="str">
        <f>HYPERLINK("http://141.218.60.56/~jnz1568/getInfo.php?workbook=14_09.xlsx&amp;sheet=U0&amp;row=5163&amp;col=7&amp;number=0.0124&amp;sourceID=14","0.0124")</f>
        <v>0.0124</v>
      </c>
    </row>
    <row r="5164" spans="1:7">
      <c r="A5164" s="3">
        <v>14</v>
      </c>
      <c r="B5164" s="3">
        <v>9</v>
      </c>
      <c r="C5164" s="3">
        <v>2</v>
      </c>
      <c r="D5164" s="3">
        <v>67</v>
      </c>
      <c r="E5164" s="3">
        <v>1</v>
      </c>
      <c r="F5164" s="4" t="str">
        <f>HYPERLINK("http://141.218.60.56/~jnz1568/getInfo.php?workbook=14_09.xlsx&amp;sheet=U0&amp;row=5164&amp;col=6&amp;number=3&amp;sourceID=14","3")</f>
        <v>3</v>
      </c>
      <c r="G5164" s="4" t="str">
        <f>HYPERLINK("http://141.218.60.56/~jnz1568/getInfo.php?workbook=14_09.xlsx&amp;sheet=U0&amp;row=5164&amp;col=7&amp;number=0.0254&amp;sourceID=14","0.0254")</f>
        <v>0.0254</v>
      </c>
    </row>
    <row r="5165" spans="1:7">
      <c r="A5165" s="3"/>
      <c r="B5165" s="3"/>
      <c r="C5165" s="3"/>
      <c r="D5165" s="3"/>
      <c r="E5165" s="3">
        <v>2</v>
      </c>
      <c r="F5165" s="4" t="str">
        <f>HYPERLINK("http://141.218.60.56/~jnz1568/getInfo.php?workbook=14_09.xlsx&amp;sheet=U0&amp;row=5165&amp;col=6&amp;number=3.1&amp;sourceID=14","3.1")</f>
        <v>3.1</v>
      </c>
      <c r="G5165" s="4" t="str">
        <f>HYPERLINK("http://141.218.60.56/~jnz1568/getInfo.php?workbook=14_09.xlsx&amp;sheet=U0&amp;row=5165&amp;col=7&amp;number=0.0254&amp;sourceID=14","0.0254")</f>
        <v>0.0254</v>
      </c>
    </row>
    <row r="5166" spans="1:7">
      <c r="A5166" s="3"/>
      <c r="B5166" s="3"/>
      <c r="C5166" s="3"/>
      <c r="D5166" s="3"/>
      <c r="E5166" s="3">
        <v>3</v>
      </c>
      <c r="F5166" s="4" t="str">
        <f>HYPERLINK("http://141.218.60.56/~jnz1568/getInfo.php?workbook=14_09.xlsx&amp;sheet=U0&amp;row=5166&amp;col=6&amp;number=3.2&amp;sourceID=14","3.2")</f>
        <v>3.2</v>
      </c>
      <c r="G5166" s="4" t="str">
        <f>HYPERLINK("http://141.218.60.56/~jnz1568/getInfo.php?workbook=14_09.xlsx&amp;sheet=U0&amp;row=5166&amp;col=7&amp;number=0.0253&amp;sourceID=14","0.0253")</f>
        <v>0.0253</v>
      </c>
    </row>
    <row r="5167" spans="1:7">
      <c r="A5167" s="3"/>
      <c r="B5167" s="3"/>
      <c r="C5167" s="3"/>
      <c r="D5167" s="3"/>
      <c r="E5167" s="3">
        <v>4</v>
      </c>
      <c r="F5167" s="4" t="str">
        <f>HYPERLINK("http://141.218.60.56/~jnz1568/getInfo.php?workbook=14_09.xlsx&amp;sheet=U0&amp;row=5167&amp;col=6&amp;number=3.3&amp;sourceID=14","3.3")</f>
        <v>3.3</v>
      </c>
      <c r="G5167" s="4" t="str">
        <f>HYPERLINK("http://141.218.60.56/~jnz1568/getInfo.php?workbook=14_09.xlsx&amp;sheet=U0&amp;row=5167&amp;col=7&amp;number=0.0252&amp;sourceID=14","0.0252")</f>
        <v>0.0252</v>
      </c>
    </row>
    <row r="5168" spans="1:7">
      <c r="A5168" s="3"/>
      <c r="B5168" s="3"/>
      <c r="C5168" s="3"/>
      <c r="D5168" s="3"/>
      <c r="E5168" s="3">
        <v>5</v>
      </c>
      <c r="F5168" s="4" t="str">
        <f>HYPERLINK("http://141.218.60.56/~jnz1568/getInfo.php?workbook=14_09.xlsx&amp;sheet=U0&amp;row=5168&amp;col=6&amp;number=3.4&amp;sourceID=14","3.4")</f>
        <v>3.4</v>
      </c>
      <c r="G5168" s="4" t="str">
        <f>HYPERLINK("http://141.218.60.56/~jnz1568/getInfo.php?workbook=14_09.xlsx&amp;sheet=U0&amp;row=5168&amp;col=7&amp;number=0.0251&amp;sourceID=14","0.0251")</f>
        <v>0.0251</v>
      </c>
    </row>
    <row r="5169" spans="1:7">
      <c r="A5169" s="3"/>
      <c r="B5169" s="3"/>
      <c r="C5169" s="3"/>
      <c r="D5169" s="3"/>
      <c r="E5169" s="3">
        <v>6</v>
      </c>
      <c r="F5169" s="4" t="str">
        <f>HYPERLINK("http://141.218.60.56/~jnz1568/getInfo.php?workbook=14_09.xlsx&amp;sheet=U0&amp;row=5169&amp;col=6&amp;number=3.5&amp;sourceID=14","3.5")</f>
        <v>3.5</v>
      </c>
      <c r="G5169" s="4" t="str">
        <f>HYPERLINK("http://141.218.60.56/~jnz1568/getInfo.php?workbook=14_09.xlsx&amp;sheet=U0&amp;row=5169&amp;col=7&amp;number=0.025&amp;sourceID=14","0.025")</f>
        <v>0.025</v>
      </c>
    </row>
    <row r="5170" spans="1:7">
      <c r="A5170" s="3"/>
      <c r="B5170" s="3"/>
      <c r="C5170" s="3"/>
      <c r="D5170" s="3"/>
      <c r="E5170" s="3">
        <v>7</v>
      </c>
      <c r="F5170" s="4" t="str">
        <f>HYPERLINK("http://141.218.60.56/~jnz1568/getInfo.php?workbook=14_09.xlsx&amp;sheet=U0&amp;row=5170&amp;col=6&amp;number=3.6&amp;sourceID=14","3.6")</f>
        <v>3.6</v>
      </c>
      <c r="G5170" s="4" t="str">
        <f>HYPERLINK("http://141.218.60.56/~jnz1568/getInfo.php?workbook=14_09.xlsx&amp;sheet=U0&amp;row=5170&amp;col=7&amp;number=0.0249&amp;sourceID=14","0.0249")</f>
        <v>0.0249</v>
      </c>
    </row>
    <row r="5171" spans="1:7">
      <c r="A5171" s="3"/>
      <c r="B5171" s="3"/>
      <c r="C5171" s="3"/>
      <c r="D5171" s="3"/>
      <c r="E5171" s="3">
        <v>8</v>
      </c>
      <c r="F5171" s="4" t="str">
        <f>HYPERLINK("http://141.218.60.56/~jnz1568/getInfo.php?workbook=14_09.xlsx&amp;sheet=U0&amp;row=5171&amp;col=6&amp;number=3.7&amp;sourceID=14","3.7")</f>
        <v>3.7</v>
      </c>
      <c r="G5171" s="4" t="str">
        <f>HYPERLINK("http://141.218.60.56/~jnz1568/getInfo.php?workbook=14_09.xlsx&amp;sheet=U0&amp;row=5171&amp;col=7&amp;number=0.0247&amp;sourceID=14","0.0247")</f>
        <v>0.0247</v>
      </c>
    </row>
    <row r="5172" spans="1:7">
      <c r="A5172" s="3"/>
      <c r="B5172" s="3"/>
      <c r="C5172" s="3"/>
      <c r="D5172" s="3"/>
      <c r="E5172" s="3">
        <v>9</v>
      </c>
      <c r="F5172" s="4" t="str">
        <f>HYPERLINK("http://141.218.60.56/~jnz1568/getInfo.php?workbook=14_09.xlsx&amp;sheet=U0&amp;row=5172&amp;col=6&amp;number=3.8&amp;sourceID=14","3.8")</f>
        <v>3.8</v>
      </c>
      <c r="G5172" s="4" t="str">
        <f>HYPERLINK("http://141.218.60.56/~jnz1568/getInfo.php?workbook=14_09.xlsx&amp;sheet=U0&amp;row=5172&amp;col=7&amp;number=0.0244&amp;sourceID=14","0.0244")</f>
        <v>0.0244</v>
      </c>
    </row>
    <row r="5173" spans="1:7">
      <c r="A5173" s="3"/>
      <c r="B5173" s="3"/>
      <c r="C5173" s="3"/>
      <c r="D5173" s="3"/>
      <c r="E5173" s="3">
        <v>10</v>
      </c>
      <c r="F5173" s="4" t="str">
        <f>HYPERLINK("http://141.218.60.56/~jnz1568/getInfo.php?workbook=14_09.xlsx&amp;sheet=U0&amp;row=5173&amp;col=6&amp;number=3.9&amp;sourceID=14","3.9")</f>
        <v>3.9</v>
      </c>
      <c r="G5173" s="4" t="str">
        <f>HYPERLINK("http://141.218.60.56/~jnz1568/getInfo.php?workbook=14_09.xlsx&amp;sheet=U0&amp;row=5173&amp;col=7&amp;number=0.0241&amp;sourceID=14","0.0241")</f>
        <v>0.0241</v>
      </c>
    </row>
    <row r="5174" spans="1:7">
      <c r="A5174" s="3"/>
      <c r="B5174" s="3"/>
      <c r="C5174" s="3"/>
      <c r="D5174" s="3"/>
      <c r="E5174" s="3">
        <v>11</v>
      </c>
      <c r="F5174" s="4" t="str">
        <f>HYPERLINK("http://141.218.60.56/~jnz1568/getInfo.php?workbook=14_09.xlsx&amp;sheet=U0&amp;row=5174&amp;col=6&amp;number=4&amp;sourceID=14","4")</f>
        <v>4</v>
      </c>
      <c r="G5174" s="4" t="str">
        <f>HYPERLINK("http://141.218.60.56/~jnz1568/getInfo.php?workbook=14_09.xlsx&amp;sheet=U0&amp;row=5174&amp;col=7&amp;number=0.0238&amp;sourceID=14","0.0238")</f>
        <v>0.0238</v>
      </c>
    </row>
    <row r="5175" spans="1:7">
      <c r="A5175" s="3"/>
      <c r="B5175" s="3"/>
      <c r="C5175" s="3"/>
      <c r="D5175" s="3"/>
      <c r="E5175" s="3">
        <v>12</v>
      </c>
      <c r="F5175" s="4" t="str">
        <f>HYPERLINK("http://141.218.60.56/~jnz1568/getInfo.php?workbook=14_09.xlsx&amp;sheet=U0&amp;row=5175&amp;col=6&amp;number=4.1&amp;sourceID=14","4.1")</f>
        <v>4.1</v>
      </c>
      <c r="G5175" s="4" t="str">
        <f>HYPERLINK("http://141.218.60.56/~jnz1568/getInfo.php?workbook=14_09.xlsx&amp;sheet=U0&amp;row=5175&amp;col=7&amp;number=0.0233&amp;sourceID=14","0.0233")</f>
        <v>0.0233</v>
      </c>
    </row>
    <row r="5176" spans="1:7">
      <c r="A5176" s="3"/>
      <c r="B5176" s="3"/>
      <c r="C5176" s="3"/>
      <c r="D5176" s="3"/>
      <c r="E5176" s="3">
        <v>13</v>
      </c>
      <c r="F5176" s="4" t="str">
        <f>HYPERLINK("http://141.218.60.56/~jnz1568/getInfo.php?workbook=14_09.xlsx&amp;sheet=U0&amp;row=5176&amp;col=6&amp;number=4.2&amp;sourceID=14","4.2")</f>
        <v>4.2</v>
      </c>
      <c r="G5176" s="4" t="str">
        <f>HYPERLINK("http://141.218.60.56/~jnz1568/getInfo.php?workbook=14_09.xlsx&amp;sheet=U0&amp;row=5176&amp;col=7&amp;number=0.0227&amp;sourceID=14","0.0227")</f>
        <v>0.0227</v>
      </c>
    </row>
    <row r="5177" spans="1:7">
      <c r="A5177" s="3"/>
      <c r="B5177" s="3"/>
      <c r="C5177" s="3"/>
      <c r="D5177" s="3"/>
      <c r="E5177" s="3">
        <v>14</v>
      </c>
      <c r="F5177" s="4" t="str">
        <f>HYPERLINK("http://141.218.60.56/~jnz1568/getInfo.php?workbook=14_09.xlsx&amp;sheet=U0&amp;row=5177&amp;col=6&amp;number=4.3&amp;sourceID=14","4.3")</f>
        <v>4.3</v>
      </c>
      <c r="G5177" s="4" t="str">
        <f>HYPERLINK("http://141.218.60.56/~jnz1568/getInfo.php?workbook=14_09.xlsx&amp;sheet=U0&amp;row=5177&amp;col=7&amp;number=0.022&amp;sourceID=14","0.022")</f>
        <v>0.022</v>
      </c>
    </row>
    <row r="5178" spans="1:7">
      <c r="A5178" s="3"/>
      <c r="B5178" s="3"/>
      <c r="C5178" s="3"/>
      <c r="D5178" s="3"/>
      <c r="E5178" s="3">
        <v>15</v>
      </c>
      <c r="F5178" s="4" t="str">
        <f>HYPERLINK("http://141.218.60.56/~jnz1568/getInfo.php?workbook=14_09.xlsx&amp;sheet=U0&amp;row=5178&amp;col=6&amp;number=4.4&amp;sourceID=14","4.4")</f>
        <v>4.4</v>
      </c>
      <c r="G5178" s="4" t="str">
        <f>HYPERLINK("http://141.218.60.56/~jnz1568/getInfo.php?workbook=14_09.xlsx&amp;sheet=U0&amp;row=5178&amp;col=7&amp;number=0.0212&amp;sourceID=14","0.0212")</f>
        <v>0.0212</v>
      </c>
    </row>
    <row r="5179" spans="1:7">
      <c r="A5179" s="3"/>
      <c r="B5179" s="3"/>
      <c r="C5179" s="3"/>
      <c r="D5179" s="3"/>
      <c r="E5179" s="3">
        <v>16</v>
      </c>
      <c r="F5179" s="4" t="str">
        <f>HYPERLINK("http://141.218.60.56/~jnz1568/getInfo.php?workbook=14_09.xlsx&amp;sheet=U0&amp;row=5179&amp;col=6&amp;number=4.5&amp;sourceID=14","4.5")</f>
        <v>4.5</v>
      </c>
      <c r="G5179" s="4" t="str">
        <f>HYPERLINK("http://141.218.60.56/~jnz1568/getInfo.php?workbook=14_09.xlsx&amp;sheet=U0&amp;row=5179&amp;col=7&amp;number=0.0202&amp;sourceID=14","0.0202")</f>
        <v>0.0202</v>
      </c>
    </row>
    <row r="5180" spans="1:7">
      <c r="A5180" s="3"/>
      <c r="B5180" s="3"/>
      <c r="C5180" s="3"/>
      <c r="D5180" s="3"/>
      <c r="E5180" s="3">
        <v>17</v>
      </c>
      <c r="F5180" s="4" t="str">
        <f>HYPERLINK("http://141.218.60.56/~jnz1568/getInfo.php?workbook=14_09.xlsx&amp;sheet=U0&amp;row=5180&amp;col=6&amp;number=4.6&amp;sourceID=14","4.6")</f>
        <v>4.6</v>
      </c>
      <c r="G5180" s="4" t="str">
        <f>HYPERLINK("http://141.218.60.56/~jnz1568/getInfo.php?workbook=14_09.xlsx&amp;sheet=U0&amp;row=5180&amp;col=7&amp;number=0.0189&amp;sourceID=14","0.0189")</f>
        <v>0.0189</v>
      </c>
    </row>
    <row r="5181" spans="1:7">
      <c r="A5181" s="3"/>
      <c r="B5181" s="3"/>
      <c r="C5181" s="3"/>
      <c r="D5181" s="3"/>
      <c r="E5181" s="3">
        <v>18</v>
      </c>
      <c r="F5181" s="4" t="str">
        <f>HYPERLINK("http://141.218.60.56/~jnz1568/getInfo.php?workbook=14_09.xlsx&amp;sheet=U0&amp;row=5181&amp;col=6&amp;number=4.7&amp;sourceID=14","4.7")</f>
        <v>4.7</v>
      </c>
      <c r="G5181" s="4" t="str">
        <f>HYPERLINK("http://141.218.60.56/~jnz1568/getInfo.php?workbook=14_09.xlsx&amp;sheet=U0&amp;row=5181&amp;col=7&amp;number=0.0176&amp;sourceID=14","0.0176")</f>
        <v>0.0176</v>
      </c>
    </row>
    <row r="5182" spans="1:7">
      <c r="A5182" s="3"/>
      <c r="B5182" s="3"/>
      <c r="C5182" s="3"/>
      <c r="D5182" s="3"/>
      <c r="E5182" s="3">
        <v>19</v>
      </c>
      <c r="F5182" s="4" t="str">
        <f>HYPERLINK("http://141.218.60.56/~jnz1568/getInfo.php?workbook=14_09.xlsx&amp;sheet=U0&amp;row=5182&amp;col=6&amp;number=4.8&amp;sourceID=14","4.8")</f>
        <v>4.8</v>
      </c>
      <c r="G5182" s="4" t="str">
        <f>HYPERLINK("http://141.218.60.56/~jnz1568/getInfo.php?workbook=14_09.xlsx&amp;sheet=U0&amp;row=5182&amp;col=7&amp;number=0.016&amp;sourceID=14","0.016")</f>
        <v>0.016</v>
      </c>
    </row>
    <row r="5183" spans="1:7">
      <c r="A5183" s="3"/>
      <c r="B5183" s="3"/>
      <c r="C5183" s="3"/>
      <c r="D5183" s="3"/>
      <c r="E5183" s="3">
        <v>20</v>
      </c>
      <c r="F5183" s="4" t="str">
        <f>HYPERLINK("http://141.218.60.56/~jnz1568/getInfo.php?workbook=14_09.xlsx&amp;sheet=U0&amp;row=5183&amp;col=6&amp;number=4.9&amp;sourceID=14","4.9")</f>
        <v>4.9</v>
      </c>
      <c r="G5183" s="4" t="str">
        <f>HYPERLINK("http://141.218.60.56/~jnz1568/getInfo.php?workbook=14_09.xlsx&amp;sheet=U0&amp;row=5183&amp;col=7&amp;number=0.0145&amp;sourceID=14","0.0145")</f>
        <v>0.0145</v>
      </c>
    </row>
    <row r="5184" spans="1:7">
      <c r="A5184" s="3">
        <v>14</v>
      </c>
      <c r="B5184" s="3">
        <v>9</v>
      </c>
      <c r="C5184" s="3">
        <v>2</v>
      </c>
      <c r="D5184" s="3">
        <v>68</v>
      </c>
      <c r="E5184" s="3">
        <v>1</v>
      </c>
      <c r="F5184" s="4" t="str">
        <f>HYPERLINK("http://141.218.60.56/~jnz1568/getInfo.php?workbook=14_09.xlsx&amp;sheet=U0&amp;row=5184&amp;col=6&amp;number=3&amp;sourceID=14","3")</f>
        <v>3</v>
      </c>
      <c r="G5184" s="4" t="str">
        <f>HYPERLINK("http://141.218.60.56/~jnz1568/getInfo.php?workbook=14_09.xlsx&amp;sheet=U0&amp;row=5184&amp;col=7&amp;number=0.0178&amp;sourceID=14","0.0178")</f>
        <v>0.0178</v>
      </c>
    </row>
    <row r="5185" spans="1:7">
      <c r="A5185" s="3"/>
      <c r="B5185" s="3"/>
      <c r="C5185" s="3"/>
      <c r="D5185" s="3"/>
      <c r="E5185" s="3">
        <v>2</v>
      </c>
      <c r="F5185" s="4" t="str">
        <f>HYPERLINK("http://141.218.60.56/~jnz1568/getInfo.php?workbook=14_09.xlsx&amp;sheet=U0&amp;row=5185&amp;col=6&amp;number=3.1&amp;sourceID=14","3.1")</f>
        <v>3.1</v>
      </c>
      <c r="G5185" s="4" t="str">
        <f>HYPERLINK("http://141.218.60.56/~jnz1568/getInfo.php?workbook=14_09.xlsx&amp;sheet=U0&amp;row=5185&amp;col=7&amp;number=0.0177&amp;sourceID=14","0.0177")</f>
        <v>0.0177</v>
      </c>
    </row>
    <row r="5186" spans="1:7">
      <c r="A5186" s="3"/>
      <c r="B5186" s="3"/>
      <c r="C5186" s="3"/>
      <c r="D5186" s="3"/>
      <c r="E5186" s="3">
        <v>3</v>
      </c>
      <c r="F5186" s="4" t="str">
        <f>HYPERLINK("http://141.218.60.56/~jnz1568/getInfo.php?workbook=14_09.xlsx&amp;sheet=U0&amp;row=5186&amp;col=6&amp;number=3.2&amp;sourceID=14","3.2")</f>
        <v>3.2</v>
      </c>
      <c r="G5186" s="4" t="str">
        <f>HYPERLINK("http://141.218.60.56/~jnz1568/getInfo.php?workbook=14_09.xlsx&amp;sheet=U0&amp;row=5186&amp;col=7&amp;number=0.0177&amp;sourceID=14","0.0177")</f>
        <v>0.0177</v>
      </c>
    </row>
    <row r="5187" spans="1:7">
      <c r="A5187" s="3"/>
      <c r="B5187" s="3"/>
      <c r="C5187" s="3"/>
      <c r="D5187" s="3"/>
      <c r="E5187" s="3">
        <v>4</v>
      </c>
      <c r="F5187" s="4" t="str">
        <f>HYPERLINK("http://141.218.60.56/~jnz1568/getInfo.php?workbook=14_09.xlsx&amp;sheet=U0&amp;row=5187&amp;col=6&amp;number=3.3&amp;sourceID=14","3.3")</f>
        <v>3.3</v>
      </c>
      <c r="G5187" s="4" t="str">
        <f>HYPERLINK("http://141.218.60.56/~jnz1568/getInfo.php?workbook=14_09.xlsx&amp;sheet=U0&amp;row=5187&amp;col=7&amp;number=0.0176&amp;sourceID=14","0.0176")</f>
        <v>0.0176</v>
      </c>
    </row>
    <row r="5188" spans="1:7">
      <c r="A5188" s="3"/>
      <c r="B5188" s="3"/>
      <c r="C5188" s="3"/>
      <c r="D5188" s="3"/>
      <c r="E5188" s="3">
        <v>5</v>
      </c>
      <c r="F5188" s="4" t="str">
        <f>HYPERLINK("http://141.218.60.56/~jnz1568/getInfo.php?workbook=14_09.xlsx&amp;sheet=U0&amp;row=5188&amp;col=6&amp;number=3.4&amp;sourceID=14","3.4")</f>
        <v>3.4</v>
      </c>
      <c r="G5188" s="4" t="str">
        <f>HYPERLINK("http://141.218.60.56/~jnz1568/getInfo.php?workbook=14_09.xlsx&amp;sheet=U0&amp;row=5188&amp;col=7&amp;number=0.0176&amp;sourceID=14","0.0176")</f>
        <v>0.0176</v>
      </c>
    </row>
    <row r="5189" spans="1:7">
      <c r="A5189" s="3"/>
      <c r="B5189" s="3"/>
      <c r="C5189" s="3"/>
      <c r="D5189" s="3"/>
      <c r="E5189" s="3">
        <v>6</v>
      </c>
      <c r="F5189" s="4" t="str">
        <f>HYPERLINK("http://141.218.60.56/~jnz1568/getInfo.php?workbook=14_09.xlsx&amp;sheet=U0&amp;row=5189&amp;col=6&amp;number=3.5&amp;sourceID=14","3.5")</f>
        <v>3.5</v>
      </c>
      <c r="G5189" s="4" t="str">
        <f>HYPERLINK("http://141.218.60.56/~jnz1568/getInfo.php?workbook=14_09.xlsx&amp;sheet=U0&amp;row=5189&amp;col=7&amp;number=0.0175&amp;sourceID=14","0.0175")</f>
        <v>0.0175</v>
      </c>
    </row>
    <row r="5190" spans="1:7">
      <c r="A5190" s="3"/>
      <c r="B5190" s="3"/>
      <c r="C5190" s="3"/>
      <c r="D5190" s="3"/>
      <c r="E5190" s="3">
        <v>7</v>
      </c>
      <c r="F5190" s="4" t="str">
        <f>HYPERLINK("http://141.218.60.56/~jnz1568/getInfo.php?workbook=14_09.xlsx&amp;sheet=U0&amp;row=5190&amp;col=6&amp;number=3.6&amp;sourceID=14","3.6")</f>
        <v>3.6</v>
      </c>
      <c r="G5190" s="4" t="str">
        <f>HYPERLINK("http://141.218.60.56/~jnz1568/getInfo.php?workbook=14_09.xlsx&amp;sheet=U0&amp;row=5190&amp;col=7&amp;number=0.0174&amp;sourceID=14","0.0174")</f>
        <v>0.0174</v>
      </c>
    </row>
    <row r="5191" spans="1:7">
      <c r="A5191" s="3"/>
      <c r="B5191" s="3"/>
      <c r="C5191" s="3"/>
      <c r="D5191" s="3"/>
      <c r="E5191" s="3">
        <v>8</v>
      </c>
      <c r="F5191" s="4" t="str">
        <f>HYPERLINK("http://141.218.60.56/~jnz1568/getInfo.php?workbook=14_09.xlsx&amp;sheet=U0&amp;row=5191&amp;col=6&amp;number=3.7&amp;sourceID=14","3.7")</f>
        <v>3.7</v>
      </c>
      <c r="G5191" s="4" t="str">
        <f>HYPERLINK("http://141.218.60.56/~jnz1568/getInfo.php?workbook=14_09.xlsx&amp;sheet=U0&amp;row=5191&amp;col=7&amp;number=0.0172&amp;sourceID=14","0.0172")</f>
        <v>0.0172</v>
      </c>
    </row>
    <row r="5192" spans="1:7">
      <c r="A5192" s="3"/>
      <c r="B5192" s="3"/>
      <c r="C5192" s="3"/>
      <c r="D5192" s="3"/>
      <c r="E5192" s="3">
        <v>9</v>
      </c>
      <c r="F5192" s="4" t="str">
        <f>HYPERLINK("http://141.218.60.56/~jnz1568/getInfo.php?workbook=14_09.xlsx&amp;sheet=U0&amp;row=5192&amp;col=6&amp;number=3.8&amp;sourceID=14","3.8")</f>
        <v>3.8</v>
      </c>
      <c r="G5192" s="4" t="str">
        <f>HYPERLINK("http://141.218.60.56/~jnz1568/getInfo.php?workbook=14_09.xlsx&amp;sheet=U0&amp;row=5192&amp;col=7&amp;number=0.017&amp;sourceID=14","0.017")</f>
        <v>0.017</v>
      </c>
    </row>
    <row r="5193" spans="1:7">
      <c r="A5193" s="3"/>
      <c r="B5193" s="3"/>
      <c r="C5193" s="3"/>
      <c r="D5193" s="3"/>
      <c r="E5193" s="3">
        <v>10</v>
      </c>
      <c r="F5193" s="4" t="str">
        <f>HYPERLINK("http://141.218.60.56/~jnz1568/getInfo.php?workbook=14_09.xlsx&amp;sheet=U0&amp;row=5193&amp;col=6&amp;number=3.9&amp;sourceID=14","3.9")</f>
        <v>3.9</v>
      </c>
      <c r="G5193" s="4" t="str">
        <f>HYPERLINK("http://141.218.60.56/~jnz1568/getInfo.php?workbook=14_09.xlsx&amp;sheet=U0&amp;row=5193&amp;col=7&amp;number=0.0168&amp;sourceID=14","0.0168")</f>
        <v>0.0168</v>
      </c>
    </row>
    <row r="5194" spans="1:7">
      <c r="A5194" s="3"/>
      <c r="B5194" s="3"/>
      <c r="C5194" s="3"/>
      <c r="D5194" s="3"/>
      <c r="E5194" s="3">
        <v>11</v>
      </c>
      <c r="F5194" s="4" t="str">
        <f>HYPERLINK("http://141.218.60.56/~jnz1568/getInfo.php?workbook=14_09.xlsx&amp;sheet=U0&amp;row=5194&amp;col=6&amp;number=4&amp;sourceID=14","4")</f>
        <v>4</v>
      </c>
      <c r="G5194" s="4" t="str">
        <f>HYPERLINK("http://141.218.60.56/~jnz1568/getInfo.php?workbook=14_09.xlsx&amp;sheet=U0&amp;row=5194&amp;col=7&amp;number=0.0165&amp;sourceID=14","0.0165")</f>
        <v>0.0165</v>
      </c>
    </row>
    <row r="5195" spans="1:7">
      <c r="A5195" s="3"/>
      <c r="B5195" s="3"/>
      <c r="C5195" s="3"/>
      <c r="D5195" s="3"/>
      <c r="E5195" s="3">
        <v>12</v>
      </c>
      <c r="F5195" s="4" t="str">
        <f>HYPERLINK("http://141.218.60.56/~jnz1568/getInfo.php?workbook=14_09.xlsx&amp;sheet=U0&amp;row=5195&amp;col=6&amp;number=4.1&amp;sourceID=14","4.1")</f>
        <v>4.1</v>
      </c>
      <c r="G5195" s="4" t="str">
        <f>HYPERLINK("http://141.218.60.56/~jnz1568/getInfo.php?workbook=14_09.xlsx&amp;sheet=U0&amp;row=5195&amp;col=7&amp;number=0.0162&amp;sourceID=14","0.0162")</f>
        <v>0.0162</v>
      </c>
    </row>
    <row r="5196" spans="1:7">
      <c r="A5196" s="3"/>
      <c r="B5196" s="3"/>
      <c r="C5196" s="3"/>
      <c r="D5196" s="3"/>
      <c r="E5196" s="3">
        <v>13</v>
      </c>
      <c r="F5196" s="4" t="str">
        <f>HYPERLINK("http://141.218.60.56/~jnz1568/getInfo.php?workbook=14_09.xlsx&amp;sheet=U0&amp;row=5196&amp;col=6&amp;number=4.2&amp;sourceID=14","4.2")</f>
        <v>4.2</v>
      </c>
      <c r="G5196" s="4" t="str">
        <f>HYPERLINK("http://141.218.60.56/~jnz1568/getInfo.php?workbook=14_09.xlsx&amp;sheet=U0&amp;row=5196&amp;col=7&amp;number=0.0158&amp;sourceID=14","0.0158")</f>
        <v>0.0158</v>
      </c>
    </row>
    <row r="5197" spans="1:7">
      <c r="A5197" s="3"/>
      <c r="B5197" s="3"/>
      <c r="C5197" s="3"/>
      <c r="D5197" s="3"/>
      <c r="E5197" s="3">
        <v>14</v>
      </c>
      <c r="F5197" s="4" t="str">
        <f>HYPERLINK("http://141.218.60.56/~jnz1568/getInfo.php?workbook=14_09.xlsx&amp;sheet=U0&amp;row=5197&amp;col=6&amp;number=4.3&amp;sourceID=14","4.3")</f>
        <v>4.3</v>
      </c>
      <c r="G5197" s="4" t="str">
        <f>HYPERLINK("http://141.218.60.56/~jnz1568/getInfo.php?workbook=14_09.xlsx&amp;sheet=U0&amp;row=5197&amp;col=7&amp;number=0.0152&amp;sourceID=14","0.0152")</f>
        <v>0.0152</v>
      </c>
    </row>
    <row r="5198" spans="1:7">
      <c r="A5198" s="3"/>
      <c r="B5198" s="3"/>
      <c r="C5198" s="3"/>
      <c r="D5198" s="3"/>
      <c r="E5198" s="3">
        <v>15</v>
      </c>
      <c r="F5198" s="4" t="str">
        <f>HYPERLINK("http://141.218.60.56/~jnz1568/getInfo.php?workbook=14_09.xlsx&amp;sheet=U0&amp;row=5198&amp;col=6&amp;number=4.4&amp;sourceID=14","4.4")</f>
        <v>4.4</v>
      </c>
      <c r="G5198" s="4" t="str">
        <f>HYPERLINK("http://141.218.60.56/~jnz1568/getInfo.php?workbook=14_09.xlsx&amp;sheet=U0&amp;row=5198&amp;col=7&amp;number=0.0146&amp;sourceID=14","0.0146")</f>
        <v>0.0146</v>
      </c>
    </row>
    <row r="5199" spans="1:7">
      <c r="A5199" s="3"/>
      <c r="B5199" s="3"/>
      <c r="C5199" s="3"/>
      <c r="D5199" s="3"/>
      <c r="E5199" s="3">
        <v>16</v>
      </c>
      <c r="F5199" s="4" t="str">
        <f>HYPERLINK("http://141.218.60.56/~jnz1568/getInfo.php?workbook=14_09.xlsx&amp;sheet=U0&amp;row=5199&amp;col=6&amp;number=4.5&amp;sourceID=14","4.5")</f>
        <v>4.5</v>
      </c>
      <c r="G5199" s="4" t="str">
        <f>HYPERLINK("http://141.218.60.56/~jnz1568/getInfo.php?workbook=14_09.xlsx&amp;sheet=U0&amp;row=5199&amp;col=7&amp;number=0.0139&amp;sourceID=14","0.0139")</f>
        <v>0.0139</v>
      </c>
    </row>
    <row r="5200" spans="1:7">
      <c r="A5200" s="3"/>
      <c r="B5200" s="3"/>
      <c r="C5200" s="3"/>
      <c r="D5200" s="3"/>
      <c r="E5200" s="3">
        <v>17</v>
      </c>
      <c r="F5200" s="4" t="str">
        <f>HYPERLINK("http://141.218.60.56/~jnz1568/getInfo.php?workbook=14_09.xlsx&amp;sheet=U0&amp;row=5200&amp;col=6&amp;number=4.6&amp;sourceID=14","4.6")</f>
        <v>4.6</v>
      </c>
      <c r="G5200" s="4" t="str">
        <f>HYPERLINK("http://141.218.60.56/~jnz1568/getInfo.php?workbook=14_09.xlsx&amp;sheet=U0&amp;row=5200&amp;col=7&amp;number=0.0131&amp;sourceID=14","0.0131")</f>
        <v>0.0131</v>
      </c>
    </row>
    <row r="5201" spans="1:7">
      <c r="A5201" s="3"/>
      <c r="B5201" s="3"/>
      <c r="C5201" s="3"/>
      <c r="D5201" s="3"/>
      <c r="E5201" s="3">
        <v>18</v>
      </c>
      <c r="F5201" s="4" t="str">
        <f>HYPERLINK("http://141.218.60.56/~jnz1568/getInfo.php?workbook=14_09.xlsx&amp;sheet=U0&amp;row=5201&amp;col=6&amp;number=4.7&amp;sourceID=14","4.7")</f>
        <v>4.7</v>
      </c>
      <c r="G5201" s="4" t="str">
        <f>HYPERLINK("http://141.218.60.56/~jnz1568/getInfo.php?workbook=14_09.xlsx&amp;sheet=U0&amp;row=5201&amp;col=7&amp;number=0.0122&amp;sourceID=14","0.0122")</f>
        <v>0.0122</v>
      </c>
    </row>
    <row r="5202" spans="1:7">
      <c r="A5202" s="3"/>
      <c r="B5202" s="3"/>
      <c r="C5202" s="3"/>
      <c r="D5202" s="3"/>
      <c r="E5202" s="3">
        <v>19</v>
      </c>
      <c r="F5202" s="4" t="str">
        <f>HYPERLINK("http://141.218.60.56/~jnz1568/getInfo.php?workbook=14_09.xlsx&amp;sheet=U0&amp;row=5202&amp;col=6&amp;number=4.8&amp;sourceID=14","4.8")</f>
        <v>4.8</v>
      </c>
      <c r="G5202" s="4" t="str">
        <f>HYPERLINK("http://141.218.60.56/~jnz1568/getInfo.php?workbook=14_09.xlsx&amp;sheet=U0&amp;row=5202&amp;col=7&amp;number=0.0113&amp;sourceID=14","0.0113")</f>
        <v>0.0113</v>
      </c>
    </row>
    <row r="5203" spans="1:7">
      <c r="A5203" s="3"/>
      <c r="B5203" s="3"/>
      <c r="C5203" s="3"/>
      <c r="D5203" s="3"/>
      <c r="E5203" s="3">
        <v>20</v>
      </c>
      <c r="F5203" s="4" t="str">
        <f>HYPERLINK("http://141.218.60.56/~jnz1568/getInfo.php?workbook=14_09.xlsx&amp;sheet=U0&amp;row=5203&amp;col=6&amp;number=4.9&amp;sourceID=14","4.9")</f>
        <v>4.9</v>
      </c>
      <c r="G5203" s="4" t="str">
        <f>HYPERLINK("http://141.218.60.56/~jnz1568/getInfo.php?workbook=14_09.xlsx&amp;sheet=U0&amp;row=5203&amp;col=7&amp;number=0.0105&amp;sourceID=14","0.0105")</f>
        <v>0.0105</v>
      </c>
    </row>
    <row r="5204" spans="1:7">
      <c r="A5204" s="3">
        <v>14</v>
      </c>
      <c r="B5204" s="3">
        <v>9</v>
      </c>
      <c r="C5204" s="3">
        <v>2</v>
      </c>
      <c r="D5204" s="3">
        <v>69</v>
      </c>
      <c r="E5204" s="3">
        <v>1</v>
      </c>
      <c r="F5204" s="4" t="str">
        <f>HYPERLINK("http://141.218.60.56/~jnz1568/getInfo.php?workbook=14_09.xlsx&amp;sheet=U0&amp;row=5204&amp;col=6&amp;number=3&amp;sourceID=14","3")</f>
        <v>3</v>
      </c>
      <c r="G5204" s="4" t="str">
        <f>HYPERLINK("http://141.218.60.56/~jnz1568/getInfo.php?workbook=14_09.xlsx&amp;sheet=U0&amp;row=5204&amp;col=7&amp;number=0.0219&amp;sourceID=14","0.0219")</f>
        <v>0.0219</v>
      </c>
    </row>
    <row r="5205" spans="1:7">
      <c r="A5205" s="3"/>
      <c r="B5205" s="3"/>
      <c r="C5205" s="3"/>
      <c r="D5205" s="3"/>
      <c r="E5205" s="3">
        <v>2</v>
      </c>
      <c r="F5205" s="4" t="str">
        <f>HYPERLINK("http://141.218.60.56/~jnz1568/getInfo.php?workbook=14_09.xlsx&amp;sheet=U0&amp;row=5205&amp;col=6&amp;number=3.1&amp;sourceID=14","3.1")</f>
        <v>3.1</v>
      </c>
      <c r="G5205" s="4" t="str">
        <f>HYPERLINK("http://141.218.60.56/~jnz1568/getInfo.php?workbook=14_09.xlsx&amp;sheet=U0&amp;row=5205&amp;col=7&amp;number=0.0218&amp;sourceID=14","0.0218")</f>
        <v>0.0218</v>
      </c>
    </row>
    <row r="5206" spans="1:7">
      <c r="A5206" s="3"/>
      <c r="B5206" s="3"/>
      <c r="C5206" s="3"/>
      <c r="D5206" s="3"/>
      <c r="E5206" s="3">
        <v>3</v>
      </c>
      <c r="F5206" s="4" t="str">
        <f>HYPERLINK("http://141.218.60.56/~jnz1568/getInfo.php?workbook=14_09.xlsx&amp;sheet=U0&amp;row=5206&amp;col=6&amp;number=3.2&amp;sourceID=14","3.2")</f>
        <v>3.2</v>
      </c>
      <c r="G5206" s="4" t="str">
        <f>HYPERLINK("http://141.218.60.56/~jnz1568/getInfo.php?workbook=14_09.xlsx&amp;sheet=U0&amp;row=5206&amp;col=7&amp;number=0.0218&amp;sourceID=14","0.0218")</f>
        <v>0.0218</v>
      </c>
    </row>
    <row r="5207" spans="1:7">
      <c r="A5207" s="3"/>
      <c r="B5207" s="3"/>
      <c r="C5207" s="3"/>
      <c r="D5207" s="3"/>
      <c r="E5207" s="3">
        <v>4</v>
      </c>
      <c r="F5207" s="4" t="str">
        <f>HYPERLINK("http://141.218.60.56/~jnz1568/getInfo.php?workbook=14_09.xlsx&amp;sheet=U0&amp;row=5207&amp;col=6&amp;number=3.3&amp;sourceID=14","3.3")</f>
        <v>3.3</v>
      </c>
      <c r="G5207" s="4" t="str">
        <f>HYPERLINK("http://141.218.60.56/~jnz1568/getInfo.php?workbook=14_09.xlsx&amp;sheet=U0&amp;row=5207&amp;col=7&amp;number=0.0217&amp;sourceID=14","0.0217")</f>
        <v>0.0217</v>
      </c>
    </row>
    <row r="5208" spans="1:7">
      <c r="A5208" s="3"/>
      <c r="B5208" s="3"/>
      <c r="C5208" s="3"/>
      <c r="D5208" s="3"/>
      <c r="E5208" s="3">
        <v>5</v>
      </c>
      <c r="F5208" s="4" t="str">
        <f>HYPERLINK("http://141.218.60.56/~jnz1568/getInfo.php?workbook=14_09.xlsx&amp;sheet=U0&amp;row=5208&amp;col=6&amp;number=3.4&amp;sourceID=14","3.4")</f>
        <v>3.4</v>
      </c>
      <c r="G5208" s="4" t="str">
        <f>HYPERLINK("http://141.218.60.56/~jnz1568/getInfo.php?workbook=14_09.xlsx&amp;sheet=U0&amp;row=5208&amp;col=7&amp;number=0.0216&amp;sourceID=14","0.0216")</f>
        <v>0.0216</v>
      </c>
    </row>
    <row r="5209" spans="1:7">
      <c r="A5209" s="3"/>
      <c r="B5209" s="3"/>
      <c r="C5209" s="3"/>
      <c r="D5209" s="3"/>
      <c r="E5209" s="3">
        <v>6</v>
      </c>
      <c r="F5209" s="4" t="str">
        <f>HYPERLINK("http://141.218.60.56/~jnz1568/getInfo.php?workbook=14_09.xlsx&amp;sheet=U0&amp;row=5209&amp;col=6&amp;number=3.5&amp;sourceID=14","3.5")</f>
        <v>3.5</v>
      </c>
      <c r="G5209" s="4" t="str">
        <f>HYPERLINK("http://141.218.60.56/~jnz1568/getInfo.php?workbook=14_09.xlsx&amp;sheet=U0&amp;row=5209&amp;col=7&amp;number=0.0215&amp;sourceID=14","0.0215")</f>
        <v>0.0215</v>
      </c>
    </row>
    <row r="5210" spans="1:7">
      <c r="A5210" s="3"/>
      <c r="B5210" s="3"/>
      <c r="C5210" s="3"/>
      <c r="D5210" s="3"/>
      <c r="E5210" s="3">
        <v>7</v>
      </c>
      <c r="F5210" s="4" t="str">
        <f>HYPERLINK("http://141.218.60.56/~jnz1568/getInfo.php?workbook=14_09.xlsx&amp;sheet=U0&amp;row=5210&amp;col=6&amp;number=3.6&amp;sourceID=14","3.6")</f>
        <v>3.6</v>
      </c>
      <c r="G5210" s="4" t="str">
        <f>HYPERLINK("http://141.218.60.56/~jnz1568/getInfo.php?workbook=14_09.xlsx&amp;sheet=U0&amp;row=5210&amp;col=7&amp;number=0.0214&amp;sourceID=14","0.0214")</f>
        <v>0.0214</v>
      </c>
    </row>
    <row r="5211" spans="1:7">
      <c r="A5211" s="3"/>
      <c r="B5211" s="3"/>
      <c r="C5211" s="3"/>
      <c r="D5211" s="3"/>
      <c r="E5211" s="3">
        <v>8</v>
      </c>
      <c r="F5211" s="4" t="str">
        <f>HYPERLINK("http://141.218.60.56/~jnz1568/getInfo.php?workbook=14_09.xlsx&amp;sheet=U0&amp;row=5211&amp;col=6&amp;number=3.7&amp;sourceID=14","3.7")</f>
        <v>3.7</v>
      </c>
      <c r="G5211" s="4" t="str">
        <f>HYPERLINK("http://141.218.60.56/~jnz1568/getInfo.php?workbook=14_09.xlsx&amp;sheet=U0&amp;row=5211&amp;col=7&amp;number=0.0212&amp;sourceID=14","0.0212")</f>
        <v>0.0212</v>
      </c>
    </row>
    <row r="5212" spans="1:7">
      <c r="A5212" s="3"/>
      <c r="B5212" s="3"/>
      <c r="C5212" s="3"/>
      <c r="D5212" s="3"/>
      <c r="E5212" s="3">
        <v>9</v>
      </c>
      <c r="F5212" s="4" t="str">
        <f>HYPERLINK("http://141.218.60.56/~jnz1568/getInfo.php?workbook=14_09.xlsx&amp;sheet=U0&amp;row=5212&amp;col=6&amp;number=3.8&amp;sourceID=14","3.8")</f>
        <v>3.8</v>
      </c>
      <c r="G5212" s="4" t="str">
        <f>HYPERLINK("http://141.218.60.56/~jnz1568/getInfo.php?workbook=14_09.xlsx&amp;sheet=U0&amp;row=5212&amp;col=7&amp;number=0.021&amp;sourceID=14","0.021")</f>
        <v>0.021</v>
      </c>
    </row>
    <row r="5213" spans="1:7">
      <c r="A5213" s="3"/>
      <c r="B5213" s="3"/>
      <c r="C5213" s="3"/>
      <c r="D5213" s="3"/>
      <c r="E5213" s="3">
        <v>10</v>
      </c>
      <c r="F5213" s="4" t="str">
        <f>HYPERLINK("http://141.218.60.56/~jnz1568/getInfo.php?workbook=14_09.xlsx&amp;sheet=U0&amp;row=5213&amp;col=6&amp;number=3.9&amp;sourceID=14","3.9")</f>
        <v>3.9</v>
      </c>
      <c r="G5213" s="4" t="str">
        <f>HYPERLINK("http://141.218.60.56/~jnz1568/getInfo.php?workbook=14_09.xlsx&amp;sheet=U0&amp;row=5213&amp;col=7&amp;number=0.0207&amp;sourceID=14","0.0207")</f>
        <v>0.0207</v>
      </c>
    </row>
    <row r="5214" spans="1:7">
      <c r="A5214" s="3"/>
      <c r="B5214" s="3"/>
      <c r="C5214" s="3"/>
      <c r="D5214" s="3"/>
      <c r="E5214" s="3">
        <v>11</v>
      </c>
      <c r="F5214" s="4" t="str">
        <f>HYPERLINK("http://141.218.60.56/~jnz1568/getInfo.php?workbook=14_09.xlsx&amp;sheet=U0&amp;row=5214&amp;col=6&amp;number=4&amp;sourceID=14","4")</f>
        <v>4</v>
      </c>
      <c r="G5214" s="4" t="str">
        <f>HYPERLINK("http://141.218.60.56/~jnz1568/getInfo.php?workbook=14_09.xlsx&amp;sheet=U0&amp;row=5214&amp;col=7&amp;number=0.0203&amp;sourceID=14","0.0203")</f>
        <v>0.0203</v>
      </c>
    </row>
    <row r="5215" spans="1:7">
      <c r="A5215" s="3"/>
      <c r="B5215" s="3"/>
      <c r="C5215" s="3"/>
      <c r="D5215" s="3"/>
      <c r="E5215" s="3">
        <v>12</v>
      </c>
      <c r="F5215" s="4" t="str">
        <f>HYPERLINK("http://141.218.60.56/~jnz1568/getInfo.php?workbook=14_09.xlsx&amp;sheet=U0&amp;row=5215&amp;col=6&amp;number=4.1&amp;sourceID=14","4.1")</f>
        <v>4.1</v>
      </c>
      <c r="G5215" s="4" t="str">
        <f>HYPERLINK("http://141.218.60.56/~jnz1568/getInfo.php?workbook=14_09.xlsx&amp;sheet=U0&amp;row=5215&amp;col=7&amp;number=0.0199&amp;sourceID=14","0.0199")</f>
        <v>0.0199</v>
      </c>
    </row>
    <row r="5216" spans="1:7">
      <c r="A5216" s="3"/>
      <c r="B5216" s="3"/>
      <c r="C5216" s="3"/>
      <c r="D5216" s="3"/>
      <c r="E5216" s="3">
        <v>13</v>
      </c>
      <c r="F5216" s="4" t="str">
        <f>HYPERLINK("http://141.218.60.56/~jnz1568/getInfo.php?workbook=14_09.xlsx&amp;sheet=U0&amp;row=5216&amp;col=6&amp;number=4.2&amp;sourceID=14","4.2")</f>
        <v>4.2</v>
      </c>
      <c r="G5216" s="4" t="str">
        <f>HYPERLINK("http://141.218.60.56/~jnz1568/getInfo.php?workbook=14_09.xlsx&amp;sheet=U0&amp;row=5216&amp;col=7&amp;number=0.0194&amp;sourceID=14","0.0194")</f>
        <v>0.0194</v>
      </c>
    </row>
    <row r="5217" spans="1:7">
      <c r="A5217" s="3"/>
      <c r="B5217" s="3"/>
      <c r="C5217" s="3"/>
      <c r="D5217" s="3"/>
      <c r="E5217" s="3">
        <v>14</v>
      </c>
      <c r="F5217" s="4" t="str">
        <f>HYPERLINK("http://141.218.60.56/~jnz1568/getInfo.php?workbook=14_09.xlsx&amp;sheet=U0&amp;row=5217&amp;col=6&amp;number=4.3&amp;sourceID=14","4.3")</f>
        <v>4.3</v>
      </c>
      <c r="G5217" s="4" t="str">
        <f>HYPERLINK("http://141.218.60.56/~jnz1568/getInfo.php?workbook=14_09.xlsx&amp;sheet=U0&amp;row=5217&amp;col=7&amp;number=0.0187&amp;sourceID=14","0.0187")</f>
        <v>0.0187</v>
      </c>
    </row>
    <row r="5218" spans="1:7">
      <c r="A5218" s="3"/>
      <c r="B5218" s="3"/>
      <c r="C5218" s="3"/>
      <c r="D5218" s="3"/>
      <c r="E5218" s="3">
        <v>15</v>
      </c>
      <c r="F5218" s="4" t="str">
        <f>HYPERLINK("http://141.218.60.56/~jnz1568/getInfo.php?workbook=14_09.xlsx&amp;sheet=U0&amp;row=5218&amp;col=6&amp;number=4.4&amp;sourceID=14","4.4")</f>
        <v>4.4</v>
      </c>
      <c r="G5218" s="4" t="str">
        <f>HYPERLINK("http://141.218.60.56/~jnz1568/getInfo.php?workbook=14_09.xlsx&amp;sheet=U0&amp;row=5218&amp;col=7&amp;number=0.0179&amp;sourceID=14","0.0179")</f>
        <v>0.0179</v>
      </c>
    </row>
    <row r="5219" spans="1:7">
      <c r="A5219" s="3"/>
      <c r="B5219" s="3"/>
      <c r="C5219" s="3"/>
      <c r="D5219" s="3"/>
      <c r="E5219" s="3">
        <v>16</v>
      </c>
      <c r="F5219" s="4" t="str">
        <f>HYPERLINK("http://141.218.60.56/~jnz1568/getInfo.php?workbook=14_09.xlsx&amp;sheet=U0&amp;row=5219&amp;col=6&amp;number=4.5&amp;sourceID=14","4.5")</f>
        <v>4.5</v>
      </c>
      <c r="G5219" s="4" t="str">
        <f>HYPERLINK("http://141.218.60.56/~jnz1568/getInfo.php?workbook=14_09.xlsx&amp;sheet=U0&amp;row=5219&amp;col=7&amp;number=0.0169&amp;sourceID=14","0.0169")</f>
        <v>0.0169</v>
      </c>
    </row>
    <row r="5220" spans="1:7">
      <c r="A5220" s="3"/>
      <c r="B5220" s="3"/>
      <c r="C5220" s="3"/>
      <c r="D5220" s="3"/>
      <c r="E5220" s="3">
        <v>17</v>
      </c>
      <c r="F5220" s="4" t="str">
        <f>HYPERLINK("http://141.218.60.56/~jnz1568/getInfo.php?workbook=14_09.xlsx&amp;sheet=U0&amp;row=5220&amp;col=6&amp;number=4.6&amp;sourceID=14","4.6")</f>
        <v>4.6</v>
      </c>
      <c r="G5220" s="4" t="str">
        <f>HYPERLINK("http://141.218.60.56/~jnz1568/getInfo.php?workbook=14_09.xlsx&amp;sheet=U0&amp;row=5220&amp;col=7&amp;number=0.0158&amp;sourceID=14","0.0158")</f>
        <v>0.0158</v>
      </c>
    </row>
    <row r="5221" spans="1:7">
      <c r="A5221" s="3"/>
      <c r="B5221" s="3"/>
      <c r="C5221" s="3"/>
      <c r="D5221" s="3"/>
      <c r="E5221" s="3">
        <v>18</v>
      </c>
      <c r="F5221" s="4" t="str">
        <f>HYPERLINK("http://141.218.60.56/~jnz1568/getInfo.php?workbook=14_09.xlsx&amp;sheet=U0&amp;row=5221&amp;col=6&amp;number=4.7&amp;sourceID=14","4.7")</f>
        <v>4.7</v>
      </c>
      <c r="G5221" s="4" t="str">
        <f>HYPERLINK("http://141.218.60.56/~jnz1568/getInfo.php?workbook=14_09.xlsx&amp;sheet=U0&amp;row=5221&amp;col=7&amp;number=0.0144&amp;sourceID=14","0.0144")</f>
        <v>0.0144</v>
      </c>
    </row>
    <row r="5222" spans="1:7">
      <c r="A5222" s="3"/>
      <c r="B5222" s="3"/>
      <c r="C5222" s="3"/>
      <c r="D5222" s="3"/>
      <c r="E5222" s="3">
        <v>19</v>
      </c>
      <c r="F5222" s="4" t="str">
        <f>HYPERLINK("http://141.218.60.56/~jnz1568/getInfo.php?workbook=14_09.xlsx&amp;sheet=U0&amp;row=5222&amp;col=6&amp;number=4.8&amp;sourceID=14","4.8")</f>
        <v>4.8</v>
      </c>
      <c r="G5222" s="4" t="str">
        <f>HYPERLINK("http://141.218.60.56/~jnz1568/getInfo.php?workbook=14_09.xlsx&amp;sheet=U0&amp;row=5222&amp;col=7&amp;number=0.013&amp;sourceID=14","0.013")</f>
        <v>0.013</v>
      </c>
    </row>
    <row r="5223" spans="1:7">
      <c r="A5223" s="3"/>
      <c r="B5223" s="3"/>
      <c r="C5223" s="3"/>
      <c r="D5223" s="3"/>
      <c r="E5223" s="3">
        <v>20</v>
      </c>
      <c r="F5223" s="4" t="str">
        <f>HYPERLINK("http://141.218.60.56/~jnz1568/getInfo.php?workbook=14_09.xlsx&amp;sheet=U0&amp;row=5223&amp;col=6&amp;number=4.9&amp;sourceID=14","4.9")</f>
        <v>4.9</v>
      </c>
      <c r="G5223" s="4" t="str">
        <f>HYPERLINK("http://141.218.60.56/~jnz1568/getInfo.php?workbook=14_09.xlsx&amp;sheet=U0&amp;row=5223&amp;col=7&amp;number=0.0114&amp;sourceID=14","0.0114")</f>
        <v>0.0114</v>
      </c>
    </row>
    <row r="5224" spans="1:7">
      <c r="A5224" s="3">
        <v>14</v>
      </c>
      <c r="B5224" s="3">
        <v>9</v>
      </c>
      <c r="C5224" s="3">
        <v>2</v>
      </c>
      <c r="D5224" s="3">
        <v>70</v>
      </c>
      <c r="E5224" s="3">
        <v>1</v>
      </c>
      <c r="F5224" s="4" t="str">
        <f>HYPERLINK("http://141.218.60.56/~jnz1568/getInfo.php?workbook=14_09.xlsx&amp;sheet=U0&amp;row=5224&amp;col=6&amp;number=3&amp;sourceID=14","3")</f>
        <v>3</v>
      </c>
      <c r="G5224" s="4" t="str">
        <f>HYPERLINK("http://141.218.60.56/~jnz1568/getInfo.php?workbook=14_09.xlsx&amp;sheet=U0&amp;row=5224&amp;col=7&amp;number=0.0233&amp;sourceID=14","0.0233")</f>
        <v>0.0233</v>
      </c>
    </row>
    <row r="5225" spans="1:7">
      <c r="A5225" s="3"/>
      <c r="B5225" s="3"/>
      <c r="C5225" s="3"/>
      <c r="D5225" s="3"/>
      <c r="E5225" s="3">
        <v>2</v>
      </c>
      <c r="F5225" s="4" t="str">
        <f>HYPERLINK("http://141.218.60.56/~jnz1568/getInfo.php?workbook=14_09.xlsx&amp;sheet=U0&amp;row=5225&amp;col=6&amp;number=3.1&amp;sourceID=14","3.1")</f>
        <v>3.1</v>
      </c>
      <c r="G5225" s="4" t="str">
        <f>HYPERLINK("http://141.218.60.56/~jnz1568/getInfo.php?workbook=14_09.xlsx&amp;sheet=U0&amp;row=5225&amp;col=7&amp;number=0.0232&amp;sourceID=14","0.0232")</f>
        <v>0.0232</v>
      </c>
    </row>
    <row r="5226" spans="1:7">
      <c r="A5226" s="3"/>
      <c r="B5226" s="3"/>
      <c r="C5226" s="3"/>
      <c r="D5226" s="3"/>
      <c r="E5226" s="3">
        <v>3</v>
      </c>
      <c r="F5226" s="4" t="str">
        <f>HYPERLINK("http://141.218.60.56/~jnz1568/getInfo.php?workbook=14_09.xlsx&amp;sheet=U0&amp;row=5226&amp;col=6&amp;number=3.2&amp;sourceID=14","3.2")</f>
        <v>3.2</v>
      </c>
      <c r="G5226" s="4" t="str">
        <f>HYPERLINK("http://141.218.60.56/~jnz1568/getInfo.php?workbook=14_09.xlsx&amp;sheet=U0&amp;row=5226&amp;col=7&amp;number=0.0232&amp;sourceID=14","0.0232")</f>
        <v>0.0232</v>
      </c>
    </row>
    <row r="5227" spans="1:7">
      <c r="A5227" s="3"/>
      <c r="B5227" s="3"/>
      <c r="C5227" s="3"/>
      <c r="D5227" s="3"/>
      <c r="E5227" s="3">
        <v>4</v>
      </c>
      <c r="F5227" s="4" t="str">
        <f>HYPERLINK("http://141.218.60.56/~jnz1568/getInfo.php?workbook=14_09.xlsx&amp;sheet=U0&amp;row=5227&amp;col=6&amp;number=3.3&amp;sourceID=14","3.3")</f>
        <v>3.3</v>
      </c>
      <c r="G5227" s="4" t="str">
        <f>HYPERLINK("http://141.218.60.56/~jnz1568/getInfo.php?workbook=14_09.xlsx&amp;sheet=U0&amp;row=5227&amp;col=7&amp;number=0.0231&amp;sourceID=14","0.0231")</f>
        <v>0.0231</v>
      </c>
    </row>
    <row r="5228" spans="1:7">
      <c r="A5228" s="3"/>
      <c r="B5228" s="3"/>
      <c r="C5228" s="3"/>
      <c r="D5228" s="3"/>
      <c r="E5228" s="3">
        <v>5</v>
      </c>
      <c r="F5228" s="4" t="str">
        <f>HYPERLINK("http://141.218.60.56/~jnz1568/getInfo.php?workbook=14_09.xlsx&amp;sheet=U0&amp;row=5228&amp;col=6&amp;number=3.4&amp;sourceID=14","3.4")</f>
        <v>3.4</v>
      </c>
      <c r="G5228" s="4" t="str">
        <f>HYPERLINK("http://141.218.60.56/~jnz1568/getInfo.php?workbook=14_09.xlsx&amp;sheet=U0&amp;row=5228&amp;col=7&amp;number=0.023&amp;sourceID=14","0.023")</f>
        <v>0.023</v>
      </c>
    </row>
    <row r="5229" spans="1:7">
      <c r="A5229" s="3"/>
      <c r="B5229" s="3"/>
      <c r="C5229" s="3"/>
      <c r="D5229" s="3"/>
      <c r="E5229" s="3">
        <v>6</v>
      </c>
      <c r="F5229" s="4" t="str">
        <f>HYPERLINK("http://141.218.60.56/~jnz1568/getInfo.php?workbook=14_09.xlsx&amp;sheet=U0&amp;row=5229&amp;col=6&amp;number=3.5&amp;sourceID=14","3.5")</f>
        <v>3.5</v>
      </c>
      <c r="G5229" s="4" t="str">
        <f>HYPERLINK("http://141.218.60.56/~jnz1568/getInfo.php?workbook=14_09.xlsx&amp;sheet=U0&amp;row=5229&amp;col=7&amp;number=0.0229&amp;sourceID=14","0.0229")</f>
        <v>0.0229</v>
      </c>
    </row>
    <row r="5230" spans="1:7">
      <c r="A5230" s="3"/>
      <c r="B5230" s="3"/>
      <c r="C5230" s="3"/>
      <c r="D5230" s="3"/>
      <c r="E5230" s="3">
        <v>7</v>
      </c>
      <c r="F5230" s="4" t="str">
        <f>HYPERLINK("http://141.218.60.56/~jnz1568/getInfo.php?workbook=14_09.xlsx&amp;sheet=U0&amp;row=5230&amp;col=6&amp;number=3.6&amp;sourceID=14","3.6")</f>
        <v>3.6</v>
      </c>
      <c r="G5230" s="4" t="str">
        <f>HYPERLINK("http://141.218.60.56/~jnz1568/getInfo.php?workbook=14_09.xlsx&amp;sheet=U0&amp;row=5230&amp;col=7&amp;number=0.0227&amp;sourceID=14","0.0227")</f>
        <v>0.0227</v>
      </c>
    </row>
    <row r="5231" spans="1:7">
      <c r="A5231" s="3"/>
      <c r="B5231" s="3"/>
      <c r="C5231" s="3"/>
      <c r="D5231" s="3"/>
      <c r="E5231" s="3">
        <v>8</v>
      </c>
      <c r="F5231" s="4" t="str">
        <f>HYPERLINK("http://141.218.60.56/~jnz1568/getInfo.php?workbook=14_09.xlsx&amp;sheet=U0&amp;row=5231&amp;col=6&amp;number=3.7&amp;sourceID=14","3.7")</f>
        <v>3.7</v>
      </c>
      <c r="G5231" s="4" t="str">
        <f>HYPERLINK("http://141.218.60.56/~jnz1568/getInfo.php?workbook=14_09.xlsx&amp;sheet=U0&amp;row=5231&amp;col=7&amp;number=0.0225&amp;sourceID=14","0.0225")</f>
        <v>0.0225</v>
      </c>
    </row>
    <row r="5232" spans="1:7">
      <c r="A5232" s="3"/>
      <c r="B5232" s="3"/>
      <c r="C5232" s="3"/>
      <c r="D5232" s="3"/>
      <c r="E5232" s="3">
        <v>9</v>
      </c>
      <c r="F5232" s="4" t="str">
        <f>HYPERLINK("http://141.218.60.56/~jnz1568/getInfo.php?workbook=14_09.xlsx&amp;sheet=U0&amp;row=5232&amp;col=6&amp;number=3.8&amp;sourceID=14","3.8")</f>
        <v>3.8</v>
      </c>
      <c r="G5232" s="4" t="str">
        <f>HYPERLINK("http://141.218.60.56/~jnz1568/getInfo.php?workbook=14_09.xlsx&amp;sheet=U0&amp;row=5232&amp;col=7&amp;number=0.0223&amp;sourceID=14","0.0223")</f>
        <v>0.0223</v>
      </c>
    </row>
    <row r="5233" spans="1:7">
      <c r="A5233" s="3"/>
      <c r="B5233" s="3"/>
      <c r="C5233" s="3"/>
      <c r="D5233" s="3"/>
      <c r="E5233" s="3">
        <v>10</v>
      </c>
      <c r="F5233" s="4" t="str">
        <f>HYPERLINK("http://141.218.60.56/~jnz1568/getInfo.php?workbook=14_09.xlsx&amp;sheet=U0&amp;row=5233&amp;col=6&amp;number=3.9&amp;sourceID=14","3.9")</f>
        <v>3.9</v>
      </c>
      <c r="G5233" s="4" t="str">
        <f>HYPERLINK("http://141.218.60.56/~jnz1568/getInfo.php?workbook=14_09.xlsx&amp;sheet=U0&amp;row=5233&amp;col=7&amp;number=0.022&amp;sourceID=14","0.022")</f>
        <v>0.022</v>
      </c>
    </row>
    <row r="5234" spans="1:7">
      <c r="A5234" s="3"/>
      <c r="B5234" s="3"/>
      <c r="C5234" s="3"/>
      <c r="D5234" s="3"/>
      <c r="E5234" s="3">
        <v>11</v>
      </c>
      <c r="F5234" s="4" t="str">
        <f>HYPERLINK("http://141.218.60.56/~jnz1568/getInfo.php?workbook=14_09.xlsx&amp;sheet=U0&amp;row=5234&amp;col=6&amp;number=4&amp;sourceID=14","4")</f>
        <v>4</v>
      </c>
      <c r="G5234" s="4" t="str">
        <f>HYPERLINK("http://141.218.60.56/~jnz1568/getInfo.php?workbook=14_09.xlsx&amp;sheet=U0&amp;row=5234&amp;col=7&amp;number=0.0216&amp;sourceID=14","0.0216")</f>
        <v>0.0216</v>
      </c>
    </row>
    <row r="5235" spans="1:7">
      <c r="A5235" s="3"/>
      <c r="B5235" s="3"/>
      <c r="C5235" s="3"/>
      <c r="D5235" s="3"/>
      <c r="E5235" s="3">
        <v>12</v>
      </c>
      <c r="F5235" s="4" t="str">
        <f>HYPERLINK("http://141.218.60.56/~jnz1568/getInfo.php?workbook=14_09.xlsx&amp;sheet=U0&amp;row=5235&amp;col=6&amp;number=4.1&amp;sourceID=14","4.1")</f>
        <v>4.1</v>
      </c>
      <c r="G5235" s="4" t="str">
        <f>HYPERLINK("http://141.218.60.56/~jnz1568/getInfo.php?workbook=14_09.xlsx&amp;sheet=U0&amp;row=5235&amp;col=7&amp;number=0.0212&amp;sourceID=14","0.0212")</f>
        <v>0.0212</v>
      </c>
    </row>
    <row r="5236" spans="1:7">
      <c r="A5236" s="3"/>
      <c r="B5236" s="3"/>
      <c r="C5236" s="3"/>
      <c r="D5236" s="3"/>
      <c r="E5236" s="3">
        <v>13</v>
      </c>
      <c r="F5236" s="4" t="str">
        <f>HYPERLINK("http://141.218.60.56/~jnz1568/getInfo.php?workbook=14_09.xlsx&amp;sheet=U0&amp;row=5236&amp;col=6&amp;number=4.2&amp;sourceID=14","4.2")</f>
        <v>4.2</v>
      </c>
      <c r="G5236" s="4" t="str">
        <f>HYPERLINK("http://141.218.60.56/~jnz1568/getInfo.php?workbook=14_09.xlsx&amp;sheet=U0&amp;row=5236&amp;col=7&amp;number=0.0206&amp;sourceID=14","0.0206")</f>
        <v>0.0206</v>
      </c>
    </row>
    <row r="5237" spans="1:7">
      <c r="A5237" s="3"/>
      <c r="B5237" s="3"/>
      <c r="C5237" s="3"/>
      <c r="D5237" s="3"/>
      <c r="E5237" s="3">
        <v>14</v>
      </c>
      <c r="F5237" s="4" t="str">
        <f>HYPERLINK("http://141.218.60.56/~jnz1568/getInfo.php?workbook=14_09.xlsx&amp;sheet=U0&amp;row=5237&amp;col=6&amp;number=4.3&amp;sourceID=14","4.3")</f>
        <v>4.3</v>
      </c>
      <c r="G5237" s="4" t="str">
        <f>HYPERLINK("http://141.218.60.56/~jnz1568/getInfo.php?workbook=14_09.xlsx&amp;sheet=U0&amp;row=5237&amp;col=7&amp;number=0.0199&amp;sourceID=14","0.0199")</f>
        <v>0.0199</v>
      </c>
    </row>
    <row r="5238" spans="1:7">
      <c r="A5238" s="3"/>
      <c r="B5238" s="3"/>
      <c r="C5238" s="3"/>
      <c r="D5238" s="3"/>
      <c r="E5238" s="3">
        <v>15</v>
      </c>
      <c r="F5238" s="4" t="str">
        <f>HYPERLINK("http://141.218.60.56/~jnz1568/getInfo.php?workbook=14_09.xlsx&amp;sheet=U0&amp;row=5238&amp;col=6&amp;number=4.4&amp;sourceID=14","4.4")</f>
        <v>4.4</v>
      </c>
      <c r="G5238" s="4" t="str">
        <f>HYPERLINK("http://141.218.60.56/~jnz1568/getInfo.php?workbook=14_09.xlsx&amp;sheet=U0&amp;row=5238&amp;col=7&amp;number=0.019&amp;sourceID=14","0.019")</f>
        <v>0.019</v>
      </c>
    </row>
    <row r="5239" spans="1:7">
      <c r="A5239" s="3"/>
      <c r="B5239" s="3"/>
      <c r="C5239" s="3"/>
      <c r="D5239" s="3"/>
      <c r="E5239" s="3">
        <v>16</v>
      </c>
      <c r="F5239" s="4" t="str">
        <f>HYPERLINK("http://141.218.60.56/~jnz1568/getInfo.php?workbook=14_09.xlsx&amp;sheet=U0&amp;row=5239&amp;col=6&amp;number=4.5&amp;sourceID=14","4.5")</f>
        <v>4.5</v>
      </c>
      <c r="G5239" s="4" t="str">
        <f>HYPERLINK("http://141.218.60.56/~jnz1568/getInfo.php?workbook=14_09.xlsx&amp;sheet=U0&amp;row=5239&amp;col=7&amp;number=0.018&amp;sourceID=14","0.018")</f>
        <v>0.018</v>
      </c>
    </row>
    <row r="5240" spans="1:7">
      <c r="A5240" s="3"/>
      <c r="B5240" s="3"/>
      <c r="C5240" s="3"/>
      <c r="D5240" s="3"/>
      <c r="E5240" s="3">
        <v>17</v>
      </c>
      <c r="F5240" s="4" t="str">
        <f>HYPERLINK("http://141.218.60.56/~jnz1568/getInfo.php?workbook=14_09.xlsx&amp;sheet=U0&amp;row=5240&amp;col=6&amp;number=4.6&amp;sourceID=14","4.6")</f>
        <v>4.6</v>
      </c>
      <c r="G5240" s="4" t="str">
        <f>HYPERLINK("http://141.218.60.56/~jnz1568/getInfo.php?workbook=14_09.xlsx&amp;sheet=U0&amp;row=5240&amp;col=7&amp;number=0.0167&amp;sourceID=14","0.0167")</f>
        <v>0.0167</v>
      </c>
    </row>
    <row r="5241" spans="1:7">
      <c r="A5241" s="3"/>
      <c r="B5241" s="3"/>
      <c r="C5241" s="3"/>
      <c r="D5241" s="3"/>
      <c r="E5241" s="3">
        <v>18</v>
      </c>
      <c r="F5241" s="4" t="str">
        <f>HYPERLINK("http://141.218.60.56/~jnz1568/getInfo.php?workbook=14_09.xlsx&amp;sheet=U0&amp;row=5241&amp;col=6&amp;number=4.7&amp;sourceID=14","4.7")</f>
        <v>4.7</v>
      </c>
      <c r="G5241" s="4" t="str">
        <f>HYPERLINK("http://141.218.60.56/~jnz1568/getInfo.php?workbook=14_09.xlsx&amp;sheet=U0&amp;row=5241&amp;col=7&amp;number=0.0153&amp;sourceID=14","0.0153")</f>
        <v>0.0153</v>
      </c>
    </row>
    <row r="5242" spans="1:7">
      <c r="A5242" s="3"/>
      <c r="B5242" s="3"/>
      <c r="C5242" s="3"/>
      <c r="D5242" s="3"/>
      <c r="E5242" s="3">
        <v>19</v>
      </c>
      <c r="F5242" s="4" t="str">
        <f>HYPERLINK("http://141.218.60.56/~jnz1568/getInfo.php?workbook=14_09.xlsx&amp;sheet=U0&amp;row=5242&amp;col=6&amp;number=4.8&amp;sourceID=14","4.8")</f>
        <v>4.8</v>
      </c>
      <c r="G5242" s="4" t="str">
        <f>HYPERLINK("http://141.218.60.56/~jnz1568/getInfo.php?workbook=14_09.xlsx&amp;sheet=U0&amp;row=5242&amp;col=7&amp;number=0.0137&amp;sourceID=14","0.0137")</f>
        <v>0.0137</v>
      </c>
    </row>
    <row r="5243" spans="1:7">
      <c r="A5243" s="3"/>
      <c r="B5243" s="3"/>
      <c r="C5243" s="3"/>
      <c r="D5243" s="3"/>
      <c r="E5243" s="3">
        <v>20</v>
      </c>
      <c r="F5243" s="4" t="str">
        <f>HYPERLINK("http://141.218.60.56/~jnz1568/getInfo.php?workbook=14_09.xlsx&amp;sheet=U0&amp;row=5243&amp;col=6&amp;number=4.9&amp;sourceID=14","4.9")</f>
        <v>4.9</v>
      </c>
      <c r="G5243" s="4" t="str">
        <f>HYPERLINK("http://141.218.60.56/~jnz1568/getInfo.php?workbook=14_09.xlsx&amp;sheet=U0&amp;row=5243&amp;col=7&amp;number=0.0121&amp;sourceID=14","0.0121")</f>
        <v>0.0121</v>
      </c>
    </row>
    <row r="5244" spans="1:7">
      <c r="A5244" s="3">
        <v>14</v>
      </c>
      <c r="B5244" s="3">
        <v>9</v>
      </c>
      <c r="C5244" s="3">
        <v>2</v>
      </c>
      <c r="D5244" s="3">
        <v>71</v>
      </c>
      <c r="E5244" s="3">
        <v>1</v>
      </c>
      <c r="F5244" s="4" t="str">
        <f>HYPERLINK("http://141.218.60.56/~jnz1568/getInfo.php?workbook=14_09.xlsx&amp;sheet=U0&amp;row=5244&amp;col=6&amp;number=3&amp;sourceID=14","3")</f>
        <v>3</v>
      </c>
      <c r="G5244" s="4" t="str">
        <f>HYPERLINK("http://141.218.60.56/~jnz1568/getInfo.php?workbook=14_09.xlsx&amp;sheet=U0&amp;row=5244&amp;col=7&amp;number=0.0217&amp;sourceID=14","0.0217")</f>
        <v>0.0217</v>
      </c>
    </row>
    <row r="5245" spans="1:7">
      <c r="A5245" s="3"/>
      <c r="B5245" s="3"/>
      <c r="C5245" s="3"/>
      <c r="D5245" s="3"/>
      <c r="E5245" s="3">
        <v>2</v>
      </c>
      <c r="F5245" s="4" t="str">
        <f>HYPERLINK("http://141.218.60.56/~jnz1568/getInfo.php?workbook=14_09.xlsx&amp;sheet=U0&amp;row=5245&amp;col=6&amp;number=3.1&amp;sourceID=14","3.1")</f>
        <v>3.1</v>
      </c>
      <c r="G5245" s="4" t="str">
        <f>HYPERLINK("http://141.218.60.56/~jnz1568/getInfo.php?workbook=14_09.xlsx&amp;sheet=U0&amp;row=5245&amp;col=7&amp;number=0.0216&amp;sourceID=14","0.0216")</f>
        <v>0.0216</v>
      </c>
    </row>
    <row r="5246" spans="1:7">
      <c r="A5246" s="3"/>
      <c r="B5246" s="3"/>
      <c r="C5246" s="3"/>
      <c r="D5246" s="3"/>
      <c r="E5246" s="3">
        <v>3</v>
      </c>
      <c r="F5246" s="4" t="str">
        <f>HYPERLINK("http://141.218.60.56/~jnz1568/getInfo.php?workbook=14_09.xlsx&amp;sheet=U0&amp;row=5246&amp;col=6&amp;number=3.2&amp;sourceID=14","3.2")</f>
        <v>3.2</v>
      </c>
      <c r="G5246" s="4" t="str">
        <f>HYPERLINK("http://141.218.60.56/~jnz1568/getInfo.php?workbook=14_09.xlsx&amp;sheet=U0&amp;row=5246&amp;col=7&amp;number=0.0216&amp;sourceID=14","0.0216")</f>
        <v>0.0216</v>
      </c>
    </row>
    <row r="5247" spans="1:7">
      <c r="A5247" s="3"/>
      <c r="B5247" s="3"/>
      <c r="C5247" s="3"/>
      <c r="D5247" s="3"/>
      <c r="E5247" s="3">
        <v>4</v>
      </c>
      <c r="F5247" s="4" t="str">
        <f>HYPERLINK("http://141.218.60.56/~jnz1568/getInfo.php?workbook=14_09.xlsx&amp;sheet=U0&amp;row=5247&amp;col=6&amp;number=3.3&amp;sourceID=14","3.3")</f>
        <v>3.3</v>
      </c>
      <c r="G5247" s="4" t="str">
        <f>HYPERLINK("http://141.218.60.56/~jnz1568/getInfo.php?workbook=14_09.xlsx&amp;sheet=U0&amp;row=5247&amp;col=7&amp;number=0.0215&amp;sourceID=14","0.0215")</f>
        <v>0.0215</v>
      </c>
    </row>
    <row r="5248" spans="1:7">
      <c r="A5248" s="3"/>
      <c r="B5248" s="3"/>
      <c r="C5248" s="3"/>
      <c r="D5248" s="3"/>
      <c r="E5248" s="3">
        <v>5</v>
      </c>
      <c r="F5248" s="4" t="str">
        <f>HYPERLINK("http://141.218.60.56/~jnz1568/getInfo.php?workbook=14_09.xlsx&amp;sheet=U0&amp;row=5248&amp;col=6&amp;number=3.4&amp;sourceID=14","3.4")</f>
        <v>3.4</v>
      </c>
      <c r="G5248" s="4" t="str">
        <f>HYPERLINK("http://141.218.60.56/~jnz1568/getInfo.php?workbook=14_09.xlsx&amp;sheet=U0&amp;row=5248&amp;col=7&amp;number=0.0214&amp;sourceID=14","0.0214")</f>
        <v>0.0214</v>
      </c>
    </row>
    <row r="5249" spans="1:7">
      <c r="A5249" s="3"/>
      <c r="B5249" s="3"/>
      <c r="C5249" s="3"/>
      <c r="D5249" s="3"/>
      <c r="E5249" s="3">
        <v>6</v>
      </c>
      <c r="F5249" s="4" t="str">
        <f>HYPERLINK("http://141.218.60.56/~jnz1568/getInfo.php?workbook=14_09.xlsx&amp;sheet=U0&amp;row=5249&amp;col=6&amp;number=3.5&amp;sourceID=14","3.5")</f>
        <v>3.5</v>
      </c>
      <c r="G5249" s="4" t="str">
        <f>HYPERLINK("http://141.218.60.56/~jnz1568/getInfo.php?workbook=14_09.xlsx&amp;sheet=U0&amp;row=5249&amp;col=7&amp;number=0.0213&amp;sourceID=14","0.0213")</f>
        <v>0.0213</v>
      </c>
    </row>
    <row r="5250" spans="1:7">
      <c r="A5250" s="3"/>
      <c r="B5250" s="3"/>
      <c r="C5250" s="3"/>
      <c r="D5250" s="3"/>
      <c r="E5250" s="3">
        <v>7</v>
      </c>
      <c r="F5250" s="4" t="str">
        <f>HYPERLINK("http://141.218.60.56/~jnz1568/getInfo.php?workbook=14_09.xlsx&amp;sheet=U0&amp;row=5250&amp;col=6&amp;number=3.6&amp;sourceID=14","3.6")</f>
        <v>3.6</v>
      </c>
      <c r="G5250" s="4" t="str">
        <f>HYPERLINK("http://141.218.60.56/~jnz1568/getInfo.php?workbook=14_09.xlsx&amp;sheet=U0&amp;row=5250&amp;col=7&amp;number=0.0211&amp;sourceID=14","0.0211")</f>
        <v>0.0211</v>
      </c>
    </row>
    <row r="5251" spans="1:7">
      <c r="A5251" s="3"/>
      <c r="B5251" s="3"/>
      <c r="C5251" s="3"/>
      <c r="D5251" s="3"/>
      <c r="E5251" s="3">
        <v>8</v>
      </c>
      <c r="F5251" s="4" t="str">
        <f>HYPERLINK("http://141.218.60.56/~jnz1568/getInfo.php?workbook=14_09.xlsx&amp;sheet=U0&amp;row=5251&amp;col=6&amp;number=3.7&amp;sourceID=14","3.7")</f>
        <v>3.7</v>
      </c>
      <c r="G5251" s="4" t="str">
        <f>HYPERLINK("http://141.218.60.56/~jnz1568/getInfo.php?workbook=14_09.xlsx&amp;sheet=U0&amp;row=5251&amp;col=7&amp;number=0.0209&amp;sourceID=14","0.0209")</f>
        <v>0.0209</v>
      </c>
    </row>
    <row r="5252" spans="1:7">
      <c r="A5252" s="3"/>
      <c r="B5252" s="3"/>
      <c r="C5252" s="3"/>
      <c r="D5252" s="3"/>
      <c r="E5252" s="3">
        <v>9</v>
      </c>
      <c r="F5252" s="4" t="str">
        <f>HYPERLINK("http://141.218.60.56/~jnz1568/getInfo.php?workbook=14_09.xlsx&amp;sheet=U0&amp;row=5252&amp;col=6&amp;number=3.8&amp;sourceID=14","3.8")</f>
        <v>3.8</v>
      </c>
      <c r="G5252" s="4" t="str">
        <f>HYPERLINK("http://141.218.60.56/~jnz1568/getInfo.php?workbook=14_09.xlsx&amp;sheet=U0&amp;row=5252&amp;col=7&amp;number=0.0206&amp;sourceID=14","0.0206")</f>
        <v>0.0206</v>
      </c>
    </row>
    <row r="5253" spans="1:7">
      <c r="A5253" s="3"/>
      <c r="B5253" s="3"/>
      <c r="C5253" s="3"/>
      <c r="D5253" s="3"/>
      <c r="E5253" s="3">
        <v>10</v>
      </c>
      <c r="F5253" s="4" t="str">
        <f>HYPERLINK("http://141.218.60.56/~jnz1568/getInfo.php?workbook=14_09.xlsx&amp;sheet=U0&amp;row=5253&amp;col=6&amp;number=3.9&amp;sourceID=14","3.9")</f>
        <v>3.9</v>
      </c>
      <c r="G5253" s="4" t="str">
        <f>HYPERLINK("http://141.218.60.56/~jnz1568/getInfo.php?workbook=14_09.xlsx&amp;sheet=U0&amp;row=5253&amp;col=7&amp;number=0.0203&amp;sourceID=14","0.0203")</f>
        <v>0.0203</v>
      </c>
    </row>
    <row r="5254" spans="1:7">
      <c r="A5254" s="3"/>
      <c r="B5254" s="3"/>
      <c r="C5254" s="3"/>
      <c r="D5254" s="3"/>
      <c r="E5254" s="3">
        <v>11</v>
      </c>
      <c r="F5254" s="4" t="str">
        <f>HYPERLINK("http://141.218.60.56/~jnz1568/getInfo.php?workbook=14_09.xlsx&amp;sheet=U0&amp;row=5254&amp;col=6&amp;number=4&amp;sourceID=14","4")</f>
        <v>4</v>
      </c>
      <c r="G5254" s="4" t="str">
        <f>HYPERLINK("http://141.218.60.56/~jnz1568/getInfo.php?workbook=14_09.xlsx&amp;sheet=U0&amp;row=5254&amp;col=7&amp;number=0.0199&amp;sourceID=14","0.0199")</f>
        <v>0.0199</v>
      </c>
    </row>
    <row r="5255" spans="1:7">
      <c r="A5255" s="3"/>
      <c r="B5255" s="3"/>
      <c r="C5255" s="3"/>
      <c r="D5255" s="3"/>
      <c r="E5255" s="3">
        <v>12</v>
      </c>
      <c r="F5255" s="4" t="str">
        <f>HYPERLINK("http://141.218.60.56/~jnz1568/getInfo.php?workbook=14_09.xlsx&amp;sheet=U0&amp;row=5255&amp;col=6&amp;number=4.1&amp;sourceID=14","4.1")</f>
        <v>4.1</v>
      </c>
      <c r="G5255" s="4" t="str">
        <f>HYPERLINK("http://141.218.60.56/~jnz1568/getInfo.php?workbook=14_09.xlsx&amp;sheet=U0&amp;row=5255&amp;col=7&amp;number=0.0194&amp;sourceID=14","0.0194")</f>
        <v>0.0194</v>
      </c>
    </row>
    <row r="5256" spans="1:7">
      <c r="A5256" s="3"/>
      <c r="B5256" s="3"/>
      <c r="C5256" s="3"/>
      <c r="D5256" s="3"/>
      <c r="E5256" s="3">
        <v>13</v>
      </c>
      <c r="F5256" s="4" t="str">
        <f>HYPERLINK("http://141.218.60.56/~jnz1568/getInfo.php?workbook=14_09.xlsx&amp;sheet=U0&amp;row=5256&amp;col=6&amp;number=4.2&amp;sourceID=14","4.2")</f>
        <v>4.2</v>
      </c>
      <c r="G5256" s="4" t="str">
        <f>HYPERLINK("http://141.218.60.56/~jnz1568/getInfo.php?workbook=14_09.xlsx&amp;sheet=U0&amp;row=5256&amp;col=7&amp;number=0.0188&amp;sourceID=14","0.0188")</f>
        <v>0.0188</v>
      </c>
    </row>
    <row r="5257" spans="1:7">
      <c r="A5257" s="3"/>
      <c r="B5257" s="3"/>
      <c r="C5257" s="3"/>
      <c r="D5257" s="3"/>
      <c r="E5257" s="3">
        <v>14</v>
      </c>
      <c r="F5257" s="4" t="str">
        <f>HYPERLINK("http://141.218.60.56/~jnz1568/getInfo.php?workbook=14_09.xlsx&amp;sheet=U0&amp;row=5257&amp;col=6&amp;number=4.3&amp;sourceID=14","4.3")</f>
        <v>4.3</v>
      </c>
      <c r="G5257" s="4" t="str">
        <f>HYPERLINK("http://141.218.60.56/~jnz1568/getInfo.php?workbook=14_09.xlsx&amp;sheet=U0&amp;row=5257&amp;col=7&amp;number=0.0181&amp;sourceID=14","0.0181")</f>
        <v>0.0181</v>
      </c>
    </row>
    <row r="5258" spans="1:7">
      <c r="A5258" s="3"/>
      <c r="B5258" s="3"/>
      <c r="C5258" s="3"/>
      <c r="D5258" s="3"/>
      <c r="E5258" s="3">
        <v>15</v>
      </c>
      <c r="F5258" s="4" t="str">
        <f>HYPERLINK("http://141.218.60.56/~jnz1568/getInfo.php?workbook=14_09.xlsx&amp;sheet=U0&amp;row=5258&amp;col=6&amp;number=4.4&amp;sourceID=14","4.4")</f>
        <v>4.4</v>
      </c>
      <c r="G5258" s="4" t="str">
        <f>HYPERLINK("http://141.218.60.56/~jnz1568/getInfo.php?workbook=14_09.xlsx&amp;sheet=U0&amp;row=5258&amp;col=7&amp;number=0.0172&amp;sourceID=14","0.0172")</f>
        <v>0.0172</v>
      </c>
    </row>
    <row r="5259" spans="1:7">
      <c r="A5259" s="3"/>
      <c r="B5259" s="3"/>
      <c r="C5259" s="3"/>
      <c r="D5259" s="3"/>
      <c r="E5259" s="3">
        <v>16</v>
      </c>
      <c r="F5259" s="4" t="str">
        <f>HYPERLINK("http://141.218.60.56/~jnz1568/getInfo.php?workbook=14_09.xlsx&amp;sheet=U0&amp;row=5259&amp;col=6&amp;number=4.5&amp;sourceID=14","4.5")</f>
        <v>4.5</v>
      </c>
      <c r="G5259" s="4" t="str">
        <f>HYPERLINK("http://141.218.60.56/~jnz1568/getInfo.php?workbook=14_09.xlsx&amp;sheet=U0&amp;row=5259&amp;col=7&amp;number=0.0162&amp;sourceID=14","0.0162")</f>
        <v>0.0162</v>
      </c>
    </row>
    <row r="5260" spans="1:7">
      <c r="A5260" s="3"/>
      <c r="B5260" s="3"/>
      <c r="C5260" s="3"/>
      <c r="D5260" s="3"/>
      <c r="E5260" s="3">
        <v>17</v>
      </c>
      <c r="F5260" s="4" t="str">
        <f>HYPERLINK("http://141.218.60.56/~jnz1568/getInfo.php?workbook=14_09.xlsx&amp;sheet=U0&amp;row=5260&amp;col=6&amp;number=4.6&amp;sourceID=14","4.6")</f>
        <v>4.6</v>
      </c>
      <c r="G5260" s="4" t="str">
        <f>HYPERLINK("http://141.218.60.56/~jnz1568/getInfo.php?workbook=14_09.xlsx&amp;sheet=U0&amp;row=5260&amp;col=7&amp;number=0.015&amp;sourceID=14","0.015")</f>
        <v>0.015</v>
      </c>
    </row>
    <row r="5261" spans="1:7">
      <c r="A5261" s="3"/>
      <c r="B5261" s="3"/>
      <c r="C5261" s="3"/>
      <c r="D5261" s="3"/>
      <c r="E5261" s="3">
        <v>18</v>
      </c>
      <c r="F5261" s="4" t="str">
        <f>HYPERLINK("http://141.218.60.56/~jnz1568/getInfo.php?workbook=14_09.xlsx&amp;sheet=U0&amp;row=5261&amp;col=6&amp;number=4.7&amp;sourceID=14","4.7")</f>
        <v>4.7</v>
      </c>
      <c r="G5261" s="4" t="str">
        <f>HYPERLINK("http://141.218.60.56/~jnz1568/getInfo.php?workbook=14_09.xlsx&amp;sheet=U0&amp;row=5261&amp;col=7&amp;number=0.0137&amp;sourceID=14","0.0137")</f>
        <v>0.0137</v>
      </c>
    </row>
    <row r="5262" spans="1:7">
      <c r="A5262" s="3"/>
      <c r="B5262" s="3"/>
      <c r="C5262" s="3"/>
      <c r="D5262" s="3"/>
      <c r="E5262" s="3">
        <v>19</v>
      </c>
      <c r="F5262" s="4" t="str">
        <f>HYPERLINK("http://141.218.60.56/~jnz1568/getInfo.php?workbook=14_09.xlsx&amp;sheet=U0&amp;row=5262&amp;col=6&amp;number=4.8&amp;sourceID=14","4.8")</f>
        <v>4.8</v>
      </c>
      <c r="G5262" s="4" t="str">
        <f>HYPERLINK("http://141.218.60.56/~jnz1568/getInfo.php?workbook=14_09.xlsx&amp;sheet=U0&amp;row=5262&amp;col=7&amp;number=0.0125&amp;sourceID=14","0.0125")</f>
        <v>0.0125</v>
      </c>
    </row>
    <row r="5263" spans="1:7">
      <c r="A5263" s="3"/>
      <c r="B5263" s="3"/>
      <c r="C5263" s="3"/>
      <c r="D5263" s="3"/>
      <c r="E5263" s="3">
        <v>20</v>
      </c>
      <c r="F5263" s="4" t="str">
        <f>HYPERLINK("http://141.218.60.56/~jnz1568/getInfo.php?workbook=14_09.xlsx&amp;sheet=U0&amp;row=5263&amp;col=6&amp;number=4.9&amp;sourceID=14","4.9")</f>
        <v>4.9</v>
      </c>
      <c r="G5263" s="4" t="str">
        <f>HYPERLINK("http://141.218.60.56/~jnz1568/getInfo.php?workbook=14_09.xlsx&amp;sheet=U0&amp;row=5263&amp;col=7&amp;number=0.0113&amp;sourceID=14","0.0113")</f>
        <v>0.0113</v>
      </c>
    </row>
    <row r="5264" spans="1:7">
      <c r="A5264" s="3">
        <v>14</v>
      </c>
      <c r="B5264" s="3">
        <v>9</v>
      </c>
      <c r="C5264" s="3">
        <v>2</v>
      </c>
      <c r="D5264" s="3">
        <v>72</v>
      </c>
      <c r="E5264" s="3">
        <v>1</v>
      </c>
      <c r="F5264" s="4" t="str">
        <f>HYPERLINK("http://141.218.60.56/~jnz1568/getInfo.php?workbook=14_09.xlsx&amp;sheet=U0&amp;row=5264&amp;col=6&amp;number=3&amp;sourceID=14","3")</f>
        <v>3</v>
      </c>
      <c r="G5264" s="4" t="str">
        <f>HYPERLINK("http://141.218.60.56/~jnz1568/getInfo.php?workbook=14_09.xlsx&amp;sheet=U0&amp;row=5264&amp;col=7&amp;number=0.0336&amp;sourceID=14","0.0336")</f>
        <v>0.0336</v>
      </c>
    </row>
    <row r="5265" spans="1:7">
      <c r="A5265" s="3"/>
      <c r="B5265" s="3"/>
      <c r="C5265" s="3"/>
      <c r="D5265" s="3"/>
      <c r="E5265" s="3">
        <v>2</v>
      </c>
      <c r="F5265" s="4" t="str">
        <f>HYPERLINK("http://141.218.60.56/~jnz1568/getInfo.php?workbook=14_09.xlsx&amp;sheet=U0&amp;row=5265&amp;col=6&amp;number=3.1&amp;sourceID=14","3.1")</f>
        <v>3.1</v>
      </c>
      <c r="G5265" s="4" t="str">
        <f>HYPERLINK("http://141.218.60.56/~jnz1568/getInfo.php?workbook=14_09.xlsx&amp;sheet=U0&amp;row=5265&amp;col=7&amp;number=0.0335&amp;sourceID=14","0.0335")</f>
        <v>0.0335</v>
      </c>
    </row>
    <row r="5266" spans="1:7">
      <c r="A5266" s="3"/>
      <c r="B5266" s="3"/>
      <c r="C5266" s="3"/>
      <c r="D5266" s="3"/>
      <c r="E5266" s="3">
        <v>3</v>
      </c>
      <c r="F5266" s="4" t="str">
        <f>HYPERLINK("http://141.218.60.56/~jnz1568/getInfo.php?workbook=14_09.xlsx&amp;sheet=U0&amp;row=5266&amp;col=6&amp;number=3.2&amp;sourceID=14","3.2")</f>
        <v>3.2</v>
      </c>
      <c r="G5266" s="4" t="str">
        <f>HYPERLINK("http://141.218.60.56/~jnz1568/getInfo.php?workbook=14_09.xlsx&amp;sheet=U0&amp;row=5266&amp;col=7&amp;number=0.0334&amp;sourceID=14","0.0334")</f>
        <v>0.0334</v>
      </c>
    </row>
    <row r="5267" spans="1:7">
      <c r="A5267" s="3"/>
      <c r="B5267" s="3"/>
      <c r="C5267" s="3"/>
      <c r="D5267" s="3"/>
      <c r="E5267" s="3">
        <v>4</v>
      </c>
      <c r="F5267" s="4" t="str">
        <f>HYPERLINK("http://141.218.60.56/~jnz1568/getInfo.php?workbook=14_09.xlsx&amp;sheet=U0&amp;row=5267&amp;col=6&amp;number=3.3&amp;sourceID=14","3.3")</f>
        <v>3.3</v>
      </c>
      <c r="G5267" s="4" t="str">
        <f>HYPERLINK("http://141.218.60.56/~jnz1568/getInfo.php?workbook=14_09.xlsx&amp;sheet=U0&amp;row=5267&amp;col=7&amp;number=0.0332&amp;sourceID=14","0.0332")</f>
        <v>0.0332</v>
      </c>
    </row>
    <row r="5268" spans="1:7">
      <c r="A5268" s="3"/>
      <c r="B5268" s="3"/>
      <c r="C5268" s="3"/>
      <c r="D5268" s="3"/>
      <c r="E5268" s="3">
        <v>5</v>
      </c>
      <c r="F5268" s="4" t="str">
        <f>HYPERLINK("http://141.218.60.56/~jnz1568/getInfo.php?workbook=14_09.xlsx&amp;sheet=U0&amp;row=5268&amp;col=6&amp;number=3.4&amp;sourceID=14","3.4")</f>
        <v>3.4</v>
      </c>
      <c r="G5268" s="4" t="str">
        <f>HYPERLINK("http://141.218.60.56/~jnz1568/getInfo.php?workbook=14_09.xlsx&amp;sheet=U0&amp;row=5268&amp;col=7&amp;number=0.033&amp;sourceID=14","0.033")</f>
        <v>0.033</v>
      </c>
    </row>
    <row r="5269" spans="1:7">
      <c r="A5269" s="3"/>
      <c r="B5269" s="3"/>
      <c r="C5269" s="3"/>
      <c r="D5269" s="3"/>
      <c r="E5269" s="3">
        <v>6</v>
      </c>
      <c r="F5269" s="4" t="str">
        <f>HYPERLINK("http://141.218.60.56/~jnz1568/getInfo.php?workbook=14_09.xlsx&amp;sheet=U0&amp;row=5269&amp;col=6&amp;number=3.5&amp;sourceID=14","3.5")</f>
        <v>3.5</v>
      </c>
      <c r="G5269" s="4" t="str">
        <f>HYPERLINK("http://141.218.60.56/~jnz1568/getInfo.php?workbook=14_09.xlsx&amp;sheet=U0&amp;row=5269&amp;col=7&amp;number=0.0328&amp;sourceID=14","0.0328")</f>
        <v>0.0328</v>
      </c>
    </row>
    <row r="5270" spans="1:7">
      <c r="A5270" s="3"/>
      <c r="B5270" s="3"/>
      <c r="C5270" s="3"/>
      <c r="D5270" s="3"/>
      <c r="E5270" s="3">
        <v>7</v>
      </c>
      <c r="F5270" s="4" t="str">
        <f>HYPERLINK("http://141.218.60.56/~jnz1568/getInfo.php?workbook=14_09.xlsx&amp;sheet=U0&amp;row=5270&amp;col=6&amp;number=3.6&amp;sourceID=14","3.6")</f>
        <v>3.6</v>
      </c>
      <c r="G5270" s="4" t="str">
        <f>HYPERLINK("http://141.218.60.56/~jnz1568/getInfo.php?workbook=14_09.xlsx&amp;sheet=U0&amp;row=5270&amp;col=7&amp;number=0.0325&amp;sourceID=14","0.0325")</f>
        <v>0.0325</v>
      </c>
    </row>
    <row r="5271" spans="1:7">
      <c r="A5271" s="3"/>
      <c r="B5271" s="3"/>
      <c r="C5271" s="3"/>
      <c r="D5271" s="3"/>
      <c r="E5271" s="3">
        <v>8</v>
      </c>
      <c r="F5271" s="4" t="str">
        <f>HYPERLINK("http://141.218.60.56/~jnz1568/getInfo.php?workbook=14_09.xlsx&amp;sheet=U0&amp;row=5271&amp;col=6&amp;number=3.7&amp;sourceID=14","3.7")</f>
        <v>3.7</v>
      </c>
      <c r="G5271" s="4" t="str">
        <f>HYPERLINK("http://141.218.60.56/~jnz1568/getInfo.php?workbook=14_09.xlsx&amp;sheet=U0&amp;row=5271&amp;col=7&amp;number=0.0321&amp;sourceID=14","0.0321")</f>
        <v>0.0321</v>
      </c>
    </row>
    <row r="5272" spans="1:7">
      <c r="A5272" s="3"/>
      <c r="B5272" s="3"/>
      <c r="C5272" s="3"/>
      <c r="D5272" s="3"/>
      <c r="E5272" s="3">
        <v>9</v>
      </c>
      <c r="F5272" s="4" t="str">
        <f>HYPERLINK("http://141.218.60.56/~jnz1568/getInfo.php?workbook=14_09.xlsx&amp;sheet=U0&amp;row=5272&amp;col=6&amp;number=3.8&amp;sourceID=14","3.8")</f>
        <v>3.8</v>
      </c>
      <c r="G5272" s="4" t="str">
        <f>HYPERLINK("http://141.218.60.56/~jnz1568/getInfo.php?workbook=14_09.xlsx&amp;sheet=U0&amp;row=5272&amp;col=7&amp;number=0.0317&amp;sourceID=14","0.0317")</f>
        <v>0.0317</v>
      </c>
    </row>
    <row r="5273" spans="1:7">
      <c r="A5273" s="3"/>
      <c r="B5273" s="3"/>
      <c r="C5273" s="3"/>
      <c r="D5273" s="3"/>
      <c r="E5273" s="3">
        <v>10</v>
      </c>
      <c r="F5273" s="4" t="str">
        <f>HYPERLINK("http://141.218.60.56/~jnz1568/getInfo.php?workbook=14_09.xlsx&amp;sheet=U0&amp;row=5273&amp;col=6&amp;number=3.9&amp;sourceID=14","3.9")</f>
        <v>3.9</v>
      </c>
      <c r="G5273" s="4" t="str">
        <f>HYPERLINK("http://141.218.60.56/~jnz1568/getInfo.php?workbook=14_09.xlsx&amp;sheet=U0&amp;row=5273&amp;col=7&amp;number=0.0311&amp;sourceID=14","0.0311")</f>
        <v>0.0311</v>
      </c>
    </row>
    <row r="5274" spans="1:7">
      <c r="A5274" s="3"/>
      <c r="B5274" s="3"/>
      <c r="C5274" s="3"/>
      <c r="D5274" s="3"/>
      <c r="E5274" s="3">
        <v>11</v>
      </c>
      <c r="F5274" s="4" t="str">
        <f>HYPERLINK("http://141.218.60.56/~jnz1568/getInfo.php?workbook=14_09.xlsx&amp;sheet=U0&amp;row=5274&amp;col=6&amp;number=4&amp;sourceID=14","4")</f>
        <v>4</v>
      </c>
      <c r="G5274" s="4" t="str">
        <f>HYPERLINK("http://141.218.60.56/~jnz1568/getInfo.php?workbook=14_09.xlsx&amp;sheet=U0&amp;row=5274&amp;col=7&amp;number=0.0304&amp;sourceID=14","0.0304")</f>
        <v>0.0304</v>
      </c>
    </row>
    <row r="5275" spans="1:7">
      <c r="A5275" s="3"/>
      <c r="B5275" s="3"/>
      <c r="C5275" s="3"/>
      <c r="D5275" s="3"/>
      <c r="E5275" s="3">
        <v>12</v>
      </c>
      <c r="F5275" s="4" t="str">
        <f>HYPERLINK("http://141.218.60.56/~jnz1568/getInfo.php?workbook=14_09.xlsx&amp;sheet=U0&amp;row=5275&amp;col=6&amp;number=4.1&amp;sourceID=14","4.1")</f>
        <v>4.1</v>
      </c>
      <c r="G5275" s="4" t="str">
        <f>HYPERLINK("http://141.218.60.56/~jnz1568/getInfo.php?workbook=14_09.xlsx&amp;sheet=U0&amp;row=5275&amp;col=7&amp;number=0.0295&amp;sourceID=14","0.0295")</f>
        <v>0.0295</v>
      </c>
    </row>
    <row r="5276" spans="1:7">
      <c r="A5276" s="3"/>
      <c r="B5276" s="3"/>
      <c r="C5276" s="3"/>
      <c r="D5276" s="3"/>
      <c r="E5276" s="3">
        <v>13</v>
      </c>
      <c r="F5276" s="4" t="str">
        <f>HYPERLINK("http://141.218.60.56/~jnz1568/getInfo.php?workbook=14_09.xlsx&amp;sheet=U0&amp;row=5276&amp;col=6&amp;number=4.2&amp;sourceID=14","4.2")</f>
        <v>4.2</v>
      </c>
      <c r="G5276" s="4" t="str">
        <f>HYPERLINK("http://141.218.60.56/~jnz1568/getInfo.php?workbook=14_09.xlsx&amp;sheet=U0&amp;row=5276&amp;col=7&amp;number=0.0284&amp;sourceID=14","0.0284")</f>
        <v>0.0284</v>
      </c>
    </row>
    <row r="5277" spans="1:7">
      <c r="A5277" s="3"/>
      <c r="B5277" s="3"/>
      <c r="C5277" s="3"/>
      <c r="D5277" s="3"/>
      <c r="E5277" s="3">
        <v>14</v>
      </c>
      <c r="F5277" s="4" t="str">
        <f>HYPERLINK("http://141.218.60.56/~jnz1568/getInfo.php?workbook=14_09.xlsx&amp;sheet=U0&amp;row=5277&amp;col=6&amp;number=4.3&amp;sourceID=14","4.3")</f>
        <v>4.3</v>
      </c>
      <c r="G5277" s="4" t="str">
        <f>HYPERLINK("http://141.218.60.56/~jnz1568/getInfo.php?workbook=14_09.xlsx&amp;sheet=U0&amp;row=5277&amp;col=7&amp;number=0.0271&amp;sourceID=14","0.0271")</f>
        <v>0.0271</v>
      </c>
    </row>
    <row r="5278" spans="1:7">
      <c r="A5278" s="3"/>
      <c r="B5278" s="3"/>
      <c r="C5278" s="3"/>
      <c r="D5278" s="3"/>
      <c r="E5278" s="3">
        <v>15</v>
      </c>
      <c r="F5278" s="4" t="str">
        <f>HYPERLINK("http://141.218.60.56/~jnz1568/getInfo.php?workbook=14_09.xlsx&amp;sheet=U0&amp;row=5278&amp;col=6&amp;number=4.4&amp;sourceID=14","4.4")</f>
        <v>4.4</v>
      </c>
      <c r="G5278" s="4" t="str">
        <f>HYPERLINK("http://141.218.60.56/~jnz1568/getInfo.php?workbook=14_09.xlsx&amp;sheet=U0&amp;row=5278&amp;col=7&amp;number=0.0255&amp;sourceID=14","0.0255")</f>
        <v>0.0255</v>
      </c>
    </row>
    <row r="5279" spans="1:7">
      <c r="A5279" s="3"/>
      <c r="B5279" s="3"/>
      <c r="C5279" s="3"/>
      <c r="D5279" s="3"/>
      <c r="E5279" s="3">
        <v>16</v>
      </c>
      <c r="F5279" s="4" t="str">
        <f>HYPERLINK("http://141.218.60.56/~jnz1568/getInfo.php?workbook=14_09.xlsx&amp;sheet=U0&amp;row=5279&amp;col=6&amp;number=4.5&amp;sourceID=14","4.5")</f>
        <v>4.5</v>
      </c>
      <c r="G5279" s="4" t="str">
        <f>HYPERLINK("http://141.218.60.56/~jnz1568/getInfo.php?workbook=14_09.xlsx&amp;sheet=U0&amp;row=5279&amp;col=7&amp;number=0.0237&amp;sourceID=14","0.0237")</f>
        <v>0.0237</v>
      </c>
    </row>
    <row r="5280" spans="1:7">
      <c r="A5280" s="3"/>
      <c r="B5280" s="3"/>
      <c r="C5280" s="3"/>
      <c r="D5280" s="3"/>
      <c r="E5280" s="3">
        <v>17</v>
      </c>
      <c r="F5280" s="4" t="str">
        <f>HYPERLINK("http://141.218.60.56/~jnz1568/getInfo.php?workbook=14_09.xlsx&amp;sheet=U0&amp;row=5280&amp;col=6&amp;number=4.6&amp;sourceID=14","4.6")</f>
        <v>4.6</v>
      </c>
      <c r="G5280" s="4" t="str">
        <f>HYPERLINK("http://141.218.60.56/~jnz1568/getInfo.php?workbook=14_09.xlsx&amp;sheet=U0&amp;row=5280&amp;col=7&amp;number=0.0217&amp;sourceID=14","0.0217")</f>
        <v>0.0217</v>
      </c>
    </row>
    <row r="5281" spans="1:7">
      <c r="A5281" s="3"/>
      <c r="B5281" s="3"/>
      <c r="C5281" s="3"/>
      <c r="D5281" s="3"/>
      <c r="E5281" s="3">
        <v>18</v>
      </c>
      <c r="F5281" s="4" t="str">
        <f>HYPERLINK("http://141.218.60.56/~jnz1568/getInfo.php?workbook=14_09.xlsx&amp;sheet=U0&amp;row=5281&amp;col=6&amp;number=4.7&amp;sourceID=14","4.7")</f>
        <v>4.7</v>
      </c>
      <c r="G5281" s="4" t="str">
        <f>HYPERLINK("http://141.218.60.56/~jnz1568/getInfo.php?workbook=14_09.xlsx&amp;sheet=U0&amp;row=5281&amp;col=7&amp;number=0.0195&amp;sourceID=14","0.0195")</f>
        <v>0.0195</v>
      </c>
    </row>
    <row r="5282" spans="1:7">
      <c r="A5282" s="3"/>
      <c r="B5282" s="3"/>
      <c r="C5282" s="3"/>
      <c r="D5282" s="3"/>
      <c r="E5282" s="3">
        <v>19</v>
      </c>
      <c r="F5282" s="4" t="str">
        <f>HYPERLINK("http://141.218.60.56/~jnz1568/getInfo.php?workbook=14_09.xlsx&amp;sheet=U0&amp;row=5282&amp;col=6&amp;number=4.8&amp;sourceID=14","4.8")</f>
        <v>4.8</v>
      </c>
      <c r="G5282" s="4" t="str">
        <f>HYPERLINK("http://141.218.60.56/~jnz1568/getInfo.php?workbook=14_09.xlsx&amp;sheet=U0&amp;row=5282&amp;col=7&amp;number=0.0175&amp;sourceID=14","0.0175")</f>
        <v>0.0175</v>
      </c>
    </row>
    <row r="5283" spans="1:7">
      <c r="A5283" s="3"/>
      <c r="B5283" s="3"/>
      <c r="C5283" s="3"/>
      <c r="D5283" s="3"/>
      <c r="E5283" s="3">
        <v>20</v>
      </c>
      <c r="F5283" s="4" t="str">
        <f>HYPERLINK("http://141.218.60.56/~jnz1568/getInfo.php?workbook=14_09.xlsx&amp;sheet=U0&amp;row=5283&amp;col=6&amp;number=4.9&amp;sourceID=14","4.9")</f>
        <v>4.9</v>
      </c>
      <c r="G5283" s="4" t="str">
        <f>HYPERLINK("http://141.218.60.56/~jnz1568/getInfo.php?workbook=14_09.xlsx&amp;sheet=U0&amp;row=5283&amp;col=7&amp;number=0.0158&amp;sourceID=14","0.0158")</f>
        <v>0.0158</v>
      </c>
    </row>
    <row r="5284" spans="1:7">
      <c r="A5284" s="3">
        <v>14</v>
      </c>
      <c r="B5284" s="3">
        <v>9</v>
      </c>
      <c r="C5284" s="3">
        <v>2</v>
      </c>
      <c r="D5284" s="3">
        <v>73</v>
      </c>
      <c r="E5284" s="3">
        <v>1</v>
      </c>
      <c r="F5284" s="4" t="str">
        <f>HYPERLINK("http://141.218.60.56/~jnz1568/getInfo.php?workbook=14_09.xlsx&amp;sheet=U0&amp;row=5284&amp;col=6&amp;number=3&amp;sourceID=14","3")</f>
        <v>3</v>
      </c>
      <c r="G5284" s="4" t="str">
        <f>HYPERLINK("http://141.218.60.56/~jnz1568/getInfo.php?workbook=14_09.xlsx&amp;sheet=U0&amp;row=5284&amp;col=7&amp;number=0.0115&amp;sourceID=14","0.0115")</f>
        <v>0.0115</v>
      </c>
    </row>
    <row r="5285" spans="1:7">
      <c r="A5285" s="3"/>
      <c r="B5285" s="3"/>
      <c r="C5285" s="3"/>
      <c r="D5285" s="3"/>
      <c r="E5285" s="3">
        <v>2</v>
      </c>
      <c r="F5285" s="4" t="str">
        <f>HYPERLINK("http://141.218.60.56/~jnz1568/getInfo.php?workbook=14_09.xlsx&amp;sheet=U0&amp;row=5285&amp;col=6&amp;number=3.1&amp;sourceID=14","3.1")</f>
        <v>3.1</v>
      </c>
      <c r="G5285" s="4" t="str">
        <f>HYPERLINK("http://141.218.60.56/~jnz1568/getInfo.php?workbook=14_09.xlsx&amp;sheet=U0&amp;row=5285&amp;col=7&amp;number=0.0115&amp;sourceID=14","0.0115")</f>
        <v>0.0115</v>
      </c>
    </row>
    <row r="5286" spans="1:7">
      <c r="A5286" s="3"/>
      <c r="B5286" s="3"/>
      <c r="C5286" s="3"/>
      <c r="D5286" s="3"/>
      <c r="E5286" s="3">
        <v>3</v>
      </c>
      <c r="F5286" s="4" t="str">
        <f>HYPERLINK("http://141.218.60.56/~jnz1568/getInfo.php?workbook=14_09.xlsx&amp;sheet=U0&amp;row=5286&amp;col=6&amp;number=3.2&amp;sourceID=14","3.2")</f>
        <v>3.2</v>
      </c>
      <c r="G5286" s="4" t="str">
        <f>HYPERLINK("http://141.218.60.56/~jnz1568/getInfo.php?workbook=14_09.xlsx&amp;sheet=U0&amp;row=5286&amp;col=7&amp;number=0.0115&amp;sourceID=14","0.0115")</f>
        <v>0.0115</v>
      </c>
    </row>
    <row r="5287" spans="1:7">
      <c r="A5287" s="3"/>
      <c r="B5287" s="3"/>
      <c r="C5287" s="3"/>
      <c r="D5287" s="3"/>
      <c r="E5287" s="3">
        <v>4</v>
      </c>
      <c r="F5287" s="4" t="str">
        <f>HYPERLINK("http://141.218.60.56/~jnz1568/getInfo.php?workbook=14_09.xlsx&amp;sheet=U0&amp;row=5287&amp;col=6&amp;number=3.3&amp;sourceID=14","3.3")</f>
        <v>3.3</v>
      </c>
      <c r="G5287" s="4" t="str">
        <f>HYPERLINK("http://141.218.60.56/~jnz1568/getInfo.php?workbook=14_09.xlsx&amp;sheet=U0&amp;row=5287&amp;col=7&amp;number=0.0114&amp;sourceID=14","0.0114")</f>
        <v>0.0114</v>
      </c>
    </row>
    <row r="5288" spans="1:7">
      <c r="A5288" s="3"/>
      <c r="B5288" s="3"/>
      <c r="C5288" s="3"/>
      <c r="D5288" s="3"/>
      <c r="E5288" s="3">
        <v>5</v>
      </c>
      <c r="F5288" s="4" t="str">
        <f>HYPERLINK("http://141.218.60.56/~jnz1568/getInfo.php?workbook=14_09.xlsx&amp;sheet=U0&amp;row=5288&amp;col=6&amp;number=3.4&amp;sourceID=14","3.4")</f>
        <v>3.4</v>
      </c>
      <c r="G5288" s="4" t="str">
        <f>HYPERLINK("http://141.218.60.56/~jnz1568/getInfo.php?workbook=14_09.xlsx&amp;sheet=U0&amp;row=5288&amp;col=7&amp;number=0.0114&amp;sourceID=14","0.0114")</f>
        <v>0.0114</v>
      </c>
    </row>
    <row r="5289" spans="1:7">
      <c r="A5289" s="3"/>
      <c r="B5289" s="3"/>
      <c r="C5289" s="3"/>
      <c r="D5289" s="3"/>
      <c r="E5289" s="3">
        <v>6</v>
      </c>
      <c r="F5289" s="4" t="str">
        <f>HYPERLINK("http://141.218.60.56/~jnz1568/getInfo.php?workbook=14_09.xlsx&amp;sheet=U0&amp;row=5289&amp;col=6&amp;number=3.5&amp;sourceID=14","3.5")</f>
        <v>3.5</v>
      </c>
      <c r="G5289" s="4" t="str">
        <f>HYPERLINK("http://141.218.60.56/~jnz1568/getInfo.php?workbook=14_09.xlsx&amp;sheet=U0&amp;row=5289&amp;col=7&amp;number=0.0113&amp;sourceID=14","0.0113")</f>
        <v>0.0113</v>
      </c>
    </row>
    <row r="5290" spans="1:7">
      <c r="A5290" s="3"/>
      <c r="B5290" s="3"/>
      <c r="C5290" s="3"/>
      <c r="D5290" s="3"/>
      <c r="E5290" s="3">
        <v>7</v>
      </c>
      <c r="F5290" s="4" t="str">
        <f>HYPERLINK("http://141.218.60.56/~jnz1568/getInfo.php?workbook=14_09.xlsx&amp;sheet=U0&amp;row=5290&amp;col=6&amp;number=3.6&amp;sourceID=14","3.6")</f>
        <v>3.6</v>
      </c>
      <c r="G5290" s="4" t="str">
        <f>HYPERLINK("http://141.218.60.56/~jnz1568/getInfo.php?workbook=14_09.xlsx&amp;sheet=U0&amp;row=5290&amp;col=7&amp;number=0.0113&amp;sourceID=14","0.0113")</f>
        <v>0.0113</v>
      </c>
    </row>
    <row r="5291" spans="1:7">
      <c r="A5291" s="3"/>
      <c r="B5291" s="3"/>
      <c r="C5291" s="3"/>
      <c r="D5291" s="3"/>
      <c r="E5291" s="3">
        <v>8</v>
      </c>
      <c r="F5291" s="4" t="str">
        <f>HYPERLINK("http://141.218.60.56/~jnz1568/getInfo.php?workbook=14_09.xlsx&amp;sheet=U0&amp;row=5291&amp;col=6&amp;number=3.7&amp;sourceID=14","3.7")</f>
        <v>3.7</v>
      </c>
      <c r="G5291" s="4" t="str">
        <f>HYPERLINK("http://141.218.60.56/~jnz1568/getInfo.php?workbook=14_09.xlsx&amp;sheet=U0&amp;row=5291&amp;col=7&amp;number=0.0112&amp;sourceID=14","0.0112")</f>
        <v>0.0112</v>
      </c>
    </row>
    <row r="5292" spans="1:7">
      <c r="A5292" s="3"/>
      <c r="B5292" s="3"/>
      <c r="C5292" s="3"/>
      <c r="D5292" s="3"/>
      <c r="E5292" s="3">
        <v>9</v>
      </c>
      <c r="F5292" s="4" t="str">
        <f>HYPERLINK("http://141.218.60.56/~jnz1568/getInfo.php?workbook=14_09.xlsx&amp;sheet=U0&amp;row=5292&amp;col=6&amp;number=3.8&amp;sourceID=14","3.8")</f>
        <v>3.8</v>
      </c>
      <c r="G5292" s="4" t="str">
        <f>HYPERLINK("http://141.218.60.56/~jnz1568/getInfo.php?workbook=14_09.xlsx&amp;sheet=U0&amp;row=5292&amp;col=7&amp;number=0.0111&amp;sourceID=14","0.0111")</f>
        <v>0.0111</v>
      </c>
    </row>
    <row r="5293" spans="1:7">
      <c r="A5293" s="3"/>
      <c r="B5293" s="3"/>
      <c r="C5293" s="3"/>
      <c r="D5293" s="3"/>
      <c r="E5293" s="3">
        <v>10</v>
      </c>
      <c r="F5293" s="4" t="str">
        <f>HYPERLINK("http://141.218.60.56/~jnz1568/getInfo.php?workbook=14_09.xlsx&amp;sheet=U0&amp;row=5293&amp;col=6&amp;number=3.9&amp;sourceID=14","3.9")</f>
        <v>3.9</v>
      </c>
      <c r="G5293" s="4" t="str">
        <f>HYPERLINK("http://141.218.60.56/~jnz1568/getInfo.php?workbook=14_09.xlsx&amp;sheet=U0&amp;row=5293&amp;col=7&amp;number=0.011&amp;sourceID=14","0.011")</f>
        <v>0.011</v>
      </c>
    </row>
    <row r="5294" spans="1:7">
      <c r="A5294" s="3"/>
      <c r="B5294" s="3"/>
      <c r="C5294" s="3"/>
      <c r="D5294" s="3"/>
      <c r="E5294" s="3">
        <v>11</v>
      </c>
      <c r="F5294" s="4" t="str">
        <f>HYPERLINK("http://141.218.60.56/~jnz1568/getInfo.php?workbook=14_09.xlsx&amp;sheet=U0&amp;row=5294&amp;col=6&amp;number=4&amp;sourceID=14","4")</f>
        <v>4</v>
      </c>
      <c r="G5294" s="4" t="str">
        <f>HYPERLINK("http://141.218.60.56/~jnz1568/getInfo.php?workbook=14_09.xlsx&amp;sheet=U0&amp;row=5294&amp;col=7&amp;number=0.0108&amp;sourceID=14","0.0108")</f>
        <v>0.0108</v>
      </c>
    </row>
    <row r="5295" spans="1:7">
      <c r="A5295" s="3"/>
      <c r="B5295" s="3"/>
      <c r="C5295" s="3"/>
      <c r="D5295" s="3"/>
      <c r="E5295" s="3">
        <v>12</v>
      </c>
      <c r="F5295" s="4" t="str">
        <f>HYPERLINK("http://141.218.60.56/~jnz1568/getInfo.php?workbook=14_09.xlsx&amp;sheet=U0&amp;row=5295&amp;col=6&amp;number=4.1&amp;sourceID=14","4.1")</f>
        <v>4.1</v>
      </c>
      <c r="G5295" s="4" t="str">
        <f>HYPERLINK("http://141.218.60.56/~jnz1568/getInfo.php?workbook=14_09.xlsx&amp;sheet=U0&amp;row=5295&amp;col=7&amp;number=0.0106&amp;sourceID=14","0.0106")</f>
        <v>0.0106</v>
      </c>
    </row>
    <row r="5296" spans="1:7">
      <c r="A5296" s="3"/>
      <c r="B5296" s="3"/>
      <c r="C5296" s="3"/>
      <c r="D5296" s="3"/>
      <c r="E5296" s="3">
        <v>13</v>
      </c>
      <c r="F5296" s="4" t="str">
        <f>HYPERLINK("http://141.218.60.56/~jnz1568/getInfo.php?workbook=14_09.xlsx&amp;sheet=U0&amp;row=5296&amp;col=6&amp;number=4.2&amp;sourceID=14","4.2")</f>
        <v>4.2</v>
      </c>
      <c r="G5296" s="4" t="str">
        <f>HYPERLINK("http://141.218.60.56/~jnz1568/getInfo.php?workbook=14_09.xlsx&amp;sheet=U0&amp;row=5296&amp;col=7&amp;number=0.0104&amp;sourceID=14","0.0104")</f>
        <v>0.0104</v>
      </c>
    </row>
    <row r="5297" spans="1:7">
      <c r="A5297" s="3"/>
      <c r="B5297" s="3"/>
      <c r="C5297" s="3"/>
      <c r="D5297" s="3"/>
      <c r="E5297" s="3">
        <v>14</v>
      </c>
      <c r="F5297" s="4" t="str">
        <f>HYPERLINK("http://141.218.60.56/~jnz1568/getInfo.php?workbook=14_09.xlsx&amp;sheet=U0&amp;row=5297&amp;col=6&amp;number=4.3&amp;sourceID=14","4.3")</f>
        <v>4.3</v>
      </c>
      <c r="G5297" s="4" t="str">
        <f>HYPERLINK("http://141.218.60.56/~jnz1568/getInfo.php?workbook=14_09.xlsx&amp;sheet=U0&amp;row=5297&amp;col=7&amp;number=0.0101&amp;sourceID=14","0.0101")</f>
        <v>0.0101</v>
      </c>
    </row>
    <row r="5298" spans="1:7">
      <c r="A5298" s="3"/>
      <c r="B5298" s="3"/>
      <c r="C5298" s="3"/>
      <c r="D5298" s="3"/>
      <c r="E5298" s="3">
        <v>15</v>
      </c>
      <c r="F5298" s="4" t="str">
        <f>HYPERLINK("http://141.218.60.56/~jnz1568/getInfo.php?workbook=14_09.xlsx&amp;sheet=U0&amp;row=5298&amp;col=6&amp;number=4.4&amp;sourceID=14","4.4")</f>
        <v>4.4</v>
      </c>
      <c r="G5298" s="4" t="str">
        <f>HYPERLINK("http://141.218.60.56/~jnz1568/getInfo.php?workbook=14_09.xlsx&amp;sheet=U0&amp;row=5298&amp;col=7&amp;number=0.0097&amp;sourceID=14","0.0097")</f>
        <v>0.0097</v>
      </c>
    </row>
    <row r="5299" spans="1:7">
      <c r="A5299" s="3"/>
      <c r="B5299" s="3"/>
      <c r="C5299" s="3"/>
      <c r="D5299" s="3"/>
      <c r="E5299" s="3">
        <v>16</v>
      </c>
      <c r="F5299" s="4" t="str">
        <f>HYPERLINK("http://141.218.60.56/~jnz1568/getInfo.php?workbook=14_09.xlsx&amp;sheet=U0&amp;row=5299&amp;col=6&amp;number=4.5&amp;sourceID=14","4.5")</f>
        <v>4.5</v>
      </c>
      <c r="G5299" s="4" t="str">
        <f>HYPERLINK("http://141.218.60.56/~jnz1568/getInfo.php?workbook=14_09.xlsx&amp;sheet=U0&amp;row=5299&amp;col=7&amp;number=0.00928&amp;sourceID=14","0.00928")</f>
        <v>0.00928</v>
      </c>
    </row>
    <row r="5300" spans="1:7">
      <c r="A5300" s="3"/>
      <c r="B5300" s="3"/>
      <c r="C5300" s="3"/>
      <c r="D5300" s="3"/>
      <c r="E5300" s="3">
        <v>17</v>
      </c>
      <c r="F5300" s="4" t="str">
        <f>HYPERLINK("http://141.218.60.56/~jnz1568/getInfo.php?workbook=14_09.xlsx&amp;sheet=U0&amp;row=5300&amp;col=6&amp;number=4.6&amp;sourceID=14","4.6")</f>
        <v>4.6</v>
      </c>
      <c r="G5300" s="4" t="str">
        <f>HYPERLINK("http://141.218.60.56/~jnz1568/getInfo.php?workbook=14_09.xlsx&amp;sheet=U0&amp;row=5300&amp;col=7&amp;number=0.00878&amp;sourceID=14","0.00878")</f>
        <v>0.00878</v>
      </c>
    </row>
    <row r="5301" spans="1:7">
      <c r="A5301" s="3"/>
      <c r="B5301" s="3"/>
      <c r="C5301" s="3"/>
      <c r="D5301" s="3"/>
      <c r="E5301" s="3">
        <v>18</v>
      </c>
      <c r="F5301" s="4" t="str">
        <f>HYPERLINK("http://141.218.60.56/~jnz1568/getInfo.php?workbook=14_09.xlsx&amp;sheet=U0&amp;row=5301&amp;col=6&amp;number=4.7&amp;sourceID=14","4.7")</f>
        <v>4.7</v>
      </c>
      <c r="G5301" s="4" t="str">
        <f>HYPERLINK("http://141.218.60.56/~jnz1568/getInfo.php?workbook=14_09.xlsx&amp;sheet=U0&amp;row=5301&amp;col=7&amp;number=0.00821&amp;sourceID=14","0.00821")</f>
        <v>0.00821</v>
      </c>
    </row>
    <row r="5302" spans="1:7">
      <c r="A5302" s="3"/>
      <c r="B5302" s="3"/>
      <c r="C5302" s="3"/>
      <c r="D5302" s="3"/>
      <c r="E5302" s="3">
        <v>19</v>
      </c>
      <c r="F5302" s="4" t="str">
        <f>HYPERLINK("http://141.218.60.56/~jnz1568/getInfo.php?workbook=14_09.xlsx&amp;sheet=U0&amp;row=5302&amp;col=6&amp;number=4.8&amp;sourceID=14","4.8")</f>
        <v>4.8</v>
      </c>
      <c r="G5302" s="4" t="str">
        <f>HYPERLINK("http://141.218.60.56/~jnz1568/getInfo.php?workbook=14_09.xlsx&amp;sheet=U0&amp;row=5302&amp;col=7&amp;number=0.00759&amp;sourceID=14","0.00759")</f>
        <v>0.00759</v>
      </c>
    </row>
    <row r="5303" spans="1:7">
      <c r="A5303" s="3"/>
      <c r="B5303" s="3"/>
      <c r="C5303" s="3"/>
      <c r="D5303" s="3"/>
      <c r="E5303" s="3">
        <v>20</v>
      </c>
      <c r="F5303" s="4" t="str">
        <f>HYPERLINK("http://141.218.60.56/~jnz1568/getInfo.php?workbook=14_09.xlsx&amp;sheet=U0&amp;row=5303&amp;col=6&amp;number=4.9&amp;sourceID=14","4.9")</f>
        <v>4.9</v>
      </c>
      <c r="G5303" s="4" t="str">
        <f>HYPERLINK("http://141.218.60.56/~jnz1568/getInfo.php?workbook=14_09.xlsx&amp;sheet=U0&amp;row=5303&amp;col=7&amp;number=0.00695&amp;sourceID=14","0.00695")</f>
        <v>0.00695</v>
      </c>
    </row>
    <row r="5304" spans="1:7">
      <c r="A5304" s="3">
        <v>14</v>
      </c>
      <c r="B5304" s="3">
        <v>9</v>
      </c>
      <c r="C5304" s="3">
        <v>2</v>
      </c>
      <c r="D5304" s="3">
        <v>74</v>
      </c>
      <c r="E5304" s="3">
        <v>1</v>
      </c>
      <c r="F5304" s="4" t="str">
        <f>HYPERLINK("http://141.218.60.56/~jnz1568/getInfo.php?workbook=14_09.xlsx&amp;sheet=U0&amp;row=5304&amp;col=6&amp;number=3&amp;sourceID=14","3")</f>
        <v>3</v>
      </c>
      <c r="G5304" s="4" t="str">
        <f>HYPERLINK("http://141.218.60.56/~jnz1568/getInfo.php?workbook=14_09.xlsx&amp;sheet=U0&amp;row=5304&amp;col=7&amp;number=0.0135&amp;sourceID=14","0.0135")</f>
        <v>0.0135</v>
      </c>
    </row>
    <row r="5305" spans="1:7">
      <c r="A5305" s="3"/>
      <c r="B5305" s="3"/>
      <c r="C5305" s="3"/>
      <c r="D5305" s="3"/>
      <c r="E5305" s="3">
        <v>2</v>
      </c>
      <c r="F5305" s="4" t="str">
        <f>HYPERLINK("http://141.218.60.56/~jnz1568/getInfo.php?workbook=14_09.xlsx&amp;sheet=U0&amp;row=5305&amp;col=6&amp;number=3.1&amp;sourceID=14","3.1")</f>
        <v>3.1</v>
      </c>
      <c r="G5305" s="4" t="str">
        <f>HYPERLINK("http://141.218.60.56/~jnz1568/getInfo.php?workbook=14_09.xlsx&amp;sheet=U0&amp;row=5305&amp;col=7&amp;number=0.0135&amp;sourceID=14","0.0135")</f>
        <v>0.0135</v>
      </c>
    </row>
    <row r="5306" spans="1:7">
      <c r="A5306" s="3"/>
      <c r="B5306" s="3"/>
      <c r="C5306" s="3"/>
      <c r="D5306" s="3"/>
      <c r="E5306" s="3">
        <v>3</v>
      </c>
      <c r="F5306" s="4" t="str">
        <f>HYPERLINK("http://141.218.60.56/~jnz1568/getInfo.php?workbook=14_09.xlsx&amp;sheet=U0&amp;row=5306&amp;col=6&amp;number=3.2&amp;sourceID=14","3.2")</f>
        <v>3.2</v>
      </c>
      <c r="G5306" s="4" t="str">
        <f>HYPERLINK("http://141.218.60.56/~jnz1568/getInfo.php?workbook=14_09.xlsx&amp;sheet=U0&amp;row=5306&amp;col=7&amp;number=0.0134&amp;sourceID=14","0.0134")</f>
        <v>0.0134</v>
      </c>
    </row>
    <row r="5307" spans="1:7">
      <c r="A5307" s="3"/>
      <c r="B5307" s="3"/>
      <c r="C5307" s="3"/>
      <c r="D5307" s="3"/>
      <c r="E5307" s="3">
        <v>4</v>
      </c>
      <c r="F5307" s="4" t="str">
        <f>HYPERLINK("http://141.218.60.56/~jnz1568/getInfo.php?workbook=14_09.xlsx&amp;sheet=U0&amp;row=5307&amp;col=6&amp;number=3.3&amp;sourceID=14","3.3")</f>
        <v>3.3</v>
      </c>
      <c r="G5307" s="4" t="str">
        <f>HYPERLINK("http://141.218.60.56/~jnz1568/getInfo.php?workbook=14_09.xlsx&amp;sheet=U0&amp;row=5307&amp;col=7&amp;number=0.0134&amp;sourceID=14","0.0134")</f>
        <v>0.0134</v>
      </c>
    </row>
    <row r="5308" spans="1:7">
      <c r="A5308" s="3"/>
      <c r="B5308" s="3"/>
      <c r="C5308" s="3"/>
      <c r="D5308" s="3"/>
      <c r="E5308" s="3">
        <v>5</v>
      </c>
      <c r="F5308" s="4" t="str">
        <f>HYPERLINK("http://141.218.60.56/~jnz1568/getInfo.php?workbook=14_09.xlsx&amp;sheet=U0&amp;row=5308&amp;col=6&amp;number=3.4&amp;sourceID=14","3.4")</f>
        <v>3.4</v>
      </c>
      <c r="G5308" s="4" t="str">
        <f>HYPERLINK("http://141.218.60.56/~jnz1568/getInfo.php?workbook=14_09.xlsx&amp;sheet=U0&amp;row=5308&amp;col=7&amp;number=0.0134&amp;sourceID=14","0.0134")</f>
        <v>0.0134</v>
      </c>
    </row>
    <row r="5309" spans="1:7">
      <c r="A5309" s="3"/>
      <c r="B5309" s="3"/>
      <c r="C5309" s="3"/>
      <c r="D5309" s="3"/>
      <c r="E5309" s="3">
        <v>6</v>
      </c>
      <c r="F5309" s="4" t="str">
        <f>HYPERLINK("http://141.218.60.56/~jnz1568/getInfo.php?workbook=14_09.xlsx&amp;sheet=U0&amp;row=5309&amp;col=6&amp;number=3.5&amp;sourceID=14","3.5")</f>
        <v>3.5</v>
      </c>
      <c r="G5309" s="4" t="str">
        <f>HYPERLINK("http://141.218.60.56/~jnz1568/getInfo.php?workbook=14_09.xlsx&amp;sheet=U0&amp;row=5309&amp;col=7&amp;number=0.0133&amp;sourceID=14","0.0133")</f>
        <v>0.0133</v>
      </c>
    </row>
    <row r="5310" spans="1:7">
      <c r="A5310" s="3"/>
      <c r="B5310" s="3"/>
      <c r="C5310" s="3"/>
      <c r="D5310" s="3"/>
      <c r="E5310" s="3">
        <v>7</v>
      </c>
      <c r="F5310" s="4" t="str">
        <f>HYPERLINK("http://141.218.60.56/~jnz1568/getInfo.php?workbook=14_09.xlsx&amp;sheet=U0&amp;row=5310&amp;col=6&amp;number=3.6&amp;sourceID=14","3.6")</f>
        <v>3.6</v>
      </c>
      <c r="G5310" s="4" t="str">
        <f>HYPERLINK("http://141.218.60.56/~jnz1568/getInfo.php?workbook=14_09.xlsx&amp;sheet=U0&amp;row=5310&amp;col=7&amp;number=0.0132&amp;sourceID=14","0.0132")</f>
        <v>0.0132</v>
      </c>
    </row>
    <row r="5311" spans="1:7">
      <c r="A5311" s="3"/>
      <c r="B5311" s="3"/>
      <c r="C5311" s="3"/>
      <c r="D5311" s="3"/>
      <c r="E5311" s="3">
        <v>8</v>
      </c>
      <c r="F5311" s="4" t="str">
        <f>HYPERLINK("http://141.218.60.56/~jnz1568/getInfo.php?workbook=14_09.xlsx&amp;sheet=U0&amp;row=5311&amp;col=6&amp;number=3.7&amp;sourceID=14","3.7")</f>
        <v>3.7</v>
      </c>
      <c r="G5311" s="4" t="str">
        <f>HYPERLINK("http://141.218.60.56/~jnz1568/getInfo.php?workbook=14_09.xlsx&amp;sheet=U0&amp;row=5311&amp;col=7&amp;number=0.0131&amp;sourceID=14","0.0131")</f>
        <v>0.0131</v>
      </c>
    </row>
    <row r="5312" spans="1:7">
      <c r="A5312" s="3"/>
      <c r="B5312" s="3"/>
      <c r="C5312" s="3"/>
      <c r="D5312" s="3"/>
      <c r="E5312" s="3">
        <v>9</v>
      </c>
      <c r="F5312" s="4" t="str">
        <f>HYPERLINK("http://141.218.60.56/~jnz1568/getInfo.php?workbook=14_09.xlsx&amp;sheet=U0&amp;row=5312&amp;col=6&amp;number=3.8&amp;sourceID=14","3.8")</f>
        <v>3.8</v>
      </c>
      <c r="G5312" s="4" t="str">
        <f>HYPERLINK("http://141.218.60.56/~jnz1568/getInfo.php?workbook=14_09.xlsx&amp;sheet=U0&amp;row=5312&amp;col=7&amp;number=0.013&amp;sourceID=14","0.013")</f>
        <v>0.013</v>
      </c>
    </row>
    <row r="5313" spans="1:7">
      <c r="A5313" s="3"/>
      <c r="B5313" s="3"/>
      <c r="C5313" s="3"/>
      <c r="D5313" s="3"/>
      <c r="E5313" s="3">
        <v>10</v>
      </c>
      <c r="F5313" s="4" t="str">
        <f>HYPERLINK("http://141.218.60.56/~jnz1568/getInfo.php?workbook=14_09.xlsx&amp;sheet=U0&amp;row=5313&amp;col=6&amp;number=3.9&amp;sourceID=14","3.9")</f>
        <v>3.9</v>
      </c>
      <c r="G5313" s="4" t="str">
        <f>HYPERLINK("http://141.218.60.56/~jnz1568/getInfo.php?workbook=14_09.xlsx&amp;sheet=U0&amp;row=5313&amp;col=7&amp;number=0.0128&amp;sourceID=14","0.0128")</f>
        <v>0.0128</v>
      </c>
    </row>
    <row r="5314" spans="1:7">
      <c r="A5314" s="3"/>
      <c r="B5314" s="3"/>
      <c r="C5314" s="3"/>
      <c r="D5314" s="3"/>
      <c r="E5314" s="3">
        <v>11</v>
      </c>
      <c r="F5314" s="4" t="str">
        <f>HYPERLINK("http://141.218.60.56/~jnz1568/getInfo.php?workbook=14_09.xlsx&amp;sheet=U0&amp;row=5314&amp;col=6&amp;number=4&amp;sourceID=14","4")</f>
        <v>4</v>
      </c>
      <c r="G5314" s="4" t="str">
        <f>HYPERLINK("http://141.218.60.56/~jnz1568/getInfo.php?workbook=14_09.xlsx&amp;sheet=U0&amp;row=5314&amp;col=7&amp;number=0.0126&amp;sourceID=14","0.0126")</f>
        <v>0.0126</v>
      </c>
    </row>
    <row r="5315" spans="1:7">
      <c r="A5315" s="3"/>
      <c r="B5315" s="3"/>
      <c r="C5315" s="3"/>
      <c r="D5315" s="3"/>
      <c r="E5315" s="3">
        <v>12</v>
      </c>
      <c r="F5315" s="4" t="str">
        <f>HYPERLINK("http://141.218.60.56/~jnz1568/getInfo.php?workbook=14_09.xlsx&amp;sheet=U0&amp;row=5315&amp;col=6&amp;number=4.1&amp;sourceID=14","4.1")</f>
        <v>4.1</v>
      </c>
      <c r="G5315" s="4" t="str">
        <f>HYPERLINK("http://141.218.60.56/~jnz1568/getInfo.php?workbook=14_09.xlsx&amp;sheet=U0&amp;row=5315&amp;col=7&amp;number=0.0124&amp;sourceID=14","0.0124")</f>
        <v>0.0124</v>
      </c>
    </row>
    <row r="5316" spans="1:7">
      <c r="A5316" s="3"/>
      <c r="B5316" s="3"/>
      <c r="C5316" s="3"/>
      <c r="D5316" s="3"/>
      <c r="E5316" s="3">
        <v>13</v>
      </c>
      <c r="F5316" s="4" t="str">
        <f>HYPERLINK("http://141.218.60.56/~jnz1568/getInfo.php?workbook=14_09.xlsx&amp;sheet=U0&amp;row=5316&amp;col=6&amp;number=4.2&amp;sourceID=14","4.2")</f>
        <v>4.2</v>
      </c>
      <c r="G5316" s="4" t="str">
        <f>HYPERLINK("http://141.218.60.56/~jnz1568/getInfo.php?workbook=14_09.xlsx&amp;sheet=U0&amp;row=5316&amp;col=7&amp;number=0.012&amp;sourceID=14","0.012")</f>
        <v>0.012</v>
      </c>
    </row>
    <row r="5317" spans="1:7">
      <c r="A5317" s="3"/>
      <c r="B5317" s="3"/>
      <c r="C5317" s="3"/>
      <c r="D5317" s="3"/>
      <c r="E5317" s="3">
        <v>14</v>
      </c>
      <c r="F5317" s="4" t="str">
        <f>HYPERLINK("http://141.218.60.56/~jnz1568/getInfo.php?workbook=14_09.xlsx&amp;sheet=U0&amp;row=5317&amp;col=6&amp;number=4.3&amp;sourceID=14","4.3")</f>
        <v>4.3</v>
      </c>
      <c r="G5317" s="4" t="str">
        <f>HYPERLINK("http://141.218.60.56/~jnz1568/getInfo.php?workbook=14_09.xlsx&amp;sheet=U0&amp;row=5317&amp;col=7&amp;number=0.0117&amp;sourceID=14","0.0117")</f>
        <v>0.0117</v>
      </c>
    </row>
    <row r="5318" spans="1:7">
      <c r="A5318" s="3"/>
      <c r="B5318" s="3"/>
      <c r="C5318" s="3"/>
      <c r="D5318" s="3"/>
      <c r="E5318" s="3">
        <v>15</v>
      </c>
      <c r="F5318" s="4" t="str">
        <f>HYPERLINK("http://141.218.60.56/~jnz1568/getInfo.php?workbook=14_09.xlsx&amp;sheet=U0&amp;row=5318&amp;col=6&amp;number=4.4&amp;sourceID=14","4.4")</f>
        <v>4.4</v>
      </c>
      <c r="G5318" s="4" t="str">
        <f>HYPERLINK("http://141.218.60.56/~jnz1568/getInfo.php?workbook=14_09.xlsx&amp;sheet=U0&amp;row=5318&amp;col=7&amp;number=0.0112&amp;sourceID=14","0.0112")</f>
        <v>0.0112</v>
      </c>
    </row>
    <row r="5319" spans="1:7">
      <c r="A5319" s="3"/>
      <c r="B5319" s="3"/>
      <c r="C5319" s="3"/>
      <c r="D5319" s="3"/>
      <c r="E5319" s="3">
        <v>16</v>
      </c>
      <c r="F5319" s="4" t="str">
        <f>HYPERLINK("http://141.218.60.56/~jnz1568/getInfo.php?workbook=14_09.xlsx&amp;sheet=U0&amp;row=5319&amp;col=6&amp;number=4.5&amp;sourceID=14","4.5")</f>
        <v>4.5</v>
      </c>
      <c r="G5319" s="4" t="str">
        <f>HYPERLINK("http://141.218.60.56/~jnz1568/getInfo.php?workbook=14_09.xlsx&amp;sheet=U0&amp;row=5319&amp;col=7&amp;number=0.0106&amp;sourceID=14","0.0106")</f>
        <v>0.0106</v>
      </c>
    </row>
    <row r="5320" spans="1:7">
      <c r="A5320" s="3"/>
      <c r="B5320" s="3"/>
      <c r="C5320" s="3"/>
      <c r="D5320" s="3"/>
      <c r="E5320" s="3">
        <v>17</v>
      </c>
      <c r="F5320" s="4" t="str">
        <f>HYPERLINK("http://141.218.60.56/~jnz1568/getInfo.php?workbook=14_09.xlsx&amp;sheet=U0&amp;row=5320&amp;col=6&amp;number=4.6&amp;sourceID=14","4.6")</f>
        <v>4.6</v>
      </c>
      <c r="G5320" s="4" t="str">
        <f>HYPERLINK("http://141.218.60.56/~jnz1568/getInfo.php?workbook=14_09.xlsx&amp;sheet=U0&amp;row=5320&amp;col=7&amp;number=0.00995&amp;sourceID=14","0.00995")</f>
        <v>0.00995</v>
      </c>
    </row>
    <row r="5321" spans="1:7">
      <c r="A5321" s="3"/>
      <c r="B5321" s="3"/>
      <c r="C5321" s="3"/>
      <c r="D5321" s="3"/>
      <c r="E5321" s="3">
        <v>18</v>
      </c>
      <c r="F5321" s="4" t="str">
        <f>HYPERLINK("http://141.218.60.56/~jnz1568/getInfo.php?workbook=14_09.xlsx&amp;sheet=U0&amp;row=5321&amp;col=6&amp;number=4.7&amp;sourceID=14","4.7")</f>
        <v>4.7</v>
      </c>
      <c r="G5321" s="4" t="str">
        <f>HYPERLINK("http://141.218.60.56/~jnz1568/getInfo.php?workbook=14_09.xlsx&amp;sheet=U0&amp;row=5321&amp;col=7&amp;number=0.00918&amp;sourceID=14","0.00918")</f>
        <v>0.00918</v>
      </c>
    </row>
    <row r="5322" spans="1:7">
      <c r="A5322" s="3"/>
      <c r="B5322" s="3"/>
      <c r="C5322" s="3"/>
      <c r="D5322" s="3"/>
      <c r="E5322" s="3">
        <v>19</v>
      </c>
      <c r="F5322" s="4" t="str">
        <f>HYPERLINK("http://141.218.60.56/~jnz1568/getInfo.php?workbook=14_09.xlsx&amp;sheet=U0&amp;row=5322&amp;col=6&amp;number=4.8&amp;sourceID=14","4.8")</f>
        <v>4.8</v>
      </c>
      <c r="G5322" s="4" t="str">
        <f>HYPERLINK("http://141.218.60.56/~jnz1568/getInfo.php?workbook=14_09.xlsx&amp;sheet=U0&amp;row=5322&amp;col=7&amp;number=0.00833&amp;sourceID=14","0.00833")</f>
        <v>0.00833</v>
      </c>
    </row>
    <row r="5323" spans="1:7">
      <c r="A5323" s="3"/>
      <c r="B5323" s="3"/>
      <c r="C5323" s="3"/>
      <c r="D5323" s="3"/>
      <c r="E5323" s="3">
        <v>20</v>
      </c>
      <c r="F5323" s="4" t="str">
        <f>HYPERLINK("http://141.218.60.56/~jnz1568/getInfo.php?workbook=14_09.xlsx&amp;sheet=U0&amp;row=5323&amp;col=6&amp;number=4.9&amp;sourceID=14","4.9")</f>
        <v>4.9</v>
      </c>
      <c r="G5323" s="4" t="str">
        <f>HYPERLINK("http://141.218.60.56/~jnz1568/getInfo.php?workbook=14_09.xlsx&amp;sheet=U0&amp;row=5323&amp;col=7&amp;number=0.00747&amp;sourceID=14","0.00747")</f>
        <v>0.00747</v>
      </c>
    </row>
    <row r="5324" spans="1:7">
      <c r="A5324" s="3">
        <v>14</v>
      </c>
      <c r="B5324" s="3">
        <v>9</v>
      </c>
      <c r="C5324" s="3">
        <v>2</v>
      </c>
      <c r="D5324" s="3">
        <v>75</v>
      </c>
      <c r="E5324" s="3">
        <v>1</v>
      </c>
      <c r="F5324" s="4" t="str">
        <f>HYPERLINK("http://141.218.60.56/~jnz1568/getInfo.php?workbook=14_09.xlsx&amp;sheet=U0&amp;row=5324&amp;col=6&amp;number=3&amp;sourceID=14","3")</f>
        <v>3</v>
      </c>
      <c r="G5324" s="4" t="str">
        <f>HYPERLINK("http://141.218.60.56/~jnz1568/getInfo.php?workbook=14_09.xlsx&amp;sheet=U0&amp;row=5324&amp;col=7&amp;number=0.0162&amp;sourceID=14","0.0162")</f>
        <v>0.0162</v>
      </c>
    </row>
    <row r="5325" spans="1:7">
      <c r="A5325" s="3"/>
      <c r="B5325" s="3"/>
      <c r="C5325" s="3"/>
      <c r="D5325" s="3"/>
      <c r="E5325" s="3">
        <v>2</v>
      </c>
      <c r="F5325" s="4" t="str">
        <f>HYPERLINK("http://141.218.60.56/~jnz1568/getInfo.php?workbook=14_09.xlsx&amp;sheet=U0&amp;row=5325&amp;col=6&amp;number=3.1&amp;sourceID=14","3.1")</f>
        <v>3.1</v>
      </c>
      <c r="G5325" s="4" t="str">
        <f>HYPERLINK("http://141.218.60.56/~jnz1568/getInfo.php?workbook=14_09.xlsx&amp;sheet=U0&amp;row=5325&amp;col=7&amp;number=0.0161&amp;sourceID=14","0.0161")</f>
        <v>0.0161</v>
      </c>
    </row>
    <row r="5326" spans="1:7">
      <c r="A5326" s="3"/>
      <c r="B5326" s="3"/>
      <c r="C5326" s="3"/>
      <c r="D5326" s="3"/>
      <c r="E5326" s="3">
        <v>3</v>
      </c>
      <c r="F5326" s="4" t="str">
        <f>HYPERLINK("http://141.218.60.56/~jnz1568/getInfo.php?workbook=14_09.xlsx&amp;sheet=U0&amp;row=5326&amp;col=6&amp;number=3.2&amp;sourceID=14","3.2")</f>
        <v>3.2</v>
      </c>
      <c r="G5326" s="4" t="str">
        <f>HYPERLINK("http://141.218.60.56/~jnz1568/getInfo.php?workbook=14_09.xlsx&amp;sheet=U0&amp;row=5326&amp;col=7&amp;number=0.0161&amp;sourceID=14","0.0161")</f>
        <v>0.0161</v>
      </c>
    </row>
    <row r="5327" spans="1:7">
      <c r="A5327" s="3"/>
      <c r="B5327" s="3"/>
      <c r="C5327" s="3"/>
      <c r="D5327" s="3"/>
      <c r="E5327" s="3">
        <v>4</v>
      </c>
      <c r="F5327" s="4" t="str">
        <f>HYPERLINK("http://141.218.60.56/~jnz1568/getInfo.php?workbook=14_09.xlsx&amp;sheet=U0&amp;row=5327&amp;col=6&amp;number=3.3&amp;sourceID=14","3.3")</f>
        <v>3.3</v>
      </c>
      <c r="G5327" s="4" t="str">
        <f>HYPERLINK("http://141.218.60.56/~jnz1568/getInfo.php?workbook=14_09.xlsx&amp;sheet=U0&amp;row=5327&amp;col=7&amp;number=0.0161&amp;sourceID=14","0.0161")</f>
        <v>0.0161</v>
      </c>
    </row>
    <row r="5328" spans="1:7">
      <c r="A5328" s="3"/>
      <c r="B5328" s="3"/>
      <c r="C5328" s="3"/>
      <c r="D5328" s="3"/>
      <c r="E5328" s="3">
        <v>5</v>
      </c>
      <c r="F5328" s="4" t="str">
        <f>HYPERLINK("http://141.218.60.56/~jnz1568/getInfo.php?workbook=14_09.xlsx&amp;sheet=U0&amp;row=5328&amp;col=6&amp;number=3.4&amp;sourceID=14","3.4")</f>
        <v>3.4</v>
      </c>
      <c r="G5328" s="4" t="str">
        <f>HYPERLINK("http://141.218.60.56/~jnz1568/getInfo.php?workbook=14_09.xlsx&amp;sheet=U0&amp;row=5328&amp;col=7&amp;number=0.016&amp;sourceID=14","0.016")</f>
        <v>0.016</v>
      </c>
    </row>
    <row r="5329" spans="1:7">
      <c r="A5329" s="3"/>
      <c r="B5329" s="3"/>
      <c r="C5329" s="3"/>
      <c r="D5329" s="3"/>
      <c r="E5329" s="3">
        <v>6</v>
      </c>
      <c r="F5329" s="4" t="str">
        <f>HYPERLINK("http://141.218.60.56/~jnz1568/getInfo.php?workbook=14_09.xlsx&amp;sheet=U0&amp;row=5329&amp;col=6&amp;number=3.5&amp;sourceID=14","3.5")</f>
        <v>3.5</v>
      </c>
      <c r="G5329" s="4" t="str">
        <f>HYPERLINK("http://141.218.60.56/~jnz1568/getInfo.php?workbook=14_09.xlsx&amp;sheet=U0&amp;row=5329&amp;col=7&amp;number=0.0159&amp;sourceID=14","0.0159")</f>
        <v>0.0159</v>
      </c>
    </row>
    <row r="5330" spans="1:7">
      <c r="A5330" s="3"/>
      <c r="B5330" s="3"/>
      <c r="C5330" s="3"/>
      <c r="D5330" s="3"/>
      <c r="E5330" s="3">
        <v>7</v>
      </c>
      <c r="F5330" s="4" t="str">
        <f>HYPERLINK("http://141.218.60.56/~jnz1568/getInfo.php?workbook=14_09.xlsx&amp;sheet=U0&amp;row=5330&amp;col=6&amp;number=3.6&amp;sourceID=14","3.6")</f>
        <v>3.6</v>
      </c>
      <c r="G5330" s="4" t="str">
        <f>HYPERLINK("http://141.218.60.56/~jnz1568/getInfo.php?workbook=14_09.xlsx&amp;sheet=U0&amp;row=5330&amp;col=7&amp;number=0.0158&amp;sourceID=14","0.0158")</f>
        <v>0.0158</v>
      </c>
    </row>
    <row r="5331" spans="1:7">
      <c r="A5331" s="3"/>
      <c r="B5331" s="3"/>
      <c r="C5331" s="3"/>
      <c r="D5331" s="3"/>
      <c r="E5331" s="3">
        <v>8</v>
      </c>
      <c r="F5331" s="4" t="str">
        <f>HYPERLINK("http://141.218.60.56/~jnz1568/getInfo.php?workbook=14_09.xlsx&amp;sheet=U0&amp;row=5331&amp;col=6&amp;number=3.7&amp;sourceID=14","3.7")</f>
        <v>3.7</v>
      </c>
      <c r="G5331" s="4" t="str">
        <f>HYPERLINK("http://141.218.60.56/~jnz1568/getInfo.php?workbook=14_09.xlsx&amp;sheet=U0&amp;row=5331&amp;col=7&amp;number=0.0157&amp;sourceID=14","0.0157")</f>
        <v>0.0157</v>
      </c>
    </row>
    <row r="5332" spans="1:7">
      <c r="A5332" s="3"/>
      <c r="B5332" s="3"/>
      <c r="C5332" s="3"/>
      <c r="D5332" s="3"/>
      <c r="E5332" s="3">
        <v>9</v>
      </c>
      <c r="F5332" s="4" t="str">
        <f>HYPERLINK("http://141.218.60.56/~jnz1568/getInfo.php?workbook=14_09.xlsx&amp;sheet=U0&amp;row=5332&amp;col=6&amp;number=3.8&amp;sourceID=14","3.8")</f>
        <v>3.8</v>
      </c>
      <c r="G5332" s="4" t="str">
        <f>HYPERLINK("http://141.218.60.56/~jnz1568/getInfo.php?workbook=14_09.xlsx&amp;sheet=U0&amp;row=5332&amp;col=7&amp;number=0.0155&amp;sourceID=14","0.0155")</f>
        <v>0.0155</v>
      </c>
    </row>
    <row r="5333" spans="1:7">
      <c r="A5333" s="3"/>
      <c r="B5333" s="3"/>
      <c r="C5333" s="3"/>
      <c r="D5333" s="3"/>
      <c r="E5333" s="3">
        <v>10</v>
      </c>
      <c r="F5333" s="4" t="str">
        <f>HYPERLINK("http://141.218.60.56/~jnz1568/getInfo.php?workbook=14_09.xlsx&amp;sheet=U0&amp;row=5333&amp;col=6&amp;number=3.9&amp;sourceID=14","3.9")</f>
        <v>3.9</v>
      </c>
      <c r="G5333" s="4" t="str">
        <f>HYPERLINK("http://141.218.60.56/~jnz1568/getInfo.php?workbook=14_09.xlsx&amp;sheet=U0&amp;row=5333&amp;col=7&amp;number=0.0153&amp;sourceID=14","0.0153")</f>
        <v>0.0153</v>
      </c>
    </row>
    <row r="5334" spans="1:7">
      <c r="A5334" s="3"/>
      <c r="B5334" s="3"/>
      <c r="C5334" s="3"/>
      <c r="D5334" s="3"/>
      <c r="E5334" s="3">
        <v>11</v>
      </c>
      <c r="F5334" s="4" t="str">
        <f>HYPERLINK("http://141.218.60.56/~jnz1568/getInfo.php?workbook=14_09.xlsx&amp;sheet=U0&amp;row=5334&amp;col=6&amp;number=4&amp;sourceID=14","4")</f>
        <v>4</v>
      </c>
      <c r="G5334" s="4" t="str">
        <f>HYPERLINK("http://141.218.60.56/~jnz1568/getInfo.php?workbook=14_09.xlsx&amp;sheet=U0&amp;row=5334&amp;col=7&amp;number=0.0151&amp;sourceID=14","0.0151")</f>
        <v>0.0151</v>
      </c>
    </row>
    <row r="5335" spans="1:7">
      <c r="A5335" s="3"/>
      <c r="B5335" s="3"/>
      <c r="C5335" s="3"/>
      <c r="D5335" s="3"/>
      <c r="E5335" s="3">
        <v>12</v>
      </c>
      <c r="F5335" s="4" t="str">
        <f>HYPERLINK("http://141.218.60.56/~jnz1568/getInfo.php?workbook=14_09.xlsx&amp;sheet=U0&amp;row=5335&amp;col=6&amp;number=4.1&amp;sourceID=14","4.1")</f>
        <v>4.1</v>
      </c>
      <c r="G5335" s="4" t="str">
        <f>HYPERLINK("http://141.218.60.56/~jnz1568/getInfo.php?workbook=14_09.xlsx&amp;sheet=U0&amp;row=5335&amp;col=7&amp;number=0.0147&amp;sourceID=14","0.0147")</f>
        <v>0.0147</v>
      </c>
    </row>
    <row r="5336" spans="1:7">
      <c r="A5336" s="3"/>
      <c r="B5336" s="3"/>
      <c r="C5336" s="3"/>
      <c r="D5336" s="3"/>
      <c r="E5336" s="3">
        <v>13</v>
      </c>
      <c r="F5336" s="4" t="str">
        <f>HYPERLINK("http://141.218.60.56/~jnz1568/getInfo.php?workbook=14_09.xlsx&amp;sheet=U0&amp;row=5336&amp;col=6&amp;number=4.2&amp;sourceID=14","4.2")</f>
        <v>4.2</v>
      </c>
      <c r="G5336" s="4" t="str">
        <f>HYPERLINK("http://141.218.60.56/~jnz1568/getInfo.php?workbook=14_09.xlsx&amp;sheet=U0&amp;row=5336&amp;col=7&amp;number=0.0144&amp;sourceID=14","0.0144")</f>
        <v>0.0144</v>
      </c>
    </row>
    <row r="5337" spans="1:7">
      <c r="A5337" s="3"/>
      <c r="B5337" s="3"/>
      <c r="C5337" s="3"/>
      <c r="D5337" s="3"/>
      <c r="E5337" s="3">
        <v>14</v>
      </c>
      <c r="F5337" s="4" t="str">
        <f>HYPERLINK("http://141.218.60.56/~jnz1568/getInfo.php?workbook=14_09.xlsx&amp;sheet=U0&amp;row=5337&amp;col=6&amp;number=4.3&amp;sourceID=14","4.3")</f>
        <v>4.3</v>
      </c>
      <c r="G5337" s="4" t="str">
        <f>HYPERLINK("http://141.218.60.56/~jnz1568/getInfo.php?workbook=14_09.xlsx&amp;sheet=U0&amp;row=5337&amp;col=7&amp;number=0.0139&amp;sourceID=14","0.0139")</f>
        <v>0.0139</v>
      </c>
    </row>
    <row r="5338" spans="1:7">
      <c r="A5338" s="3"/>
      <c r="B5338" s="3"/>
      <c r="C5338" s="3"/>
      <c r="D5338" s="3"/>
      <c r="E5338" s="3">
        <v>15</v>
      </c>
      <c r="F5338" s="4" t="str">
        <f>HYPERLINK("http://141.218.60.56/~jnz1568/getInfo.php?workbook=14_09.xlsx&amp;sheet=U0&amp;row=5338&amp;col=6&amp;number=4.4&amp;sourceID=14","4.4")</f>
        <v>4.4</v>
      </c>
      <c r="G5338" s="4" t="str">
        <f>HYPERLINK("http://141.218.60.56/~jnz1568/getInfo.php?workbook=14_09.xlsx&amp;sheet=U0&amp;row=5338&amp;col=7&amp;number=0.0133&amp;sourceID=14","0.0133")</f>
        <v>0.0133</v>
      </c>
    </row>
    <row r="5339" spans="1:7">
      <c r="A5339" s="3"/>
      <c r="B5339" s="3"/>
      <c r="C5339" s="3"/>
      <c r="D5339" s="3"/>
      <c r="E5339" s="3">
        <v>16</v>
      </c>
      <c r="F5339" s="4" t="str">
        <f>HYPERLINK("http://141.218.60.56/~jnz1568/getInfo.php?workbook=14_09.xlsx&amp;sheet=U0&amp;row=5339&amp;col=6&amp;number=4.5&amp;sourceID=14","4.5")</f>
        <v>4.5</v>
      </c>
      <c r="G5339" s="4" t="str">
        <f>HYPERLINK("http://141.218.60.56/~jnz1568/getInfo.php?workbook=14_09.xlsx&amp;sheet=U0&amp;row=5339&amp;col=7&amp;number=0.0126&amp;sourceID=14","0.0126")</f>
        <v>0.0126</v>
      </c>
    </row>
    <row r="5340" spans="1:7">
      <c r="A5340" s="3"/>
      <c r="B5340" s="3"/>
      <c r="C5340" s="3"/>
      <c r="D5340" s="3"/>
      <c r="E5340" s="3">
        <v>17</v>
      </c>
      <c r="F5340" s="4" t="str">
        <f>HYPERLINK("http://141.218.60.56/~jnz1568/getInfo.php?workbook=14_09.xlsx&amp;sheet=U0&amp;row=5340&amp;col=6&amp;number=4.6&amp;sourceID=14","4.6")</f>
        <v>4.6</v>
      </c>
      <c r="G5340" s="4" t="str">
        <f>HYPERLINK("http://141.218.60.56/~jnz1568/getInfo.php?workbook=14_09.xlsx&amp;sheet=U0&amp;row=5340&amp;col=7&amp;number=0.0118&amp;sourceID=14","0.0118")</f>
        <v>0.0118</v>
      </c>
    </row>
    <row r="5341" spans="1:7">
      <c r="A5341" s="3"/>
      <c r="B5341" s="3"/>
      <c r="C5341" s="3"/>
      <c r="D5341" s="3"/>
      <c r="E5341" s="3">
        <v>18</v>
      </c>
      <c r="F5341" s="4" t="str">
        <f>HYPERLINK("http://141.218.60.56/~jnz1568/getInfo.php?workbook=14_09.xlsx&amp;sheet=U0&amp;row=5341&amp;col=6&amp;number=4.7&amp;sourceID=14","4.7")</f>
        <v>4.7</v>
      </c>
      <c r="G5341" s="4" t="str">
        <f>HYPERLINK("http://141.218.60.56/~jnz1568/getInfo.php?workbook=14_09.xlsx&amp;sheet=U0&amp;row=5341&amp;col=7&amp;number=0.0109&amp;sourceID=14","0.0109")</f>
        <v>0.0109</v>
      </c>
    </row>
    <row r="5342" spans="1:7">
      <c r="A5342" s="3"/>
      <c r="B5342" s="3"/>
      <c r="C5342" s="3"/>
      <c r="D5342" s="3"/>
      <c r="E5342" s="3">
        <v>19</v>
      </c>
      <c r="F5342" s="4" t="str">
        <f>HYPERLINK("http://141.218.60.56/~jnz1568/getInfo.php?workbook=14_09.xlsx&amp;sheet=U0&amp;row=5342&amp;col=6&amp;number=4.8&amp;sourceID=14","4.8")</f>
        <v>4.8</v>
      </c>
      <c r="G5342" s="4" t="str">
        <f>HYPERLINK("http://141.218.60.56/~jnz1568/getInfo.php?workbook=14_09.xlsx&amp;sheet=U0&amp;row=5342&amp;col=7&amp;number=0.00996&amp;sourceID=14","0.00996")</f>
        <v>0.00996</v>
      </c>
    </row>
    <row r="5343" spans="1:7">
      <c r="A5343" s="3"/>
      <c r="B5343" s="3"/>
      <c r="C5343" s="3"/>
      <c r="D5343" s="3"/>
      <c r="E5343" s="3">
        <v>20</v>
      </c>
      <c r="F5343" s="4" t="str">
        <f>HYPERLINK("http://141.218.60.56/~jnz1568/getInfo.php?workbook=14_09.xlsx&amp;sheet=U0&amp;row=5343&amp;col=6&amp;number=4.9&amp;sourceID=14","4.9")</f>
        <v>4.9</v>
      </c>
      <c r="G5343" s="4" t="str">
        <f>HYPERLINK("http://141.218.60.56/~jnz1568/getInfo.php?workbook=14_09.xlsx&amp;sheet=U0&amp;row=5343&amp;col=7&amp;number=0.00896&amp;sourceID=14","0.00896")</f>
        <v>0.00896</v>
      </c>
    </row>
    <row r="5344" spans="1:7">
      <c r="A5344" s="3">
        <v>14</v>
      </c>
      <c r="B5344" s="3">
        <v>9</v>
      </c>
      <c r="C5344" s="3">
        <v>2</v>
      </c>
      <c r="D5344" s="3">
        <v>76</v>
      </c>
      <c r="E5344" s="3">
        <v>1</v>
      </c>
      <c r="F5344" s="4" t="str">
        <f>HYPERLINK("http://141.218.60.56/~jnz1568/getInfo.php?workbook=14_09.xlsx&amp;sheet=U0&amp;row=5344&amp;col=6&amp;number=3&amp;sourceID=14","3")</f>
        <v>3</v>
      </c>
      <c r="G5344" s="4" t="str">
        <f>HYPERLINK("http://141.218.60.56/~jnz1568/getInfo.php?workbook=14_09.xlsx&amp;sheet=U0&amp;row=5344&amp;col=7&amp;number=0.024&amp;sourceID=14","0.024")</f>
        <v>0.024</v>
      </c>
    </row>
    <row r="5345" spans="1:7">
      <c r="A5345" s="3"/>
      <c r="B5345" s="3"/>
      <c r="C5345" s="3"/>
      <c r="D5345" s="3"/>
      <c r="E5345" s="3">
        <v>2</v>
      </c>
      <c r="F5345" s="4" t="str">
        <f>HYPERLINK("http://141.218.60.56/~jnz1568/getInfo.php?workbook=14_09.xlsx&amp;sheet=U0&amp;row=5345&amp;col=6&amp;number=3.1&amp;sourceID=14","3.1")</f>
        <v>3.1</v>
      </c>
      <c r="G5345" s="4" t="str">
        <f>HYPERLINK("http://141.218.60.56/~jnz1568/getInfo.php?workbook=14_09.xlsx&amp;sheet=U0&amp;row=5345&amp;col=7&amp;number=0.0239&amp;sourceID=14","0.0239")</f>
        <v>0.0239</v>
      </c>
    </row>
    <row r="5346" spans="1:7">
      <c r="A5346" s="3"/>
      <c r="B5346" s="3"/>
      <c r="C5346" s="3"/>
      <c r="D5346" s="3"/>
      <c r="E5346" s="3">
        <v>3</v>
      </c>
      <c r="F5346" s="4" t="str">
        <f>HYPERLINK("http://141.218.60.56/~jnz1568/getInfo.php?workbook=14_09.xlsx&amp;sheet=U0&amp;row=5346&amp;col=6&amp;number=3.2&amp;sourceID=14","3.2")</f>
        <v>3.2</v>
      </c>
      <c r="G5346" s="4" t="str">
        <f>HYPERLINK("http://141.218.60.56/~jnz1568/getInfo.php?workbook=14_09.xlsx&amp;sheet=U0&amp;row=5346&amp;col=7&amp;number=0.0239&amp;sourceID=14","0.0239")</f>
        <v>0.0239</v>
      </c>
    </row>
    <row r="5347" spans="1:7">
      <c r="A5347" s="3"/>
      <c r="B5347" s="3"/>
      <c r="C5347" s="3"/>
      <c r="D5347" s="3"/>
      <c r="E5347" s="3">
        <v>4</v>
      </c>
      <c r="F5347" s="4" t="str">
        <f>HYPERLINK("http://141.218.60.56/~jnz1568/getInfo.php?workbook=14_09.xlsx&amp;sheet=U0&amp;row=5347&amp;col=6&amp;number=3.3&amp;sourceID=14","3.3")</f>
        <v>3.3</v>
      </c>
      <c r="G5347" s="4" t="str">
        <f>HYPERLINK("http://141.218.60.56/~jnz1568/getInfo.php?workbook=14_09.xlsx&amp;sheet=U0&amp;row=5347&amp;col=7&amp;number=0.0238&amp;sourceID=14","0.0238")</f>
        <v>0.0238</v>
      </c>
    </row>
    <row r="5348" spans="1:7">
      <c r="A5348" s="3"/>
      <c r="B5348" s="3"/>
      <c r="C5348" s="3"/>
      <c r="D5348" s="3"/>
      <c r="E5348" s="3">
        <v>5</v>
      </c>
      <c r="F5348" s="4" t="str">
        <f>HYPERLINK("http://141.218.60.56/~jnz1568/getInfo.php?workbook=14_09.xlsx&amp;sheet=U0&amp;row=5348&amp;col=6&amp;number=3.4&amp;sourceID=14","3.4")</f>
        <v>3.4</v>
      </c>
      <c r="G5348" s="4" t="str">
        <f>HYPERLINK("http://141.218.60.56/~jnz1568/getInfo.php?workbook=14_09.xlsx&amp;sheet=U0&amp;row=5348&amp;col=7&amp;number=0.0237&amp;sourceID=14","0.0237")</f>
        <v>0.0237</v>
      </c>
    </row>
    <row r="5349" spans="1:7">
      <c r="A5349" s="3"/>
      <c r="B5349" s="3"/>
      <c r="C5349" s="3"/>
      <c r="D5349" s="3"/>
      <c r="E5349" s="3">
        <v>6</v>
      </c>
      <c r="F5349" s="4" t="str">
        <f>HYPERLINK("http://141.218.60.56/~jnz1568/getInfo.php?workbook=14_09.xlsx&amp;sheet=U0&amp;row=5349&amp;col=6&amp;number=3.5&amp;sourceID=14","3.5")</f>
        <v>3.5</v>
      </c>
      <c r="G5349" s="4" t="str">
        <f>HYPERLINK("http://141.218.60.56/~jnz1568/getInfo.php?workbook=14_09.xlsx&amp;sheet=U0&amp;row=5349&amp;col=7&amp;number=0.0236&amp;sourceID=14","0.0236")</f>
        <v>0.0236</v>
      </c>
    </row>
    <row r="5350" spans="1:7">
      <c r="A5350" s="3"/>
      <c r="B5350" s="3"/>
      <c r="C5350" s="3"/>
      <c r="D5350" s="3"/>
      <c r="E5350" s="3">
        <v>7</v>
      </c>
      <c r="F5350" s="4" t="str">
        <f>HYPERLINK("http://141.218.60.56/~jnz1568/getInfo.php?workbook=14_09.xlsx&amp;sheet=U0&amp;row=5350&amp;col=6&amp;number=3.6&amp;sourceID=14","3.6")</f>
        <v>3.6</v>
      </c>
      <c r="G5350" s="4" t="str">
        <f>HYPERLINK("http://141.218.60.56/~jnz1568/getInfo.php?workbook=14_09.xlsx&amp;sheet=U0&amp;row=5350&amp;col=7&amp;number=0.0235&amp;sourceID=14","0.0235")</f>
        <v>0.0235</v>
      </c>
    </row>
    <row r="5351" spans="1:7">
      <c r="A5351" s="3"/>
      <c r="B5351" s="3"/>
      <c r="C5351" s="3"/>
      <c r="D5351" s="3"/>
      <c r="E5351" s="3">
        <v>8</v>
      </c>
      <c r="F5351" s="4" t="str">
        <f>HYPERLINK("http://141.218.60.56/~jnz1568/getInfo.php?workbook=14_09.xlsx&amp;sheet=U0&amp;row=5351&amp;col=6&amp;number=3.7&amp;sourceID=14","3.7")</f>
        <v>3.7</v>
      </c>
      <c r="G5351" s="4" t="str">
        <f>HYPERLINK("http://141.218.60.56/~jnz1568/getInfo.php?workbook=14_09.xlsx&amp;sheet=U0&amp;row=5351&amp;col=7&amp;number=0.0233&amp;sourceID=14","0.0233")</f>
        <v>0.0233</v>
      </c>
    </row>
    <row r="5352" spans="1:7">
      <c r="A5352" s="3"/>
      <c r="B5352" s="3"/>
      <c r="C5352" s="3"/>
      <c r="D5352" s="3"/>
      <c r="E5352" s="3">
        <v>9</v>
      </c>
      <c r="F5352" s="4" t="str">
        <f>HYPERLINK("http://141.218.60.56/~jnz1568/getInfo.php?workbook=14_09.xlsx&amp;sheet=U0&amp;row=5352&amp;col=6&amp;number=3.8&amp;sourceID=14","3.8")</f>
        <v>3.8</v>
      </c>
      <c r="G5352" s="4" t="str">
        <f>HYPERLINK("http://141.218.60.56/~jnz1568/getInfo.php?workbook=14_09.xlsx&amp;sheet=U0&amp;row=5352&amp;col=7&amp;number=0.0231&amp;sourceID=14","0.0231")</f>
        <v>0.0231</v>
      </c>
    </row>
    <row r="5353" spans="1:7">
      <c r="A5353" s="3"/>
      <c r="B5353" s="3"/>
      <c r="C5353" s="3"/>
      <c r="D5353" s="3"/>
      <c r="E5353" s="3">
        <v>10</v>
      </c>
      <c r="F5353" s="4" t="str">
        <f>HYPERLINK("http://141.218.60.56/~jnz1568/getInfo.php?workbook=14_09.xlsx&amp;sheet=U0&amp;row=5353&amp;col=6&amp;number=3.9&amp;sourceID=14","3.9")</f>
        <v>3.9</v>
      </c>
      <c r="G5353" s="4" t="str">
        <f>HYPERLINK("http://141.218.60.56/~jnz1568/getInfo.php?workbook=14_09.xlsx&amp;sheet=U0&amp;row=5353&amp;col=7&amp;number=0.0228&amp;sourceID=14","0.0228")</f>
        <v>0.0228</v>
      </c>
    </row>
    <row r="5354" spans="1:7">
      <c r="A5354" s="3"/>
      <c r="B5354" s="3"/>
      <c r="C5354" s="3"/>
      <c r="D5354" s="3"/>
      <c r="E5354" s="3">
        <v>11</v>
      </c>
      <c r="F5354" s="4" t="str">
        <f>HYPERLINK("http://141.218.60.56/~jnz1568/getInfo.php?workbook=14_09.xlsx&amp;sheet=U0&amp;row=5354&amp;col=6&amp;number=4&amp;sourceID=14","4")</f>
        <v>4</v>
      </c>
      <c r="G5354" s="4" t="str">
        <f>HYPERLINK("http://141.218.60.56/~jnz1568/getInfo.php?workbook=14_09.xlsx&amp;sheet=U0&amp;row=5354&amp;col=7&amp;number=0.0225&amp;sourceID=14","0.0225")</f>
        <v>0.0225</v>
      </c>
    </row>
    <row r="5355" spans="1:7">
      <c r="A5355" s="3"/>
      <c r="B5355" s="3"/>
      <c r="C5355" s="3"/>
      <c r="D5355" s="3"/>
      <c r="E5355" s="3">
        <v>12</v>
      </c>
      <c r="F5355" s="4" t="str">
        <f>HYPERLINK("http://141.218.60.56/~jnz1568/getInfo.php?workbook=14_09.xlsx&amp;sheet=U0&amp;row=5355&amp;col=6&amp;number=4.1&amp;sourceID=14","4.1")</f>
        <v>4.1</v>
      </c>
      <c r="G5355" s="4" t="str">
        <f>HYPERLINK("http://141.218.60.56/~jnz1568/getInfo.php?workbook=14_09.xlsx&amp;sheet=U0&amp;row=5355&amp;col=7&amp;number=0.0221&amp;sourceID=14","0.0221")</f>
        <v>0.0221</v>
      </c>
    </row>
    <row r="5356" spans="1:7">
      <c r="A5356" s="3"/>
      <c r="B5356" s="3"/>
      <c r="C5356" s="3"/>
      <c r="D5356" s="3"/>
      <c r="E5356" s="3">
        <v>13</v>
      </c>
      <c r="F5356" s="4" t="str">
        <f>HYPERLINK("http://141.218.60.56/~jnz1568/getInfo.php?workbook=14_09.xlsx&amp;sheet=U0&amp;row=5356&amp;col=6&amp;number=4.2&amp;sourceID=14","4.2")</f>
        <v>4.2</v>
      </c>
      <c r="G5356" s="4" t="str">
        <f>HYPERLINK("http://141.218.60.56/~jnz1568/getInfo.php?workbook=14_09.xlsx&amp;sheet=U0&amp;row=5356&amp;col=7&amp;number=0.0216&amp;sourceID=14","0.0216")</f>
        <v>0.0216</v>
      </c>
    </row>
    <row r="5357" spans="1:7">
      <c r="A5357" s="3"/>
      <c r="B5357" s="3"/>
      <c r="C5357" s="3"/>
      <c r="D5357" s="3"/>
      <c r="E5357" s="3">
        <v>14</v>
      </c>
      <c r="F5357" s="4" t="str">
        <f>HYPERLINK("http://141.218.60.56/~jnz1568/getInfo.php?workbook=14_09.xlsx&amp;sheet=U0&amp;row=5357&amp;col=6&amp;number=4.3&amp;sourceID=14","4.3")</f>
        <v>4.3</v>
      </c>
      <c r="G5357" s="4" t="str">
        <f>HYPERLINK("http://141.218.60.56/~jnz1568/getInfo.php?workbook=14_09.xlsx&amp;sheet=U0&amp;row=5357&amp;col=7&amp;number=0.0209&amp;sourceID=14","0.0209")</f>
        <v>0.0209</v>
      </c>
    </row>
    <row r="5358" spans="1:7">
      <c r="A5358" s="3"/>
      <c r="B5358" s="3"/>
      <c r="C5358" s="3"/>
      <c r="D5358" s="3"/>
      <c r="E5358" s="3">
        <v>15</v>
      </c>
      <c r="F5358" s="4" t="str">
        <f>HYPERLINK("http://141.218.60.56/~jnz1568/getInfo.php?workbook=14_09.xlsx&amp;sheet=U0&amp;row=5358&amp;col=6&amp;number=4.4&amp;sourceID=14","4.4")</f>
        <v>4.4</v>
      </c>
      <c r="G5358" s="4" t="str">
        <f>HYPERLINK("http://141.218.60.56/~jnz1568/getInfo.php?workbook=14_09.xlsx&amp;sheet=U0&amp;row=5358&amp;col=7&amp;number=0.0202&amp;sourceID=14","0.0202")</f>
        <v>0.0202</v>
      </c>
    </row>
    <row r="5359" spans="1:7">
      <c r="A5359" s="3"/>
      <c r="B5359" s="3"/>
      <c r="C5359" s="3"/>
      <c r="D5359" s="3"/>
      <c r="E5359" s="3">
        <v>16</v>
      </c>
      <c r="F5359" s="4" t="str">
        <f>HYPERLINK("http://141.218.60.56/~jnz1568/getInfo.php?workbook=14_09.xlsx&amp;sheet=U0&amp;row=5359&amp;col=6&amp;number=4.5&amp;sourceID=14","4.5")</f>
        <v>4.5</v>
      </c>
      <c r="G5359" s="4" t="str">
        <f>HYPERLINK("http://141.218.60.56/~jnz1568/getInfo.php?workbook=14_09.xlsx&amp;sheet=U0&amp;row=5359&amp;col=7&amp;number=0.0192&amp;sourceID=14","0.0192")</f>
        <v>0.0192</v>
      </c>
    </row>
    <row r="5360" spans="1:7">
      <c r="A5360" s="3"/>
      <c r="B5360" s="3"/>
      <c r="C5360" s="3"/>
      <c r="D5360" s="3"/>
      <c r="E5360" s="3">
        <v>17</v>
      </c>
      <c r="F5360" s="4" t="str">
        <f>HYPERLINK("http://141.218.60.56/~jnz1568/getInfo.php?workbook=14_09.xlsx&amp;sheet=U0&amp;row=5360&amp;col=6&amp;number=4.6&amp;sourceID=14","4.6")</f>
        <v>4.6</v>
      </c>
      <c r="G5360" s="4" t="str">
        <f>HYPERLINK("http://141.218.60.56/~jnz1568/getInfo.php?workbook=14_09.xlsx&amp;sheet=U0&amp;row=5360&amp;col=7&amp;number=0.0181&amp;sourceID=14","0.0181")</f>
        <v>0.0181</v>
      </c>
    </row>
    <row r="5361" spans="1:7">
      <c r="A5361" s="3"/>
      <c r="B5361" s="3"/>
      <c r="C5361" s="3"/>
      <c r="D5361" s="3"/>
      <c r="E5361" s="3">
        <v>18</v>
      </c>
      <c r="F5361" s="4" t="str">
        <f>HYPERLINK("http://141.218.60.56/~jnz1568/getInfo.php?workbook=14_09.xlsx&amp;sheet=U0&amp;row=5361&amp;col=6&amp;number=4.7&amp;sourceID=14","4.7")</f>
        <v>4.7</v>
      </c>
      <c r="G5361" s="4" t="str">
        <f>HYPERLINK("http://141.218.60.56/~jnz1568/getInfo.php?workbook=14_09.xlsx&amp;sheet=U0&amp;row=5361&amp;col=7&amp;number=0.0168&amp;sourceID=14","0.0168")</f>
        <v>0.0168</v>
      </c>
    </row>
    <row r="5362" spans="1:7">
      <c r="A5362" s="3"/>
      <c r="B5362" s="3"/>
      <c r="C5362" s="3"/>
      <c r="D5362" s="3"/>
      <c r="E5362" s="3">
        <v>19</v>
      </c>
      <c r="F5362" s="4" t="str">
        <f>HYPERLINK("http://141.218.60.56/~jnz1568/getInfo.php?workbook=14_09.xlsx&amp;sheet=U0&amp;row=5362&amp;col=6&amp;number=4.8&amp;sourceID=14","4.8")</f>
        <v>4.8</v>
      </c>
      <c r="G5362" s="4" t="str">
        <f>HYPERLINK("http://141.218.60.56/~jnz1568/getInfo.php?workbook=14_09.xlsx&amp;sheet=U0&amp;row=5362&amp;col=7&amp;number=0.0153&amp;sourceID=14","0.0153")</f>
        <v>0.0153</v>
      </c>
    </row>
    <row r="5363" spans="1:7">
      <c r="A5363" s="3"/>
      <c r="B5363" s="3"/>
      <c r="C5363" s="3"/>
      <c r="D5363" s="3"/>
      <c r="E5363" s="3">
        <v>20</v>
      </c>
      <c r="F5363" s="4" t="str">
        <f>HYPERLINK("http://141.218.60.56/~jnz1568/getInfo.php?workbook=14_09.xlsx&amp;sheet=U0&amp;row=5363&amp;col=6&amp;number=4.9&amp;sourceID=14","4.9")</f>
        <v>4.9</v>
      </c>
      <c r="G5363" s="4" t="str">
        <f>HYPERLINK("http://141.218.60.56/~jnz1568/getInfo.php?workbook=14_09.xlsx&amp;sheet=U0&amp;row=5363&amp;col=7&amp;number=0.0138&amp;sourceID=14","0.0138")</f>
        <v>0.0138</v>
      </c>
    </row>
    <row r="5364" spans="1:7">
      <c r="A5364" s="3">
        <v>14</v>
      </c>
      <c r="B5364" s="3">
        <v>9</v>
      </c>
      <c r="C5364" s="3">
        <v>2</v>
      </c>
      <c r="D5364" s="3">
        <v>77</v>
      </c>
      <c r="E5364" s="3">
        <v>1</v>
      </c>
      <c r="F5364" s="4" t="str">
        <f>HYPERLINK("http://141.218.60.56/~jnz1568/getInfo.php?workbook=14_09.xlsx&amp;sheet=U0&amp;row=5364&amp;col=6&amp;number=3&amp;sourceID=14","3")</f>
        <v>3</v>
      </c>
      <c r="G5364" s="4" t="str">
        <f>HYPERLINK("http://141.218.60.56/~jnz1568/getInfo.php?workbook=14_09.xlsx&amp;sheet=U0&amp;row=5364&amp;col=7&amp;number=0.0263&amp;sourceID=14","0.0263")</f>
        <v>0.0263</v>
      </c>
    </row>
    <row r="5365" spans="1:7">
      <c r="A5365" s="3"/>
      <c r="B5365" s="3"/>
      <c r="C5365" s="3"/>
      <c r="D5365" s="3"/>
      <c r="E5365" s="3">
        <v>2</v>
      </c>
      <c r="F5365" s="4" t="str">
        <f>HYPERLINK("http://141.218.60.56/~jnz1568/getInfo.php?workbook=14_09.xlsx&amp;sheet=U0&amp;row=5365&amp;col=6&amp;number=3.1&amp;sourceID=14","3.1")</f>
        <v>3.1</v>
      </c>
      <c r="G5365" s="4" t="str">
        <f>HYPERLINK("http://141.218.60.56/~jnz1568/getInfo.php?workbook=14_09.xlsx&amp;sheet=U0&amp;row=5365&amp;col=7&amp;number=0.0263&amp;sourceID=14","0.0263")</f>
        <v>0.0263</v>
      </c>
    </row>
    <row r="5366" spans="1:7">
      <c r="A5366" s="3"/>
      <c r="B5366" s="3"/>
      <c r="C5366" s="3"/>
      <c r="D5366" s="3"/>
      <c r="E5366" s="3">
        <v>3</v>
      </c>
      <c r="F5366" s="4" t="str">
        <f>HYPERLINK("http://141.218.60.56/~jnz1568/getInfo.php?workbook=14_09.xlsx&amp;sheet=U0&amp;row=5366&amp;col=6&amp;number=3.2&amp;sourceID=14","3.2")</f>
        <v>3.2</v>
      </c>
      <c r="G5366" s="4" t="str">
        <f>HYPERLINK("http://141.218.60.56/~jnz1568/getInfo.php?workbook=14_09.xlsx&amp;sheet=U0&amp;row=5366&amp;col=7&amp;number=0.0262&amp;sourceID=14","0.0262")</f>
        <v>0.0262</v>
      </c>
    </row>
    <row r="5367" spans="1:7">
      <c r="A5367" s="3"/>
      <c r="B5367" s="3"/>
      <c r="C5367" s="3"/>
      <c r="D5367" s="3"/>
      <c r="E5367" s="3">
        <v>4</v>
      </c>
      <c r="F5367" s="4" t="str">
        <f>HYPERLINK("http://141.218.60.56/~jnz1568/getInfo.php?workbook=14_09.xlsx&amp;sheet=U0&amp;row=5367&amp;col=6&amp;number=3.3&amp;sourceID=14","3.3")</f>
        <v>3.3</v>
      </c>
      <c r="G5367" s="4" t="str">
        <f>HYPERLINK("http://141.218.60.56/~jnz1568/getInfo.php?workbook=14_09.xlsx&amp;sheet=U0&amp;row=5367&amp;col=7&amp;number=0.0261&amp;sourceID=14","0.0261")</f>
        <v>0.0261</v>
      </c>
    </row>
    <row r="5368" spans="1:7">
      <c r="A5368" s="3"/>
      <c r="B5368" s="3"/>
      <c r="C5368" s="3"/>
      <c r="D5368" s="3"/>
      <c r="E5368" s="3">
        <v>5</v>
      </c>
      <c r="F5368" s="4" t="str">
        <f>HYPERLINK("http://141.218.60.56/~jnz1568/getInfo.php?workbook=14_09.xlsx&amp;sheet=U0&amp;row=5368&amp;col=6&amp;number=3.4&amp;sourceID=14","3.4")</f>
        <v>3.4</v>
      </c>
      <c r="G5368" s="4" t="str">
        <f>HYPERLINK("http://141.218.60.56/~jnz1568/getInfo.php?workbook=14_09.xlsx&amp;sheet=U0&amp;row=5368&amp;col=7&amp;number=0.026&amp;sourceID=14","0.026")</f>
        <v>0.026</v>
      </c>
    </row>
    <row r="5369" spans="1:7">
      <c r="A5369" s="3"/>
      <c r="B5369" s="3"/>
      <c r="C5369" s="3"/>
      <c r="D5369" s="3"/>
      <c r="E5369" s="3">
        <v>6</v>
      </c>
      <c r="F5369" s="4" t="str">
        <f>HYPERLINK("http://141.218.60.56/~jnz1568/getInfo.php?workbook=14_09.xlsx&amp;sheet=U0&amp;row=5369&amp;col=6&amp;number=3.5&amp;sourceID=14","3.5")</f>
        <v>3.5</v>
      </c>
      <c r="G5369" s="4" t="str">
        <f>HYPERLINK("http://141.218.60.56/~jnz1568/getInfo.php?workbook=14_09.xlsx&amp;sheet=U0&amp;row=5369&amp;col=7&amp;number=0.0259&amp;sourceID=14","0.0259")</f>
        <v>0.0259</v>
      </c>
    </row>
    <row r="5370" spans="1:7">
      <c r="A5370" s="3"/>
      <c r="B5370" s="3"/>
      <c r="C5370" s="3"/>
      <c r="D5370" s="3"/>
      <c r="E5370" s="3">
        <v>7</v>
      </c>
      <c r="F5370" s="4" t="str">
        <f>HYPERLINK("http://141.218.60.56/~jnz1568/getInfo.php?workbook=14_09.xlsx&amp;sheet=U0&amp;row=5370&amp;col=6&amp;number=3.6&amp;sourceID=14","3.6")</f>
        <v>3.6</v>
      </c>
      <c r="G5370" s="4" t="str">
        <f>HYPERLINK("http://141.218.60.56/~jnz1568/getInfo.php?workbook=14_09.xlsx&amp;sheet=U0&amp;row=5370&amp;col=7&amp;number=0.0257&amp;sourceID=14","0.0257")</f>
        <v>0.0257</v>
      </c>
    </row>
    <row r="5371" spans="1:7">
      <c r="A5371" s="3"/>
      <c r="B5371" s="3"/>
      <c r="C5371" s="3"/>
      <c r="D5371" s="3"/>
      <c r="E5371" s="3">
        <v>8</v>
      </c>
      <c r="F5371" s="4" t="str">
        <f>HYPERLINK("http://141.218.60.56/~jnz1568/getInfo.php?workbook=14_09.xlsx&amp;sheet=U0&amp;row=5371&amp;col=6&amp;number=3.7&amp;sourceID=14","3.7")</f>
        <v>3.7</v>
      </c>
      <c r="G5371" s="4" t="str">
        <f>HYPERLINK("http://141.218.60.56/~jnz1568/getInfo.php?workbook=14_09.xlsx&amp;sheet=U0&amp;row=5371&amp;col=7&amp;number=0.0255&amp;sourceID=14","0.0255")</f>
        <v>0.0255</v>
      </c>
    </row>
    <row r="5372" spans="1:7">
      <c r="A5372" s="3"/>
      <c r="B5372" s="3"/>
      <c r="C5372" s="3"/>
      <c r="D5372" s="3"/>
      <c r="E5372" s="3">
        <v>9</v>
      </c>
      <c r="F5372" s="4" t="str">
        <f>HYPERLINK("http://141.218.60.56/~jnz1568/getInfo.php?workbook=14_09.xlsx&amp;sheet=U0&amp;row=5372&amp;col=6&amp;number=3.8&amp;sourceID=14","3.8")</f>
        <v>3.8</v>
      </c>
      <c r="G5372" s="4" t="str">
        <f>HYPERLINK("http://141.218.60.56/~jnz1568/getInfo.php?workbook=14_09.xlsx&amp;sheet=U0&amp;row=5372&amp;col=7&amp;number=0.0253&amp;sourceID=14","0.0253")</f>
        <v>0.0253</v>
      </c>
    </row>
    <row r="5373" spans="1:7">
      <c r="A5373" s="3"/>
      <c r="B5373" s="3"/>
      <c r="C5373" s="3"/>
      <c r="D5373" s="3"/>
      <c r="E5373" s="3">
        <v>10</v>
      </c>
      <c r="F5373" s="4" t="str">
        <f>HYPERLINK("http://141.218.60.56/~jnz1568/getInfo.php?workbook=14_09.xlsx&amp;sheet=U0&amp;row=5373&amp;col=6&amp;number=3.9&amp;sourceID=14","3.9")</f>
        <v>3.9</v>
      </c>
      <c r="G5373" s="4" t="str">
        <f>HYPERLINK("http://141.218.60.56/~jnz1568/getInfo.php?workbook=14_09.xlsx&amp;sheet=U0&amp;row=5373&amp;col=7&amp;number=0.025&amp;sourceID=14","0.025")</f>
        <v>0.025</v>
      </c>
    </row>
    <row r="5374" spans="1:7">
      <c r="A5374" s="3"/>
      <c r="B5374" s="3"/>
      <c r="C5374" s="3"/>
      <c r="D5374" s="3"/>
      <c r="E5374" s="3">
        <v>11</v>
      </c>
      <c r="F5374" s="4" t="str">
        <f>HYPERLINK("http://141.218.60.56/~jnz1568/getInfo.php?workbook=14_09.xlsx&amp;sheet=U0&amp;row=5374&amp;col=6&amp;number=4&amp;sourceID=14","4")</f>
        <v>4</v>
      </c>
      <c r="G5374" s="4" t="str">
        <f>HYPERLINK("http://141.218.60.56/~jnz1568/getInfo.php?workbook=14_09.xlsx&amp;sheet=U0&amp;row=5374&amp;col=7&amp;number=0.0246&amp;sourceID=14","0.0246")</f>
        <v>0.0246</v>
      </c>
    </row>
    <row r="5375" spans="1:7">
      <c r="A5375" s="3"/>
      <c r="B5375" s="3"/>
      <c r="C5375" s="3"/>
      <c r="D5375" s="3"/>
      <c r="E5375" s="3">
        <v>12</v>
      </c>
      <c r="F5375" s="4" t="str">
        <f>HYPERLINK("http://141.218.60.56/~jnz1568/getInfo.php?workbook=14_09.xlsx&amp;sheet=U0&amp;row=5375&amp;col=6&amp;number=4.1&amp;sourceID=14","4.1")</f>
        <v>4.1</v>
      </c>
      <c r="G5375" s="4" t="str">
        <f>HYPERLINK("http://141.218.60.56/~jnz1568/getInfo.php?workbook=14_09.xlsx&amp;sheet=U0&amp;row=5375&amp;col=7&amp;number=0.0241&amp;sourceID=14","0.0241")</f>
        <v>0.0241</v>
      </c>
    </row>
    <row r="5376" spans="1:7">
      <c r="A5376" s="3"/>
      <c r="B5376" s="3"/>
      <c r="C5376" s="3"/>
      <c r="D5376" s="3"/>
      <c r="E5376" s="3">
        <v>13</v>
      </c>
      <c r="F5376" s="4" t="str">
        <f>HYPERLINK("http://141.218.60.56/~jnz1568/getInfo.php?workbook=14_09.xlsx&amp;sheet=U0&amp;row=5376&amp;col=6&amp;number=4.2&amp;sourceID=14","4.2")</f>
        <v>4.2</v>
      </c>
      <c r="G5376" s="4" t="str">
        <f>HYPERLINK("http://141.218.60.56/~jnz1568/getInfo.php?workbook=14_09.xlsx&amp;sheet=U0&amp;row=5376&amp;col=7&amp;number=0.0235&amp;sourceID=14","0.0235")</f>
        <v>0.0235</v>
      </c>
    </row>
    <row r="5377" spans="1:7">
      <c r="A5377" s="3"/>
      <c r="B5377" s="3"/>
      <c r="C5377" s="3"/>
      <c r="D5377" s="3"/>
      <c r="E5377" s="3">
        <v>14</v>
      </c>
      <c r="F5377" s="4" t="str">
        <f>HYPERLINK("http://141.218.60.56/~jnz1568/getInfo.php?workbook=14_09.xlsx&amp;sheet=U0&amp;row=5377&amp;col=6&amp;number=4.3&amp;sourceID=14","4.3")</f>
        <v>4.3</v>
      </c>
      <c r="G5377" s="4" t="str">
        <f>HYPERLINK("http://141.218.60.56/~jnz1568/getInfo.php?workbook=14_09.xlsx&amp;sheet=U0&amp;row=5377&amp;col=7&amp;number=0.0228&amp;sourceID=14","0.0228")</f>
        <v>0.0228</v>
      </c>
    </row>
    <row r="5378" spans="1:7">
      <c r="A5378" s="3"/>
      <c r="B5378" s="3"/>
      <c r="C5378" s="3"/>
      <c r="D5378" s="3"/>
      <c r="E5378" s="3">
        <v>15</v>
      </c>
      <c r="F5378" s="4" t="str">
        <f>HYPERLINK("http://141.218.60.56/~jnz1568/getInfo.php?workbook=14_09.xlsx&amp;sheet=U0&amp;row=5378&amp;col=6&amp;number=4.4&amp;sourceID=14","4.4")</f>
        <v>4.4</v>
      </c>
      <c r="G5378" s="4" t="str">
        <f>HYPERLINK("http://141.218.60.56/~jnz1568/getInfo.php?workbook=14_09.xlsx&amp;sheet=U0&amp;row=5378&amp;col=7&amp;number=0.0219&amp;sourceID=14","0.0219")</f>
        <v>0.0219</v>
      </c>
    </row>
    <row r="5379" spans="1:7">
      <c r="A5379" s="3"/>
      <c r="B5379" s="3"/>
      <c r="C5379" s="3"/>
      <c r="D5379" s="3"/>
      <c r="E5379" s="3">
        <v>16</v>
      </c>
      <c r="F5379" s="4" t="str">
        <f>HYPERLINK("http://141.218.60.56/~jnz1568/getInfo.php?workbook=14_09.xlsx&amp;sheet=U0&amp;row=5379&amp;col=6&amp;number=4.5&amp;sourceID=14","4.5")</f>
        <v>4.5</v>
      </c>
      <c r="G5379" s="4" t="str">
        <f>HYPERLINK("http://141.218.60.56/~jnz1568/getInfo.php?workbook=14_09.xlsx&amp;sheet=U0&amp;row=5379&amp;col=7&amp;number=0.0208&amp;sourceID=14","0.0208")</f>
        <v>0.0208</v>
      </c>
    </row>
    <row r="5380" spans="1:7">
      <c r="A5380" s="3"/>
      <c r="B5380" s="3"/>
      <c r="C5380" s="3"/>
      <c r="D5380" s="3"/>
      <c r="E5380" s="3">
        <v>17</v>
      </c>
      <c r="F5380" s="4" t="str">
        <f>HYPERLINK("http://141.218.60.56/~jnz1568/getInfo.php?workbook=14_09.xlsx&amp;sheet=U0&amp;row=5380&amp;col=6&amp;number=4.6&amp;sourceID=14","4.6")</f>
        <v>4.6</v>
      </c>
      <c r="G5380" s="4" t="str">
        <f>HYPERLINK("http://141.218.60.56/~jnz1568/getInfo.php?workbook=14_09.xlsx&amp;sheet=U0&amp;row=5380&amp;col=7&amp;number=0.0195&amp;sourceID=14","0.0195")</f>
        <v>0.0195</v>
      </c>
    </row>
    <row r="5381" spans="1:7">
      <c r="A5381" s="3"/>
      <c r="B5381" s="3"/>
      <c r="C5381" s="3"/>
      <c r="D5381" s="3"/>
      <c r="E5381" s="3">
        <v>18</v>
      </c>
      <c r="F5381" s="4" t="str">
        <f>HYPERLINK("http://141.218.60.56/~jnz1568/getInfo.php?workbook=14_09.xlsx&amp;sheet=U0&amp;row=5381&amp;col=6&amp;number=4.7&amp;sourceID=14","4.7")</f>
        <v>4.7</v>
      </c>
      <c r="G5381" s="4" t="str">
        <f>HYPERLINK("http://141.218.60.56/~jnz1568/getInfo.php?workbook=14_09.xlsx&amp;sheet=U0&amp;row=5381&amp;col=7&amp;number=0.018&amp;sourceID=14","0.018")</f>
        <v>0.018</v>
      </c>
    </row>
    <row r="5382" spans="1:7">
      <c r="A5382" s="3"/>
      <c r="B5382" s="3"/>
      <c r="C5382" s="3"/>
      <c r="D5382" s="3"/>
      <c r="E5382" s="3">
        <v>19</v>
      </c>
      <c r="F5382" s="4" t="str">
        <f>HYPERLINK("http://141.218.60.56/~jnz1568/getInfo.php?workbook=14_09.xlsx&amp;sheet=U0&amp;row=5382&amp;col=6&amp;number=4.8&amp;sourceID=14","4.8")</f>
        <v>4.8</v>
      </c>
      <c r="G5382" s="4" t="str">
        <f>HYPERLINK("http://141.218.60.56/~jnz1568/getInfo.php?workbook=14_09.xlsx&amp;sheet=U0&amp;row=5382&amp;col=7&amp;number=0.0164&amp;sourceID=14","0.0164")</f>
        <v>0.0164</v>
      </c>
    </row>
    <row r="5383" spans="1:7">
      <c r="A5383" s="3"/>
      <c r="B5383" s="3"/>
      <c r="C5383" s="3"/>
      <c r="D5383" s="3"/>
      <c r="E5383" s="3">
        <v>20</v>
      </c>
      <c r="F5383" s="4" t="str">
        <f>HYPERLINK("http://141.218.60.56/~jnz1568/getInfo.php?workbook=14_09.xlsx&amp;sheet=U0&amp;row=5383&amp;col=6&amp;number=4.9&amp;sourceID=14","4.9")</f>
        <v>4.9</v>
      </c>
      <c r="G5383" s="4" t="str">
        <f>HYPERLINK("http://141.218.60.56/~jnz1568/getInfo.php?workbook=14_09.xlsx&amp;sheet=U0&amp;row=5383&amp;col=7&amp;number=0.0147&amp;sourceID=14","0.0147")</f>
        <v>0.0147</v>
      </c>
    </row>
    <row r="5384" spans="1:7">
      <c r="A5384" s="3">
        <v>14</v>
      </c>
      <c r="B5384" s="3">
        <v>9</v>
      </c>
      <c r="C5384" s="3">
        <v>2</v>
      </c>
      <c r="D5384" s="3">
        <v>78</v>
      </c>
      <c r="E5384" s="3">
        <v>1</v>
      </c>
      <c r="F5384" s="4" t="str">
        <f>HYPERLINK("http://141.218.60.56/~jnz1568/getInfo.php?workbook=14_09.xlsx&amp;sheet=U0&amp;row=5384&amp;col=6&amp;number=3&amp;sourceID=14","3")</f>
        <v>3</v>
      </c>
      <c r="G5384" s="4" t="str">
        <f>HYPERLINK("http://141.218.60.56/~jnz1568/getInfo.php?workbook=14_09.xlsx&amp;sheet=U0&amp;row=5384&amp;col=7&amp;number=0.0531&amp;sourceID=14","0.0531")</f>
        <v>0.0531</v>
      </c>
    </row>
    <row r="5385" spans="1:7">
      <c r="A5385" s="3"/>
      <c r="B5385" s="3"/>
      <c r="C5385" s="3"/>
      <c r="D5385" s="3"/>
      <c r="E5385" s="3">
        <v>2</v>
      </c>
      <c r="F5385" s="4" t="str">
        <f>HYPERLINK("http://141.218.60.56/~jnz1568/getInfo.php?workbook=14_09.xlsx&amp;sheet=U0&amp;row=5385&amp;col=6&amp;number=3.1&amp;sourceID=14","3.1")</f>
        <v>3.1</v>
      </c>
      <c r="G5385" s="4" t="str">
        <f>HYPERLINK("http://141.218.60.56/~jnz1568/getInfo.php?workbook=14_09.xlsx&amp;sheet=U0&amp;row=5385&amp;col=7&amp;number=0.053&amp;sourceID=14","0.053")</f>
        <v>0.053</v>
      </c>
    </row>
    <row r="5386" spans="1:7">
      <c r="A5386" s="3"/>
      <c r="B5386" s="3"/>
      <c r="C5386" s="3"/>
      <c r="D5386" s="3"/>
      <c r="E5386" s="3">
        <v>3</v>
      </c>
      <c r="F5386" s="4" t="str">
        <f>HYPERLINK("http://141.218.60.56/~jnz1568/getInfo.php?workbook=14_09.xlsx&amp;sheet=U0&amp;row=5386&amp;col=6&amp;number=3.2&amp;sourceID=14","3.2")</f>
        <v>3.2</v>
      </c>
      <c r="G5386" s="4" t="str">
        <f>HYPERLINK("http://141.218.60.56/~jnz1568/getInfo.php?workbook=14_09.xlsx&amp;sheet=U0&amp;row=5386&amp;col=7&amp;number=0.0529&amp;sourceID=14","0.0529")</f>
        <v>0.0529</v>
      </c>
    </row>
    <row r="5387" spans="1:7">
      <c r="A5387" s="3"/>
      <c r="B5387" s="3"/>
      <c r="C5387" s="3"/>
      <c r="D5387" s="3"/>
      <c r="E5387" s="3">
        <v>4</v>
      </c>
      <c r="F5387" s="4" t="str">
        <f>HYPERLINK("http://141.218.60.56/~jnz1568/getInfo.php?workbook=14_09.xlsx&amp;sheet=U0&amp;row=5387&amp;col=6&amp;number=3.3&amp;sourceID=14","3.3")</f>
        <v>3.3</v>
      </c>
      <c r="G5387" s="4" t="str">
        <f>HYPERLINK("http://141.218.60.56/~jnz1568/getInfo.php?workbook=14_09.xlsx&amp;sheet=U0&amp;row=5387&amp;col=7&amp;number=0.0529&amp;sourceID=14","0.0529")</f>
        <v>0.0529</v>
      </c>
    </row>
    <row r="5388" spans="1:7">
      <c r="A5388" s="3"/>
      <c r="B5388" s="3"/>
      <c r="C5388" s="3"/>
      <c r="D5388" s="3"/>
      <c r="E5388" s="3">
        <v>5</v>
      </c>
      <c r="F5388" s="4" t="str">
        <f>HYPERLINK("http://141.218.60.56/~jnz1568/getInfo.php?workbook=14_09.xlsx&amp;sheet=U0&amp;row=5388&amp;col=6&amp;number=3.4&amp;sourceID=14","3.4")</f>
        <v>3.4</v>
      </c>
      <c r="G5388" s="4" t="str">
        <f>HYPERLINK("http://141.218.60.56/~jnz1568/getInfo.php?workbook=14_09.xlsx&amp;sheet=U0&amp;row=5388&amp;col=7&amp;number=0.0528&amp;sourceID=14","0.0528")</f>
        <v>0.0528</v>
      </c>
    </row>
    <row r="5389" spans="1:7">
      <c r="A5389" s="3"/>
      <c r="B5389" s="3"/>
      <c r="C5389" s="3"/>
      <c r="D5389" s="3"/>
      <c r="E5389" s="3">
        <v>6</v>
      </c>
      <c r="F5389" s="4" t="str">
        <f>HYPERLINK("http://141.218.60.56/~jnz1568/getInfo.php?workbook=14_09.xlsx&amp;sheet=U0&amp;row=5389&amp;col=6&amp;number=3.5&amp;sourceID=14","3.5")</f>
        <v>3.5</v>
      </c>
      <c r="G5389" s="4" t="str">
        <f>HYPERLINK("http://141.218.60.56/~jnz1568/getInfo.php?workbook=14_09.xlsx&amp;sheet=U0&amp;row=5389&amp;col=7&amp;number=0.0526&amp;sourceID=14","0.0526")</f>
        <v>0.0526</v>
      </c>
    </row>
    <row r="5390" spans="1:7">
      <c r="A5390" s="3"/>
      <c r="B5390" s="3"/>
      <c r="C5390" s="3"/>
      <c r="D5390" s="3"/>
      <c r="E5390" s="3">
        <v>7</v>
      </c>
      <c r="F5390" s="4" t="str">
        <f>HYPERLINK("http://141.218.60.56/~jnz1568/getInfo.php?workbook=14_09.xlsx&amp;sheet=U0&amp;row=5390&amp;col=6&amp;number=3.6&amp;sourceID=14","3.6")</f>
        <v>3.6</v>
      </c>
      <c r="G5390" s="4" t="str">
        <f>HYPERLINK("http://141.218.60.56/~jnz1568/getInfo.php?workbook=14_09.xlsx&amp;sheet=U0&amp;row=5390&amp;col=7&amp;number=0.0525&amp;sourceID=14","0.0525")</f>
        <v>0.0525</v>
      </c>
    </row>
    <row r="5391" spans="1:7">
      <c r="A5391" s="3"/>
      <c r="B5391" s="3"/>
      <c r="C5391" s="3"/>
      <c r="D5391" s="3"/>
      <c r="E5391" s="3">
        <v>8</v>
      </c>
      <c r="F5391" s="4" t="str">
        <f>HYPERLINK("http://141.218.60.56/~jnz1568/getInfo.php?workbook=14_09.xlsx&amp;sheet=U0&amp;row=5391&amp;col=6&amp;number=3.7&amp;sourceID=14","3.7")</f>
        <v>3.7</v>
      </c>
      <c r="G5391" s="4" t="str">
        <f>HYPERLINK("http://141.218.60.56/~jnz1568/getInfo.php?workbook=14_09.xlsx&amp;sheet=U0&amp;row=5391&amp;col=7&amp;number=0.0523&amp;sourceID=14","0.0523")</f>
        <v>0.0523</v>
      </c>
    </row>
    <row r="5392" spans="1:7">
      <c r="A5392" s="3"/>
      <c r="B5392" s="3"/>
      <c r="C5392" s="3"/>
      <c r="D5392" s="3"/>
      <c r="E5392" s="3">
        <v>9</v>
      </c>
      <c r="F5392" s="4" t="str">
        <f>HYPERLINK("http://141.218.60.56/~jnz1568/getInfo.php?workbook=14_09.xlsx&amp;sheet=U0&amp;row=5392&amp;col=6&amp;number=3.8&amp;sourceID=14","3.8")</f>
        <v>3.8</v>
      </c>
      <c r="G5392" s="4" t="str">
        <f>HYPERLINK("http://141.218.60.56/~jnz1568/getInfo.php?workbook=14_09.xlsx&amp;sheet=U0&amp;row=5392&amp;col=7&amp;number=0.0521&amp;sourceID=14","0.0521")</f>
        <v>0.0521</v>
      </c>
    </row>
    <row r="5393" spans="1:7">
      <c r="A5393" s="3"/>
      <c r="B5393" s="3"/>
      <c r="C5393" s="3"/>
      <c r="D5393" s="3"/>
      <c r="E5393" s="3">
        <v>10</v>
      </c>
      <c r="F5393" s="4" t="str">
        <f>HYPERLINK("http://141.218.60.56/~jnz1568/getInfo.php?workbook=14_09.xlsx&amp;sheet=U0&amp;row=5393&amp;col=6&amp;number=3.9&amp;sourceID=14","3.9")</f>
        <v>3.9</v>
      </c>
      <c r="G5393" s="4" t="str">
        <f>HYPERLINK("http://141.218.60.56/~jnz1568/getInfo.php?workbook=14_09.xlsx&amp;sheet=U0&amp;row=5393&amp;col=7&amp;number=0.0518&amp;sourceID=14","0.0518")</f>
        <v>0.0518</v>
      </c>
    </row>
    <row r="5394" spans="1:7">
      <c r="A5394" s="3"/>
      <c r="B5394" s="3"/>
      <c r="C5394" s="3"/>
      <c r="D5394" s="3"/>
      <c r="E5394" s="3">
        <v>11</v>
      </c>
      <c r="F5394" s="4" t="str">
        <f>HYPERLINK("http://141.218.60.56/~jnz1568/getInfo.php?workbook=14_09.xlsx&amp;sheet=U0&amp;row=5394&amp;col=6&amp;number=4&amp;sourceID=14","4")</f>
        <v>4</v>
      </c>
      <c r="G5394" s="4" t="str">
        <f>HYPERLINK("http://141.218.60.56/~jnz1568/getInfo.php?workbook=14_09.xlsx&amp;sheet=U0&amp;row=5394&amp;col=7&amp;number=0.0514&amp;sourceID=14","0.0514")</f>
        <v>0.0514</v>
      </c>
    </row>
    <row r="5395" spans="1:7">
      <c r="A5395" s="3"/>
      <c r="B5395" s="3"/>
      <c r="C5395" s="3"/>
      <c r="D5395" s="3"/>
      <c r="E5395" s="3">
        <v>12</v>
      </c>
      <c r="F5395" s="4" t="str">
        <f>HYPERLINK("http://141.218.60.56/~jnz1568/getInfo.php?workbook=14_09.xlsx&amp;sheet=U0&amp;row=5395&amp;col=6&amp;number=4.1&amp;sourceID=14","4.1")</f>
        <v>4.1</v>
      </c>
      <c r="G5395" s="4" t="str">
        <f>HYPERLINK("http://141.218.60.56/~jnz1568/getInfo.php?workbook=14_09.xlsx&amp;sheet=U0&amp;row=5395&amp;col=7&amp;number=0.0509&amp;sourceID=14","0.0509")</f>
        <v>0.0509</v>
      </c>
    </row>
    <row r="5396" spans="1:7">
      <c r="A5396" s="3"/>
      <c r="B5396" s="3"/>
      <c r="C5396" s="3"/>
      <c r="D5396" s="3"/>
      <c r="E5396" s="3">
        <v>13</v>
      </c>
      <c r="F5396" s="4" t="str">
        <f>HYPERLINK("http://141.218.60.56/~jnz1568/getInfo.php?workbook=14_09.xlsx&amp;sheet=U0&amp;row=5396&amp;col=6&amp;number=4.2&amp;sourceID=14","4.2")</f>
        <v>4.2</v>
      </c>
      <c r="G5396" s="4" t="str">
        <f>HYPERLINK("http://141.218.60.56/~jnz1568/getInfo.php?workbook=14_09.xlsx&amp;sheet=U0&amp;row=5396&amp;col=7&amp;number=0.0503&amp;sourceID=14","0.0503")</f>
        <v>0.0503</v>
      </c>
    </row>
    <row r="5397" spans="1:7">
      <c r="A5397" s="3"/>
      <c r="B5397" s="3"/>
      <c r="C5397" s="3"/>
      <c r="D5397" s="3"/>
      <c r="E5397" s="3">
        <v>14</v>
      </c>
      <c r="F5397" s="4" t="str">
        <f>HYPERLINK("http://141.218.60.56/~jnz1568/getInfo.php?workbook=14_09.xlsx&amp;sheet=U0&amp;row=5397&amp;col=6&amp;number=4.3&amp;sourceID=14","4.3")</f>
        <v>4.3</v>
      </c>
      <c r="G5397" s="4" t="str">
        <f>HYPERLINK("http://141.218.60.56/~jnz1568/getInfo.php?workbook=14_09.xlsx&amp;sheet=U0&amp;row=5397&amp;col=7&amp;number=0.0496&amp;sourceID=14","0.0496")</f>
        <v>0.0496</v>
      </c>
    </row>
    <row r="5398" spans="1:7">
      <c r="A5398" s="3"/>
      <c r="B5398" s="3"/>
      <c r="C5398" s="3"/>
      <c r="D5398" s="3"/>
      <c r="E5398" s="3">
        <v>15</v>
      </c>
      <c r="F5398" s="4" t="str">
        <f>HYPERLINK("http://141.218.60.56/~jnz1568/getInfo.php?workbook=14_09.xlsx&amp;sheet=U0&amp;row=5398&amp;col=6&amp;number=4.4&amp;sourceID=14","4.4")</f>
        <v>4.4</v>
      </c>
      <c r="G5398" s="4" t="str">
        <f>HYPERLINK("http://141.218.60.56/~jnz1568/getInfo.php?workbook=14_09.xlsx&amp;sheet=U0&amp;row=5398&amp;col=7&amp;number=0.0488&amp;sourceID=14","0.0488")</f>
        <v>0.0488</v>
      </c>
    </row>
    <row r="5399" spans="1:7">
      <c r="A5399" s="3"/>
      <c r="B5399" s="3"/>
      <c r="C5399" s="3"/>
      <c r="D5399" s="3"/>
      <c r="E5399" s="3">
        <v>16</v>
      </c>
      <c r="F5399" s="4" t="str">
        <f>HYPERLINK("http://141.218.60.56/~jnz1568/getInfo.php?workbook=14_09.xlsx&amp;sheet=U0&amp;row=5399&amp;col=6&amp;number=4.5&amp;sourceID=14","4.5")</f>
        <v>4.5</v>
      </c>
      <c r="G5399" s="4" t="str">
        <f>HYPERLINK("http://141.218.60.56/~jnz1568/getInfo.php?workbook=14_09.xlsx&amp;sheet=U0&amp;row=5399&amp;col=7&amp;number=0.0477&amp;sourceID=14","0.0477")</f>
        <v>0.0477</v>
      </c>
    </row>
    <row r="5400" spans="1:7">
      <c r="A5400" s="3"/>
      <c r="B5400" s="3"/>
      <c r="C5400" s="3"/>
      <c r="D5400" s="3"/>
      <c r="E5400" s="3">
        <v>17</v>
      </c>
      <c r="F5400" s="4" t="str">
        <f>HYPERLINK("http://141.218.60.56/~jnz1568/getInfo.php?workbook=14_09.xlsx&amp;sheet=U0&amp;row=5400&amp;col=6&amp;number=4.6&amp;sourceID=14","4.6")</f>
        <v>4.6</v>
      </c>
      <c r="G5400" s="4" t="str">
        <f>HYPERLINK("http://141.218.60.56/~jnz1568/getInfo.php?workbook=14_09.xlsx&amp;sheet=U0&amp;row=5400&amp;col=7&amp;number=0.0465&amp;sourceID=14","0.0465")</f>
        <v>0.0465</v>
      </c>
    </row>
    <row r="5401" spans="1:7">
      <c r="A5401" s="3"/>
      <c r="B5401" s="3"/>
      <c r="C5401" s="3"/>
      <c r="D5401" s="3"/>
      <c r="E5401" s="3">
        <v>18</v>
      </c>
      <c r="F5401" s="4" t="str">
        <f>HYPERLINK("http://141.218.60.56/~jnz1568/getInfo.php?workbook=14_09.xlsx&amp;sheet=U0&amp;row=5401&amp;col=6&amp;number=4.7&amp;sourceID=14","4.7")</f>
        <v>4.7</v>
      </c>
      <c r="G5401" s="4" t="str">
        <f>HYPERLINK("http://141.218.60.56/~jnz1568/getInfo.php?workbook=14_09.xlsx&amp;sheet=U0&amp;row=5401&amp;col=7&amp;number=0.0451&amp;sourceID=14","0.0451")</f>
        <v>0.0451</v>
      </c>
    </row>
    <row r="5402" spans="1:7">
      <c r="A5402" s="3"/>
      <c r="B5402" s="3"/>
      <c r="C5402" s="3"/>
      <c r="D5402" s="3"/>
      <c r="E5402" s="3">
        <v>19</v>
      </c>
      <c r="F5402" s="4" t="str">
        <f>HYPERLINK("http://141.218.60.56/~jnz1568/getInfo.php?workbook=14_09.xlsx&amp;sheet=U0&amp;row=5402&amp;col=6&amp;number=4.8&amp;sourceID=14","4.8")</f>
        <v>4.8</v>
      </c>
      <c r="G5402" s="4" t="str">
        <f>HYPERLINK("http://141.218.60.56/~jnz1568/getInfo.php?workbook=14_09.xlsx&amp;sheet=U0&amp;row=5402&amp;col=7&amp;number=0.0436&amp;sourceID=14","0.0436")</f>
        <v>0.0436</v>
      </c>
    </row>
    <row r="5403" spans="1:7">
      <c r="A5403" s="3"/>
      <c r="B5403" s="3"/>
      <c r="C5403" s="3"/>
      <c r="D5403" s="3"/>
      <c r="E5403" s="3">
        <v>20</v>
      </c>
      <c r="F5403" s="4" t="str">
        <f>HYPERLINK("http://141.218.60.56/~jnz1568/getInfo.php?workbook=14_09.xlsx&amp;sheet=U0&amp;row=5403&amp;col=6&amp;number=4.9&amp;sourceID=14","4.9")</f>
        <v>4.9</v>
      </c>
      <c r="G5403" s="4" t="str">
        <f>HYPERLINK("http://141.218.60.56/~jnz1568/getInfo.php?workbook=14_09.xlsx&amp;sheet=U0&amp;row=5403&amp;col=7&amp;number=0.0422&amp;sourceID=14","0.0422")</f>
        <v>0.0422</v>
      </c>
    </row>
    <row r="5404" spans="1:7">
      <c r="A5404" s="3">
        <v>14</v>
      </c>
      <c r="B5404" s="3">
        <v>9</v>
      </c>
      <c r="C5404" s="3">
        <v>2</v>
      </c>
      <c r="D5404" s="3">
        <v>79</v>
      </c>
      <c r="E5404" s="3">
        <v>1</v>
      </c>
      <c r="F5404" s="4" t="str">
        <f>HYPERLINK("http://141.218.60.56/~jnz1568/getInfo.php?workbook=14_09.xlsx&amp;sheet=U0&amp;row=5404&amp;col=6&amp;number=3&amp;sourceID=14","3")</f>
        <v>3</v>
      </c>
      <c r="G5404" s="4" t="str">
        <f>HYPERLINK("http://141.218.60.56/~jnz1568/getInfo.php?workbook=14_09.xlsx&amp;sheet=U0&amp;row=5404&amp;col=7&amp;number=0.0383&amp;sourceID=14","0.0383")</f>
        <v>0.0383</v>
      </c>
    </row>
    <row r="5405" spans="1:7">
      <c r="A5405" s="3"/>
      <c r="B5405" s="3"/>
      <c r="C5405" s="3"/>
      <c r="D5405" s="3"/>
      <c r="E5405" s="3">
        <v>2</v>
      </c>
      <c r="F5405" s="4" t="str">
        <f>HYPERLINK("http://141.218.60.56/~jnz1568/getInfo.php?workbook=14_09.xlsx&amp;sheet=U0&amp;row=5405&amp;col=6&amp;number=3.1&amp;sourceID=14","3.1")</f>
        <v>3.1</v>
      </c>
      <c r="G5405" s="4" t="str">
        <f>HYPERLINK("http://141.218.60.56/~jnz1568/getInfo.php?workbook=14_09.xlsx&amp;sheet=U0&amp;row=5405&amp;col=7&amp;number=0.0383&amp;sourceID=14","0.0383")</f>
        <v>0.0383</v>
      </c>
    </row>
    <row r="5406" spans="1:7">
      <c r="A5406" s="3"/>
      <c r="B5406" s="3"/>
      <c r="C5406" s="3"/>
      <c r="D5406" s="3"/>
      <c r="E5406" s="3">
        <v>3</v>
      </c>
      <c r="F5406" s="4" t="str">
        <f>HYPERLINK("http://141.218.60.56/~jnz1568/getInfo.php?workbook=14_09.xlsx&amp;sheet=U0&amp;row=5406&amp;col=6&amp;number=3.2&amp;sourceID=14","3.2")</f>
        <v>3.2</v>
      </c>
      <c r="G5406" s="4" t="str">
        <f>HYPERLINK("http://141.218.60.56/~jnz1568/getInfo.php?workbook=14_09.xlsx&amp;sheet=U0&amp;row=5406&amp;col=7&amp;number=0.0382&amp;sourceID=14","0.0382")</f>
        <v>0.0382</v>
      </c>
    </row>
    <row r="5407" spans="1:7">
      <c r="A5407" s="3"/>
      <c r="B5407" s="3"/>
      <c r="C5407" s="3"/>
      <c r="D5407" s="3"/>
      <c r="E5407" s="3">
        <v>4</v>
      </c>
      <c r="F5407" s="4" t="str">
        <f>HYPERLINK("http://141.218.60.56/~jnz1568/getInfo.php?workbook=14_09.xlsx&amp;sheet=U0&amp;row=5407&amp;col=6&amp;number=3.3&amp;sourceID=14","3.3")</f>
        <v>3.3</v>
      </c>
      <c r="G5407" s="4" t="str">
        <f>HYPERLINK("http://141.218.60.56/~jnz1568/getInfo.php?workbook=14_09.xlsx&amp;sheet=U0&amp;row=5407&amp;col=7&amp;number=0.0381&amp;sourceID=14","0.0381")</f>
        <v>0.0381</v>
      </c>
    </row>
    <row r="5408" spans="1:7">
      <c r="A5408" s="3"/>
      <c r="B5408" s="3"/>
      <c r="C5408" s="3"/>
      <c r="D5408" s="3"/>
      <c r="E5408" s="3">
        <v>5</v>
      </c>
      <c r="F5408" s="4" t="str">
        <f>HYPERLINK("http://141.218.60.56/~jnz1568/getInfo.php?workbook=14_09.xlsx&amp;sheet=U0&amp;row=5408&amp;col=6&amp;number=3.4&amp;sourceID=14","3.4")</f>
        <v>3.4</v>
      </c>
      <c r="G5408" s="4" t="str">
        <f>HYPERLINK("http://141.218.60.56/~jnz1568/getInfo.php?workbook=14_09.xlsx&amp;sheet=U0&amp;row=5408&amp;col=7&amp;number=0.038&amp;sourceID=14","0.038")</f>
        <v>0.038</v>
      </c>
    </row>
    <row r="5409" spans="1:7">
      <c r="A5409" s="3"/>
      <c r="B5409" s="3"/>
      <c r="C5409" s="3"/>
      <c r="D5409" s="3"/>
      <c r="E5409" s="3">
        <v>6</v>
      </c>
      <c r="F5409" s="4" t="str">
        <f>HYPERLINK("http://141.218.60.56/~jnz1568/getInfo.php?workbook=14_09.xlsx&amp;sheet=U0&amp;row=5409&amp;col=6&amp;number=3.5&amp;sourceID=14","3.5")</f>
        <v>3.5</v>
      </c>
      <c r="G5409" s="4" t="str">
        <f>HYPERLINK("http://141.218.60.56/~jnz1568/getInfo.php?workbook=14_09.xlsx&amp;sheet=U0&amp;row=5409&amp;col=7&amp;number=0.0378&amp;sourceID=14","0.0378")</f>
        <v>0.0378</v>
      </c>
    </row>
    <row r="5410" spans="1:7">
      <c r="A5410" s="3"/>
      <c r="B5410" s="3"/>
      <c r="C5410" s="3"/>
      <c r="D5410" s="3"/>
      <c r="E5410" s="3">
        <v>7</v>
      </c>
      <c r="F5410" s="4" t="str">
        <f>HYPERLINK("http://141.218.60.56/~jnz1568/getInfo.php?workbook=14_09.xlsx&amp;sheet=U0&amp;row=5410&amp;col=6&amp;number=3.6&amp;sourceID=14","3.6")</f>
        <v>3.6</v>
      </c>
      <c r="G5410" s="4" t="str">
        <f>HYPERLINK("http://141.218.60.56/~jnz1568/getInfo.php?workbook=14_09.xlsx&amp;sheet=U0&amp;row=5410&amp;col=7&amp;number=0.0376&amp;sourceID=14","0.0376")</f>
        <v>0.0376</v>
      </c>
    </row>
    <row r="5411" spans="1:7">
      <c r="A5411" s="3"/>
      <c r="B5411" s="3"/>
      <c r="C5411" s="3"/>
      <c r="D5411" s="3"/>
      <c r="E5411" s="3">
        <v>8</v>
      </c>
      <c r="F5411" s="4" t="str">
        <f>HYPERLINK("http://141.218.60.56/~jnz1568/getInfo.php?workbook=14_09.xlsx&amp;sheet=U0&amp;row=5411&amp;col=6&amp;number=3.7&amp;sourceID=14","3.7")</f>
        <v>3.7</v>
      </c>
      <c r="G5411" s="4" t="str">
        <f>HYPERLINK("http://141.218.60.56/~jnz1568/getInfo.php?workbook=14_09.xlsx&amp;sheet=U0&amp;row=5411&amp;col=7&amp;number=0.0374&amp;sourceID=14","0.0374")</f>
        <v>0.0374</v>
      </c>
    </row>
    <row r="5412" spans="1:7">
      <c r="A5412" s="3"/>
      <c r="B5412" s="3"/>
      <c r="C5412" s="3"/>
      <c r="D5412" s="3"/>
      <c r="E5412" s="3">
        <v>9</v>
      </c>
      <c r="F5412" s="4" t="str">
        <f>HYPERLINK("http://141.218.60.56/~jnz1568/getInfo.php?workbook=14_09.xlsx&amp;sheet=U0&amp;row=5412&amp;col=6&amp;number=3.8&amp;sourceID=14","3.8")</f>
        <v>3.8</v>
      </c>
      <c r="G5412" s="4" t="str">
        <f>HYPERLINK("http://141.218.60.56/~jnz1568/getInfo.php?workbook=14_09.xlsx&amp;sheet=U0&amp;row=5412&amp;col=7&amp;number=0.0371&amp;sourceID=14","0.0371")</f>
        <v>0.0371</v>
      </c>
    </row>
    <row r="5413" spans="1:7">
      <c r="A5413" s="3"/>
      <c r="B5413" s="3"/>
      <c r="C5413" s="3"/>
      <c r="D5413" s="3"/>
      <c r="E5413" s="3">
        <v>10</v>
      </c>
      <c r="F5413" s="4" t="str">
        <f>HYPERLINK("http://141.218.60.56/~jnz1568/getInfo.php?workbook=14_09.xlsx&amp;sheet=U0&amp;row=5413&amp;col=6&amp;number=3.9&amp;sourceID=14","3.9")</f>
        <v>3.9</v>
      </c>
      <c r="G5413" s="4" t="str">
        <f>HYPERLINK("http://141.218.60.56/~jnz1568/getInfo.php?workbook=14_09.xlsx&amp;sheet=U0&amp;row=5413&amp;col=7&amp;number=0.0367&amp;sourceID=14","0.0367")</f>
        <v>0.0367</v>
      </c>
    </row>
    <row r="5414" spans="1:7">
      <c r="A5414" s="3"/>
      <c r="B5414" s="3"/>
      <c r="C5414" s="3"/>
      <c r="D5414" s="3"/>
      <c r="E5414" s="3">
        <v>11</v>
      </c>
      <c r="F5414" s="4" t="str">
        <f>HYPERLINK("http://141.218.60.56/~jnz1568/getInfo.php?workbook=14_09.xlsx&amp;sheet=U0&amp;row=5414&amp;col=6&amp;number=4&amp;sourceID=14","4")</f>
        <v>4</v>
      </c>
      <c r="G5414" s="4" t="str">
        <f>HYPERLINK("http://141.218.60.56/~jnz1568/getInfo.php?workbook=14_09.xlsx&amp;sheet=U0&amp;row=5414&amp;col=7&amp;number=0.0362&amp;sourceID=14","0.0362")</f>
        <v>0.0362</v>
      </c>
    </row>
    <row r="5415" spans="1:7">
      <c r="A5415" s="3"/>
      <c r="B5415" s="3"/>
      <c r="C5415" s="3"/>
      <c r="D5415" s="3"/>
      <c r="E5415" s="3">
        <v>12</v>
      </c>
      <c r="F5415" s="4" t="str">
        <f>HYPERLINK("http://141.218.60.56/~jnz1568/getInfo.php?workbook=14_09.xlsx&amp;sheet=U0&amp;row=5415&amp;col=6&amp;number=4.1&amp;sourceID=14","4.1")</f>
        <v>4.1</v>
      </c>
      <c r="G5415" s="4" t="str">
        <f>HYPERLINK("http://141.218.60.56/~jnz1568/getInfo.php?workbook=14_09.xlsx&amp;sheet=U0&amp;row=5415&amp;col=7&amp;number=0.0357&amp;sourceID=14","0.0357")</f>
        <v>0.0357</v>
      </c>
    </row>
    <row r="5416" spans="1:7">
      <c r="A5416" s="3"/>
      <c r="B5416" s="3"/>
      <c r="C5416" s="3"/>
      <c r="D5416" s="3"/>
      <c r="E5416" s="3">
        <v>13</v>
      </c>
      <c r="F5416" s="4" t="str">
        <f>HYPERLINK("http://141.218.60.56/~jnz1568/getInfo.php?workbook=14_09.xlsx&amp;sheet=U0&amp;row=5416&amp;col=6&amp;number=4.2&amp;sourceID=14","4.2")</f>
        <v>4.2</v>
      </c>
      <c r="G5416" s="4" t="str">
        <f>HYPERLINK("http://141.218.60.56/~jnz1568/getInfo.php?workbook=14_09.xlsx&amp;sheet=U0&amp;row=5416&amp;col=7&amp;number=0.0349&amp;sourceID=14","0.0349")</f>
        <v>0.0349</v>
      </c>
    </row>
    <row r="5417" spans="1:7">
      <c r="A5417" s="3"/>
      <c r="B5417" s="3"/>
      <c r="C5417" s="3"/>
      <c r="D5417" s="3"/>
      <c r="E5417" s="3">
        <v>14</v>
      </c>
      <c r="F5417" s="4" t="str">
        <f>HYPERLINK("http://141.218.60.56/~jnz1568/getInfo.php?workbook=14_09.xlsx&amp;sheet=U0&amp;row=5417&amp;col=6&amp;number=4.3&amp;sourceID=14","4.3")</f>
        <v>4.3</v>
      </c>
      <c r="G5417" s="4" t="str">
        <f>HYPERLINK("http://141.218.60.56/~jnz1568/getInfo.php?workbook=14_09.xlsx&amp;sheet=U0&amp;row=5417&amp;col=7&amp;number=0.034&amp;sourceID=14","0.034")</f>
        <v>0.034</v>
      </c>
    </row>
    <row r="5418" spans="1:7">
      <c r="A5418" s="3"/>
      <c r="B5418" s="3"/>
      <c r="C5418" s="3"/>
      <c r="D5418" s="3"/>
      <c r="E5418" s="3">
        <v>15</v>
      </c>
      <c r="F5418" s="4" t="str">
        <f>HYPERLINK("http://141.218.60.56/~jnz1568/getInfo.php?workbook=14_09.xlsx&amp;sheet=U0&amp;row=5418&amp;col=6&amp;number=4.4&amp;sourceID=14","4.4")</f>
        <v>4.4</v>
      </c>
      <c r="G5418" s="4" t="str">
        <f>HYPERLINK("http://141.218.60.56/~jnz1568/getInfo.php?workbook=14_09.xlsx&amp;sheet=U0&amp;row=5418&amp;col=7&amp;number=0.0329&amp;sourceID=14","0.0329")</f>
        <v>0.0329</v>
      </c>
    </row>
    <row r="5419" spans="1:7">
      <c r="A5419" s="3"/>
      <c r="B5419" s="3"/>
      <c r="C5419" s="3"/>
      <c r="D5419" s="3"/>
      <c r="E5419" s="3">
        <v>16</v>
      </c>
      <c r="F5419" s="4" t="str">
        <f>HYPERLINK("http://141.218.60.56/~jnz1568/getInfo.php?workbook=14_09.xlsx&amp;sheet=U0&amp;row=5419&amp;col=6&amp;number=4.5&amp;sourceID=14","4.5")</f>
        <v>4.5</v>
      </c>
      <c r="G5419" s="4" t="str">
        <f>HYPERLINK("http://141.218.60.56/~jnz1568/getInfo.php?workbook=14_09.xlsx&amp;sheet=U0&amp;row=5419&amp;col=7&amp;number=0.0315&amp;sourceID=14","0.0315")</f>
        <v>0.0315</v>
      </c>
    </row>
    <row r="5420" spans="1:7">
      <c r="A5420" s="3"/>
      <c r="B5420" s="3"/>
      <c r="C5420" s="3"/>
      <c r="D5420" s="3"/>
      <c r="E5420" s="3">
        <v>17</v>
      </c>
      <c r="F5420" s="4" t="str">
        <f>HYPERLINK("http://141.218.60.56/~jnz1568/getInfo.php?workbook=14_09.xlsx&amp;sheet=U0&amp;row=5420&amp;col=6&amp;number=4.6&amp;sourceID=14","4.6")</f>
        <v>4.6</v>
      </c>
      <c r="G5420" s="4" t="str">
        <f>HYPERLINK("http://141.218.60.56/~jnz1568/getInfo.php?workbook=14_09.xlsx&amp;sheet=U0&amp;row=5420&amp;col=7&amp;number=0.0299&amp;sourceID=14","0.0299")</f>
        <v>0.0299</v>
      </c>
    </row>
    <row r="5421" spans="1:7">
      <c r="A5421" s="3"/>
      <c r="B5421" s="3"/>
      <c r="C5421" s="3"/>
      <c r="D5421" s="3"/>
      <c r="E5421" s="3">
        <v>18</v>
      </c>
      <c r="F5421" s="4" t="str">
        <f>HYPERLINK("http://141.218.60.56/~jnz1568/getInfo.php?workbook=14_09.xlsx&amp;sheet=U0&amp;row=5421&amp;col=6&amp;number=4.7&amp;sourceID=14","4.7")</f>
        <v>4.7</v>
      </c>
      <c r="G5421" s="4" t="str">
        <f>HYPERLINK("http://141.218.60.56/~jnz1568/getInfo.php?workbook=14_09.xlsx&amp;sheet=U0&amp;row=5421&amp;col=7&amp;number=0.0279&amp;sourceID=14","0.0279")</f>
        <v>0.0279</v>
      </c>
    </row>
    <row r="5422" spans="1:7">
      <c r="A5422" s="3"/>
      <c r="B5422" s="3"/>
      <c r="C5422" s="3"/>
      <c r="D5422" s="3"/>
      <c r="E5422" s="3">
        <v>19</v>
      </c>
      <c r="F5422" s="4" t="str">
        <f>HYPERLINK("http://141.218.60.56/~jnz1568/getInfo.php?workbook=14_09.xlsx&amp;sheet=U0&amp;row=5422&amp;col=6&amp;number=4.8&amp;sourceID=14","4.8")</f>
        <v>4.8</v>
      </c>
      <c r="G5422" s="4" t="str">
        <f>HYPERLINK("http://141.218.60.56/~jnz1568/getInfo.php?workbook=14_09.xlsx&amp;sheet=U0&amp;row=5422&amp;col=7&amp;number=0.0256&amp;sourceID=14","0.0256")</f>
        <v>0.0256</v>
      </c>
    </row>
    <row r="5423" spans="1:7">
      <c r="A5423" s="3"/>
      <c r="B5423" s="3"/>
      <c r="C5423" s="3"/>
      <c r="D5423" s="3"/>
      <c r="E5423" s="3">
        <v>20</v>
      </c>
      <c r="F5423" s="4" t="str">
        <f>HYPERLINK("http://141.218.60.56/~jnz1568/getInfo.php?workbook=14_09.xlsx&amp;sheet=U0&amp;row=5423&amp;col=6&amp;number=4.9&amp;sourceID=14","4.9")</f>
        <v>4.9</v>
      </c>
      <c r="G5423" s="4" t="str">
        <f>HYPERLINK("http://141.218.60.56/~jnz1568/getInfo.php?workbook=14_09.xlsx&amp;sheet=U0&amp;row=5423&amp;col=7&amp;number=0.023&amp;sourceID=14","0.023")</f>
        <v>0.023</v>
      </c>
    </row>
    <row r="5424" spans="1:7">
      <c r="A5424" s="3">
        <v>14</v>
      </c>
      <c r="B5424" s="3">
        <v>9</v>
      </c>
      <c r="C5424" s="3">
        <v>2</v>
      </c>
      <c r="D5424" s="3">
        <v>80</v>
      </c>
      <c r="E5424" s="3">
        <v>1</v>
      </c>
      <c r="F5424" s="4" t="str">
        <f>HYPERLINK("http://141.218.60.56/~jnz1568/getInfo.php?workbook=14_09.xlsx&amp;sheet=U0&amp;row=5424&amp;col=6&amp;number=3&amp;sourceID=14","3")</f>
        <v>3</v>
      </c>
      <c r="G5424" s="4" t="str">
        <f>HYPERLINK("http://141.218.60.56/~jnz1568/getInfo.php?workbook=14_09.xlsx&amp;sheet=U0&amp;row=5424&amp;col=7&amp;number=0.0494&amp;sourceID=14","0.0494")</f>
        <v>0.0494</v>
      </c>
    </row>
    <row r="5425" spans="1:7">
      <c r="A5425" s="3"/>
      <c r="B5425" s="3"/>
      <c r="C5425" s="3"/>
      <c r="D5425" s="3"/>
      <c r="E5425" s="3">
        <v>2</v>
      </c>
      <c r="F5425" s="4" t="str">
        <f>HYPERLINK("http://141.218.60.56/~jnz1568/getInfo.php?workbook=14_09.xlsx&amp;sheet=U0&amp;row=5425&amp;col=6&amp;number=3.1&amp;sourceID=14","3.1")</f>
        <v>3.1</v>
      </c>
      <c r="G5425" s="4" t="str">
        <f>HYPERLINK("http://141.218.60.56/~jnz1568/getInfo.php?workbook=14_09.xlsx&amp;sheet=U0&amp;row=5425&amp;col=7&amp;number=0.0493&amp;sourceID=14","0.0493")</f>
        <v>0.0493</v>
      </c>
    </row>
    <row r="5426" spans="1:7">
      <c r="A5426" s="3"/>
      <c r="B5426" s="3"/>
      <c r="C5426" s="3"/>
      <c r="D5426" s="3"/>
      <c r="E5426" s="3">
        <v>3</v>
      </c>
      <c r="F5426" s="4" t="str">
        <f>HYPERLINK("http://141.218.60.56/~jnz1568/getInfo.php?workbook=14_09.xlsx&amp;sheet=U0&amp;row=5426&amp;col=6&amp;number=3.2&amp;sourceID=14","3.2")</f>
        <v>3.2</v>
      </c>
      <c r="G5426" s="4" t="str">
        <f>HYPERLINK("http://141.218.60.56/~jnz1568/getInfo.php?workbook=14_09.xlsx&amp;sheet=U0&amp;row=5426&amp;col=7&amp;number=0.0492&amp;sourceID=14","0.0492")</f>
        <v>0.0492</v>
      </c>
    </row>
    <row r="5427" spans="1:7">
      <c r="A5427" s="3"/>
      <c r="B5427" s="3"/>
      <c r="C5427" s="3"/>
      <c r="D5427" s="3"/>
      <c r="E5427" s="3">
        <v>4</v>
      </c>
      <c r="F5427" s="4" t="str">
        <f>HYPERLINK("http://141.218.60.56/~jnz1568/getInfo.php?workbook=14_09.xlsx&amp;sheet=U0&amp;row=5427&amp;col=6&amp;number=3.3&amp;sourceID=14","3.3")</f>
        <v>3.3</v>
      </c>
      <c r="G5427" s="4" t="str">
        <f>HYPERLINK("http://141.218.60.56/~jnz1568/getInfo.php?workbook=14_09.xlsx&amp;sheet=U0&amp;row=5427&amp;col=7&amp;number=0.049&amp;sourceID=14","0.049")</f>
        <v>0.049</v>
      </c>
    </row>
    <row r="5428" spans="1:7">
      <c r="A5428" s="3"/>
      <c r="B5428" s="3"/>
      <c r="C5428" s="3"/>
      <c r="D5428" s="3"/>
      <c r="E5428" s="3">
        <v>5</v>
      </c>
      <c r="F5428" s="4" t="str">
        <f>HYPERLINK("http://141.218.60.56/~jnz1568/getInfo.php?workbook=14_09.xlsx&amp;sheet=U0&amp;row=5428&amp;col=6&amp;number=3.4&amp;sourceID=14","3.4")</f>
        <v>3.4</v>
      </c>
      <c r="G5428" s="4" t="str">
        <f>HYPERLINK("http://141.218.60.56/~jnz1568/getInfo.php?workbook=14_09.xlsx&amp;sheet=U0&amp;row=5428&amp;col=7&amp;number=0.0489&amp;sourceID=14","0.0489")</f>
        <v>0.0489</v>
      </c>
    </row>
    <row r="5429" spans="1:7">
      <c r="A5429" s="3"/>
      <c r="B5429" s="3"/>
      <c r="C5429" s="3"/>
      <c r="D5429" s="3"/>
      <c r="E5429" s="3">
        <v>6</v>
      </c>
      <c r="F5429" s="4" t="str">
        <f>HYPERLINK("http://141.218.60.56/~jnz1568/getInfo.php?workbook=14_09.xlsx&amp;sheet=U0&amp;row=5429&amp;col=6&amp;number=3.5&amp;sourceID=14","3.5")</f>
        <v>3.5</v>
      </c>
      <c r="G5429" s="4" t="str">
        <f>HYPERLINK("http://141.218.60.56/~jnz1568/getInfo.php?workbook=14_09.xlsx&amp;sheet=U0&amp;row=5429&amp;col=7&amp;number=0.0487&amp;sourceID=14","0.0487")</f>
        <v>0.0487</v>
      </c>
    </row>
    <row r="5430" spans="1:7">
      <c r="A5430" s="3"/>
      <c r="B5430" s="3"/>
      <c r="C5430" s="3"/>
      <c r="D5430" s="3"/>
      <c r="E5430" s="3">
        <v>7</v>
      </c>
      <c r="F5430" s="4" t="str">
        <f>HYPERLINK("http://141.218.60.56/~jnz1568/getInfo.php?workbook=14_09.xlsx&amp;sheet=U0&amp;row=5430&amp;col=6&amp;number=3.6&amp;sourceID=14","3.6")</f>
        <v>3.6</v>
      </c>
      <c r="G5430" s="4" t="str">
        <f>HYPERLINK("http://141.218.60.56/~jnz1568/getInfo.php?workbook=14_09.xlsx&amp;sheet=U0&amp;row=5430&amp;col=7&amp;number=0.0484&amp;sourceID=14","0.0484")</f>
        <v>0.0484</v>
      </c>
    </row>
    <row r="5431" spans="1:7">
      <c r="A5431" s="3"/>
      <c r="B5431" s="3"/>
      <c r="C5431" s="3"/>
      <c r="D5431" s="3"/>
      <c r="E5431" s="3">
        <v>8</v>
      </c>
      <c r="F5431" s="4" t="str">
        <f>HYPERLINK("http://141.218.60.56/~jnz1568/getInfo.php?workbook=14_09.xlsx&amp;sheet=U0&amp;row=5431&amp;col=6&amp;number=3.7&amp;sourceID=14","3.7")</f>
        <v>3.7</v>
      </c>
      <c r="G5431" s="4" t="str">
        <f>HYPERLINK("http://141.218.60.56/~jnz1568/getInfo.php?workbook=14_09.xlsx&amp;sheet=U0&amp;row=5431&amp;col=7&amp;number=0.0481&amp;sourceID=14","0.0481")</f>
        <v>0.0481</v>
      </c>
    </row>
    <row r="5432" spans="1:7">
      <c r="A5432" s="3"/>
      <c r="B5432" s="3"/>
      <c r="C5432" s="3"/>
      <c r="D5432" s="3"/>
      <c r="E5432" s="3">
        <v>9</v>
      </c>
      <c r="F5432" s="4" t="str">
        <f>HYPERLINK("http://141.218.60.56/~jnz1568/getInfo.php?workbook=14_09.xlsx&amp;sheet=U0&amp;row=5432&amp;col=6&amp;number=3.8&amp;sourceID=14","3.8")</f>
        <v>3.8</v>
      </c>
      <c r="G5432" s="4" t="str">
        <f>HYPERLINK("http://141.218.60.56/~jnz1568/getInfo.php?workbook=14_09.xlsx&amp;sheet=U0&amp;row=5432&amp;col=7&amp;number=0.0477&amp;sourceID=14","0.0477")</f>
        <v>0.0477</v>
      </c>
    </row>
    <row r="5433" spans="1:7">
      <c r="A5433" s="3"/>
      <c r="B5433" s="3"/>
      <c r="C5433" s="3"/>
      <c r="D5433" s="3"/>
      <c r="E5433" s="3">
        <v>10</v>
      </c>
      <c r="F5433" s="4" t="str">
        <f>HYPERLINK("http://141.218.60.56/~jnz1568/getInfo.php?workbook=14_09.xlsx&amp;sheet=U0&amp;row=5433&amp;col=6&amp;number=3.9&amp;sourceID=14","3.9")</f>
        <v>3.9</v>
      </c>
      <c r="G5433" s="4" t="str">
        <f>HYPERLINK("http://141.218.60.56/~jnz1568/getInfo.php?workbook=14_09.xlsx&amp;sheet=U0&amp;row=5433&amp;col=7&amp;number=0.0473&amp;sourceID=14","0.0473")</f>
        <v>0.0473</v>
      </c>
    </row>
    <row r="5434" spans="1:7">
      <c r="A5434" s="3"/>
      <c r="B5434" s="3"/>
      <c r="C5434" s="3"/>
      <c r="D5434" s="3"/>
      <c r="E5434" s="3">
        <v>11</v>
      </c>
      <c r="F5434" s="4" t="str">
        <f>HYPERLINK("http://141.218.60.56/~jnz1568/getInfo.php?workbook=14_09.xlsx&amp;sheet=U0&amp;row=5434&amp;col=6&amp;number=4&amp;sourceID=14","4")</f>
        <v>4</v>
      </c>
      <c r="G5434" s="4" t="str">
        <f>HYPERLINK("http://141.218.60.56/~jnz1568/getInfo.php?workbook=14_09.xlsx&amp;sheet=U0&amp;row=5434&amp;col=7&amp;number=0.0466&amp;sourceID=14","0.0466")</f>
        <v>0.0466</v>
      </c>
    </row>
    <row r="5435" spans="1:7">
      <c r="A5435" s="3"/>
      <c r="B5435" s="3"/>
      <c r="C5435" s="3"/>
      <c r="D5435" s="3"/>
      <c r="E5435" s="3">
        <v>12</v>
      </c>
      <c r="F5435" s="4" t="str">
        <f>HYPERLINK("http://141.218.60.56/~jnz1568/getInfo.php?workbook=14_09.xlsx&amp;sheet=U0&amp;row=5435&amp;col=6&amp;number=4.1&amp;sourceID=14","4.1")</f>
        <v>4.1</v>
      </c>
      <c r="G5435" s="4" t="str">
        <f>HYPERLINK("http://141.218.60.56/~jnz1568/getInfo.php?workbook=14_09.xlsx&amp;sheet=U0&amp;row=5435&amp;col=7&amp;number=0.0459&amp;sourceID=14","0.0459")</f>
        <v>0.0459</v>
      </c>
    </row>
    <row r="5436" spans="1:7">
      <c r="A5436" s="3"/>
      <c r="B5436" s="3"/>
      <c r="C5436" s="3"/>
      <c r="D5436" s="3"/>
      <c r="E5436" s="3">
        <v>13</v>
      </c>
      <c r="F5436" s="4" t="str">
        <f>HYPERLINK("http://141.218.60.56/~jnz1568/getInfo.php?workbook=14_09.xlsx&amp;sheet=U0&amp;row=5436&amp;col=6&amp;number=4.2&amp;sourceID=14","4.2")</f>
        <v>4.2</v>
      </c>
      <c r="G5436" s="4" t="str">
        <f>HYPERLINK("http://141.218.60.56/~jnz1568/getInfo.php?workbook=14_09.xlsx&amp;sheet=U0&amp;row=5436&amp;col=7&amp;number=0.0449&amp;sourceID=14","0.0449")</f>
        <v>0.0449</v>
      </c>
    </row>
    <row r="5437" spans="1:7">
      <c r="A5437" s="3"/>
      <c r="B5437" s="3"/>
      <c r="C5437" s="3"/>
      <c r="D5437" s="3"/>
      <c r="E5437" s="3">
        <v>14</v>
      </c>
      <c r="F5437" s="4" t="str">
        <f>HYPERLINK("http://141.218.60.56/~jnz1568/getInfo.php?workbook=14_09.xlsx&amp;sheet=U0&amp;row=5437&amp;col=6&amp;number=4.3&amp;sourceID=14","4.3")</f>
        <v>4.3</v>
      </c>
      <c r="G5437" s="4" t="str">
        <f>HYPERLINK("http://141.218.60.56/~jnz1568/getInfo.php?workbook=14_09.xlsx&amp;sheet=U0&amp;row=5437&amp;col=7&amp;number=0.0438&amp;sourceID=14","0.0438")</f>
        <v>0.0438</v>
      </c>
    </row>
    <row r="5438" spans="1:7">
      <c r="A5438" s="3"/>
      <c r="B5438" s="3"/>
      <c r="C5438" s="3"/>
      <c r="D5438" s="3"/>
      <c r="E5438" s="3">
        <v>15</v>
      </c>
      <c r="F5438" s="4" t="str">
        <f>HYPERLINK("http://141.218.60.56/~jnz1568/getInfo.php?workbook=14_09.xlsx&amp;sheet=U0&amp;row=5438&amp;col=6&amp;number=4.4&amp;sourceID=14","4.4")</f>
        <v>4.4</v>
      </c>
      <c r="G5438" s="4" t="str">
        <f>HYPERLINK("http://141.218.60.56/~jnz1568/getInfo.php?workbook=14_09.xlsx&amp;sheet=U0&amp;row=5438&amp;col=7&amp;number=0.0423&amp;sourceID=14","0.0423")</f>
        <v>0.0423</v>
      </c>
    </row>
    <row r="5439" spans="1:7">
      <c r="A5439" s="3"/>
      <c r="B5439" s="3"/>
      <c r="C5439" s="3"/>
      <c r="D5439" s="3"/>
      <c r="E5439" s="3">
        <v>16</v>
      </c>
      <c r="F5439" s="4" t="str">
        <f>HYPERLINK("http://141.218.60.56/~jnz1568/getInfo.php?workbook=14_09.xlsx&amp;sheet=U0&amp;row=5439&amp;col=6&amp;number=4.5&amp;sourceID=14","4.5")</f>
        <v>4.5</v>
      </c>
      <c r="G5439" s="4" t="str">
        <f>HYPERLINK("http://141.218.60.56/~jnz1568/getInfo.php?workbook=14_09.xlsx&amp;sheet=U0&amp;row=5439&amp;col=7&amp;number=0.0405&amp;sourceID=14","0.0405")</f>
        <v>0.0405</v>
      </c>
    </row>
    <row r="5440" spans="1:7">
      <c r="A5440" s="3"/>
      <c r="B5440" s="3"/>
      <c r="C5440" s="3"/>
      <c r="D5440" s="3"/>
      <c r="E5440" s="3">
        <v>17</v>
      </c>
      <c r="F5440" s="4" t="str">
        <f>HYPERLINK("http://141.218.60.56/~jnz1568/getInfo.php?workbook=14_09.xlsx&amp;sheet=U0&amp;row=5440&amp;col=6&amp;number=4.6&amp;sourceID=14","4.6")</f>
        <v>4.6</v>
      </c>
      <c r="G5440" s="4" t="str">
        <f>HYPERLINK("http://141.218.60.56/~jnz1568/getInfo.php?workbook=14_09.xlsx&amp;sheet=U0&amp;row=5440&amp;col=7&amp;number=0.0384&amp;sourceID=14","0.0384")</f>
        <v>0.0384</v>
      </c>
    </row>
    <row r="5441" spans="1:7">
      <c r="A5441" s="3"/>
      <c r="B5441" s="3"/>
      <c r="C5441" s="3"/>
      <c r="D5441" s="3"/>
      <c r="E5441" s="3">
        <v>18</v>
      </c>
      <c r="F5441" s="4" t="str">
        <f>HYPERLINK("http://141.218.60.56/~jnz1568/getInfo.php?workbook=14_09.xlsx&amp;sheet=U0&amp;row=5441&amp;col=6&amp;number=4.7&amp;sourceID=14","4.7")</f>
        <v>4.7</v>
      </c>
      <c r="G5441" s="4" t="str">
        <f>HYPERLINK("http://141.218.60.56/~jnz1568/getInfo.php?workbook=14_09.xlsx&amp;sheet=U0&amp;row=5441&amp;col=7&amp;number=0.0359&amp;sourceID=14","0.0359")</f>
        <v>0.0359</v>
      </c>
    </row>
    <row r="5442" spans="1:7">
      <c r="A5442" s="3"/>
      <c r="B5442" s="3"/>
      <c r="C5442" s="3"/>
      <c r="D5442" s="3"/>
      <c r="E5442" s="3">
        <v>19</v>
      </c>
      <c r="F5442" s="4" t="str">
        <f>HYPERLINK("http://141.218.60.56/~jnz1568/getInfo.php?workbook=14_09.xlsx&amp;sheet=U0&amp;row=5442&amp;col=6&amp;number=4.8&amp;sourceID=14","4.8")</f>
        <v>4.8</v>
      </c>
      <c r="G5442" s="4" t="str">
        <f>HYPERLINK("http://141.218.60.56/~jnz1568/getInfo.php?workbook=14_09.xlsx&amp;sheet=U0&amp;row=5442&amp;col=7&amp;number=0.033&amp;sourceID=14","0.033")</f>
        <v>0.033</v>
      </c>
    </row>
    <row r="5443" spans="1:7">
      <c r="A5443" s="3"/>
      <c r="B5443" s="3"/>
      <c r="C5443" s="3"/>
      <c r="D5443" s="3"/>
      <c r="E5443" s="3">
        <v>20</v>
      </c>
      <c r="F5443" s="4" t="str">
        <f>HYPERLINK("http://141.218.60.56/~jnz1568/getInfo.php?workbook=14_09.xlsx&amp;sheet=U0&amp;row=5443&amp;col=6&amp;number=4.9&amp;sourceID=14","4.9")</f>
        <v>4.9</v>
      </c>
      <c r="G5443" s="4" t="str">
        <f>HYPERLINK("http://141.218.60.56/~jnz1568/getInfo.php?workbook=14_09.xlsx&amp;sheet=U0&amp;row=5443&amp;col=7&amp;number=0.0297&amp;sourceID=14","0.0297")</f>
        <v>0.0297</v>
      </c>
    </row>
    <row r="5444" spans="1:7">
      <c r="A5444" s="3">
        <v>14</v>
      </c>
      <c r="B5444" s="3">
        <v>9</v>
      </c>
      <c r="C5444" s="3">
        <v>2</v>
      </c>
      <c r="D5444" s="3">
        <v>81</v>
      </c>
      <c r="E5444" s="3">
        <v>1</v>
      </c>
      <c r="F5444" s="4" t="str">
        <f>HYPERLINK("http://141.218.60.56/~jnz1568/getInfo.php?workbook=14_09.xlsx&amp;sheet=U0&amp;row=5444&amp;col=6&amp;number=3&amp;sourceID=14","3")</f>
        <v>3</v>
      </c>
      <c r="G5444" s="4" t="str">
        <f>HYPERLINK("http://141.218.60.56/~jnz1568/getInfo.php?workbook=14_09.xlsx&amp;sheet=U0&amp;row=5444&amp;col=7&amp;number=0.0224&amp;sourceID=14","0.0224")</f>
        <v>0.0224</v>
      </c>
    </row>
    <row r="5445" spans="1:7">
      <c r="A5445" s="3"/>
      <c r="B5445" s="3"/>
      <c r="C5445" s="3"/>
      <c r="D5445" s="3"/>
      <c r="E5445" s="3">
        <v>2</v>
      </c>
      <c r="F5445" s="4" t="str">
        <f>HYPERLINK("http://141.218.60.56/~jnz1568/getInfo.php?workbook=14_09.xlsx&amp;sheet=U0&amp;row=5445&amp;col=6&amp;number=3.1&amp;sourceID=14","3.1")</f>
        <v>3.1</v>
      </c>
      <c r="G5445" s="4" t="str">
        <f>HYPERLINK("http://141.218.60.56/~jnz1568/getInfo.php?workbook=14_09.xlsx&amp;sheet=U0&amp;row=5445&amp;col=7&amp;number=0.0224&amp;sourceID=14","0.0224")</f>
        <v>0.0224</v>
      </c>
    </row>
    <row r="5446" spans="1:7">
      <c r="A5446" s="3"/>
      <c r="B5446" s="3"/>
      <c r="C5446" s="3"/>
      <c r="D5446" s="3"/>
      <c r="E5446" s="3">
        <v>3</v>
      </c>
      <c r="F5446" s="4" t="str">
        <f>HYPERLINK("http://141.218.60.56/~jnz1568/getInfo.php?workbook=14_09.xlsx&amp;sheet=U0&amp;row=5446&amp;col=6&amp;number=3.2&amp;sourceID=14","3.2")</f>
        <v>3.2</v>
      </c>
      <c r="G5446" s="4" t="str">
        <f>HYPERLINK("http://141.218.60.56/~jnz1568/getInfo.php?workbook=14_09.xlsx&amp;sheet=U0&amp;row=5446&amp;col=7&amp;number=0.0223&amp;sourceID=14","0.0223")</f>
        <v>0.0223</v>
      </c>
    </row>
    <row r="5447" spans="1:7">
      <c r="A5447" s="3"/>
      <c r="B5447" s="3"/>
      <c r="C5447" s="3"/>
      <c r="D5447" s="3"/>
      <c r="E5447" s="3">
        <v>4</v>
      </c>
      <c r="F5447" s="4" t="str">
        <f>HYPERLINK("http://141.218.60.56/~jnz1568/getInfo.php?workbook=14_09.xlsx&amp;sheet=U0&amp;row=5447&amp;col=6&amp;number=3.3&amp;sourceID=14","3.3")</f>
        <v>3.3</v>
      </c>
      <c r="G5447" s="4" t="str">
        <f>HYPERLINK("http://141.218.60.56/~jnz1568/getInfo.php?workbook=14_09.xlsx&amp;sheet=U0&amp;row=5447&amp;col=7&amp;number=0.0223&amp;sourceID=14","0.0223")</f>
        <v>0.0223</v>
      </c>
    </row>
    <row r="5448" spans="1:7">
      <c r="A5448" s="3"/>
      <c r="B5448" s="3"/>
      <c r="C5448" s="3"/>
      <c r="D5448" s="3"/>
      <c r="E5448" s="3">
        <v>5</v>
      </c>
      <c r="F5448" s="4" t="str">
        <f>HYPERLINK("http://141.218.60.56/~jnz1568/getInfo.php?workbook=14_09.xlsx&amp;sheet=U0&amp;row=5448&amp;col=6&amp;number=3.4&amp;sourceID=14","3.4")</f>
        <v>3.4</v>
      </c>
      <c r="G5448" s="4" t="str">
        <f>HYPERLINK("http://141.218.60.56/~jnz1568/getInfo.php?workbook=14_09.xlsx&amp;sheet=U0&amp;row=5448&amp;col=7&amp;number=0.0222&amp;sourceID=14","0.0222")</f>
        <v>0.0222</v>
      </c>
    </row>
    <row r="5449" spans="1:7">
      <c r="A5449" s="3"/>
      <c r="B5449" s="3"/>
      <c r="C5449" s="3"/>
      <c r="D5449" s="3"/>
      <c r="E5449" s="3">
        <v>6</v>
      </c>
      <c r="F5449" s="4" t="str">
        <f>HYPERLINK("http://141.218.60.56/~jnz1568/getInfo.php?workbook=14_09.xlsx&amp;sheet=U0&amp;row=5449&amp;col=6&amp;number=3.5&amp;sourceID=14","3.5")</f>
        <v>3.5</v>
      </c>
      <c r="G5449" s="4" t="str">
        <f>HYPERLINK("http://141.218.60.56/~jnz1568/getInfo.php?workbook=14_09.xlsx&amp;sheet=U0&amp;row=5449&amp;col=7&amp;number=0.0221&amp;sourceID=14","0.0221")</f>
        <v>0.0221</v>
      </c>
    </row>
    <row r="5450" spans="1:7">
      <c r="A5450" s="3"/>
      <c r="B5450" s="3"/>
      <c r="C5450" s="3"/>
      <c r="D5450" s="3"/>
      <c r="E5450" s="3">
        <v>7</v>
      </c>
      <c r="F5450" s="4" t="str">
        <f>HYPERLINK("http://141.218.60.56/~jnz1568/getInfo.php?workbook=14_09.xlsx&amp;sheet=U0&amp;row=5450&amp;col=6&amp;number=3.6&amp;sourceID=14","3.6")</f>
        <v>3.6</v>
      </c>
      <c r="G5450" s="4" t="str">
        <f>HYPERLINK("http://141.218.60.56/~jnz1568/getInfo.php?workbook=14_09.xlsx&amp;sheet=U0&amp;row=5450&amp;col=7&amp;number=0.0219&amp;sourceID=14","0.0219")</f>
        <v>0.0219</v>
      </c>
    </row>
    <row r="5451" spans="1:7">
      <c r="A5451" s="3"/>
      <c r="B5451" s="3"/>
      <c r="C5451" s="3"/>
      <c r="D5451" s="3"/>
      <c r="E5451" s="3">
        <v>8</v>
      </c>
      <c r="F5451" s="4" t="str">
        <f>HYPERLINK("http://141.218.60.56/~jnz1568/getInfo.php?workbook=14_09.xlsx&amp;sheet=U0&amp;row=5451&amp;col=6&amp;number=3.7&amp;sourceID=14","3.7")</f>
        <v>3.7</v>
      </c>
      <c r="G5451" s="4" t="str">
        <f>HYPERLINK("http://141.218.60.56/~jnz1568/getInfo.php?workbook=14_09.xlsx&amp;sheet=U0&amp;row=5451&amp;col=7&amp;number=0.0217&amp;sourceID=14","0.0217")</f>
        <v>0.0217</v>
      </c>
    </row>
    <row r="5452" spans="1:7">
      <c r="A5452" s="3"/>
      <c r="B5452" s="3"/>
      <c r="C5452" s="3"/>
      <c r="D5452" s="3"/>
      <c r="E5452" s="3">
        <v>9</v>
      </c>
      <c r="F5452" s="4" t="str">
        <f>HYPERLINK("http://141.218.60.56/~jnz1568/getInfo.php?workbook=14_09.xlsx&amp;sheet=U0&amp;row=5452&amp;col=6&amp;number=3.8&amp;sourceID=14","3.8")</f>
        <v>3.8</v>
      </c>
      <c r="G5452" s="4" t="str">
        <f>HYPERLINK("http://141.218.60.56/~jnz1568/getInfo.php?workbook=14_09.xlsx&amp;sheet=U0&amp;row=5452&amp;col=7&amp;number=0.0215&amp;sourceID=14","0.0215")</f>
        <v>0.0215</v>
      </c>
    </row>
    <row r="5453" spans="1:7">
      <c r="A5453" s="3"/>
      <c r="B5453" s="3"/>
      <c r="C5453" s="3"/>
      <c r="D5453" s="3"/>
      <c r="E5453" s="3">
        <v>10</v>
      </c>
      <c r="F5453" s="4" t="str">
        <f>HYPERLINK("http://141.218.60.56/~jnz1568/getInfo.php?workbook=14_09.xlsx&amp;sheet=U0&amp;row=5453&amp;col=6&amp;number=3.9&amp;sourceID=14","3.9")</f>
        <v>3.9</v>
      </c>
      <c r="G5453" s="4" t="str">
        <f>HYPERLINK("http://141.218.60.56/~jnz1568/getInfo.php?workbook=14_09.xlsx&amp;sheet=U0&amp;row=5453&amp;col=7&amp;number=0.0212&amp;sourceID=14","0.0212")</f>
        <v>0.0212</v>
      </c>
    </row>
    <row r="5454" spans="1:7">
      <c r="A5454" s="3"/>
      <c r="B5454" s="3"/>
      <c r="C5454" s="3"/>
      <c r="D5454" s="3"/>
      <c r="E5454" s="3">
        <v>11</v>
      </c>
      <c r="F5454" s="4" t="str">
        <f>HYPERLINK("http://141.218.60.56/~jnz1568/getInfo.php?workbook=14_09.xlsx&amp;sheet=U0&amp;row=5454&amp;col=6&amp;number=4&amp;sourceID=14","4")</f>
        <v>4</v>
      </c>
      <c r="G5454" s="4" t="str">
        <f>HYPERLINK("http://141.218.60.56/~jnz1568/getInfo.php?workbook=14_09.xlsx&amp;sheet=U0&amp;row=5454&amp;col=7&amp;number=0.0209&amp;sourceID=14","0.0209")</f>
        <v>0.0209</v>
      </c>
    </row>
    <row r="5455" spans="1:7">
      <c r="A5455" s="3"/>
      <c r="B5455" s="3"/>
      <c r="C5455" s="3"/>
      <c r="D5455" s="3"/>
      <c r="E5455" s="3">
        <v>12</v>
      </c>
      <c r="F5455" s="4" t="str">
        <f>HYPERLINK("http://141.218.60.56/~jnz1568/getInfo.php?workbook=14_09.xlsx&amp;sheet=U0&amp;row=5455&amp;col=6&amp;number=4.1&amp;sourceID=14","4.1")</f>
        <v>4.1</v>
      </c>
      <c r="G5455" s="4" t="str">
        <f>HYPERLINK("http://141.218.60.56/~jnz1568/getInfo.php?workbook=14_09.xlsx&amp;sheet=U0&amp;row=5455&amp;col=7&amp;number=0.0205&amp;sourceID=14","0.0205")</f>
        <v>0.0205</v>
      </c>
    </row>
    <row r="5456" spans="1:7">
      <c r="A5456" s="3"/>
      <c r="B5456" s="3"/>
      <c r="C5456" s="3"/>
      <c r="D5456" s="3"/>
      <c r="E5456" s="3">
        <v>13</v>
      </c>
      <c r="F5456" s="4" t="str">
        <f>HYPERLINK("http://141.218.60.56/~jnz1568/getInfo.php?workbook=14_09.xlsx&amp;sheet=U0&amp;row=5456&amp;col=6&amp;number=4.2&amp;sourceID=14","4.2")</f>
        <v>4.2</v>
      </c>
      <c r="G5456" s="4" t="str">
        <f>HYPERLINK("http://141.218.60.56/~jnz1568/getInfo.php?workbook=14_09.xlsx&amp;sheet=U0&amp;row=5456&amp;col=7&amp;number=0.0199&amp;sourceID=14","0.0199")</f>
        <v>0.0199</v>
      </c>
    </row>
    <row r="5457" spans="1:7">
      <c r="A5457" s="3"/>
      <c r="B5457" s="3"/>
      <c r="C5457" s="3"/>
      <c r="D5457" s="3"/>
      <c r="E5457" s="3">
        <v>14</v>
      </c>
      <c r="F5457" s="4" t="str">
        <f>HYPERLINK("http://141.218.60.56/~jnz1568/getInfo.php?workbook=14_09.xlsx&amp;sheet=U0&amp;row=5457&amp;col=6&amp;number=4.3&amp;sourceID=14","4.3")</f>
        <v>4.3</v>
      </c>
      <c r="G5457" s="4" t="str">
        <f>HYPERLINK("http://141.218.60.56/~jnz1568/getInfo.php?workbook=14_09.xlsx&amp;sheet=U0&amp;row=5457&amp;col=7&amp;number=0.0192&amp;sourceID=14","0.0192")</f>
        <v>0.0192</v>
      </c>
    </row>
    <row r="5458" spans="1:7">
      <c r="A5458" s="3"/>
      <c r="B5458" s="3"/>
      <c r="C5458" s="3"/>
      <c r="D5458" s="3"/>
      <c r="E5458" s="3">
        <v>15</v>
      </c>
      <c r="F5458" s="4" t="str">
        <f>HYPERLINK("http://141.218.60.56/~jnz1568/getInfo.php?workbook=14_09.xlsx&amp;sheet=U0&amp;row=5458&amp;col=6&amp;number=4.4&amp;sourceID=14","4.4")</f>
        <v>4.4</v>
      </c>
      <c r="G5458" s="4" t="str">
        <f>HYPERLINK("http://141.218.60.56/~jnz1568/getInfo.php?workbook=14_09.xlsx&amp;sheet=U0&amp;row=5458&amp;col=7&amp;number=0.0184&amp;sourceID=14","0.0184")</f>
        <v>0.0184</v>
      </c>
    </row>
    <row r="5459" spans="1:7">
      <c r="A5459" s="3"/>
      <c r="B5459" s="3"/>
      <c r="C5459" s="3"/>
      <c r="D5459" s="3"/>
      <c r="E5459" s="3">
        <v>16</v>
      </c>
      <c r="F5459" s="4" t="str">
        <f>HYPERLINK("http://141.218.60.56/~jnz1568/getInfo.php?workbook=14_09.xlsx&amp;sheet=U0&amp;row=5459&amp;col=6&amp;number=4.5&amp;sourceID=14","4.5")</f>
        <v>4.5</v>
      </c>
      <c r="G5459" s="4" t="str">
        <f>HYPERLINK("http://141.218.60.56/~jnz1568/getInfo.php?workbook=14_09.xlsx&amp;sheet=U0&amp;row=5459&amp;col=7&amp;number=0.0175&amp;sourceID=14","0.0175")</f>
        <v>0.0175</v>
      </c>
    </row>
    <row r="5460" spans="1:7">
      <c r="A5460" s="3"/>
      <c r="B5460" s="3"/>
      <c r="C5460" s="3"/>
      <c r="D5460" s="3"/>
      <c r="E5460" s="3">
        <v>17</v>
      </c>
      <c r="F5460" s="4" t="str">
        <f>HYPERLINK("http://141.218.60.56/~jnz1568/getInfo.php?workbook=14_09.xlsx&amp;sheet=U0&amp;row=5460&amp;col=6&amp;number=4.6&amp;sourceID=14","4.6")</f>
        <v>4.6</v>
      </c>
      <c r="G5460" s="4" t="str">
        <f>HYPERLINK("http://141.218.60.56/~jnz1568/getInfo.php?workbook=14_09.xlsx&amp;sheet=U0&amp;row=5460&amp;col=7&amp;number=0.0163&amp;sourceID=14","0.0163")</f>
        <v>0.0163</v>
      </c>
    </row>
    <row r="5461" spans="1:7">
      <c r="A5461" s="3"/>
      <c r="B5461" s="3"/>
      <c r="C5461" s="3"/>
      <c r="D5461" s="3"/>
      <c r="E5461" s="3">
        <v>18</v>
      </c>
      <c r="F5461" s="4" t="str">
        <f>HYPERLINK("http://141.218.60.56/~jnz1568/getInfo.php?workbook=14_09.xlsx&amp;sheet=U0&amp;row=5461&amp;col=6&amp;number=4.7&amp;sourceID=14","4.7")</f>
        <v>4.7</v>
      </c>
      <c r="G5461" s="4" t="str">
        <f>HYPERLINK("http://141.218.60.56/~jnz1568/getInfo.php?workbook=14_09.xlsx&amp;sheet=U0&amp;row=5461&amp;col=7&amp;number=0.0149&amp;sourceID=14","0.0149")</f>
        <v>0.0149</v>
      </c>
    </row>
    <row r="5462" spans="1:7">
      <c r="A5462" s="3"/>
      <c r="B5462" s="3"/>
      <c r="C5462" s="3"/>
      <c r="D5462" s="3"/>
      <c r="E5462" s="3">
        <v>19</v>
      </c>
      <c r="F5462" s="4" t="str">
        <f>HYPERLINK("http://141.218.60.56/~jnz1568/getInfo.php?workbook=14_09.xlsx&amp;sheet=U0&amp;row=5462&amp;col=6&amp;number=4.8&amp;sourceID=14","4.8")</f>
        <v>4.8</v>
      </c>
      <c r="G5462" s="4" t="str">
        <f>HYPERLINK("http://141.218.60.56/~jnz1568/getInfo.php?workbook=14_09.xlsx&amp;sheet=U0&amp;row=5462&amp;col=7&amp;number=0.0134&amp;sourceID=14","0.0134")</f>
        <v>0.0134</v>
      </c>
    </row>
    <row r="5463" spans="1:7">
      <c r="A5463" s="3"/>
      <c r="B5463" s="3"/>
      <c r="C5463" s="3"/>
      <c r="D5463" s="3"/>
      <c r="E5463" s="3">
        <v>20</v>
      </c>
      <c r="F5463" s="4" t="str">
        <f>HYPERLINK("http://141.218.60.56/~jnz1568/getInfo.php?workbook=14_09.xlsx&amp;sheet=U0&amp;row=5463&amp;col=6&amp;number=4.9&amp;sourceID=14","4.9")</f>
        <v>4.9</v>
      </c>
      <c r="G5463" s="4" t="str">
        <f>HYPERLINK("http://141.218.60.56/~jnz1568/getInfo.php?workbook=14_09.xlsx&amp;sheet=U0&amp;row=5463&amp;col=7&amp;number=0.0118&amp;sourceID=14","0.0118")</f>
        <v>0.0118</v>
      </c>
    </row>
    <row r="5464" spans="1:7">
      <c r="A5464" s="3">
        <v>14</v>
      </c>
      <c r="B5464" s="3">
        <v>9</v>
      </c>
      <c r="C5464" s="3">
        <v>2</v>
      </c>
      <c r="D5464" s="3">
        <v>82</v>
      </c>
      <c r="E5464" s="3">
        <v>1</v>
      </c>
      <c r="F5464" s="4" t="str">
        <f>HYPERLINK("http://141.218.60.56/~jnz1568/getInfo.php?workbook=14_09.xlsx&amp;sheet=U0&amp;row=5464&amp;col=6&amp;number=3&amp;sourceID=14","3")</f>
        <v>3</v>
      </c>
      <c r="G5464" s="4" t="str">
        <f>HYPERLINK("http://141.218.60.56/~jnz1568/getInfo.php?workbook=14_09.xlsx&amp;sheet=U0&amp;row=5464&amp;col=7&amp;number=0.0246&amp;sourceID=14","0.0246")</f>
        <v>0.0246</v>
      </c>
    </row>
    <row r="5465" spans="1:7">
      <c r="A5465" s="3"/>
      <c r="B5465" s="3"/>
      <c r="C5465" s="3"/>
      <c r="D5465" s="3"/>
      <c r="E5465" s="3">
        <v>2</v>
      </c>
      <c r="F5465" s="4" t="str">
        <f>HYPERLINK("http://141.218.60.56/~jnz1568/getInfo.php?workbook=14_09.xlsx&amp;sheet=U0&amp;row=5465&amp;col=6&amp;number=3.1&amp;sourceID=14","3.1")</f>
        <v>3.1</v>
      </c>
      <c r="G5465" s="4" t="str">
        <f>HYPERLINK("http://141.218.60.56/~jnz1568/getInfo.php?workbook=14_09.xlsx&amp;sheet=U0&amp;row=5465&amp;col=7&amp;number=0.0245&amp;sourceID=14","0.0245")</f>
        <v>0.0245</v>
      </c>
    </row>
    <row r="5466" spans="1:7">
      <c r="A5466" s="3"/>
      <c r="B5466" s="3"/>
      <c r="C5466" s="3"/>
      <c r="D5466" s="3"/>
      <c r="E5466" s="3">
        <v>3</v>
      </c>
      <c r="F5466" s="4" t="str">
        <f>HYPERLINK("http://141.218.60.56/~jnz1568/getInfo.php?workbook=14_09.xlsx&amp;sheet=U0&amp;row=5466&amp;col=6&amp;number=3.2&amp;sourceID=14","3.2")</f>
        <v>3.2</v>
      </c>
      <c r="G5466" s="4" t="str">
        <f>HYPERLINK("http://141.218.60.56/~jnz1568/getInfo.php?workbook=14_09.xlsx&amp;sheet=U0&amp;row=5466&amp;col=7&amp;number=0.0244&amp;sourceID=14","0.0244")</f>
        <v>0.0244</v>
      </c>
    </row>
    <row r="5467" spans="1:7">
      <c r="A5467" s="3"/>
      <c r="B5467" s="3"/>
      <c r="C5467" s="3"/>
      <c r="D5467" s="3"/>
      <c r="E5467" s="3">
        <v>4</v>
      </c>
      <c r="F5467" s="4" t="str">
        <f>HYPERLINK("http://141.218.60.56/~jnz1568/getInfo.php?workbook=14_09.xlsx&amp;sheet=U0&amp;row=5467&amp;col=6&amp;number=3.3&amp;sourceID=14","3.3")</f>
        <v>3.3</v>
      </c>
      <c r="G5467" s="4" t="str">
        <f>HYPERLINK("http://141.218.60.56/~jnz1568/getInfo.php?workbook=14_09.xlsx&amp;sheet=U0&amp;row=5467&amp;col=7&amp;number=0.0243&amp;sourceID=14","0.0243")</f>
        <v>0.0243</v>
      </c>
    </row>
    <row r="5468" spans="1:7">
      <c r="A5468" s="3"/>
      <c r="B5468" s="3"/>
      <c r="C5468" s="3"/>
      <c r="D5468" s="3"/>
      <c r="E5468" s="3">
        <v>5</v>
      </c>
      <c r="F5468" s="4" t="str">
        <f>HYPERLINK("http://141.218.60.56/~jnz1568/getInfo.php?workbook=14_09.xlsx&amp;sheet=U0&amp;row=5468&amp;col=6&amp;number=3.4&amp;sourceID=14","3.4")</f>
        <v>3.4</v>
      </c>
      <c r="G5468" s="4" t="str">
        <f>HYPERLINK("http://141.218.60.56/~jnz1568/getInfo.php?workbook=14_09.xlsx&amp;sheet=U0&amp;row=5468&amp;col=7&amp;number=0.0242&amp;sourceID=14","0.0242")</f>
        <v>0.0242</v>
      </c>
    </row>
    <row r="5469" spans="1:7">
      <c r="A5469" s="3"/>
      <c r="B5469" s="3"/>
      <c r="C5469" s="3"/>
      <c r="D5469" s="3"/>
      <c r="E5469" s="3">
        <v>6</v>
      </c>
      <c r="F5469" s="4" t="str">
        <f>HYPERLINK("http://141.218.60.56/~jnz1568/getInfo.php?workbook=14_09.xlsx&amp;sheet=U0&amp;row=5469&amp;col=6&amp;number=3.5&amp;sourceID=14","3.5")</f>
        <v>3.5</v>
      </c>
      <c r="G5469" s="4" t="str">
        <f>HYPERLINK("http://141.218.60.56/~jnz1568/getInfo.php?workbook=14_09.xlsx&amp;sheet=U0&amp;row=5469&amp;col=7&amp;number=0.024&amp;sourceID=14","0.024")</f>
        <v>0.024</v>
      </c>
    </row>
    <row r="5470" spans="1:7">
      <c r="A5470" s="3"/>
      <c r="B5470" s="3"/>
      <c r="C5470" s="3"/>
      <c r="D5470" s="3"/>
      <c r="E5470" s="3">
        <v>7</v>
      </c>
      <c r="F5470" s="4" t="str">
        <f>HYPERLINK("http://141.218.60.56/~jnz1568/getInfo.php?workbook=14_09.xlsx&amp;sheet=U0&amp;row=5470&amp;col=6&amp;number=3.6&amp;sourceID=14","3.6")</f>
        <v>3.6</v>
      </c>
      <c r="G5470" s="4" t="str">
        <f>HYPERLINK("http://141.218.60.56/~jnz1568/getInfo.php?workbook=14_09.xlsx&amp;sheet=U0&amp;row=5470&amp;col=7&amp;number=0.0239&amp;sourceID=14","0.0239")</f>
        <v>0.0239</v>
      </c>
    </row>
    <row r="5471" spans="1:7">
      <c r="A5471" s="3"/>
      <c r="B5471" s="3"/>
      <c r="C5471" s="3"/>
      <c r="D5471" s="3"/>
      <c r="E5471" s="3">
        <v>8</v>
      </c>
      <c r="F5471" s="4" t="str">
        <f>HYPERLINK("http://141.218.60.56/~jnz1568/getInfo.php?workbook=14_09.xlsx&amp;sheet=U0&amp;row=5471&amp;col=6&amp;number=3.7&amp;sourceID=14","3.7")</f>
        <v>3.7</v>
      </c>
      <c r="G5471" s="4" t="str">
        <f>HYPERLINK("http://141.218.60.56/~jnz1568/getInfo.php?workbook=14_09.xlsx&amp;sheet=U0&amp;row=5471&amp;col=7&amp;number=0.0236&amp;sourceID=14","0.0236")</f>
        <v>0.0236</v>
      </c>
    </row>
    <row r="5472" spans="1:7">
      <c r="A5472" s="3"/>
      <c r="B5472" s="3"/>
      <c r="C5472" s="3"/>
      <c r="D5472" s="3"/>
      <c r="E5472" s="3">
        <v>9</v>
      </c>
      <c r="F5472" s="4" t="str">
        <f>HYPERLINK("http://141.218.60.56/~jnz1568/getInfo.php?workbook=14_09.xlsx&amp;sheet=U0&amp;row=5472&amp;col=6&amp;number=3.8&amp;sourceID=14","3.8")</f>
        <v>3.8</v>
      </c>
      <c r="G5472" s="4" t="str">
        <f>HYPERLINK("http://141.218.60.56/~jnz1568/getInfo.php?workbook=14_09.xlsx&amp;sheet=U0&amp;row=5472&amp;col=7&amp;number=0.0233&amp;sourceID=14","0.0233")</f>
        <v>0.0233</v>
      </c>
    </row>
    <row r="5473" spans="1:7">
      <c r="A5473" s="3"/>
      <c r="B5473" s="3"/>
      <c r="C5473" s="3"/>
      <c r="D5473" s="3"/>
      <c r="E5473" s="3">
        <v>10</v>
      </c>
      <c r="F5473" s="4" t="str">
        <f>HYPERLINK("http://141.218.60.56/~jnz1568/getInfo.php?workbook=14_09.xlsx&amp;sheet=U0&amp;row=5473&amp;col=6&amp;number=3.9&amp;sourceID=14","3.9")</f>
        <v>3.9</v>
      </c>
      <c r="G5473" s="4" t="str">
        <f>HYPERLINK("http://141.218.60.56/~jnz1568/getInfo.php?workbook=14_09.xlsx&amp;sheet=U0&amp;row=5473&amp;col=7&amp;number=0.0229&amp;sourceID=14","0.0229")</f>
        <v>0.0229</v>
      </c>
    </row>
    <row r="5474" spans="1:7">
      <c r="A5474" s="3"/>
      <c r="B5474" s="3"/>
      <c r="C5474" s="3"/>
      <c r="D5474" s="3"/>
      <c r="E5474" s="3">
        <v>11</v>
      </c>
      <c r="F5474" s="4" t="str">
        <f>HYPERLINK("http://141.218.60.56/~jnz1568/getInfo.php?workbook=14_09.xlsx&amp;sheet=U0&amp;row=5474&amp;col=6&amp;number=4&amp;sourceID=14","4")</f>
        <v>4</v>
      </c>
      <c r="G5474" s="4" t="str">
        <f>HYPERLINK("http://141.218.60.56/~jnz1568/getInfo.php?workbook=14_09.xlsx&amp;sheet=U0&amp;row=5474&amp;col=7&amp;number=0.0225&amp;sourceID=14","0.0225")</f>
        <v>0.0225</v>
      </c>
    </row>
    <row r="5475" spans="1:7">
      <c r="A5475" s="3"/>
      <c r="B5475" s="3"/>
      <c r="C5475" s="3"/>
      <c r="D5475" s="3"/>
      <c r="E5475" s="3">
        <v>12</v>
      </c>
      <c r="F5475" s="4" t="str">
        <f>HYPERLINK("http://141.218.60.56/~jnz1568/getInfo.php?workbook=14_09.xlsx&amp;sheet=U0&amp;row=5475&amp;col=6&amp;number=4.1&amp;sourceID=14","4.1")</f>
        <v>4.1</v>
      </c>
      <c r="G5475" s="4" t="str">
        <f>HYPERLINK("http://141.218.60.56/~jnz1568/getInfo.php?workbook=14_09.xlsx&amp;sheet=U0&amp;row=5475&amp;col=7&amp;number=0.0219&amp;sourceID=14","0.0219")</f>
        <v>0.0219</v>
      </c>
    </row>
    <row r="5476" spans="1:7">
      <c r="A5476" s="3"/>
      <c r="B5476" s="3"/>
      <c r="C5476" s="3"/>
      <c r="D5476" s="3"/>
      <c r="E5476" s="3">
        <v>13</v>
      </c>
      <c r="F5476" s="4" t="str">
        <f>HYPERLINK("http://141.218.60.56/~jnz1568/getInfo.php?workbook=14_09.xlsx&amp;sheet=U0&amp;row=5476&amp;col=6&amp;number=4.2&amp;sourceID=14","4.2")</f>
        <v>4.2</v>
      </c>
      <c r="G5476" s="4" t="str">
        <f>HYPERLINK("http://141.218.60.56/~jnz1568/getInfo.php?workbook=14_09.xlsx&amp;sheet=U0&amp;row=5476&amp;col=7&amp;number=0.0212&amp;sourceID=14","0.0212")</f>
        <v>0.0212</v>
      </c>
    </row>
    <row r="5477" spans="1:7">
      <c r="A5477" s="3"/>
      <c r="B5477" s="3"/>
      <c r="C5477" s="3"/>
      <c r="D5477" s="3"/>
      <c r="E5477" s="3">
        <v>14</v>
      </c>
      <c r="F5477" s="4" t="str">
        <f>HYPERLINK("http://141.218.60.56/~jnz1568/getInfo.php?workbook=14_09.xlsx&amp;sheet=U0&amp;row=5477&amp;col=6&amp;number=4.3&amp;sourceID=14","4.3")</f>
        <v>4.3</v>
      </c>
      <c r="G5477" s="4" t="str">
        <f>HYPERLINK("http://141.218.60.56/~jnz1568/getInfo.php?workbook=14_09.xlsx&amp;sheet=U0&amp;row=5477&amp;col=7&amp;number=0.0203&amp;sourceID=14","0.0203")</f>
        <v>0.0203</v>
      </c>
    </row>
    <row r="5478" spans="1:7">
      <c r="A5478" s="3"/>
      <c r="B5478" s="3"/>
      <c r="C5478" s="3"/>
      <c r="D5478" s="3"/>
      <c r="E5478" s="3">
        <v>15</v>
      </c>
      <c r="F5478" s="4" t="str">
        <f>HYPERLINK("http://141.218.60.56/~jnz1568/getInfo.php?workbook=14_09.xlsx&amp;sheet=U0&amp;row=5478&amp;col=6&amp;number=4.4&amp;sourceID=14","4.4")</f>
        <v>4.4</v>
      </c>
      <c r="G5478" s="4" t="str">
        <f>HYPERLINK("http://141.218.60.56/~jnz1568/getInfo.php?workbook=14_09.xlsx&amp;sheet=U0&amp;row=5478&amp;col=7&amp;number=0.0193&amp;sourceID=14","0.0193")</f>
        <v>0.0193</v>
      </c>
    </row>
    <row r="5479" spans="1:7">
      <c r="A5479" s="3"/>
      <c r="B5479" s="3"/>
      <c r="C5479" s="3"/>
      <c r="D5479" s="3"/>
      <c r="E5479" s="3">
        <v>16</v>
      </c>
      <c r="F5479" s="4" t="str">
        <f>HYPERLINK("http://141.218.60.56/~jnz1568/getInfo.php?workbook=14_09.xlsx&amp;sheet=U0&amp;row=5479&amp;col=6&amp;number=4.5&amp;sourceID=14","4.5")</f>
        <v>4.5</v>
      </c>
      <c r="G5479" s="4" t="str">
        <f>HYPERLINK("http://141.218.60.56/~jnz1568/getInfo.php?workbook=14_09.xlsx&amp;sheet=U0&amp;row=5479&amp;col=7&amp;number=0.0181&amp;sourceID=14","0.0181")</f>
        <v>0.0181</v>
      </c>
    </row>
    <row r="5480" spans="1:7">
      <c r="A5480" s="3"/>
      <c r="B5480" s="3"/>
      <c r="C5480" s="3"/>
      <c r="D5480" s="3"/>
      <c r="E5480" s="3">
        <v>17</v>
      </c>
      <c r="F5480" s="4" t="str">
        <f>HYPERLINK("http://141.218.60.56/~jnz1568/getInfo.php?workbook=14_09.xlsx&amp;sheet=U0&amp;row=5480&amp;col=6&amp;number=4.6&amp;sourceID=14","4.6")</f>
        <v>4.6</v>
      </c>
      <c r="G5480" s="4" t="str">
        <f>HYPERLINK("http://141.218.60.56/~jnz1568/getInfo.php?workbook=14_09.xlsx&amp;sheet=U0&amp;row=5480&amp;col=7&amp;number=0.0168&amp;sourceID=14","0.0168")</f>
        <v>0.0168</v>
      </c>
    </row>
    <row r="5481" spans="1:7">
      <c r="A5481" s="3"/>
      <c r="B5481" s="3"/>
      <c r="C5481" s="3"/>
      <c r="D5481" s="3"/>
      <c r="E5481" s="3">
        <v>18</v>
      </c>
      <c r="F5481" s="4" t="str">
        <f>HYPERLINK("http://141.218.60.56/~jnz1568/getInfo.php?workbook=14_09.xlsx&amp;sheet=U0&amp;row=5481&amp;col=6&amp;number=4.7&amp;sourceID=14","4.7")</f>
        <v>4.7</v>
      </c>
      <c r="G5481" s="4" t="str">
        <f>HYPERLINK("http://141.218.60.56/~jnz1568/getInfo.php?workbook=14_09.xlsx&amp;sheet=U0&amp;row=5481&amp;col=7&amp;number=0.0153&amp;sourceID=14","0.0153")</f>
        <v>0.0153</v>
      </c>
    </row>
    <row r="5482" spans="1:7">
      <c r="A5482" s="3"/>
      <c r="B5482" s="3"/>
      <c r="C5482" s="3"/>
      <c r="D5482" s="3"/>
      <c r="E5482" s="3">
        <v>19</v>
      </c>
      <c r="F5482" s="4" t="str">
        <f>HYPERLINK("http://141.218.60.56/~jnz1568/getInfo.php?workbook=14_09.xlsx&amp;sheet=U0&amp;row=5482&amp;col=6&amp;number=4.8&amp;sourceID=14","4.8")</f>
        <v>4.8</v>
      </c>
      <c r="G5482" s="4" t="str">
        <f>HYPERLINK("http://141.218.60.56/~jnz1568/getInfo.php?workbook=14_09.xlsx&amp;sheet=U0&amp;row=5482&amp;col=7&amp;number=0.0138&amp;sourceID=14","0.0138")</f>
        <v>0.0138</v>
      </c>
    </row>
    <row r="5483" spans="1:7">
      <c r="A5483" s="3"/>
      <c r="B5483" s="3"/>
      <c r="C5483" s="3"/>
      <c r="D5483" s="3"/>
      <c r="E5483" s="3">
        <v>20</v>
      </c>
      <c r="F5483" s="4" t="str">
        <f>HYPERLINK("http://141.218.60.56/~jnz1568/getInfo.php?workbook=14_09.xlsx&amp;sheet=U0&amp;row=5483&amp;col=6&amp;number=4.9&amp;sourceID=14","4.9")</f>
        <v>4.9</v>
      </c>
      <c r="G5483" s="4" t="str">
        <f>HYPERLINK("http://141.218.60.56/~jnz1568/getInfo.php?workbook=14_09.xlsx&amp;sheet=U0&amp;row=5483&amp;col=7&amp;number=0.0125&amp;sourceID=14","0.0125")</f>
        <v>0.0125</v>
      </c>
    </row>
    <row r="5484" spans="1:7">
      <c r="A5484" s="3">
        <v>14</v>
      </c>
      <c r="B5484" s="3">
        <v>9</v>
      </c>
      <c r="C5484" s="3">
        <v>2</v>
      </c>
      <c r="D5484" s="3">
        <v>83</v>
      </c>
      <c r="E5484" s="3">
        <v>1</v>
      </c>
      <c r="F5484" s="4" t="str">
        <f>HYPERLINK("http://141.218.60.56/~jnz1568/getInfo.php?workbook=14_09.xlsx&amp;sheet=U0&amp;row=5484&amp;col=6&amp;number=3&amp;sourceID=14","3")</f>
        <v>3</v>
      </c>
      <c r="G5484" s="4" t="str">
        <f>HYPERLINK("http://141.218.60.56/~jnz1568/getInfo.php?workbook=14_09.xlsx&amp;sheet=U0&amp;row=5484&amp;col=7&amp;number=0.0125&amp;sourceID=14","0.0125")</f>
        <v>0.0125</v>
      </c>
    </row>
    <row r="5485" spans="1:7">
      <c r="A5485" s="3"/>
      <c r="B5485" s="3"/>
      <c r="C5485" s="3"/>
      <c r="D5485" s="3"/>
      <c r="E5485" s="3">
        <v>2</v>
      </c>
      <c r="F5485" s="4" t="str">
        <f>HYPERLINK("http://141.218.60.56/~jnz1568/getInfo.php?workbook=14_09.xlsx&amp;sheet=U0&amp;row=5485&amp;col=6&amp;number=3.1&amp;sourceID=14","3.1")</f>
        <v>3.1</v>
      </c>
      <c r="G5485" s="4" t="str">
        <f>HYPERLINK("http://141.218.60.56/~jnz1568/getInfo.php?workbook=14_09.xlsx&amp;sheet=U0&amp;row=5485&amp;col=7&amp;number=0.0125&amp;sourceID=14","0.0125")</f>
        <v>0.0125</v>
      </c>
    </row>
    <row r="5486" spans="1:7">
      <c r="A5486" s="3"/>
      <c r="B5486" s="3"/>
      <c r="C5486" s="3"/>
      <c r="D5486" s="3"/>
      <c r="E5486" s="3">
        <v>3</v>
      </c>
      <c r="F5486" s="4" t="str">
        <f>HYPERLINK("http://141.218.60.56/~jnz1568/getInfo.php?workbook=14_09.xlsx&amp;sheet=U0&amp;row=5486&amp;col=6&amp;number=3.2&amp;sourceID=14","3.2")</f>
        <v>3.2</v>
      </c>
      <c r="G5486" s="4" t="str">
        <f>HYPERLINK("http://141.218.60.56/~jnz1568/getInfo.php?workbook=14_09.xlsx&amp;sheet=U0&amp;row=5486&amp;col=7&amp;number=0.0125&amp;sourceID=14","0.0125")</f>
        <v>0.0125</v>
      </c>
    </row>
    <row r="5487" spans="1:7">
      <c r="A5487" s="3"/>
      <c r="B5487" s="3"/>
      <c r="C5487" s="3"/>
      <c r="D5487" s="3"/>
      <c r="E5487" s="3">
        <v>4</v>
      </c>
      <c r="F5487" s="4" t="str">
        <f>HYPERLINK("http://141.218.60.56/~jnz1568/getInfo.php?workbook=14_09.xlsx&amp;sheet=U0&amp;row=5487&amp;col=6&amp;number=3.3&amp;sourceID=14","3.3")</f>
        <v>3.3</v>
      </c>
      <c r="G5487" s="4" t="str">
        <f>HYPERLINK("http://141.218.60.56/~jnz1568/getInfo.php?workbook=14_09.xlsx&amp;sheet=U0&amp;row=5487&amp;col=7&amp;number=0.0125&amp;sourceID=14","0.0125")</f>
        <v>0.0125</v>
      </c>
    </row>
    <row r="5488" spans="1:7">
      <c r="A5488" s="3"/>
      <c r="B5488" s="3"/>
      <c r="C5488" s="3"/>
      <c r="D5488" s="3"/>
      <c r="E5488" s="3">
        <v>5</v>
      </c>
      <c r="F5488" s="4" t="str">
        <f>HYPERLINK("http://141.218.60.56/~jnz1568/getInfo.php?workbook=14_09.xlsx&amp;sheet=U0&amp;row=5488&amp;col=6&amp;number=3.4&amp;sourceID=14","3.4")</f>
        <v>3.4</v>
      </c>
      <c r="G5488" s="4" t="str">
        <f>HYPERLINK("http://141.218.60.56/~jnz1568/getInfo.php?workbook=14_09.xlsx&amp;sheet=U0&amp;row=5488&amp;col=7&amp;number=0.0124&amp;sourceID=14","0.0124")</f>
        <v>0.0124</v>
      </c>
    </row>
    <row r="5489" spans="1:7">
      <c r="A5489" s="3"/>
      <c r="B5489" s="3"/>
      <c r="C5489" s="3"/>
      <c r="D5489" s="3"/>
      <c r="E5489" s="3">
        <v>6</v>
      </c>
      <c r="F5489" s="4" t="str">
        <f>HYPERLINK("http://141.218.60.56/~jnz1568/getInfo.php?workbook=14_09.xlsx&amp;sheet=U0&amp;row=5489&amp;col=6&amp;number=3.5&amp;sourceID=14","3.5")</f>
        <v>3.5</v>
      </c>
      <c r="G5489" s="4" t="str">
        <f>HYPERLINK("http://141.218.60.56/~jnz1568/getInfo.php?workbook=14_09.xlsx&amp;sheet=U0&amp;row=5489&amp;col=7&amp;number=0.0124&amp;sourceID=14","0.0124")</f>
        <v>0.0124</v>
      </c>
    </row>
    <row r="5490" spans="1:7">
      <c r="A5490" s="3"/>
      <c r="B5490" s="3"/>
      <c r="C5490" s="3"/>
      <c r="D5490" s="3"/>
      <c r="E5490" s="3">
        <v>7</v>
      </c>
      <c r="F5490" s="4" t="str">
        <f>HYPERLINK("http://141.218.60.56/~jnz1568/getInfo.php?workbook=14_09.xlsx&amp;sheet=U0&amp;row=5490&amp;col=6&amp;number=3.6&amp;sourceID=14","3.6")</f>
        <v>3.6</v>
      </c>
      <c r="G5490" s="4" t="str">
        <f>HYPERLINK("http://141.218.60.56/~jnz1568/getInfo.php?workbook=14_09.xlsx&amp;sheet=U0&amp;row=5490&amp;col=7&amp;number=0.0124&amp;sourceID=14","0.0124")</f>
        <v>0.0124</v>
      </c>
    </row>
    <row r="5491" spans="1:7">
      <c r="A5491" s="3"/>
      <c r="B5491" s="3"/>
      <c r="C5491" s="3"/>
      <c r="D5491" s="3"/>
      <c r="E5491" s="3">
        <v>8</v>
      </c>
      <c r="F5491" s="4" t="str">
        <f>HYPERLINK("http://141.218.60.56/~jnz1568/getInfo.php?workbook=14_09.xlsx&amp;sheet=U0&amp;row=5491&amp;col=6&amp;number=3.7&amp;sourceID=14","3.7")</f>
        <v>3.7</v>
      </c>
      <c r="G5491" s="4" t="str">
        <f>HYPERLINK("http://141.218.60.56/~jnz1568/getInfo.php?workbook=14_09.xlsx&amp;sheet=U0&amp;row=5491&amp;col=7&amp;number=0.0123&amp;sourceID=14","0.0123")</f>
        <v>0.0123</v>
      </c>
    </row>
    <row r="5492" spans="1:7">
      <c r="A5492" s="3"/>
      <c r="B5492" s="3"/>
      <c r="C5492" s="3"/>
      <c r="D5492" s="3"/>
      <c r="E5492" s="3">
        <v>9</v>
      </c>
      <c r="F5492" s="4" t="str">
        <f>HYPERLINK("http://141.218.60.56/~jnz1568/getInfo.php?workbook=14_09.xlsx&amp;sheet=U0&amp;row=5492&amp;col=6&amp;number=3.8&amp;sourceID=14","3.8")</f>
        <v>3.8</v>
      </c>
      <c r="G5492" s="4" t="str">
        <f>HYPERLINK("http://141.218.60.56/~jnz1568/getInfo.php?workbook=14_09.xlsx&amp;sheet=U0&amp;row=5492&amp;col=7&amp;number=0.0123&amp;sourceID=14","0.0123")</f>
        <v>0.0123</v>
      </c>
    </row>
    <row r="5493" spans="1:7">
      <c r="A5493" s="3"/>
      <c r="B5493" s="3"/>
      <c r="C5493" s="3"/>
      <c r="D5493" s="3"/>
      <c r="E5493" s="3">
        <v>10</v>
      </c>
      <c r="F5493" s="4" t="str">
        <f>HYPERLINK("http://141.218.60.56/~jnz1568/getInfo.php?workbook=14_09.xlsx&amp;sheet=U0&amp;row=5493&amp;col=6&amp;number=3.9&amp;sourceID=14","3.9")</f>
        <v>3.9</v>
      </c>
      <c r="G5493" s="4" t="str">
        <f>HYPERLINK("http://141.218.60.56/~jnz1568/getInfo.php?workbook=14_09.xlsx&amp;sheet=U0&amp;row=5493&amp;col=7&amp;number=0.0122&amp;sourceID=14","0.0122")</f>
        <v>0.0122</v>
      </c>
    </row>
    <row r="5494" spans="1:7">
      <c r="A5494" s="3"/>
      <c r="B5494" s="3"/>
      <c r="C5494" s="3"/>
      <c r="D5494" s="3"/>
      <c r="E5494" s="3">
        <v>11</v>
      </c>
      <c r="F5494" s="4" t="str">
        <f>HYPERLINK("http://141.218.60.56/~jnz1568/getInfo.php?workbook=14_09.xlsx&amp;sheet=U0&amp;row=5494&amp;col=6&amp;number=4&amp;sourceID=14","4")</f>
        <v>4</v>
      </c>
      <c r="G5494" s="4" t="str">
        <f>HYPERLINK("http://141.218.60.56/~jnz1568/getInfo.php?workbook=14_09.xlsx&amp;sheet=U0&amp;row=5494&amp;col=7&amp;number=0.0121&amp;sourceID=14","0.0121")</f>
        <v>0.0121</v>
      </c>
    </row>
    <row r="5495" spans="1:7">
      <c r="A5495" s="3"/>
      <c r="B5495" s="3"/>
      <c r="C5495" s="3"/>
      <c r="D5495" s="3"/>
      <c r="E5495" s="3">
        <v>12</v>
      </c>
      <c r="F5495" s="4" t="str">
        <f>HYPERLINK("http://141.218.60.56/~jnz1568/getInfo.php?workbook=14_09.xlsx&amp;sheet=U0&amp;row=5495&amp;col=6&amp;number=4.1&amp;sourceID=14","4.1")</f>
        <v>4.1</v>
      </c>
      <c r="G5495" s="4" t="str">
        <f>HYPERLINK("http://141.218.60.56/~jnz1568/getInfo.php?workbook=14_09.xlsx&amp;sheet=U0&amp;row=5495&amp;col=7&amp;number=0.012&amp;sourceID=14","0.012")</f>
        <v>0.012</v>
      </c>
    </row>
    <row r="5496" spans="1:7">
      <c r="A5496" s="3"/>
      <c r="B5496" s="3"/>
      <c r="C5496" s="3"/>
      <c r="D5496" s="3"/>
      <c r="E5496" s="3">
        <v>13</v>
      </c>
      <c r="F5496" s="4" t="str">
        <f>HYPERLINK("http://141.218.60.56/~jnz1568/getInfo.php?workbook=14_09.xlsx&amp;sheet=U0&amp;row=5496&amp;col=6&amp;number=4.2&amp;sourceID=14","4.2")</f>
        <v>4.2</v>
      </c>
      <c r="G5496" s="4" t="str">
        <f>HYPERLINK("http://141.218.60.56/~jnz1568/getInfo.php?workbook=14_09.xlsx&amp;sheet=U0&amp;row=5496&amp;col=7&amp;number=0.0119&amp;sourceID=14","0.0119")</f>
        <v>0.0119</v>
      </c>
    </row>
    <row r="5497" spans="1:7">
      <c r="A5497" s="3"/>
      <c r="B5497" s="3"/>
      <c r="C5497" s="3"/>
      <c r="D5497" s="3"/>
      <c r="E5497" s="3">
        <v>14</v>
      </c>
      <c r="F5497" s="4" t="str">
        <f>HYPERLINK("http://141.218.60.56/~jnz1568/getInfo.php?workbook=14_09.xlsx&amp;sheet=U0&amp;row=5497&amp;col=6&amp;number=4.3&amp;sourceID=14","4.3")</f>
        <v>4.3</v>
      </c>
      <c r="G5497" s="4" t="str">
        <f>HYPERLINK("http://141.218.60.56/~jnz1568/getInfo.php?workbook=14_09.xlsx&amp;sheet=U0&amp;row=5497&amp;col=7&amp;number=0.0117&amp;sourceID=14","0.0117")</f>
        <v>0.0117</v>
      </c>
    </row>
    <row r="5498" spans="1:7">
      <c r="A5498" s="3"/>
      <c r="B5498" s="3"/>
      <c r="C5498" s="3"/>
      <c r="D5498" s="3"/>
      <c r="E5498" s="3">
        <v>15</v>
      </c>
      <c r="F5498" s="4" t="str">
        <f>HYPERLINK("http://141.218.60.56/~jnz1568/getInfo.php?workbook=14_09.xlsx&amp;sheet=U0&amp;row=5498&amp;col=6&amp;number=4.4&amp;sourceID=14","4.4")</f>
        <v>4.4</v>
      </c>
      <c r="G5498" s="4" t="str">
        <f>HYPERLINK("http://141.218.60.56/~jnz1568/getInfo.php?workbook=14_09.xlsx&amp;sheet=U0&amp;row=5498&amp;col=7&amp;number=0.0114&amp;sourceID=14","0.0114")</f>
        <v>0.0114</v>
      </c>
    </row>
    <row r="5499" spans="1:7">
      <c r="A5499" s="3"/>
      <c r="B5499" s="3"/>
      <c r="C5499" s="3"/>
      <c r="D5499" s="3"/>
      <c r="E5499" s="3">
        <v>16</v>
      </c>
      <c r="F5499" s="4" t="str">
        <f>HYPERLINK("http://141.218.60.56/~jnz1568/getInfo.php?workbook=14_09.xlsx&amp;sheet=U0&amp;row=5499&amp;col=6&amp;number=4.5&amp;sourceID=14","4.5")</f>
        <v>4.5</v>
      </c>
      <c r="G5499" s="4" t="str">
        <f>HYPERLINK("http://141.218.60.56/~jnz1568/getInfo.php?workbook=14_09.xlsx&amp;sheet=U0&amp;row=5499&amp;col=7&amp;number=0.011&amp;sourceID=14","0.011")</f>
        <v>0.011</v>
      </c>
    </row>
    <row r="5500" spans="1:7">
      <c r="A5500" s="3"/>
      <c r="B5500" s="3"/>
      <c r="C5500" s="3"/>
      <c r="D5500" s="3"/>
      <c r="E5500" s="3">
        <v>17</v>
      </c>
      <c r="F5500" s="4" t="str">
        <f>HYPERLINK("http://141.218.60.56/~jnz1568/getInfo.php?workbook=14_09.xlsx&amp;sheet=U0&amp;row=5500&amp;col=6&amp;number=4.6&amp;sourceID=14","4.6")</f>
        <v>4.6</v>
      </c>
      <c r="G5500" s="4" t="str">
        <f>HYPERLINK("http://141.218.60.56/~jnz1568/getInfo.php?workbook=14_09.xlsx&amp;sheet=U0&amp;row=5500&amp;col=7&amp;number=0.0105&amp;sourceID=14","0.0105")</f>
        <v>0.0105</v>
      </c>
    </row>
    <row r="5501" spans="1:7">
      <c r="A5501" s="3"/>
      <c r="B5501" s="3"/>
      <c r="C5501" s="3"/>
      <c r="D5501" s="3"/>
      <c r="E5501" s="3">
        <v>18</v>
      </c>
      <c r="F5501" s="4" t="str">
        <f>HYPERLINK("http://141.218.60.56/~jnz1568/getInfo.php?workbook=14_09.xlsx&amp;sheet=U0&amp;row=5501&amp;col=6&amp;number=4.7&amp;sourceID=14","4.7")</f>
        <v>4.7</v>
      </c>
      <c r="G5501" s="4" t="str">
        <f>HYPERLINK("http://141.218.60.56/~jnz1568/getInfo.php?workbook=14_09.xlsx&amp;sheet=U0&amp;row=5501&amp;col=7&amp;number=0.00979&amp;sourceID=14","0.00979")</f>
        <v>0.00979</v>
      </c>
    </row>
    <row r="5502" spans="1:7">
      <c r="A5502" s="3"/>
      <c r="B5502" s="3"/>
      <c r="C5502" s="3"/>
      <c r="D5502" s="3"/>
      <c r="E5502" s="3">
        <v>19</v>
      </c>
      <c r="F5502" s="4" t="str">
        <f>HYPERLINK("http://141.218.60.56/~jnz1568/getInfo.php?workbook=14_09.xlsx&amp;sheet=U0&amp;row=5502&amp;col=6&amp;number=4.8&amp;sourceID=14","4.8")</f>
        <v>4.8</v>
      </c>
      <c r="G5502" s="4" t="str">
        <f>HYPERLINK("http://141.218.60.56/~jnz1568/getInfo.php?workbook=14_09.xlsx&amp;sheet=U0&amp;row=5502&amp;col=7&amp;number=0.00904&amp;sourceID=14","0.00904")</f>
        <v>0.00904</v>
      </c>
    </row>
    <row r="5503" spans="1:7">
      <c r="A5503" s="3"/>
      <c r="B5503" s="3"/>
      <c r="C5503" s="3"/>
      <c r="D5503" s="3"/>
      <c r="E5503" s="3">
        <v>20</v>
      </c>
      <c r="F5503" s="4" t="str">
        <f>HYPERLINK("http://141.218.60.56/~jnz1568/getInfo.php?workbook=14_09.xlsx&amp;sheet=U0&amp;row=5503&amp;col=6&amp;number=4.9&amp;sourceID=14","4.9")</f>
        <v>4.9</v>
      </c>
      <c r="G5503" s="4" t="str">
        <f>HYPERLINK("http://141.218.60.56/~jnz1568/getInfo.php?workbook=14_09.xlsx&amp;sheet=U0&amp;row=5503&amp;col=7&amp;number=0.00833&amp;sourceID=14","0.00833")</f>
        <v>0.00833</v>
      </c>
    </row>
    <row r="5504" spans="1:7">
      <c r="A5504" s="3">
        <v>14</v>
      </c>
      <c r="B5504" s="3">
        <v>9</v>
      </c>
      <c r="C5504" s="3">
        <v>2</v>
      </c>
      <c r="D5504" s="3">
        <v>84</v>
      </c>
      <c r="E5504" s="3">
        <v>1</v>
      </c>
      <c r="F5504" s="4" t="str">
        <f>HYPERLINK("http://141.218.60.56/~jnz1568/getInfo.php?workbook=14_09.xlsx&amp;sheet=U0&amp;row=5504&amp;col=6&amp;number=3&amp;sourceID=14","3")</f>
        <v>3</v>
      </c>
      <c r="G5504" s="4" t="str">
        <f>HYPERLINK("http://141.218.60.56/~jnz1568/getInfo.php?workbook=14_09.xlsx&amp;sheet=U0&amp;row=5504&amp;col=7&amp;number=0.0313&amp;sourceID=14","0.0313")</f>
        <v>0.0313</v>
      </c>
    </row>
    <row r="5505" spans="1:7">
      <c r="A5505" s="3"/>
      <c r="B5505" s="3"/>
      <c r="C5505" s="3"/>
      <c r="D5505" s="3"/>
      <c r="E5505" s="3">
        <v>2</v>
      </c>
      <c r="F5505" s="4" t="str">
        <f>HYPERLINK("http://141.218.60.56/~jnz1568/getInfo.php?workbook=14_09.xlsx&amp;sheet=U0&amp;row=5505&amp;col=6&amp;number=3.1&amp;sourceID=14","3.1")</f>
        <v>3.1</v>
      </c>
      <c r="G5505" s="4" t="str">
        <f>HYPERLINK("http://141.218.60.56/~jnz1568/getInfo.php?workbook=14_09.xlsx&amp;sheet=U0&amp;row=5505&amp;col=7&amp;number=0.0313&amp;sourceID=14","0.0313")</f>
        <v>0.0313</v>
      </c>
    </row>
    <row r="5506" spans="1:7">
      <c r="A5506" s="3"/>
      <c r="B5506" s="3"/>
      <c r="C5506" s="3"/>
      <c r="D5506" s="3"/>
      <c r="E5506" s="3">
        <v>3</v>
      </c>
      <c r="F5506" s="4" t="str">
        <f>HYPERLINK("http://141.218.60.56/~jnz1568/getInfo.php?workbook=14_09.xlsx&amp;sheet=U0&amp;row=5506&amp;col=6&amp;number=3.2&amp;sourceID=14","3.2")</f>
        <v>3.2</v>
      </c>
      <c r="G5506" s="4" t="str">
        <f>HYPERLINK("http://141.218.60.56/~jnz1568/getInfo.php?workbook=14_09.xlsx&amp;sheet=U0&amp;row=5506&amp;col=7&amp;number=0.0312&amp;sourceID=14","0.0312")</f>
        <v>0.0312</v>
      </c>
    </row>
    <row r="5507" spans="1:7">
      <c r="A5507" s="3"/>
      <c r="B5507" s="3"/>
      <c r="C5507" s="3"/>
      <c r="D5507" s="3"/>
      <c r="E5507" s="3">
        <v>4</v>
      </c>
      <c r="F5507" s="4" t="str">
        <f>HYPERLINK("http://141.218.60.56/~jnz1568/getInfo.php?workbook=14_09.xlsx&amp;sheet=U0&amp;row=5507&amp;col=6&amp;number=3.3&amp;sourceID=14","3.3")</f>
        <v>3.3</v>
      </c>
      <c r="G5507" s="4" t="str">
        <f>HYPERLINK("http://141.218.60.56/~jnz1568/getInfo.php?workbook=14_09.xlsx&amp;sheet=U0&amp;row=5507&amp;col=7&amp;number=0.0311&amp;sourceID=14","0.0311")</f>
        <v>0.0311</v>
      </c>
    </row>
    <row r="5508" spans="1:7">
      <c r="A5508" s="3"/>
      <c r="B5508" s="3"/>
      <c r="C5508" s="3"/>
      <c r="D5508" s="3"/>
      <c r="E5508" s="3">
        <v>5</v>
      </c>
      <c r="F5508" s="4" t="str">
        <f>HYPERLINK("http://141.218.60.56/~jnz1568/getInfo.php?workbook=14_09.xlsx&amp;sheet=U0&amp;row=5508&amp;col=6&amp;number=3.4&amp;sourceID=14","3.4")</f>
        <v>3.4</v>
      </c>
      <c r="G5508" s="4" t="str">
        <f>HYPERLINK("http://141.218.60.56/~jnz1568/getInfo.php?workbook=14_09.xlsx&amp;sheet=U0&amp;row=5508&amp;col=7&amp;number=0.031&amp;sourceID=14","0.031")</f>
        <v>0.031</v>
      </c>
    </row>
    <row r="5509" spans="1:7">
      <c r="A5509" s="3"/>
      <c r="B5509" s="3"/>
      <c r="C5509" s="3"/>
      <c r="D5509" s="3"/>
      <c r="E5509" s="3">
        <v>6</v>
      </c>
      <c r="F5509" s="4" t="str">
        <f>HYPERLINK("http://141.218.60.56/~jnz1568/getInfo.php?workbook=14_09.xlsx&amp;sheet=U0&amp;row=5509&amp;col=6&amp;number=3.5&amp;sourceID=14","3.5")</f>
        <v>3.5</v>
      </c>
      <c r="G5509" s="4" t="str">
        <f>HYPERLINK("http://141.218.60.56/~jnz1568/getInfo.php?workbook=14_09.xlsx&amp;sheet=U0&amp;row=5509&amp;col=7&amp;number=0.0308&amp;sourceID=14","0.0308")</f>
        <v>0.0308</v>
      </c>
    </row>
    <row r="5510" spans="1:7">
      <c r="A5510" s="3"/>
      <c r="B5510" s="3"/>
      <c r="C5510" s="3"/>
      <c r="D5510" s="3"/>
      <c r="E5510" s="3">
        <v>7</v>
      </c>
      <c r="F5510" s="4" t="str">
        <f>HYPERLINK("http://141.218.60.56/~jnz1568/getInfo.php?workbook=14_09.xlsx&amp;sheet=U0&amp;row=5510&amp;col=6&amp;number=3.6&amp;sourceID=14","3.6")</f>
        <v>3.6</v>
      </c>
      <c r="G5510" s="4" t="str">
        <f>HYPERLINK("http://141.218.60.56/~jnz1568/getInfo.php?workbook=14_09.xlsx&amp;sheet=U0&amp;row=5510&amp;col=7&amp;number=0.0306&amp;sourceID=14","0.0306")</f>
        <v>0.0306</v>
      </c>
    </row>
    <row r="5511" spans="1:7">
      <c r="A5511" s="3"/>
      <c r="B5511" s="3"/>
      <c r="C5511" s="3"/>
      <c r="D5511" s="3"/>
      <c r="E5511" s="3">
        <v>8</v>
      </c>
      <c r="F5511" s="4" t="str">
        <f>HYPERLINK("http://141.218.60.56/~jnz1568/getInfo.php?workbook=14_09.xlsx&amp;sheet=U0&amp;row=5511&amp;col=6&amp;number=3.7&amp;sourceID=14","3.7")</f>
        <v>3.7</v>
      </c>
      <c r="G5511" s="4" t="str">
        <f>HYPERLINK("http://141.218.60.56/~jnz1568/getInfo.php?workbook=14_09.xlsx&amp;sheet=U0&amp;row=5511&amp;col=7&amp;number=0.0304&amp;sourceID=14","0.0304")</f>
        <v>0.0304</v>
      </c>
    </row>
    <row r="5512" spans="1:7">
      <c r="A5512" s="3"/>
      <c r="B5512" s="3"/>
      <c r="C5512" s="3"/>
      <c r="D5512" s="3"/>
      <c r="E5512" s="3">
        <v>9</v>
      </c>
      <c r="F5512" s="4" t="str">
        <f>HYPERLINK("http://141.218.60.56/~jnz1568/getInfo.php?workbook=14_09.xlsx&amp;sheet=U0&amp;row=5512&amp;col=6&amp;number=3.8&amp;sourceID=14","3.8")</f>
        <v>3.8</v>
      </c>
      <c r="G5512" s="4" t="str">
        <f>HYPERLINK("http://141.218.60.56/~jnz1568/getInfo.php?workbook=14_09.xlsx&amp;sheet=U0&amp;row=5512&amp;col=7&amp;number=0.0301&amp;sourceID=14","0.0301")</f>
        <v>0.0301</v>
      </c>
    </row>
    <row r="5513" spans="1:7">
      <c r="A5513" s="3"/>
      <c r="B5513" s="3"/>
      <c r="C5513" s="3"/>
      <c r="D5513" s="3"/>
      <c r="E5513" s="3">
        <v>10</v>
      </c>
      <c r="F5513" s="4" t="str">
        <f>HYPERLINK("http://141.218.60.56/~jnz1568/getInfo.php?workbook=14_09.xlsx&amp;sheet=U0&amp;row=5513&amp;col=6&amp;number=3.9&amp;sourceID=14","3.9")</f>
        <v>3.9</v>
      </c>
      <c r="G5513" s="4" t="str">
        <f>HYPERLINK("http://141.218.60.56/~jnz1568/getInfo.php?workbook=14_09.xlsx&amp;sheet=U0&amp;row=5513&amp;col=7&amp;number=0.0297&amp;sourceID=14","0.0297")</f>
        <v>0.0297</v>
      </c>
    </row>
    <row r="5514" spans="1:7">
      <c r="A5514" s="3"/>
      <c r="B5514" s="3"/>
      <c r="C5514" s="3"/>
      <c r="D5514" s="3"/>
      <c r="E5514" s="3">
        <v>11</v>
      </c>
      <c r="F5514" s="4" t="str">
        <f>HYPERLINK("http://141.218.60.56/~jnz1568/getInfo.php?workbook=14_09.xlsx&amp;sheet=U0&amp;row=5514&amp;col=6&amp;number=4&amp;sourceID=14","4")</f>
        <v>4</v>
      </c>
      <c r="G5514" s="4" t="str">
        <f>HYPERLINK("http://141.218.60.56/~jnz1568/getInfo.php?workbook=14_09.xlsx&amp;sheet=U0&amp;row=5514&amp;col=7&amp;number=0.0292&amp;sourceID=14","0.0292")</f>
        <v>0.0292</v>
      </c>
    </row>
    <row r="5515" spans="1:7">
      <c r="A5515" s="3"/>
      <c r="B5515" s="3"/>
      <c r="C5515" s="3"/>
      <c r="D5515" s="3"/>
      <c r="E5515" s="3">
        <v>12</v>
      </c>
      <c r="F5515" s="4" t="str">
        <f>HYPERLINK("http://141.218.60.56/~jnz1568/getInfo.php?workbook=14_09.xlsx&amp;sheet=U0&amp;row=5515&amp;col=6&amp;number=4.1&amp;sourceID=14","4.1")</f>
        <v>4.1</v>
      </c>
      <c r="G5515" s="4" t="str">
        <f>HYPERLINK("http://141.218.60.56/~jnz1568/getInfo.php?workbook=14_09.xlsx&amp;sheet=U0&amp;row=5515&amp;col=7&amp;number=0.0286&amp;sourceID=14","0.0286")</f>
        <v>0.0286</v>
      </c>
    </row>
    <row r="5516" spans="1:7">
      <c r="A5516" s="3"/>
      <c r="B5516" s="3"/>
      <c r="C5516" s="3"/>
      <c r="D5516" s="3"/>
      <c r="E5516" s="3">
        <v>13</v>
      </c>
      <c r="F5516" s="4" t="str">
        <f>HYPERLINK("http://141.218.60.56/~jnz1568/getInfo.php?workbook=14_09.xlsx&amp;sheet=U0&amp;row=5516&amp;col=6&amp;number=4.2&amp;sourceID=14","4.2")</f>
        <v>4.2</v>
      </c>
      <c r="G5516" s="4" t="str">
        <f>HYPERLINK("http://141.218.60.56/~jnz1568/getInfo.php?workbook=14_09.xlsx&amp;sheet=U0&amp;row=5516&amp;col=7&amp;number=0.0279&amp;sourceID=14","0.0279")</f>
        <v>0.0279</v>
      </c>
    </row>
    <row r="5517" spans="1:7">
      <c r="A5517" s="3"/>
      <c r="B5517" s="3"/>
      <c r="C5517" s="3"/>
      <c r="D5517" s="3"/>
      <c r="E5517" s="3">
        <v>14</v>
      </c>
      <c r="F5517" s="4" t="str">
        <f>HYPERLINK("http://141.218.60.56/~jnz1568/getInfo.php?workbook=14_09.xlsx&amp;sheet=U0&amp;row=5517&amp;col=6&amp;number=4.3&amp;sourceID=14","4.3")</f>
        <v>4.3</v>
      </c>
      <c r="G5517" s="4" t="str">
        <f>HYPERLINK("http://141.218.60.56/~jnz1568/getInfo.php?workbook=14_09.xlsx&amp;sheet=U0&amp;row=5517&amp;col=7&amp;number=0.027&amp;sourceID=14","0.027")</f>
        <v>0.027</v>
      </c>
    </row>
    <row r="5518" spans="1:7">
      <c r="A5518" s="3"/>
      <c r="B5518" s="3"/>
      <c r="C5518" s="3"/>
      <c r="D5518" s="3"/>
      <c r="E5518" s="3">
        <v>15</v>
      </c>
      <c r="F5518" s="4" t="str">
        <f>HYPERLINK("http://141.218.60.56/~jnz1568/getInfo.php?workbook=14_09.xlsx&amp;sheet=U0&amp;row=5518&amp;col=6&amp;number=4.4&amp;sourceID=14","4.4")</f>
        <v>4.4</v>
      </c>
      <c r="G5518" s="4" t="str">
        <f>HYPERLINK("http://141.218.60.56/~jnz1568/getInfo.php?workbook=14_09.xlsx&amp;sheet=U0&amp;row=5518&amp;col=7&amp;number=0.0259&amp;sourceID=14","0.0259")</f>
        <v>0.0259</v>
      </c>
    </row>
    <row r="5519" spans="1:7">
      <c r="A5519" s="3"/>
      <c r="B5519" s="3"/>
      <c r="C5519" s="3"/>
      <c r="D5519" s="3"/>
      <c r="E5519" s="3">
        <v>16</v>
      </c>
      <c r="F5519" s="4" t="str">
        <f>HYPERLINK("http://141.218.60.56/~jnz1568/getInfo.php?workbook=14_09.xlsx&amp;sheet=U0&amp;row=5519&amp;col=6&amp;number=4.5&amp;sourceID=14","4.5")</f>
        <v>4.5</v>
      </c>
      <c r="G5519" s="4" t="str">
        <f>HYPERLINK("http://141.218.60.56/~jnz1568/getInfo.php?workbook=14_09.xlsx&amp;sheet=U0&amp;row=5519&amp;col=7&amp;number=0.0246&amp;sourceID=14","0.0246")</f>
        <v>0.0246</v>
      </c>
    </row>
    <row r="5520" spans="1:7">
      <c r="A5520" s="3"/>
      <c r="B5520" s="3"/>
      <c r="C5520" s="3"/>
      <c r="D5520" s="3"/>
      <c r="E5520" s="3">
        <v>17</v>
      </c>
      <c r="F5520" s="4" t="str">
        <f>HYPERLINK("http://141.218.60.56/~jnz1568/getInfo.php?workbook=14_09.xlsx&amp;sheet=U0&amp;row=5520&amp;col=6&amp;number=4.6&amp;sourceID=14","4.6")</f>
        <v>4.6</v>
      </c>
      <c r="G5520" s="4" t="str">
        <f>HYPERLINK("http://141.218.60.56/~jnz1568/getInfo.php?workbook=14_09.xlsx&amp;sheet=U0&amp;row=5520&amp;col=7&amp;number=0.023&amp;sourceID=14","0.023")</f>
        <v>0.023</v>
      </c>
    </row>
    <row r="5521" spans="1:7">
      <c r="A5521" s="3"/>
      <c r="B5521" s="3"/>
      <c r="C5521" s="3"/>
      <c r="D5521" s="3"/>
      <c r="E5521" s="3">
        <v>18</v>
      </c>
      <c r="F5521" s="4" t="str">
        <f>HYPERLINK("http://141.218.60.56/~jnz1568/getInfo.php?workbook=14_09.xlsx&amp;sheet=U0&amp;row=5521&amp;col=6&amp;number=4.7&amp;sourceID=14","4.7")</f>
        <v>4.7</v>
      </c>
      <c r="G5521" s="4" t="str">
        <f>HYPERLINK("http://141.218.60.56/~jnz1568/getInfo.php?workbook=14_09.xlsx&amp;sheet=U0&amp;row=5521&amp;col=7&amp;number=0.0212&amp;sourceID=14","0.0212")</f>
        <v>0.0212</v>
      </c>
    </row>
    <row r="5522" spans="1:7">
      <c r="A5522" s="3"/>
      <c r="B5522" s="3"/>
      <c r="C5522" s="3"/>
      <c r="D5522" s="3"/>
      <c r="E5522" s="3">
        <v>19</v>
      </c>
      <c r="F5522" s="4" t="str">
        <f>HYPERLINK("http://141.218.60.56/~jnz1568/getInfo.php?workbook=14_09.xlsx&amp;sheet=U0&amp;row=5522&amp;col=6&amp;number=4.8&amp;sourceID=14","4.8")</f>
        <v>4.8</v>
      </c>
      <c r="G5522" s="4" t="str">
        <f>HYPERLINK("http://141.218.60.56/~jnz1568/getInfo.php?workbook=14_09.xlsx&amp;sheet=U0&amp;row=5522&amp;col=7&amp;number=0.0192&amp;sourceID=14","0.0192")</f>
        <v>0.0192</v>
      </c>
    </row>
    <row r="5523" spans="1:7">
      <c r="A5523" s="3"/>
      <c r="B5523" s="3"/>
      <c r="C5523" s="3"/>
      <c r="D5523" s="3"/>
      <c r="E5523" s="3">
        <v>20</v>
      </c>
      <c r="F5523" s="4" t="str">
        <f>HYPERLINK("http://141.218.60.56/~jnz1568/getInfo.php?workbook=14_09.xlsx&amp;sheet=U0&amp;row=5523&amp;col=6&amp;number=4.9&amp;sourceID=14","4.9")</f>
        <v>4.9</v>
      </c>
      <c r="G5523" s="4" t="str">
        <f>HYPERLINK("http://141.218.60.56/~jnz1568/getInfo.php?workbook=14_09.xlsx&amp;sheet=U0&amp;row=5523&amp;col=7&amp;number=0.017&amp;sourceID=14","0.017")</f>
        <v>0.017</v>
      </c>
    </row>
    <row r="5524" spans="1:7">
      <c r="A5524" s="3">
        <v>14</v>
      </c>
      <c r="B5524" s="3">
        <v>9</v>
      </c>
      <c r="C5524" s="3">
        <v>2</v>
      </c>
      <c r="D5524" s="3">
        <v>85</v>
      </c>
      <c r="E5524" s="3">
        <v>1</v>
      </c>
      <c r="F5524" s="4" t="str">
        <f>HYPERLINK("http://141.218.60.56/~jnz1568/getInfo.php?workbook=14_09.xlsx&amp;sheet=U0&amp;row=5524&amp;col=6&amp;number=3&amp;sourceID=14","3")</f>
        <v>3</v>
      </c>
      <c r="G5524" s="4" t="str">
        <f>HYPERLINK("http://141.218.60.56/~jnz1568/getInfo.php?workbook=14_09.xlsx&amp;sheet=U0&amp;row=5524&amp;col=7&amp;number=0.0686&amp;sourceID=14","0.0686")</f>
        <v>0.0686</v>
      </c>
    </row>
    <row r="5525" spans="1:7">
      <c r="A5525" s="3"/>
      <c r="B5525" s="3"/>
      <c r="C5525" s="3"/>
      <c r="D5525" s="3"/>
      <c r="E5525" s="3">
        <v>2</v>
      </c>
      <c r="F5525" s="4" t="str">
        <f>HYPERLINK("http://141.218.60.56/~jnz1568/getInfo.php?workbook=14_09.xlsx&amp;sheet=U0&amp;row=5525&amp;col=6&amp;number=3.1&amp;sourceID=14","3.1")</f>
        <v>3.1</v>
      </c>
      <c r="G5525" s="4" t="str">
        <f>HYPERLINK("http://141.218.60.56/~jnz1568/getInfo.php?workbook=14_09.xlsx&amp;sheet=U0&amp;row=5525&amp;col=7&amp;number=0.0684&amp;sourceID=14","0.0684")</f>
        <v>0.0684</v>
      </c>
    </row>
    <row r="5526" spans="1:7">
      <c r="A5526" s="3"/>
      <c r="B5526" s="3"/>
      <c r="C5526" s="3"/>
      <c r="D5526" s="3"/>
      <c r="E5526" s="3">
        <v>3</v>
      </c>
      <c r="F5526" s="4" t="str">
        <f>HYPERLINK("http://141.218.60.56/~jnz1568/getInfo.php?workbook=14_09.xlsx&amp;sheet=U0&amp;row=5526&amp;col=6&amp;number=3.2&amp;sourceID=14","3.2")</f>
        <v>3.2</v>
      </c>
      <c r="G5526" s="4" t="str">
        <f>HYPERLINK("http://141.218.60.56/~jnz1568/getInfo.php?workbook=14_09.xlsx&amp;sheet=U0&amp;row=5526&amp;col=7&amp;number=0.0682&amp;sourceID=14","0.0682")</f>
        <v>0.0682</v>
      </c>
    </row>
    <row r="5527" spans="1:7">
      <c r="A5527" s="3"/>
      <c r="B5527" s="3"/>
      <c r="C5527" s="3"/>
      <c r="D5527" s="3"/>
      <c r="E5527" s="3">
        <v>4</v>
      </c>
      <c r="F5527" s="4" t="str">
        <f>HYPERLINK("http://141.218.60.56/~jnz1568/getInfo.php?workbook=14_09.xlsx&amp;sheet=U0&amp;row=5527&amp;col=6&amp;number=3.3&amp;sourceID=14","3.3")</f>
        <v>3.3</v>
      </c>
      <c r="G5527" s="4" t="str">
        <f>HYPERLINK("http://141.218.60.56/~jnz1568/getInfo.php?workbook=14_09.xlsx&amp;sheet=U0&amp;row=5527&amp;col=7&amp;number=0.068&amp;sourceID=14","0.068")</f>
        <v>0.068</v>
      </c>
    </row>
    <row r="5528" spans="1:7">
      <c r="A5528" s="3"/>
      <c r="B5528" s="3"/>
      <c r="C5528" s="3"/>
      <c r="D5528" s="3"/>
      <c r="E5528" s="3">
        <v>5</v>
      </c>
      <c r="F5528" s="4" t="str">
        <f>HYPERLINK("http://141.218.60.56/~jnz1568/getInfo.php?workbook=14_09.xlsx&amp;sheet=U0&amp;row=5528&amp;col=6&amp;number=3.4&amp;sourceID=14","3.4")</f>
        <v>3.4</v>
      </c>
      <c r="G5528" s="4" t="str">
        <f>HYPERLINK("http://141.218.60.56/~jnz1568/getInfo.php?workbook=14_09.xlsx&amp;sheet=U0&amp;row=5528&amp;col=7&amp;number=0.0677&amp;sourceID=14","0.0677")</f>
        <v>0.0677</v>
      </c>
    </row>
    <row r="5529" spans="1:7">
      <c r="A5529" s="3"/>
      <c r="B5529" s="3"/>
      <c r="C5529" s="3"/>
      <c r="D5529" s="3"/>
      <c r="E5529" s="3">
        <v>6</v>
      </c>
      <c r="F5529" s="4" t="str">
        <f>HYPERLINK("http://141.218.60.56/~jnz1568/getInfo.php?workbook=14_09.xlsx&amp;sheet=U0&amp;row=5529&amp;col=6&amp;number=3.5&amp;sourceID=14","3.5")</f>
        <v>3.5</v>
      </c>
      <c r="G5529" s="4" t="str">
        <f>HYPERLINK("http://141.218.60.56/~jnz1568/getInfo.php?workbook=14_09.xlsx&amp;sheet=U0&amp;row=5529&amp;col=7&amp;number=0.0673&amp;sourceID=14","0.0673")</f>
        <v>0.0673</v>
      </c>
    </row>
    <row r="5530" spans="1:7">
      <c r="A5530" s="3"/>
      <c r="B5530" s="3"/>
      <c r="C5530" s="3"/>
      <c r="D5530" s="3"/>
      <c r="E5530" s="3">
        <v>7</v>
      </c>
      <c r="F5530" s="4" t="str">
        <f>HYPERLINK("http://141.218.60.56/~jnz1568/getInfo.php?workbook=14_09.xlsx&amp;sheet=U0&amp;row=5530&amp;col=6&amp;number=3.6&amp;sourceID=14","3.6")</f>
        <v>3.6</v>
      </c>
      <c r="G5530" s="4" t="str">
        <f>HYPERLINK("http://141.218.60.56/~jnz1568/getInfo.php?workbook=14_09.xlsx&amp;sheet=U0&amp;row=5530&amp;col=7&amp;number=0.0668&amp;sourceID=14","0.0668")</f>
        <v>0.0668</v>
      </c>
    </row>
    <row r="5531" spans="1:7">
      <c r="A5531" s="3"/>
      <c r="B5531" s="3"/>
      <c r="C5531" s="3"/>
      <c r="D5531" s="3"/>
      <c r="E5531" s="3">
        <v>8</v>
      </c>
      <c r="F5531" s="4" t="str">
        <f>HYPERLINK("http://141.218.60.56/~jnz1568/getInfo.php?workbook=14_09.xlsx&amp;sheet=U0&amp;row=5531&amp;col=6&amp;number=3.7&amp;sourceID=14","3.7")</f>
        <v>3.7</v>
      </c>
      <c r="G5531" s="4" t="str">
        <f>HYPERLINK("http://141.218.60.56/~jnz1568/getInfo.php?workbook=14_09.xlsx&amp;sheet=U0&amp;row=5531&amp;col=7&amp;number=0.0661&amp;sourceID=14","0.0661")</f>
        <v>0.0661</v>
      </c>
    </row>
    <row r="5532" spans="1:7">
      <c r="A5532" s="3"/>
      <c r="B5532" s="3"/>
      <c r="C5532" s="3"/>
      <c r="D5532" s="3"/>
      <c r="E5532" s="3">
        <v>9</v>
      </c>
      <c r="F5532" s="4" t="str">
        <f>HYPERLINK("http://141.218.60.56/~jnz1568/getInfo.php?workbook=14_09.xlsx&amp;sheet=U0&amp;row=5532&amp;col=6&amp;number=3.8&amp;sourceID=14","3.8")</f>
        <v>3.8</v>
      </c>
      <c r="G5532" s="4" t="str">
        <f>HYPERLINK("http://141.218.60.56/~jnz1568/getInfo.php?workbook=14_09.xlsx&amp;sheet=U0&amp;row=5532&amp;col=7&amp;number=0.0654&amp;sourceID=14","0.0654")</f>
        <v>0.0654</v>
      </c>
    </row>
    <row r="5533" spans="1:7">
      <c r="A5533" s="3"/>
      <c r="B5533" s="3"/>
      <c r="C5533" s="3"/>
      <c r="D5533" s="3"/>
      <c r="E5533" s="3">
        <v>10</v>
      </c>
      <c r="F5533" s="4" t="str">
        <f>HYPERLINK("http://141.218.60.56/~jnz1568/getInfo.php?workbook=14_09.xlsx&amp;sheet=U0&amp;row=5533&amp;col=6&amp;number=3.9&amp;sourceID=14","3.9")</f>
        <v>3.9</v>
      </c>
      <c r="G5533" s="4" t="str">
        <f>HYPERLINK("http://141.218.60.56/~jnz1568/getInfo.php?workbook=14_09.xlsx&amp;sheet=U0&amp;row=5533&amp;col=7&amp;number=0.0644&amp;sourceID=14","0.0644")</f>
        <v>0.0644</v>
      </c>
    </row>
    <row r="5534" spans="1:7">
      <c r="A5534" s="3"/>
      <c r="B5534" s="3"/>
      <c r="C5534" s="3"/>
      <c r="D5534" s="3"/>
      <c r="E5534" s="3">
        <v>11</v>
      </c>
      <c r="F5534" s="4" t="str">
        <f>HYPERLINK("http://141.218.60.56/~jnz1568/getInfo.php?workbook=14_09.xlsx&amp;sheet=U0&amp;row=5534&amp;col=6&amp;number=4&amp;sourceID=14","4")</f>
        <v>4</v>
      </c>
      <c r="G5534" s="4" t="str">
        <f>HYPERLINK("http://141.218.60.56/~jnz1568/getInfo.php?workbook=14_09.xlsx&amp;sheet=U0&amp;row=5534&amp;col=7&amp;number=0.0632&amp;sourceID=14","0.0632")</f>
        <v>0.0632</v>
      </c>
    </row>
    <row r="5535" spans="1:7">
      <c r="A5535" s="3"/>
      <c r="B5535" s="3"/>
      <c r="C5535" s="3"/>
      <c r="D5535" s="3"/>
      <c r="E5535" s="3">
        <v>12</v>
      </c>
      <c r="F5535" s="4" t="str">
        <f>HYPERLINK("http://141.218.60.56/~jnz1568/getInfo.php?workbook=14_09.xlsx&amp;sheet=U0&amp;row=5535&amp;col=6&amp;number=4.1&amp;sourceID=14","4.1")</f>
        <v>4.1</v>
      </c>
      <c r="G5535" s="4" t="str">
        <f>HYPERLINK("http://141.218.60.56/~jnz1568/getInfo.php?workbook=14_09.xlsx&amp;sheet=U0&amp;row=5535&amp;col=7&amp;number=0.0617&amp;sourceID=14","0.0617")</f>
        <v>0.0617</v>
      </c>
    </row>
    <row r="5536" spans="1:7">
      <c r="A5536" s="3"/>
      <c r="B5536" s="3"/>
      <c r="C5536" s="3"/>
      <c r="D5536" s="3"/>
      <c r="E5536" s="3">
        <v>13</v>
      </c>
      <c r="F5536" s="4" t="str">
        <f>HYPERLINK("http://141.218.60.56/~jnz1568/getInfo.php?workbook=14_09.xlsx&amp;sheet=U0&amp;row=5536&amp;col=6&amp;number=4.2&amp;sourceID=14","4.2")</f>
        <v>4.2</v>
      </c>
      <c r="G5536" s="4" t="str">
        <f>HYPERLINK("http://141.218.60.56/~jnz1568/getInfo.php?workbook=14_09.xlsx&amp;sheet=U0&amp;row=5536&amp;col=7&amp;number=0.0599&amp;sourceID=14","0.0599")</f>
        <v>0.0599</v>
      </c>
    </row>
    <row r="5537" spans="1:7">
      <c r="A5537" s="3"/>
      <c r="B5537" s="3"/>
      <c r="C5537" s="3"/>
      <c r="D5537" s="3"/>
      <c r="E5537" s="3">
        <v>14</v>
      </c>
      <c r="F5537" s="4" t="str">
        <f>HYPERLINK("http://141.218.60.56/~jnz1568/getInfo.php?workbook=14_09.xlsx&amp;sheet=U0&amp;row=5537&amp;col=6&amp;number=4.3&amp;sourceID=14","4.3")</f>
        <v>4.3</v>
      </c>
      <c r="G5537" s="4" t="str">
        <f>HYPERLINK("http://141.218.60.56/~jnz1568/getInfo.php?workbook=14_09.xlsx&amp;sheet=U0&amp;row=5537&amp;col=7&amp;number=0.0577&amp;sourceID=14","0.0577")</f>
        <v>0.0577</v>
      </c>
    </row>
    <row r="5538" spans="1:7">
      <c r="A5538" s="3"/>
      <c r="B5538" s="3"/>
      <c r="C5538" s="3"/>
      <c r="D5538" s="3"/>
      <c r="E5538" s="3">
        <v>15</v>
      </c>
      <c r="F5538" s="4" t="str">
        <f>HYPERLINK("http://141.218.60.56/~jnz1568/getInfo.php?workbook=14_09.xlsx&amp;sheet=U0&amp;row=5538&amp;col=6&amp;number=4.4&amp;sourceID=14","4.4")</f>
        <v>4.4</v>
      </c>
      <c r="G5538" s="4" t="str">
        <f>HYPERLINK("http://141.218.60.56/~jnz1568/getInfo.php?workbook=14_09.xlsx&amp;sheet=U0&amp;row=5538&amp;col=7&amp;number=0.0551&amp;sourceID=14","0.0551")</f>
        <v>0.0551</v>
      </c>
    </row>
    <row r="5539" spans="1:7">
      <c r="A5539" s="3"/>
      <c r="B5539" s="3"/>
      <c r="C5539" s="3"/>
      <c r="D5539" s="3"/>
      <c r="E5539" s="3">
        <v>16</v>
      </c>
      <c r="F5539" s="4" t="str">
        <f>HYPERLINK("http://141.218.60.56/~jnz1568/getInfo.php?workbook=14_09.xlsx&amp;sheet=U0&amp;row=5539&amp;col=6&amp;number=4.5&amp;sourceID=14","4.5")</f>
        <v>4.5</v>
      </c>
      <c r="G5539" s="4" t="str">
        <f>HYPERLINK("http://141.218.60.56/~jnz1568/getInfo.php?workbook=14_09.xlsx&amp;sheet=U0&amp;row=5539&amp;col=7&amp;number=0.0521&amp;sourceID=14","0.0521")</f>
        <v>0.0521</v>
      </c>
    </row>
    <row r="5540" spans="1:7">
      <c r="A5540" s="3"/>
      <c r="B5540" s="3"/>
      <c r="C5540" s="3"/>
      <c r="D5540" s="3"/>
      <c r="E5540" s="3">
        <v>17</v>
      </c>
      <c r="F5540" s="4" t="str">
        <f>HYPERLINK("http://141.218.60.56/~jnz1568/getInfo.php?workbook=14_09.xlsx&amp;sheet=U0&amp;row=5540&amp;col=6&amp;number=4.6&amp;sourceID=14","4.6")</f>
        <v>4.6</v>
      </c>
      <c r="G5540" s="4" t="str">
        <f>HYPERLINK("http://141.218.60.56/~jnz1568/getInfo.php?workbook=14_09.xlsx&amp;sheet=U0&amp;row=5540&amp;col=7&amp;number=0.0487&amp;sourceID=14","0.0487")</f>
        <v>0.0487</v>
      </c>
    </row>
    <row r="5541" spans="1:7">
      <c r="A5541" s="3"/>
      <c r="B5541" s="3"/>
      <c r="C5541" s="3"/>
      <c r="D5541" s="3"/>
      <c r="E5541" s="3">
        <v>18</v>
      </c>
      <c r="F5541" s="4" t="str">
        <f>HYPERLINK("http://141.218.60.56/~jnz1568/getInfo.php?workbook=14_09.xlsx&amp;sheet=U0&amp;row=5541&amp;col=6&amp;number=4.7&amp;sourceID=14","4.7")</f>
        <v>4.7</v>
      </c>
      <c r="G5541" s="4" t="str">
        <f>HYPERLINK("http://141.218.60.56/~jnz1568/getInfo.php?workbook=14_09.xlsx&amp;sheet=U0&amp;row=5541&amp;col=7&amp;number=0.0452&amp;sourceID=14","0.0452")</f>
        <v>0.0452</v>
      </c>
    </row>
    <row r="5542" spans="1:7">
      <c r="A5542" s="3"/>
      <c r="B5542" s="3"/>
      <c r="C5542" s="3"/>
      <c r="D5542" s="3"/>
      <c r="E5542" s="3">
        <v>19</v>
      </c>
      <c r="F5542" s="4" t="str">
        <f>HYPERLINK("http://141.218.60.56/~jnz1568/getInfo.php?workbook=14_09.xlsx&amp;sheet=U0&amp;row=5542&amp;col=6&amp;number=4.8&amp;sourceID=14","4.8")</f>
        <v>4.8</v>
      </c>
      <c r="G5542" s="4" t="str">
        <f>HYPERLINK("http://141.218.60.56/~jnz1568/getInfo.php?workbook=14_09.xlsx&amp;sheet=U0&amp;row=5542&amp;col=7&amp;number=0.0419&amp;sourceID=14","0.0419")</f>
        <v>0.0419</v>
      </c>
    </row>
    <row r="5543" spans="1:7">
      <c r="A5543" s="3"/>
      <c r="B5543" s="3"/>
      <c r="C5543" s="3"/>
      <c r="D5543" s="3"/>
      <c r="E5543" s="3">
        <v>20</v>
      </c>
      <c r="F5543" s="4" t="str">
        <f>HYPERLINK("http://141.218.60.56/~jnz1568/getInfo.php?workbook=14_09.xlsx&amp;sheet=U0&amp;row=5543&amp;col=6&amp;number=4.9&amp;sourceID=14","4.9")</f>
        <v>4.9</v>
      </c>
      <c r="G5543" s="4" t="str">
        <f>HYPERLINK("http://141.218.60.56/~jnz1568/getInfo.php?workbook=14_09.xlsx&amp;sheet=U0&amp;row=5543&amp;col=7&amp;number=0.0393&amp;sourceID=14","0.0393")</f>
        <v>0.0393</v>
      </c>
    </row>
    <row r="5544" spans="1:7">
      <c r="A5544" s="3">
        <v>14</v>
      </c>
      <c r="B5544" s="3">
        <v>9</v>
      </c>
      <c r="C5544" s="3">
        <v>2</v>
      </c>
      <c r="D5544" s="3">
        <v>86</v>
      </c>
      <c r="E5544" s="3">
        <v>1</v>
      </c>
      <c r="F5544" s="4" t="str">
        <f>HYPERLINK("http://141.218.60.56/~jnz1568/getInfo.php?workbook=14_09.xlsx&amp;sheet=U0&amp;row=5544&amp;col=6&amp;number=3&amp;sourceID=14","3")</f>
        <v>3</v>
      </c>
      <c r="G5544" s="4" t="str">
        <f>HYPERLINK("http://141.218.60.56/~jnz1568/getInfo.php?workbook=14_09.xlsx&amp;sheet=U0&amp;row=5544&amp;col=7&amp;number=0.00995&amp;sourceID=14","0.00995")</f>
        <v>0.00995</v>
      </c>
    </row>
    <row r="5545" spans="1:7">
      <c r="A5545" s="3"/>
      <c r="B5545" s="3"/>
      <c r="C5545" s="3"/>
      <c r="D5545" s="3"/>
      <c r="E5545" s="3">
        <v>2</v>
      </c>
      <c r="F5545" s="4" t="str">
        <f>HYPERLINK("http://141.218.60.56/~jnz1568/getInfo.php?workbook=14_09.xlsx&amp;sheet=U0&amp;row=5545&amp;col=6&amp;number=3.1&amp;sourceID=14","3.1")</f>
        <v>3.1</v>
      </c>
      <c r="G5545" s="4" t="str">
        <f>HYPERLINK("http://141.218.60.56/~jnz1568/getInfo.php?workbook=14_09.xlsx&amp;sheet=U0&amp;row=5545&amp;col=7&amp;number=0.00993&amp;sourceID=14","0.00993")</f>
        <v>0.00993</v>
      </c>
    </row>
    <row r="5546" spans="1:7">
      <c r="A5546" s="3"/>
      <c r="B5546" s="3"/>
      <c r="C5546" s="3"/>
      <c r="D5546" s="3"/>
      <c r="E5546" s="3">
        <v>3</v>
      </c>
      <c r="F5546" s="4" t="str">
        <f>HYPERLINK("http://141.218.60.56/~jnz1568/getInfo.php?workbook=14_09.xlsx&amp;sheet=U0&amp;row=5546&amp;col=6&amp;number=3.2&amp;sourceID=14","3.2")</f>
        <v>3.2</v>
      </c>
      <c r="G5546" s="4" t="str">
        <f>HYPERLINK("http://141.218.60.56/~jnz1568/getInfo.php?workbook=14_09.xlsx&amp;sheet=U0&amp;row=5546&amp;col=7&amp;number=0.0099&amp;sourceID=14","0.0099")</f>
        <v>0.0099</v>
      </c>
    </row>
    <row r="5547" spans="1:7">
      <c r="A5547" s="3"/>
      <c r="B5547" s="3"/>
      <c r="C5547" s="3"/>
      <c r="D5547" s="3"/>
      <c r="E5547" s="3">
        <v>4</v>
      </c>
      <c r="F5547" s="4" t="str">
        <f>HYPERLINK("http://141.218.60.56/~jnz1568/getInfo.php?workbook=14_09.xlsx&amp;sheet=U0&amp;row=5547&amp;col=6&amp;number=3.3&amp;sourceID=14","3.3")</f>
        <v>3.3</v>
      </c>
      <c r="G5547" s="4" t="str">
        <f>HYPERLINK("http://141.218.60.56/~jnz1568/getInfo.php?workbook=14_09.xlsx&amp;sheet=U0&amp;row=5547&amp;col=7&amp;number=0.00986&amp;sourceID=14","0.00986")</f>
        <v>0.00986</v>
      </c>
    </row>
    <row r="5548" spans="1:7">
      <c r="A5548" s="3"/>
      <c r="B5548" s="3"/>
      <c r="C5548" s="3"/>
      <c r="D5548" s="3"/>
      <c r="E5548" s="3">
        <v>5</v>
      </c>
      <c r="F5548" s="4" t="str">
        <f>HYPERLINK("http://141.218.60.56/~jnz1568/getInfo.php?workbook=14_09.xlsx&amp;sheet=U0&amp;row=5548&amp;col=6&amp;number=3.4&amp;sourceID=14","3.4")</f>
        <v>3.4</v>
      </c>
      <c r="G5548" s="4" t="str">
        <f>HYPERLINK("http://141.218.60.56/~jnz1568/getInfo.php?workbook=14_09.xlsx&amp;sheet=U0&amp;row=5548&amp;col=7&amp;number=0.00981&amp;sourceID=14","0.00981")</f>
        <v>0.00981</v>
      </c>
    </row>
    <row r="5549" spans="1:7">
      <c r="A5549" s="3"/>
      <c r="B5549" s="3"/>
      <c r="C5549" s="3"/>
      <c r="D5549" s="3"/>
      <c r="E5549" s="3">
        <v>6</v>
      </c>
      <c r="F5549" s="4" t="str">
        <f>HYPERLINK("http://141.218.60.56/~jnz1568/getInfo.php?workbook=14_09.xlsx&amp;sheet=U0&amp;row=5549&amp;col=6&amp;number=3.5&amp;sourceID=14","3.5")</f>
        <v>3.5</v>
      </c>
      <c r="G5549" s="4" t="str">
        <f>HYPERLINK("http://141.218.60.56/~jnz1568/getInfo.php?workbook=14_09.xlsx&amp;sheet=U0&amp;row=5549&amp;col=7&amp;number=0.00975&amp;sourceID=14","0.00975")</f>
        <v>0.00975</v>
      </c>
    </row>
    <row r="5550" spans="1:7">
      <c r="A5550" s="3"/>
      <c r="B5550" s="3"/>
      <c r="C5550" s="3"/>
      <c r="D5550" s="3"/>
      <c r="E5550" s="3">
        <v>7</v>
      </c>
      <c r="F5550" s="4" t="str">
        <f>HYPERLINK("http://141.218.60.56/~jnz1568/getInfo.php?workbook=14_09.xlsx&amp;sheet=U0&amp;row=5550&amp;col=6&amp;number=3.6&amp;sourceID=14","3.6")</f>
        <v>3.6</v>
      </c>
      <c r="G5550" s="4" t="str">
        <f>HYPERLINK("http://141.218.60.56/~jnz1568/getInfo.php?workbook=14_09.xlsx&amp;sheet=U0&amp;row=5550&amp;col=7&amp;number=0.00967&amp;sourceID=14","0.00967")</f>
        <v>0.00967</v>
      </c>
    </row>
    <row r="5551" spans="1:7">
      <c r="A5551" s="3"/>
      <c r="B5551" s="3"/>
      <c r="C5551" s="3"/>
      <c r="D5551" s="3"/>
      <c r="E5551" s="3">
        <v>8</v>
      </c>
      <c r="F5551" s="4" t="str">
        <f>HYPERLINK("http://141.218.60.56/~jnz1568/getInfo.php?workbook=14_09.xlsx&amp;sheet=U0&amp;row=5551&amp;col=6&amp;number=3.7&amp;sourceID=14","3.7")</f>
        <v>3.7</v>
      </c>
      <c r="G5551" s="4" t="str">
        <f>HYPERLINK("http://141.218.60.56/~jnz1568/getInfo.php?workbook=14_09.xlsx&amp;sheet=U0&amp;row=5551&amp;col=7&amp;number=0.00957&amp;sourceID=14","0.00957")</f>
        <v>0.00957</v>
      </c>
    </row>
    <row r="5552" spans="1:7">
      <c r="A5552" s="3"/>
      <c r="B5552" s="3"/>
      <c r="C5552" s="3"/>
      <c r="D5552" s="3"/>
      <c r="E5552" s="3">
        <v>9</v>
      </c>
      <c r="F5552" s="4" t="str">
        <f>HYPERLINK("http://141.218.60.56/~jnz1568/getInfo.php?workbook=14_09.xlsx&amp;sheet=U0&amp;row=5552&amp;col=6&amp;number=3.8&amp;sourceID=14","3.8")</f>
        <v>3.8</v>
      </c>
      <c r="G5552" s="4" t="str">
        <f>HYPERLINK("http://141.218.60.56/~jnz1568/getInfo.php?workbook=14_09.xlsx&amp;sheet=U0&amp;row=5552&amp;col=7&amp;number=0.00945&amp;sourceID=14","0.00945")</f>
        <v>0.00945</v>
      </c>
    </row>
    <row r="5553" spans="1:7">
      <c r="A5553" s="3"/>
      <c r="B5553" s="3"/>
      <c r="C5553" s="3"/>
      <c r="D5553" s="3"/>
      <c r="E5553" s="3">
        <v>10</v>
      </c>
      <c r="F5553" s="4" t="str">
        <f>HYPERLINK("http://141.218.60.56/~jnz1568/getInfo.php?workbook=14_09.xlsx&amp;sheet=U0&amp;row=5553&amp;col=6&amp;number=3.9&amp;sourceID=14","3.9")</f>
        <v>3.9</v>
      </c>
      <c r="G5553" s="4" t="str">
        <f>HYPERLINK("http://141.218.60.56/~jnz1568/getInfo.php?workbook=14_09.xlsx&amp;sheet=U0&amp;row=5553&amp;col=7&amp;number=0.0093&amp;sourceID=14","0.0093")</f>
        <v>0.0093</v>
      </c>
    </row>
    <row r="5554" spans="1:7">
      <c r="A5554" s="3"/>
      <c r="B5554" s="3"/>
      <c r="C5554" s="3"/>
      <c r="D5554" s="3"/>
      <c r="E5554" s="3">
        <v>11</v>
      </c>
      <c r="F5554" s="4" t="str">
        <f>HYPERLINK("http://141.218.60.56/~jnz1568/getInfo.php?workbook=14_09.xlsx&amp;sheet=U0&amp;row=5554&amp;col=6&amp;number=4&amp;sourceID=14","4")</f>
        <v>4</v>
      </c>
      <c r="G5554" s="4" t="str">
        <f>HYPERLINK("http://141.218.60.56/~jnz1568/getInfo.php?workbook=14_09.xlsx&amp;sheet=U0&amp;row=5554&amp;col=7&amp;number=0.00911&amp;sourceID=14","0.00911")</f>
        <v>0.00911</v>
      </c>
    </row>
    <row r="5555" spans="1:7">
      <c r="A5555" s="3"/>
      <c r="B5555" s="3"/>
      <c r="C5555" s="3"/>
      <c r="D5555" s="3"/>
      <c r="E5555" s="3">
        <v>12</v>
      </c>
      <c r="F5555" s="4" t="str">
        <f>HYPERLINK("http://141.218.60.56/~jnz1568/getInfo.php?workbook=14_09.xlsx&amp;sheet=U0&amp;row=5555&amp;col=6&amp;number=4.1&amp;sourceID=14","4.1")</f>
        <v>4.1</v>
      </c>
      <c r="G5555" s="4" t="str">
        <f>HYPERLINK("http://141.218.60.56/~jnz1568/getInfo.php?workbook=14_09.xlsx&amp;sheet=U0&amp;row=5555&amp;col=7&amp;number=0.00888&amp;sourceID=14","0.00888")</f>
        <v>0.00888</v>
      </c>
    </row>
    <row r="5556" spans="1:7">
      <c r="A5556" s="3"/>
      <c r="B5556" s="3"/>
      <c r="C5556" s="3"/>
      <c r="D5556" s="3"/>
      <c r="E5556" s="3">
        <v>13</v>
      </c>
      <c r="F5556" s="4" t="str">
        <f>HYPERLINK("http://141.218.60.56/~jnz1568/getInfo.php?workbook=14_09.xlsx&amp;sheet=U0&amp;row=5556&amp;col=6&amp;number=4.2&amp;sourceID=14","4.2")</f>
        <v>4.2</v>
      </c>
      <c r="G5556" s="4" t="str">
        <f>HYPERLINK("http://141.218.60.56/~jnz1568/getInfo.php?workbook=14_09.xlsx&amp;sheet=U0&amp;row=5556&amp;col=7&amp;number=0.00859&amp;sourceID=14","0.00859")</f>
        <v>0.00859</v>
      </c>
    </row>
    <row r="5557" spans="1:7">
      <c r="A5557" s="3"/>
      <c r="B5557" s="3"/>
      <c r="C5557" s="3"/>
      <c r="D5557" s="3"/>
      <c r="E5557" s="3">
        <v>14</v>
      </c>
      <c r="F5557" s="4" t="str">
        <f>HYPERLINK("http://141.218.60.56/~jnz1568/getInfo.php?workbook=14_09.xlsx&amp;sheet=U0&amp;row=5557&amp;col=6&amp;number=4.3&amp;sourceID=14","4.3")</f>
        <v>4.3</v>
      </c>
      <c r="G5557" s="4" t="str">
        <f>HYPERLINK("http://141.218.60.56/~jnz1568/getInfo.php?workbook=14_09.xlsx&amp;sheet=U0&amp;row=5557&amp;col=7&amp;number=0.00824&amp;sourceID=14","0.00824")</f>
        <v>0.00824</v>
      </c>
    </row>
    <row r="5558" spans="1:7">
      <c r="A5558" s="3"/>
      <c r="B5558" s="3"/>
      <c r="C5558" s="3"/>
      <c r="D5558" s="3"/>
      <c r="E5558" s="3">
        <v>15</v>
      </c>
      <c r="F5558" s="4" t="str">
        <f>HYPERLINK("http://141.218.60.56/~jnz1568/getInfo.php?workbook=14_09.xlsx&amp;sheet=U0&amp;row=5558&amp;col=6&amp;number=4.4&amp;sourceID=14","4.4")</f>
        <v>4.4</v>
      </c>
      <c r="G5558" s="4" t="str">
        <f>HYPERLINK("http://141.218.60.56/~jnz1568/getInfo.php?workbook=14_09.xlsx&amp;sheet=U0&amp;row=5558&amp;col=7&amp;number=0.00783&amp;sourceID=14","0.00783")</f>
        <v>0.00783</v>
      </c>
    </row>
    <row r="5559" spans="1:7">
      <c r="A5559" s="3"/>
      <c r="B5559" s="3"/>
      <c r="C5559" s="3"/>
      <c r="D5559" s="3"/>
      <c r="E5559" s="3">
        <v>16</v>
      </c>
      <c r="F5559" s="4" t="str">
        <f>HYPERLINK("http://141.218.60.56/~jnz1568/getInfo.php?workbook=14_09.xlsx&amp;sheet=U0&amp;row=5559&amp;col=6&amp;number=4.5&amp;sourceID=14","4.5")</f>
        <v>4.5</v>
      </c>
      <c r="G5559" s="4" t="str">
        <f>HYPERLINK("http://141.218.60.56/~jnz1568/getInfo.php?workbook=14_09.xlsx&amp;sheet=U0&amp;row=5559&amp;col=7&amp;number=0.00735&amp;sourceID=14","0.00735")</f>
        <v>0.00735</v>
      </c>
    </row>
    <row r="5560" spans="1:7">
      <c r="A5560" s="3"/>
      <c r="B5560" s="3"/>
      <c r="C5560" s="3"/>
      <c r="D5560" s="3"/>
      <c r="E5560" s="3">
        <v>17</v>
      </c>
      <c r="F5560" s="4" t="str">
        <f>HYPERLINK("http://141.218.60.56/~jnz1568/getInfo.php?workbook=14_09.xlsx&amp;sheet=U0&amp;row=5560&amp;col=6&amp;number=4.6&amp;sourceID=14","4.6")</f>
        <v>4.6</v>
      </c>
      <c r="G5560" s="4" t="str">
        <f>HYPERLINK("http://141.218.60.56/~jnz1568/getInfo.php?workbook=14_09.xlsx&amp;sheet=U0&amp;row=5560&amp;col=7&amp;number=0.0068&amp;sourceID=14","0.0068")</f>
        <v>0.0068</v>
      </c>
    </row>
    <row r="5561" spans="1:7">
      <c r="A5561" s="3"/>
      <c r="B5561" s="3"/>
      <c r="C5561" s="3"/>
      <c r="D5561" s="3"/>
      <c r="E5561" s="3">
        <v>18</v>
      </c>
      <c r="F5561" s="4" t="str">
        <f>HYPERLINK("http://141.218.60.56/~jnz1568/getInfo.php?workbook=14_09.xlsx&amp;sheet=U0&amp;row=5561&amp;col=6&amp;number=4.7&amp;sourceID=14","4.7")</f>
        <v>4.7</v>
      </c>
      <c r="G5561" s="4" t="str">
        <f>HYPERLINK("http://141.218.60.56/~jnz1568/getInfo.php?workbook=14_09.xlsx&amp;sheet=U0&amp;row=5561&amp;col=7&amp;number=0.00622&amp;sourceID=14","0.00622")</f>
        <v>0.00622</v>
      </c>
    </row>
    <row r="5562" spans="1:7">
      <c r="A5562" s="3"/>
      <c r="B5562" s="3"/>
      <c r="C5562" s="3"/>
      <c r="D5562" s="3"/>
      <c r="E5562" s="3">
        <v>19</v>
      </c>
      <c r="F5562" s="4" t="str">
        <f>HYPERLINK("http://141.218.60.56/~jnz1568/getInfo.php?workbook=14_09.xlsx&amp;sheet=U0&amp;row=5562&amp;col=6&amp;number=4.8&amp;sourceID=14","4.8")</f>
        <v>4.8</v>
      </c>
      <c r="G5562" s="4" t="str">
        <f>HYPERLINK("http://141.218.60.56/~jnz1568/getInfo.php?workbook=14_09.xlsx&amp;sheet=U0&amp;row=5562&amp;col=7&amp;number=0.00565&amp;sourceID=14","0.00565")</f>
        <v>0.00565</v>
      </c>
    </row>
    <row r="5563" spans="1:7">
      <c r="A5563" s="3"/>
      <c r="B5563" s="3"/>
      <c r="C5563" s="3"/>
      <c r="D5563" s="3"/>
      <c r="E5563" s="3">
        <v>20</v>
      </c>
      <c r="F5563" s="4" t="str">
        <f>HYPERLINK("http://141.218.60.56/~jnz1568/getInfo.php?workbook=14_09.xlsx&amp;sheet=U0&amp;row=5563&amp;col=6&amp;number=4.9&amp;sourceID=14","4.9")</f>
        <v>4.9</v>
      </c>
      <c r="G5563" s="4" t="str">
        <f>HYPERLINK("http://141.218.60.56/~jnz1568/getInfo.php?workbook=14_09.xlsx&amp;sheet=U0&amp;row=5563&amp;col=7&amp;number=0.00517&amp;sourceID=14","0.00517")</f>
        <v>0.00517</v>
      </c>
    </row>
    <row r="5564" spans="1:7">
      <c r="A5564" s="3">
        <v>14</v>
      </c>
      <c r="B5564" s="3">
        <v>9</v>
      </c>
      <c r="C5564" s="3">
        <v>2</v>
      </c>
      <c r="D5564" s="3">
        <v>87</v>
      </c>
      <c r="E5564" s="3">
        <v>1</v>
      </c>
      <c r="F5564" s="4" t="str">
        <f>HYPERLINK("http://141.218.60.56/~jnz1568/getInfo.php?workbook=14_09.xlsx&amp;sheet=U0&amp;row=5564&amp;col=6&amp;number=3&amp;sourceID=14","3")</f>
        <v>3</v>
      </c>
      <c r="G5564" s="4" t="str">
        <f>HYPERLINK("http://141.218.60.56/~jnz1568/getInfo.php?workbook=14_09.xlsx&amp;sheet=U0&amp;row=5564&amp;col=7&amp;number=0.0103&amp;sourceID=14","0.0103")</f>
        <v>0.0103</v>
      </c>
    </row>
    <row r="5565" spans="1:7">
      <c r="A5565" s="3"/>
      <c r="B5565" s="3"/>
      <c r="C5565" s="3"/>
      <c r="D5565" s="3"/>
      <c r="E5565" s="3">
        <v>2</v>
      </c>
      <c r="F5565" s="4" t="str">
        <f>HYPERLINK("http://141.218.60.56/~jnz1568/getInfo.php?workbook=14_09.xlsx&amp;sheet=U0&amp;row=5565&amp;col=6&amp;number=3.1&amp;sourceID=14","3.1")</f>
        <v>3.1</v>
      </c>
      <c r="G5565" s="4" t="str">
        <f>HYPERLINK("http://141.218.60.56/~jnz1568/getInfo.php?workbook=14_09.xlsx&amp;sheet=U0&amp;row=5565&amp;col=7&amp;number=0.0103&amp;sourceID=14","0.0103")</f>
        <v>0.0103</v>
      </c>
    </row>
    <row r="5566" spans="1:7">
      <c r="A5566" s="3"/>
      <c r="B5566" s="3"/>
      <c r="C5566" s="3"/>
      <c r="D5566" s="3"/>
      <c r="E5566" s="3">
        <v>3</v>
      </c>
      <c r="F5566" s="4" t="str">
        <f>HYPERLINK("http://141.218.60.56/~jnz1568/getInfo.php?workbook=14_09.xlsx&amp;sheet=U0&amp;row=5566&amp;col=6&amp;number=3.2&amp;sourceID=14","3.2")</f>
        <v>3.2</v>
      </c>
      <c r="G5566" s="4" t="str">
        <f>HYPERLINK("http://141.218.60.56/~jnz1568/getInfo.php?workbook=14_09.xlsx&amp;sheet=U0&amp;row=5566&amp;col=7&amp;number=0.0103&amp;sourceID=14","0.0103")</f>
        <v>0.0103</v>
      </c>
    </row>
    <row r="5567" spans="1:7">
      <c r="A5567" s="3"/>
      <c r="B5567" s="3"/>
      <c r="C5567" s="3"/>
      <c r="D5567" s="3"/>
      <c r="E5567" s="3">
        <v>4</v>
      </c>
      <c r="F5567" s="4" t="str">
        <f>HYPERLINK("http://141.218.60.56/~jnz1568/getInfo.php?workbook=14_09.xlsx&amp;sheet=U0&amp;row=5567&amp;col=6&amp;number=3.3&amp;sourceID=14","3.3")</f>
        <v>3.3</v>
      </c>
      <c r="G5567" s="4" t="str">
        <f>HYPERLINK("http://141.218.60.56/~jnz1568/getInfo.php?workbook=14_09.xlsx&amp;sheet=U0&amp;row=5567&amp;col=7&amp;number=0.0102&amp;sourceID=14","0.0102")</f>
        <v>0.0102</v>
      </c>
    </row>
    <row r="5568" spans="1:7">
      <c r="A5568" s="3"/>
      <c r="B5568" s="3"/>
      <c r="C5568" s="3"/>
      <c r="D5568" s="3"/>
      <c r="E5568" s="3">
        <v>5</v>
      </c>
      <c r="F5568" s="4" t="str">
        <f>HYPERLINK("http://141.218.60.56/~jnz1568/getInfo.php?workbook=14_09.xlsx&amp;sheet=U0&amp;row=5568&amp;col=6&amp;number=3.4&amp;sourceID=14","3.4")</f>
        <v>3.4</v>
      </c>
      <c r="G5568" s="4" t="str">
        <f>HYPERLINK("http://141.218.60.56/~jnz1568/getInfo.php?workbook=14_09.xlsx&amp;sheet=U0&amp;row=5568&amp;col=7&amp;number=0.0102&amp;sourceID=14","0.0102")</f>
        <v>0.0102</v>
      </c>
    </row>
    <row r="5569" spans="1:7">
      <c r="A5569" s="3"/>
      <c r="B5569" s="3"/>
      <c r="C5569" s="3"/>
      <c r="D5569" s="3"/>
      <c r="E5569" s="3">
        <v>6</v>
      </c>
      <c r="F5569" s="4" t="str">
        <f>HYPERLINK("http://141.218.60.56/~jnz1568/getInfo.php?workbook=14_09.xlsx&amp;sheet=U0&amp;row=5569&amp;col=6&amp;number=3.5&amp;sourceID=14","3.5")</f>
        <v>3.5</v>
      </c>
      <c r="G5569" s="4" t="str">
        <f>HYPERLINK("http://141.218.60.56/~jnz1568/getInfo.php?workbook=14_09.xlsx&amp;sheet=U0&amp;row=5569&amp;col=7&amp;number=0.0102&amp;sourceID=14","0.0102")</f>
        <v>0.0102</v>
      </c>
    </row>
    <row r="5570" spans="1:7">
      <c r="A5570" s="3"/>
      <c r="B5570" s="3"/>
      <c r="C5570" s="3"/>
      <c r="D5570" s="3"/>
      <c r="E5570" s="3">
        <v>7</v>
      </c>
      <c r="F5570" s="4" t="str">
        <f>HYPERLINK("http://141.218.60.56/~jnz1568/getInfo.php?workbook=14_09.xlsx&amp;sheet=U0&amp;row=5570&amp;col=6&amp;number=3.6&amp;sourceID=14","3.6")</f>
        <v>3.6</v>
      </c>
      <c r="G5570" s="4" t="str">
        <f>HYPERLINK("http://141.218.60.56/~jnz1568/getInfo.php?workbook=14_09.xlsx&amp;sheet=U0&amp;row=5570&amp;col=7&amp;number=0.0101&amp;sourceID=14","0.0101")</f>
        <v>0.0101</v>
      </c>
    </row>
    <row r="5571" spans="1:7">
      <c r="A5571" s="3"/>
      <c r="B5571" s="3"/>
      <c r="C5571" s="3"/>
      <c r="D5571" s="3"/>
      <c r="E5571" s="3">
        <v>8</v>
      </c>
      <c r="F5571" s="4" t="str">
        <f>HYPERLINK("http://141.218.60.56/~jnz1568/getInfo.php?workbook=14_09.xlsx&amp;sheet=U0&amp;row=5571&amp;col=6&amp;number=3.7&amp;sourceID=14","3.7")</f>
        <v>3.7</v>
      </c>
      <c r="G5571" s="4" t="str">
        <f>HYPERLINK("http://141.218.60.56/~jnz1568/getInfo.php?workbook=14_09.xlsx&amp;sheet=U0&amp;row=5571&amp;col=7&amp;number=0.01&amp;sourceID=14","0.01")</f>
        <v>0.01</v>
      </c>
    </row>
    <row r="5572" spans="1:7">
      <c r="A5572" s="3"/>
      <c r="B5572" s="3"/>
      <c r="C5572" s="3"/>
      <c r="D5572" s="3"/>
      <c r="E5572" s="3">
        <v>9</v>
      </c>
      <c r="F5572" s="4" t="str">
        <f>HYPERLINK("http://141.218.60.56/~jnz1568/getInfo.php?workbook=14_09.xlsx&amp;sheet=U0&amp;row=5572&amp;col=6&amp;number=3.8&amp;sourceID=14","3.8")</f>
        <v>3.8</v>
      </c>
      <c r="G5572" s="4" t="str">
        <f>HYPERLINK("http://141.218.60.56/~jnz1568/getInfo.php?workbook=14_09.xlsx&amp;sheet=U0&amp;row=5572&amp;col=7&amp;number=0.00996&amp;sourceID=14","0.00996")</f>
        <v>0.00996</v>
      </c>
    </row>
    <row r="5573" spans="1:7">
      <c r="A5573" s="3"/>
      <c r="B5573" s="3"/>
      <c r="C5573" s="3"/>
      <c r="D5573" s="3"/>
      <c r="E5573" s="3">
        <v>10</v>
      </c>
      <c r="F5573" s="4" t="str">
        <f>HYPERLINK("http://141.218.60.56/~jnz1568/getInfo.php?workbook=14_09.xlsx&amp;sheet=U0&amp;row=5573&amp;col=6&amp;number=3.9&amp;sourceID=14","3.9")</f>
        <v>3.9</v>
      </c>
      <c r="G5573" s="4" t="str">
        <f>HYPERLINK("http://141.218.60.56/~jnz1568/getInfo.php?workbook=14_09.xlsx&amp;sheet=U0&amp;row=5573&amp;col=7&amp;number=0.00985&amp;sourceID=14","0.00985")</f>
        <v>0.00985</v>
      </c>
    </row>
    <row r="5574" spans="1:7">
      <c r="A5574" s="3"/>
      <c r="B5574" s="3"/>
      <c r="C5574" s="3"/>
      <c r="D5574" s="3"/>
      <c r="E5574" s="3">
        <v>11</v>
      </c>
      <c r="F5574" s="4" t="str">
        <f>HYPERLINK("http://141.218.60.56/~jnz1568/getInfo.php?workbook=14_09.xlsx&amp;sheet=U0&amp;row=5574&amp;col=6&amp;number=4&amp;sourceID=14","4")</f>
        <v>4</v>
      </c>
      <c r="G5574" s="4" t="str">
        <f>HYPERLINK("http://141.218.60.56/~jnz1568/getInfo.php?workbook=14_09.xlsx&amp;sheet=U0&amp;row=5574&amp;col=7&amp;number=0.00972&amp;sourceID=14","0.00972")</f>
        <v>0.00972</v>
      </c>
    </row>
    <row r="5575" spans="1:7">
      <c r="A5575" s="3"/>
      <c r="B5575" s="3"/>
      <c r="C5575" s="3"/>
      <c r="D5575" s="3"/>
      <c r="E5575" s="3">
        <v>12</v>
      </c>
      <c r="F5575" s="4" t="str">
        <f>HYPERLINK("http://141.218.60.56/~jnz1568/getInfo.php?workbook=14_09.xlsx&amp;sheet=U0&amp;row=5575&amp;col=6&amp;number=4.1&amp;sourceID=14","4.1")</f>
        <v>4.1</v>
      </c>
      <c r="G5575" s="4" t="str">
        <f>HYPERLINK("http://141.218.60.56/~jnz1568/getInfo.php?workbook=14_09.xlsx&amp;sheet=U0&amp;row=5575&amp;col=7&amp;number=0.00955&amp;sourceID=14","0.00955")</f>
        <v>0.00955</v>
      </c>
    </row>
    <row r="5576" spans="1:7">
      <c r="A5576" s="3"/>
      <c r="B5576" s="3"/>
      <c r="C5576" s="3"/>
      <c r="D5576" s="3"/>
      <c r="E5576" s="3">
        <v>13</v>
      </c>
      <c r="F5576" s="4" t="str">
        <f>HYPERLINK("http://141.218.60.56/~jnz1568/getInfo.php?workbook=14_09.xlsx&amp;sheet=U0&amp;row=5576&amp;col=6&amp;number=4.2&amp;sourceID=14","4.2")</f>
        <v>4.2</v>
      </c>
      <c r="G5576" s="4" t="str">
        <f>HYPERLINK("http://141.218.60.56/~jnz1568/getInfo.php?workbook=14_09.xlsx&amp;sheet=U0&amp;row=5576&amp;col=7&amp;number=0.00935&amp;sourceID=14","0.00935")</f>
        <v>0.00935</v>
      </c>
    </row>
    <row r="5577" spans="1:7">
      <c r="A5577" s="3"/>
      <c r="B5577" s="3"/>
      <c r="C5577" s="3"/>
      <c r="D5577" s="3"/>
      <c r="E5577" s="3">
        <v>14</v>
      </c>
      <c r="F5577" s="4" t="str">
        <f>HYPERLINK("http://141.218.60.56/~jnz1568/getInfo.php?workbook=14_09.xlsx&amp;sheet=U0&amp;row=5577&amp;col=6&amp;number=4.3&amp;sourceID=14","4.3")</f>
        <v>4.3</v>
      </c>
      <c r="G5577" s="4" t="str">
        <f>HYPERLINK("http://141.218.60.56/~jnz1568/getInfo.php?workbook=14_09.xlsx&amp;sheet=U0&amp;row=5577&amp;col=7&amp;number=0.00909&amp;sourceID=14","0.00909")</f>
        <v>0.00909</v>
      </c>
    </row>
    <row r="5578" spans="1:7">
      <c r="A5578" s="3"/>
      <c r="B5578" s="3"/>
      <c r="C5578" s="3"/>
      <c r="D5578" s="3"/>
      <c r="E5578" s="3">
        <v>15</v>
      </c>
      <c r="F5578" s="4" t="str">
        <f>HYPERLINK("http://141.218.60.56/~jnz1568/getInfo.php?workbook=14_09.xlsx&amp;sheet=U0&amp;row=5578&amp;col=6&amp;number=4.4&amp;sourceID=14","4.4")</f>
        <v>4.4</v>
      </c>
      <c r="G5578" s="4" t="str">
        <f>HYPERLINK("http://141.218.60.56/~jnz1568/getInfo.php?workbook=14_09.xlsx&amp;sheet=U0&amp;row=5578&amp;col=7&amp;number=0.00878&amp;sourceID=14","0.00878")</f>
        <v>0.00878</v>
      </c>
    </row>
    <row r="5579" spans="1:7">
      <c r="A5579" s="3"/>
      <c r="B5579" s="3"/>
      <c r="C5579" s="3"/>
      <c r="D5579" s="3"/>
      <c r="E5579" s="3">
        <v>16</v>
      </c>
      <c r="F5579" s="4" t="str">
        <f>HYPERLINK("http://141.218.60.56/~jnz1568/getInfo.php?workbook=14_09.xlsx&amp;sheet=U0&amp;row=5579&amp;col=6&amp;number=4.5&amp;sourceID=14","4.5")</f>
        <v>4.5</v>
      </c>
      <c r="G5579" s="4" t="str">
        <f>HYPERLINK("http://141.218.60.56/~jnz1568/getInfo.php?workbook=14_09.xlsx&amp;sheet=U0&amp;row=5579&amp;col=7&amp;number=0.00841&amp;sourceID=14","0.00841")</f>
        <v>0.00841</v>
      </c>
    </row>
    <row r="5580" spans="1:7">
      <c r="A5580" s="3"/>
      <c r="B5580" s="3"/>
      <c r="C5580" s="3"/>
      <c r="D5580" s="3"/>
      <c r="E5580" s="3">
        <v>17</v>
      </c>
      <c r="F5580" s="4" t="str">
        <f>HYPERLINK("http://141.218.60.56/~jnz1568/getInfo.php?workbook=14_09.xlsx&amp;sheet=U0&amp;row=5580&amp;col=6&amp;number=4.6&amp;sourceID=14","4.6")</f>
        <v>4.6</v>
      </c>
      <c r="G5580" s="4" t="str">
        <f>HYPERLINK("http://141.218.60.56/~jnz1568/getInfo.php?workbook=14_09.xlsx&amp;sheet=U0&amp;row=5580&amp;col=7&amp;number=0.00797&amp;sourceID=14","0.00797")</f>
        <v>0.00797</v>
      </c>
    </row>
    <row r="5581" spans="1:7">
      <c r="A5581" s="3"/>
      <c r="B5581" s="3"/>
      <c r="C5581" s="3"/>
      <c r="D5581" s="3"/>
      <c r="E5581" s="3">
        <v>18</v>
      </c>
      <c r="F5581" s="4" t="str">
        <f>HYPERLINK("http://141.218.60.56/~jnz1568/getInfo.php?workbook=14_09.xlsx&amp;sheet=U0&amp;row=5581&amp;col=6&amp;number=4.7&amp;sourceID=14","4.7")</f>
        <v>4.7</v>
      </c>
      <c r="G5581" s="4" t="str">
        <f>HYPERLINK("http://141.218.60.56/~jnz1568/getInfo.php?workbook=14_09.xlsx&amp;sheet=U0&amp;row=5581&amp;col=7&amp;number=0.00746&amp;sourceID=14","0.00746")</f>
        <v>0.00746</v>
      </c>
    </row>
    <row r="5582" spans="1:7">
      <c r="A5582" s="3"/>
      <c r="B5582" s="3"/>
      <c r="C5582" s="3"/>
      <c r="D5582" s="3"/>
      <c r="E5582" s="3">
        <v>19</v>
      </c>
      <c r="F5582" s="4" t="str">
        <f>HYPERLINK("http://141.218.60.56/~jnz1568/getInfo.php?workbook=14_09.xlsx&amp;sheet=U0&amp;row=5582&amp;col=6&amp;number=4.8&amp;sourceID=14","4.8")</f>
        <v>4.8</v>
      </c>
      <c r="G5582" s="4" t="str">
        <f>HYPERLINK("http://141.218.60.56/~jnz1568/getInfo.php?workbook=14_09.xlsx&amp;sheet=U0&amp;row=5582&amp;col=7&amp;number=0.00689&amp;sourceID=14","0.00689")</f>
        <v>0.00689</v>
      </c>
    </row>
    <row r="5583" spans="1:7">
      <c r="A5583" s="3"/>
      <c r="B5583" s="3"/>
      <c r="C5583" s="3"/>
      <c r="D5583" s="3"/>
      <c r="E5583" s="3">
        <v>20</v>
      </c>
      <c r="F5583" s="4" t="str">
        <f>HYPERLINK("http://141.218.60.56/~jnz1568/getInfo.php?workbook=14_09.xlsx&amp;sheet=U0&amp;row=5583&amp;col=6&amp;number=4.9&amp;sourceID=14","4.9")</f>
        <v>4.9</v>
      </c>
      <c r="G5583" s="4" t="str">
        <f>HYPERLINK("http://141.218.60.56/~jnz1568/getInfo.php?workbook=14_09.xlsx&amp;sheet=U0&amp;row=5583&amp;col=7&amp;number=0.00632&amp;sourceID=14","0.00632")</f>
        <v>0.00632</v>
      </c>
    </row>
    <row r="5584" spans="1:7">
      <c r="A5584" s="3">
        <v>14</v>
      </c>
      <c r="B5584" s="3">
        <v>9</v>
      </c>
      <c r="C5584" s="3">
        <v>2</v>
      </c>
      <c r="D5584" s="3">
        <v>88</v>
      </c>
      <c r="E5584" s="3">
        <v>1</v>
      </c>
      <c r="F5584" s="4" t="str">
        <f>HYPERLINK("http://141.218.60.56/~jnz1568/getInfo.php?workbook=14_09.xlsx&amp;sheet=U0&amp;row=5584&amp;col=6&amp;number=3&amp;sourceID=14","3")</f>
        <v>3</v>
      </c>
      <c r="G5584" s="4" t="str">
        <f>HYPERLINK("http://141.218.60.56/~jnz1568/getInfo.php?workbook=14_09.xlsx&amp;sheet=U0&amp;row=5584&amp;col=7&amp;number=0.0142&amp;sourceID=14","0.0142")</f>
        <v>0.0142</v>
      </c>
    </row>
    <row r="5585" spans="1:7">
      <c r="A5585" s="3"/>
      <c r="B5585" s="3"/>
      <c r="C5585" s="3"/>
      <c r="D5585" s="3"/>
      <c r="E5585" s="3">
        <v>2</v>
      </c>
      <c r="F5585" s="4" t="str">
        <f>HYPERLINK("http://141.218.60.56/~jnz1568/getInfo.php?workbook=14_09.xlsx&amp;sheet=U0&amp;row=5585&amp;col=6&amp;number=3.1&amp;sourceID=14","3.1")</f>
        <v>3.1</v>
      </c>
      <c r="G5585" s="4" t="str">
        <f>HYPERLINK("http://141.218.60.56/~jnz1568/getInfo.php?workbook=14_09.xlsx&amp;sheet=U0&amp;row=5585&amp;col=7&amp;number=0.0141&amp;sourceID=14","0.0141")</f>
        <v>0.0141</v>
      </c>
    </row>
    <row r="5586" spans="1:7">
      <c r="A5586" s="3"/>
      <c r="B5586" s="3"/>
      <c r="C5586" s="3"/>
      <c r="D5586" s="3"/>
      <c r="E5586" s="3">
        <v>3</v>
      </c>
      <c r="F5586" s="4" t="str">
        <f>HYPERLINK("http://141.218.60.56/~jnz1568/getInfo.php?workbook=14_09.xlsx&amp;sheet=U0&amp;row=5586&amp;col=6&amp;number=3.2&amp;sourceID=14","3.2")</f>
        <v>3.2</v>
      </c>
      <c r="G5586" s="4" t="str">
        <f>HYPERLINK("http://141.218.60.56/~jnz1568/getInfo.php?workbook=14_09.xlsx&amp;sheet=U0&amp;row=5586&amp;col=7&amp;number=0.014&amp;sourceID=14","0.014")</f>
        <v>0.014</v>
      </c>
    </row>
    <row r="5587" spans="1:7">
      <c r="A5587" s="3"/>
      <c r="B5587" s="3"/>
      <c r="C5587" s="3"/>
      <c r="D5587" s="3"/>
      <c r="E5587" s="3">
        <v>4</v>
      </c>
      <c r="F5587" s="4" t="str">
        <f>HYPERLINK("http://141.218.60.56/~jnz1568/getInfo.php?workbook=14_09.xlsx&amp;sheet=U0&amp;row=5587&amp;col=6&amp;number=3.3&amp;sourceID=14","3.3")</f>
        <v>3.3</v>
      </c>
      <c r="G5587" s="4" t="str">
        <f>HYPERLINK("http://141.218.60.56/~jnz1568/getInfo.php?workbook=14_09.xlsx&amp;sheet=U0&amp;row=5587&amp;col=7&amp;number=0.0139&amp;sourceID=14","0.0139")</f>
        <v>0.0139</v>
      </c>
    </row>
    <row r="5588" spans="1:7">
      <c r="A5588" s="3"/>
      <c r="B5588" s="3"/>
      <c r="C5588" s="3"/>
      <c r="D5588" s="3"/>
      <c r="E5588" s="3">
        <v>5</v>
      </c>
      <c r="F5588" s="4" t="str">
        <f>HYPERLINK("http://141.218.60.56/~jnz1568/getInfo.php?workbook=14_09.xlsx&amp;sheet=U0&amp;row=5588&amp;col=6&amp;number=3.4&amp;sourceID=14","3.4")</f>
        <v>3.4</v>
      </c>
      <c r="G5588" s="4" t="str">
        <f>HYPERLINK("http://141.218.60.56/~jnz1568/getInfo.php?workbook=14_09.xlsx&amp;sheet=U0&amp;row=5588&amp;col=7&amp;number=0.0137&amp;sourceID=14","0.0137")</f>
        <v>0.0137</v>
      </c>
    </row>
    <row r="5589" spans="1:7">
      <c r="A5589" s="3"/>
      <c r="B5589" s="3"/>
      <c r="C5589" s="3"/>
      <c r="D5589" s="3"/>
      <c r="E5589" s="3">
        <v>6</v>
      </c>
      <c r="F5589" s="4" t="str">
        <f>HYPERLINK("http://141.218.60.56/~jnz1568/getInfo.php?workbook=14_09.xlsx&amp;sheet=U0&amp;row=5589&amp;col=6&amp;number=3.5&amp;sourceID=14","3.5")</f>
        <v>3.5</v>
      </c>
      <c r="G5589" s="4" t="str">
        <f>HYPERLINK("http://141.218.60.56/~jnz1568/getInfo.php?workbook=14_09.xlsx&amp;sheet=U0&amp;row=5589&amp;col=7&amp;number=0.0136&amp;sourceID=14","0.0136")</f>
        <v>0.0136</v>
      </c>
    </row>
    <row r="5590" spans="1:7">
      <c r="A5590" s="3"/>
      <c r="B5590" s="3"/>
      <c r="C5590" s="3"/>
      <c r="D5590" s="3"/>
      <c r="E5590" s="3">
        <v>7</v>
      </c>
      <c r="F5590" s="4" t="str">
        <f>HYPERLINK("http://141.218.60.56/~jnz1568/getInfo.php?workbook=14_09.xlsx&amp;sheet=U0&amp;row=5590&amp;col=6&amp;number=3.6&amp;sourceID=14","3.6")</f>
        <v>3.6</v>
      </c>
      <c r="G5590" s="4" t="str">
        <f>HYPERLINK("http://141.218.60.56/~jnz1568/getInfo.php?workbook=14_09.xlsx&amp;sheet=U0&amp;row=5590&amp;col=7&amp;number=0.0133&amp;sourceID=14","0.0133")</f>
        <v>0.0133</v>
      </c>
    </row>
    <row r="5591" spans="1:7">
      <c r="A5591" s="3"/>
      <c r="B5591" s="3"/>
      <c r="C5591" s="3"/>
      <c r="D5591" s="3"/>
      <c r="E5591" s="3">
        <v>8</v>
      </c>
      <c r="F5591" s="4" t="str">
        <f>HYPERLINK("http://141.218.60.56/~jnz1568/getInfo.php?workbook=14_09.xlsx&amp;sheet=U0&amp;row=5591&amp;col=6&amp;number=3.7&amp;sourceID=14","3.7")</f>
        <v>3.7</v>
      </c>
      <c r="G5591" s="4" t="str">
        <f>HYPERLINK("http://141.218.60.56/~jnz1568/getInfo.php?workbook=14_09.xlsx&amp;sheet=U0&amp;row=5591&amp;col=7&amp;number=0.0131&amp;sourceID=14","0.0131")</f>
        <v>0.0131</v>
      </c>
    </row>
    <row r="5592" spans="1:7">
      <c r="A5592" s="3"/>
      <c r="B5592" s="3"/>
      <c r="C5592" s="3"/>
      <c r="D5592" s="3"/>
      <c r="E5592" s="3">
        <v>9</v>
      </c>
      <c r="F5592" s="4" t="str">
        <f>HYPERLINK("http://141.218.60.56/~jnz1568/getInfo.php?workbook=14_09.xlsx&amp;sheet=U0&amp;row=5592&amp;col=6&amp;number=3.8&amp;sourceID=14","3.8")</f>
        <v>3.8</v>
      </c>
      <c r="G5592" s="4" t="str">
        <f>HYPERLINK("http://141.218.60.56/~jnz1568/getInfo.php?workbook=14_09.xlsx&amp;sheet=U0&amp;row=5592&amp;col=7&amp;number=0.0127&amp;sourceID=14","0.0127")</f>
        <v>0.0127</v>
      </c>
    </row>
    <row r="5593" spans="1:7">
      <c r="A5593" s="3"/>
      <c r="B5593" s="3"/>
      <c r="C5593" s="3"/>
      <c r="D5593" s="3"/>
      <c r="E5593" s="3">
        <v>10</v>
      </c>
      <c r="F5593" s="4" t="str">
        <f>HYPERLINK("http://141.218.60.56/~jnz1568/getInfo.php?workbook=14_09.xlsx&amp;sheet=U0&amp;row=5593&amp;col=6&amp;number=3.9&amp;sourceID=14","3.9")</f>
        <v>3.9</v>
      </c>
      <c r="G5593" s="4" t="str">
        <f>HYPERLINK("http://141.218.60.56/~jnz1568/getInfo.php?workbook=14_09.xlsx&amp;sheet=U0&amp;row=5593&amp;col=7&amp;number=0.0123&amp;sourceID=14","0.0123")</f>
        <v>0.0123</v>
      </c>
    </row>
    <row r="5594" spans="1:7">
      <c r="A5594" s="3"/>
      <c r="B5594" s="3"/>
      <c r="C5594" s="3"/>
      <c r="D5594" s="3"/>
      <c r="E5594" s="3">
        <v>11</v>
      </c>
      <c r="F5594" s="4" t="str">
        <f>HYPERLINK("http://141.218.60.56/~jnz1568/getInfo.php?workbook=14_09.xlsx&amp;sheet=U0&amp;row=5594&amp;col=6&amp;number=4&amp;sourceID=14","4")</f>
        <v>4</v>
      </c>
      <c r="G5594" s="4" t="str">
        <f>HYPERLINK("http://141.218.60.56/~jnz1568/getInfo.php?workbook=14_09.xlsx&amp;sheet=U0&amp;row=5594&amp;col=7&amp;number=0.0118&amp;sourceID=14","0.0118")</f>
        <v>0.0118</v>
      </c>
    </row>
    <row r="5595" spans="1:7">
      <c r="A5595" s="3"/>
      <c r="B5595" s="3"/>
      <c r="C5595" s="3"/>
      <c r="D5595" s="3"/>
      <c r="E5595" s="3">
        <v>12</v>
      </c>
      <c r="F5595" s="4" t="str">
        <f>HYPERLINK("http://141.218.60.56/~jnz1568/getInfo.php?workbook=14_09.xlsx&amp;sheet=U0&amp;row=5595&amp;col=6&amp;number=4.1&amp;sourceID=14","4.1")</f>
        <v>4.1</v>
      </c>
      <c r="G5595" s="4" t="str">
        <f>HYPERLINK("http://141.218.60.56/~jnz1568/getInfo.php?workbook=14_09.xlsx&amp;sheet=U0&amp;row=5595&amp;col=7&amp;number=0.0112&amp;sourceID=14","0.0112")</f>
        <v>0.0112</v>
      </c>
    </row>
    <row r="5596" spans="1:7">
      <c r="A5596" s="3"/>
      <c r="B5596" s="3"/>
      <c r="C5596" s="3"/>
      <c r="D5596" s="3"/>
      <c r="E5596" s="3">
        <v>13</v>
      </c>
      <c r="F5596" s="4" t="str">
        <f>HYPERLINK("http://141.218.60.56/~jnz1568/getInfo.php?workbook=14_09.xlsx&amp;sheet=U0&amp;row=5596&amp;col=6&amp;number=4.2&amp;sourceID=14","4.2")</f>
        <v>4.2</v>
      </c>
      <c r="G5596" s="4" t="str">
        <f>HYPERLINK("http://141.218.60.56/~jnz1568/getInfo.php?workbook=14_09.xlsx&amp;sheet=U0&amp;row=5596&amp;col=7&amp;number=0.0104&amp;sourceID=14","0.0104")</f>
        <v>0.0104</v>
      </c>
    </row>
    <row r="5597" spans="1:7">
      <c r="A5597" s="3"/>
      <c r="B5597" s="3"/>
      <c r="C5597" s="3"/>
      <c r="D5597" s="3"/>
      <c r="E5597" s="3">
        <v>14</v>
      </c>
      <c r="F5597" s="4" t="str">
        <f>HYPERLINK("http://141.218.60.56/~jnz1568/getInfo.php?workbook=14_09.xlsx&amp;sheet=U0&amp;row=5597&amp;col=6&amp;number=4.3&amp;sourceID=14","4.3")</f>
        <v>4.3</v>
      </c>
      <c r="G5597" s="4" t="str">
        <f>HYPERLINK("http://141.218.60.56/~jnz1568/getInfo.php?workbook=14_09.xlsx&amp;sheet=U0&amp;row=5597&amp;col=7&amp;number=0.00965&amp;sourceID=14","0.00965")</f>
        <v>0.00965</v>
      </c>
    </row>
    <row r="5598" spans="1:7">
      <c r="A5598" s="3"/>
      <c r="B5598" s="3"/>
      <c r="C5598" s="3"/>
      <c r="D5598" s="3"/>
      <c r="E5598" s="3">
        <v>15</v>
      </c>
      <c r="F5598" s="4" t="str">
        <f>HYPERLINK("http://141.218.60.56/~jnz1568/getInfo.php?workbook=14_09.xlsx&amp;sheet=U0&amp;row=5598&amp;col=6&amp;number=4.4&amp;sourceID=14","4.4")</f>
        <v>4.4</v>
      </c>
      <c r="G5598" s="4" t="str">
        <f>HYPERLINK("http://141.218.60.56/~jnz1568/getInfo.php?workbook=14_09.xlsx&amp;sheet=U0&amp;row=5598&amp;col=7&amp;number=0.00882&amp;sourceID=14","0.00882")</f>
        <v>0.00882</v>
      </c>
    </row>
    <row r="5599" spans="1:7">
      <c r="A5599" s="3"/>
      <c r="B5599" s="3"/>
      <c r="C5599" s="3"/>
      <c r="D5599" s="3"/>
      <c r="E5599" s="3">
        <v>16</v>
      </c>
      <c r="F5599" s="4" t="str">
        <f>HYPERLINK("http://141.218.60.56/~jnz1568/getInfo.php?workbook=14_09.xlsx&amp;sheet=U0&amp;row=5599&amp;col=6&amp;number=4.5&amp;sourceID=14","4.5")</f>
        <v>4.5</v>
      </c>
      <c r="G5599" s="4" t="str">
        <f>HYPERLINK("http://141.218.60.56/~jnz1568/getInfo.php?workbook=14_09.xlsx&amp;sheet=U0&amp;row=5599&amp;col=7&amp;number=0.00805&amp;sourceID=14","0.00805")</f>
        <v>0.00805</v>
      </c>
    </row>
    <row r="5600" spans="1:7">
      <c r="A5600" s="3"/>
      <c r="B5600" s="3"/>
      <c r="C5600" s="3"/>
      <c r="D5600" s="3"/>
      <c r="E5600" s="3">
        <v>17</v>
      </c>
      <c r="F5600" s="4" t="str">
        <f>HYPERLINK("http://141.218.60.56/~jnz1568/getInfo.php?workbook=14_09.xlsx&amp;sheet=U0&amp;row=5600&amp;col=6&amp;number=4.6&amp;sourceID=14","4.6")</f>
        <v>4.6</v>
      </c>
      <c r="G5600" s="4" t="str">
        <f>HYPERLINK("http://141.218.60.56/~jnz1568/getInfo.php?workbook=14_09.xlsx&amp;sheet=U0&amp;row=5600&amp;col=7&amp;number=0.00744&amp;sourceID=14","0.00744")</f>
        <v>0.00744</v>
      </c>
    </row>
    <row r="5601" spans="1:7">
      <c r="A5601" s="3"/>
      <c r="B5601" s="3"/>
      <c r="C5601" s="3"/>
      <c r="D5601" s="3"/>
      <c r="E5601" s="3">
        <v>18</v>
      </c>
      <c r="F5601" s="4" t="str">
        <f>HYPERLINK("http://141.218.60.56/~jnz1568/getInfo.php?workbook=14_09.xlsx&amp;sheet=U0&amp;row=5601&amp;col=6&amp;number=4.7&amp;sourceID=14","4.7")</f>
        <v>4.7</v>
      </c>
      <c r="G5601" s="4" t="str">
        <f>HYPERLINK("http://141.218.60.56/~jnz1568/getInfo.php?workbook=14_09.xlsx&amp;sheet=U0&amp;row=5601&amp;col=7&amp;number=0.00701&amp;sourceID=14","0.00701")</f>
        <v>0.00701</v>
      </c>
    </row>
    <row r="5602" spans="1:7">
      <c r="A5602" s="3"/>
      <c r="B5602" s="3"/>
      <c r="C5602" s="3"/>
      <c r="D5602" s="3"/>
      <c r="E5602" s="3">
        <v>19</v>
      </c>
      <c r="F5602" s="4" t="str">
        <f>HYPERLINK("http://141.218.60.56/~jnz1568/getInfo.php?workbook=14_09.xlsx&amp;sheet=U0&amp;row=5602&amp;col=6&amp;number=4.8&amp;sourceID=14","4.8")</f>
        <v>4.8</v>
      </c>
      <c r="G5602" s="4" t="str">
        <f>HYPERLINK("http://141.218.60.56/~jnz1568/getInfo.php?workbook=14_09.xlsx&amp;sheet=U0&amp;row=5602&amp;col=7&amp;number=0.0067&amp;sourceID=14","0.0067")</f>
        <v>0.0067</v>
      </c>
    </row>
    <row r="5603" spans="1:7">
      <c r="A5603" s="3"/>
      <c r="B5603" s="3"/>
      <c r="C5603" s="3"/>
      <c r="D5603" s="3"/>
      <c r="E5603" s="3">
        <v>20</v>
      </c>
      <c r="F5603" s="4" t="str">
        <f>HYPERLINK("http://141.218.60.56/~jnz1568/getInfo.php?workbook=14_09.xlsx&amp;sheet=U0&amp;row=5603&amp;col=6&amp;number=4.9&amp;sourceID=14","4.9")</f>
        <v>4.9</v>
      </c>
      <c r="G5603" s="4" t="str">
        <f>HYPERLINK("http://141.218.60.56/~jnz1568/getInfo.php?workbook=14_09.xlsx&amp;sheet=U0&amp;row=5603&amp;col=7&amp;number=0.00633&amp;sourceID=14","0.00633")</f>
        <v>0.00633</v>
      </c>
    </row>
    <row r="5604" spans="1:7">
      <c r="A5604" s="3">
        <v>14</v>
      </c>
      <c r="B5604" s="3">
        <v>9</v>
      </c>
      <c r="C5604" s="3">
        <v>2</v>
      </c>
      <c r="D5604" s="3">
        <v>89</v>
      </c>
      <c r="E5604" s="3">
        <v>1</v>
      </c>
      <c r="F5604" s="4" t="str">
        <f>HYPERLINK("http://141.218.60.56/~jnz1568/getInfo.php?workbook=14_09.xlsx&amp;sheet=U0&amp;row=5604&amp;col=6&amp;number=3&amp;sourceID=14","3")</f>
        <v>3</v>
      </c>
      <c r="G5604" s="4" t="str">
        <f>HYPERLINK("http://141.218.60.56/~jnz1568/getInfo.php?workbook=14_09.xlsx&amp;sheet=U0&amp;row=5604&amp;col=7&amp;number=0.00776&amp;sourceID=14","0.00776")</f>
        <v>0.00776</v>
      </c>
    </row>
    <row r="5605" spans="1:7">
      <c r="A5605" s="3"/>
      <c r="B5605" s="3"/>
      <c r="C5605" s="3"/>
      <c r="D5605" s="3"/>
      <c r="E5605" s="3">
        <v>2</v>
      </c>
      <c r="F5605" s="4" t="str">
        <f>HYPERLINK("http://141.218.60.56/~jnz1568/getInfo.php?workbook=14_09.xlsx&amp;sheet=U0&amp;row=5605&amp;col=6&amp;number=3.1&amp;sourceID=14","3.1")</f>
        <v>3.1</v>
      </c>
      <c r="G5605" s="4" t="str">
        <f>HYPERLINK("http://141.218.60.56/~jnz1568/getInfo.php?workbook=14_09.xlsx&amp;sheet=U0&amp;row=5605&amp;col=7&amp;number=0.00773&amp;sourceID=14","0.00773")</f>
        <v>0.00773</v>
      </c>
    </row>
    <row r="5606" spans="1:7">
      <c r="A5606" s="3"/>
      <c r="B5606" s="3"/>
      <c r="C5606" s="3"/>
      <c r="D5606" s="3"/>
      <c r="E5606" s="3">
        <v>3</v>
      </c>
      <c r="F5606" s="4" t="str">
        <f>HYPERLINK("http://141.218.60.56/~jnz1568/getInfo.php?workbook=14_09.xlsx&amp;sheet=U0&amp;row=5606&amp;col=6&amp;number=3.2&amp;sourceID=14","3.2")</f>
        <v>3.2</v>
      </c>
      <c r="G5606" s="4" t="str">
        <f>HYPERLINK("http://141.218.60.56/~jnz1568/getInfo.php?workbook=14_09.xlsx&amp;sheet=U0&amp;row=5606&amp;col=7&amp;number=0.00769&amp;sourceID=14","0.00769")</f>
        <v>0.00769</v>
      </c>
    </row>
    <row r="5607" spans="1:7">
      <c r="A5607" s="3"/>
      <c r="B5607" s="3"/>
      <c r="C5607" s="3"/>
      <c r="D5607" s="3"/>
      <c r="E5607" s="3">
        <v>4</v>
      </c>
      <c r="F5607" s="4" t="str">
        <f>HYPERLINK("http://141.218.60.56/~jnz1568/getInfo.php?workbook=14_09.xlsx&amp;sheet=U0&amp;row=5607&amp;col=6&amp;number=3.3&amp;sourceID=14","3.3")</f>
        <v>3.3</v>
      </c>
      <c r="G5607" s="4" t="str">
        <f>HYPERLINK("http://141.218.60.56/~jnz1568/getInfo.php?workbook=14_09.xlsx&amp;sheet=U0&amp;row=5607&amp;col=7&amp;number=0.00764&amp;sourceID=14","0.00764")</f>
        <v>0.00764</v>
      </c>
    </row>
    <row r="5608" spans="1:7">
      <c r="A5608" s="3"/>
      <c r="B5608" s="3"/>
      <c r="C5608" s="3"/>
      <c r="D5608" s="3"/>
      <c r="E5608" s="3">
        <v>5</v>
      </c>
      <c r="F5608" s="4" t="str">
        <f>HYPERLINK("http://141.218.60.56/~jnz1568/getInfo.php?workbook=14_09.xlsx&amp;sheet=U0&amp;row=5608&amp;col=6&amp;number=3.4&amp;sourceID=14","3.4")</f>
        <v>3.4</v>
      </c>
      <c r="G5608" s="4" t="str">
        <f>HYPERLINK("http://141.218.60.56/~jnz1568/getInfo.php?workbook=14_09.xlsx&amp;sheet=U0&amp;row=5608&amp;col=7&amp;number=0.00757&amp;sourceID=14","0.00757")</f>
        <v>0.00757</v>
      </c>
    </row>
    <row r="5609" spans="1:7">
      <c r="A5609" s="3"/>
      <c r="B5609" s="3"/>
      <c r="C5609" s="3"/>
      <c r="D5609" s="3"/>
      <c r="E5609" s="3">
        <v>6</v>
      </c>
      <c r="F5609" s="4" t="str">
        <f>HYPERLINK("http://141.218.60.56/~jnz1568/getInfo.php?workbook=14_09.xlsx&amp;sheet=U0&amp;row=5609&amp;col=6&amp;number=3.5&amp;sourceID=14","3.5")</f>
        <v>3.5</v>
      </c>
      <c r="G5609" s="4" t="str">
        <f>HYPERLINK("http://141.218.60.56/~jnz1568/getInfo.php?workbook=14_09.xlsx&amp;sheet=U0&amp;row=5609&amp;col=7&amp;number=0.00749&amp;sourceID=14","0.00749")</f>
        <v>0.00749</v>
      </c>
    </row>
    <row r="5610" spans="1:7">
      <c r="A5610" s="3"/>
      <c r="B5610" s="3"/>
      <c r="C5610" s="3"/>
      <c r="D5610" s="3"/>
      <c r="E5610" s="3">
        <v>7</v>
      </c>
      <c r="F5610" s="4" t="str">
        <f>HYPERLINK("http://141.218.60.56/~jnz1568/getInfo.php?workbook=14_09.xlsx&amp;sheet=U0&amp;row=5610&amp;col=6&amp;number=3.6&amp;sourceID=14","3.6")</f>
        <v>3.6</v>
      </c>
      <c r="G5610" s="4" t="str">
        <f>HYPERLINK("http://141.218.60.56/~jnz1568/getInfo.php?workbook=14_09.xlsx&amp;sheet=U0&amp;row=5610&amp;col=7&amp;number=0.00739&amp;sourceID=14","0.00739")</f>
        <v>0.00739</v>
      </c>
    </row>
    <row r="5611" spans="1:7">
      <c r="A5611" s="3"/>
      <c r="B5611" s="3"/>
      <c r="C5611" s="3"/>
      <c r="D5611" s="3"/>
      <c r="E5611" s="3">
        <v>8</v>
      </c>
      <c r="F5611" s="4" t="str">
        <f>HYPERLINK("http://141.218.60.56/~jnz1568/getInfo.php?workbook=14_09.xlsx&amp;sheet=U0&amp;row=5611&amp;col=6&amp;number=3.7&amp;sourceID=14","3.7")</f>
        <v>3.7</v>
      </c>
      <c r="G5611" s="4" t="str">
        <f>HYPERLINK("http://141.218.60.56/~jnz1568/getInfo.php?workbook=14_09.xlsx&amp;sheet=U0&amp;row=5611&amp;col=7&amp;number=0.00727&amp;sourceID=14","0.00727")</f>
        <v>0.00727</v>
      </c>
    </row>
    <row r="5612" spans="1:7">
      <c r="A5612" s="3"/>
      <c r="B5612" s="3"/>
      <c r="C5612" s="3"/>
      <c r="D5612" s="3"/>
      <c r="E5612" s="3">
        <v>9</v>
      </c>
      <c r="F5612" s="4" t="str">
        <f>HYPERLINK("http://141.218.60.56/~jnz1568/getInfo.php?workbook=14_09.xlsx&amp;sheet=U0&amp;row=5612&amp;col=6&amp;number=3.8&amp;sourceID=14","3.8")</f>
        <v>3.8</v>
      </c>
      <c r="G5612" s="4" t="str">
        <f>HYPERLINK("http://141.218.60.56/~jnz1568/getInfo.php?workbook=14_09.xlsx&amp;sheet=U0&amp;row=5612&amp;col=7&amp;number=0.00711&amp;sourceID=14","0.00711")</f>
        <v>0.00711</v>
      </c>
    </row>
    <row r="5613" spans="1:7">
      <c r="A5613" s="3"/>
      <c r="B5613" s="3"/>
      <c r="C5613" s="3"/>
      <c r="D5613" s="3"/>
      <c r="E5613" s="3">
        <v>10</v>
      </c>
      <c r="F5613" s="4" t="str">
        <f>HYPERLINK("http://141.218.60.56/~jnz1568/getInfo.php?workbook=14_09.xlsx&amp;sheet=U0&amp;row=5613&amp;col=6&amp;number=3.9&amp;sourceID=14","3.9")</f>
        <v>3.9</v>
      </c>
      <c r="G5613" s="4" t="str">
        <f>HYPERLINK("http://141.218.60.56/~jnz1568/getInfo.php?workbook=14_09.xlsx&amp;sheet=U0&amp;row=5613&amp;col=7&amp;number=0.00692&amp;sourceID=14","0.00692")</f>
        <v>0.00692</v>
      </c>
    </row>
    <row r="5614" spans="1:7">
      <c r="A5614" s="3"/>
      <c r="B5614" s="3"/>
      <c r="C5614" s="3"/>
      <c r="D5614" s="3"/>
      <c r="E5614" s="3">
        <v>11</v>
      </c>
      <c r="F5614" s="4" t="str">
        <f>HYPERLINK("http://141.218.60.56/~jnz1568/getInfo.php?workbook=14_09.xlsx&amp;sheet=U0&amp;row=5614&amp;col=6&amp;number=4&amp;sourceID=14","4")</f>
        <v>4</v>
      </c>
      <c r="G5614" s="4" t="str">
        <f>HYPERLINK("http://141.218.60.56/~jnz1568/getInfo.php?workbook=14_09.xlsx&amp;sheet=U0&amp;row=5614&amp;col=7&amp;number=0.00669&amp;sourceID=14","0.00669")</f>
        <v>0.00669</v>
      </c>
    </row>
    <row r="5615" spans="1:7">
      <c r="A5615" s="3"/>
      <c r="B5615" s="3"/>
      <c r="C5615" s="3"/>
      <c r="D5615" s="3"/>
      <c r="E5615" s="3">
        <v>12</v>
      </c>
      <c r="F5615" s="4" t="str">
        <f>HYPERLINK("http://141.218.60.56/~jnz1568/getInfo.php?workbook=14_09.xlsx&amp;sheet=U0&amp;row=5615&amp;col=6&amp;number=4.1&amp;sourceID=14","4.1")</f>
        <v>4.1</v>
      </c>
      <c r="G5615" s="4" t="str">
        <f>HYPERLINK("http://141.218.60.56/~jnz1568/getInfo.php?workbook=14_09.xlsx&amp;sheet=U0&amp;row=5615&amp;col=7&amp;number=0.00642&amp;sourceID=14","0.00642")</f>
        <v>0.00642</v>
      </c>
    </row>
    <row r="5616" spans="1:7">
      <c r="A5616" s="3"/>
      <c r="B5616" s="3"/>
      <c r="C5616" s="3"/>
      <c r="D5616" s="3"/>
      <c r="E5616" s="3">
        <v>13</v>
      </c>
      <c r="F5616" s="4" t="str">
        <f>HYPERLINK("http://141.218.60.56/~jnz1568/getInfo.php?workbook=14_09.xlsx&amp;sheet=U0&amp;row=5616&amp;col=6&amp;number=4.2&amp;sourceID=14","4.2")</f>
        <v>4.2</v>
      </c>
      <c r="G5616" s="4" t="str">
        <f>HYPERLINK("http://141.218.60.56/~jnz1568/getInfo.php?workbook=14_09.xlsx&amp;sheet=U0&amp;row=5616&amp;col=7&amp;number=0.00611&amp;sourceID=14","0.00611")</f>
        <v>0.00611</v>
      </c>
    </row>
    <row r="5617" spans="1:7">
      <c r="A5617" s="3"/>
      <c r="B5617" s="3"/>
      <c r="C5617" s="3"/>
      <c r="D5617" s="3"/>
      <c r="E5617" s="3">
        <v>14</v>
      </c>
      <c r="F5617" s="4" t="str">
        <f>HYPERLINK("http://141.218.60.56/~jnz1568/getInfo.php?workbook=14_09.xlsx&amp;sheet=U0&amp;row=5617&amp;col=6&amp;number=4.3&amp;sourceID=14","4.3")</f>
        <v>4.3</v>
      </c>
      <c r="G5617" s="4" t="str">
        <f>HYPERLINK("http://141.218.60.56/~jnz1568/getInfo.php?workbook=14_09.xlsx&amp;sheet=U0&amp;row=5617&amp;col=7&amp;number=0.00575&amp;sourceID=14","0.00575")</f>
        <v>0.00575</v>
      </c>
    </row>
    <row r="5618" spans="1:7">
      <c r="A5618" s="3"/>
      <c r="B5618" s="3"/>
      <c r="C5618" s="3"/>
      <c r="D5618" s="3"/>
      <c r="E5618" s="3">
        <v>15</v>
      </c>
      <c r="F5618" s="4" t="str">
        <f>HYPERLINK("http://141.218.60.56/~jnz1568/getInfo.php?workbook=14_09.xlsx&amp;sheet=U0&amp;row=5618&amp;col=6&amp;number=4.4&amp;sourceID=14","4.4")</f>
        <v>4.4</v>
      </c>
      <c r="G5618" s="4" t="str">
        <f>HYPERLINK("http://141.218.60.56/~jnz1568/getInfo.php?workbook=14_09.xlsx&amp;sheet=U0&amp;row=5618&amp;col=7&amp;number=0.00538&amp;sourceID=14","0.00538")</f>
        <v>0.00538</v>
      </c>
    </row>
    <row r="5619" spans="1:7">
      <c r="A5619" s="3"/>
      <c r="B5619" s="3"/>
      <c r="C5619" s="3"/>
      <c r="D5619" s="3"/>
      <c r="E5619" s="3">
        <v>16</v>
      </c>
      <c r="F5619" s="4" t="str">
        <f>HYPERLINK("http://141.218.60.56/~jnz1568/getInfo.php?workbook=14_09.xlsx&amp;sheet=U0&amp;row=5619&amp;col=6&amp;number=4.5&amp;sourceID=14","4.5")</f>
        <v>4.5</v>
      </c>
      <c r="G5619" s="4" t="str">
        <f>HYPERLINK("http://141.218.60.56/~jnz1568/getInfo.php?workbook=14_09.xlsx&amp;sheet=U0&amp;row=5619&amp;col=7&amp;number=0.00504&amp;sourceID=14","0.00504")</f>
        <v>0.00504</v>
      </c>
    </row>
    <row r="5620" spans="1:7">
      <c r="A5620" s="3"/>
      <c r="B5620" s="3"/>
      <c r="C5620" s="3"/>
      <c r="D5620" s="3"/>
      <c r="E5620" s="3">
        <v>17</v>
      </c>
      <c r="F5620" s="4" t="str">
        <f>HYPERLINK("http://141.218.60.56/~jnz1568/getInfo.php?workbook=14_09.xlsx&amp;sheet=U0&amp;row=5620&amp;col=6&amp;number=4.6&amp;sourceID=14","4.6")</f>
        <v>4.6</v>
      </c>
      <c r="G5620" s="4" t="str">
        <f>HYPERLINK("http://141.218.60.56/~jnz1568/getInfo.php?workbook=14_09.xlsx&amp;sheet=U0&amp;row=5620&amp;col=7&amp;number=0.00476&amp;sourceID=14","0.00476")</f>
        <v>0.00476</v>
      </c>
    </row>
    <row r="5621" spans="1:7">
      <c r="A5621" s="3"/>
      <c r="B5621" s="3"/>
      <c r="C5621" s="3"/>
      <c r="D5621" s="3"/>
      <c r="E5621" s="3">
        <v>18</v>
      </c>
      <c r="F5621" s="4" t="str">
        <f>HYPERLINK("http://141.218.60.56/~jnz1568/getInfo.php?workbook=14_09.xlsx&amp;sheet=U0&amp;row=5621&amp;col=6&amp;number=4.7&amp;sourceID=14","4.7")</f>
        <v>4.7</v>
      </c>
      <c r="G5621" s="4" t="str">
        <f>HYPERLINK("http://141.218.60.56/~jnz1568/getInfo.php?workbook=14_09.xlsx&amp;sheet=U0&amp;row=5621&amp;col=7&amp;number=0.00456&amp;sourceID=14","0.00456")</f>
        <v>0.00456</v>
      </c>
    </row>
    <row r="5622" spans="1:7">
      <c r="A5622" s="3"/>
      <c r="B5622" s="3"/>
      <c r="C5622" s="3"/>
      <c r="D5622" s="3"/>
      <c r="E5622" s="3">
        <v>19</v>
      </c>
      <c r="F5622" s="4" t="str">
        <f>HYPERLINK("http://141.218.60.56/~jnz1568/getInfo.php?workbook=14_09.xlsx&amp;sheet=U0&amp;row=5622&amp;col=6&amp;number=4.8&amp;sourceID=14","4.8")</f>
        <v>4.8</v>
      </c>
      <c r="G5622" s="4" t="str">
        <f>HYPERLINK("http://141.218.60.56/~jnz1568/getInfo.php?workbook=14_09.xlsx&amp;sheet=U0&amp;row=5622&amp;col=7&amp;number=0.00441&amp;sourceID=14","0.00441")</f>
        <v>0.00441</v>
      </c>
    </row>
    <row r="5623" spans="1:7">
      <c r="A5623" s="3"/>
      <c r="B5623" s="3"/>
      <c r="C5623" s="3"/>
      <c r="D5623" s="3"/>
      <c r="E5623" s="3">
        <v>20</v>
      </c>
      <c r="F5623" s="4" t="str">
        <f>HYPERLINK("http://141.218.60.56/~jnz1568/getInfo.php?workbook=14_09.xlsx&amp;sheet=U0&amp;row=5623&amp;col=6&amp;number=4.9&amp;sourceID=14","4.9")</f>
        <v>4.9</v>
      </c>
      <c r="G5623" s="4" t="str">
        <f>HYPERLINK("http://141.218.60.56/~jnz1568/getInfo.php?workbook=14_09.xlsx&amp;sheet=U0&amp;row=5623&amp;col=7&amp;number=0.00424&amp;sourceID=14","0.00424")</f>
        <v>0.00424</v>
      </c>
    </row>
    <row r="5624" spans="1:7">
      <c r="A5624" s="3">
        <v>14</v>
      </c>
      <c r="B5624" s="3">
        <v>9</v>
      </c>
      <c r="C5624" s="3">
        <v>2</v>
      </c>
      <c r="D5624" s="3">
        <v>90</v>
      </c>
      <c r="E5624" s="3">
        <v>1</v>
      </c>
      <c r="F5624" s="4" t="str">
        <f>HYPERLINK("http://141.218.60.56/~jnz1568/getInfo.php?workbook=14_09.xlsx&amp;sheet=U0&amp;row=5624&amp;col=6&amp;number=3&amp;sourceID=14","3")</f>
        <v>3</v>
      </c>
      <c r="G5624" s="4" t="str">
        <f>HYPERLINK("http://141.218.60.56/~jnz1568/getInfo.php?workbook=14_09.xlsx&amp;sheet=U0&amp;row=5624&amp;col=7&amp;number=0.00777&amp;sourceID=14","0.00777")</f>
        <v>0.00777</v>
      </c>
    </row>
    <row r="5625" spans="1:7">
      <c r="A5625" s="3"/>
      <c r="B5625" s="3"/>
      <c r="C5625" s="3"/>
      <c r="D5625" s="3"/>
      <c r="E5625" s="3">
        <v>2</v>
      </c>
      <c r="F5625" s="4" t="str">
        <f>HYPERLINK("http://141.218.60.56/~jnz1568/getInfo.php?workbook=14_09.xlsx&amp;sheet=U0&amp;row=5625&amp;col=6&amp;number=3.1&amp;sourceID=14","3.1")</f>
        <v>3.1</v>
      </c>
      <c r="G5625" s="4" t="str">
        <f>HYPERLINK("http://141.218.60.56/~jnz1568/getInfo.php?workbook=14_09.xlsx&amp;sheet=U0&amp;row=5625&amp;col=7&amp;number=0.00776&amp;sourceID=14","0.00776")</f>
        <v>0.00776</v>
      </c>
    </row>
    <row r="5626" spans="1:7">
      <c r="A5626" s="3"/>
      <c r="B5626" s="3"/>
      <c r="C5626" s="3"/>
      <c r="D5626" s="3"/>
      <c r="E5626" s="3">
        <v>3</v>
      </c>
      <c r="F5626" s="4" t="str">
        <f>HYPERLINK("http://141.218.60.56/~jnz1568/getInfo.php?workbook=14_09.xlsx&amp;sheet=U0&amp;row=5626&amp;col=6&amp;number=3.2&amp;sourceID=14","3.2")</f>
        <v>3.2</v>
      </c>
      <c r="G5626" s="4" t="str">
        <f>HYPERLINK("http://141.218.60.56/~jnz1568/getInfo.php?workbook=14_09.xlsx&amp;sheet=U0&amp;row=5626&amp;col=7&amp;number=0.00774&amp;sourceID=14","0.00774")</f>
        <v>0.00774</v>
      </c>
    </row>
    <row r="5627" spans="1:7">
      <c r="A5627" s="3"/>
      <c r="B5627" s="3"/>
      <c r="C5627" s="3"/>
      <c r="D5627" s="3"/>
      <c r="E5627" s="3">
        <v>4</v>
      </c>
      <c r="F5627" s="4" t="str">
        <f>HYPERLINK("http://141.218.60.56/~jnz1568/getInfo.php?workbook=14_09.xlsx&amp;sheet=U0&amp;row=5627&amp;col=6&amp;number=3.3&amp;sourceID=14","3.3")</f>
        <v>3.3</v>
      </c>
      <c r="G5627" s="4" t="str">
        <f>HYPERLINK("http://141.218.60.56/~jnz1568/getInfo.php?workbook=14_09.xlsx&amp;sheet=U0&amp;row=5627&amp;col=7&amp;number=0.00773&amp;sourceID=14","0.00773")</f>
        <v>0.00773</v>
      </c>
    </row>
    <row r="5628" spans="1:7">
      <c r="A5628" s="3"/>
      <c r="B5628" s="3"/>
      <c r="C5628" s="3"/>
      <c r="D5628" s="3"/>
      <c r="E5628" s="3">
        <v>5</v>
      </c>
      <c r="F5628" s="4" t="str">
        <f>HYPERLINK("http://141.218.60.56/~jnz1568/getInfo.php?workbook=14_09.xlsx&amp;sheet=U0&amp;row=5628&amp;col=6&amp;number=3.4&amp;sourceID=14","3.4")</f>
        <v>3.4</v>
      </c>
      <c r="G5628" s="4" t="str">
        <f>HYPERLINK("http://141.218.60.56/~jnz1568/getInfo.php?workbook=14_09.xlsx&amp;sheet=U0&amp;row=5628&amp;col=7&amp;number=0.0077&amp;sourceID=14","0.0077")</f>
        <v>0.0077</v>
      </c>
    </row>
    <row r="5629" spans="1:7">
      <c r="A5629" s="3"/>
      <c r="B5629" s="3"/>
      <c r="C5629" s="3"/>
      <c r="D5629" s="3"/>
      <c r="E5629" s="3">
        <v>6</v>
      </c>
      <c r="F5629" s="4" t="str">
        <f>HYPERLINK("http://141.218.60.56/~jnz1568/getInfo.php?workbook=14_09.xlsx&amp;sheet=U0&amp;row=5629&amp;col=6&amp;number=3.5&amp;sourceID=14","3.5")</f>
        <v>3.5</v>
      </c>
      <c r="G5629" s="4" t="str">
        <f>HYPERLINK("http://141.218.60.56/~jnz1568/getInfo.php?workbook=14_09.xlsx&amp;sheet=U0&amp;row=5629&amp;col=7&amp;number=0.00768&amp;sourceID=14","0.00768")</f>
        <v>0.00768</v>
      </c>
    </row>
    <row r="5630" spans="1:7">
      <c r="A5630" s="3"/>
      <c r="B5630" s="3"/>
      <c r="C5630" s="3"/>
      <c r="D5630" s="3"/>
      <c r="E5630" s="3">
        <v>7</v>
      </c>
      <c r="F5630" s="4" t="str">
        <f>HYPERLINK("http://141.218.60.56/~jnz1568/getInfo.php?workbook=14_09.xlsx&amp;sheet=U0&amp;row=5630&amp;col=6&amp;number=3.6&amp;sourceID=14","3.6")</f>
        <v>3.6</v>
      </c>
      <c r="G5630" s="4" t="str">
        <f>HYPERLINK("http://141.218.60.56/~jnz1568/getInfo.php?workbook=14_09.xlsx&amp;sheet=U0&amp;row=5630&amp;col=7&amp;number=0.00764&amp;sourceID=14","0.00764")</f>
        <v>0.00764</v>
      </c>
    </row>
    <row r="5631" spans="1:7">
      <c r="A5631" s="3"/>
      <c r="B5631" s="3"/>
      <c r="C5631" s="3"/>
      <c r="D5631" s="3"/>
      <c r="E5631" s="3">
        <v>8</v>
      </c>
      <c r="F5631" s="4" t="str">
        <f>HYPERLINK("http://141.218.60.56/~jnz1568/getInfo.php?workbook=14_09.xlsx&amp;sheet=U0&amp;row=5631&amp;col=6&amp;number=3.7&amp;sourceID=14","3.7")</f>
        <v>3.7</v>
      </c>
      <c r="G5631" s="4" t="str">
        <f>HYPERLINK("http://141.218.60.56/~jnz1568/getInfo.php?workbook=14_09.xlsx&amp;sheet=U0&amp;row=5631&amp;col=7&amp;number=0.0076&amp;sourceID=14","0.0076")</f>
        <v>0.0076</v>
      </c>
    </row>
    <row r="5632" spans="1:7">
      <c r="A5632" s="3"/>
      <c r="B5632" s="3"/>
      <c r="C5632" s="3"/>
      <c r="D5632" s="3"/>
      <c r="E5632" s="3">
        <v>9</v>
      </c>
      <c r="F5632" s="4" t="str">
        <f>HYPERLINK("http://141.218.60.56/~jnz1568/getInfo.php?workbook=14_09.xlsx&amp;sheet=U0&amp;row=5632&amp;col=6&amp;number=3.8&amp;sourceID=14","3.8")</f>
        <v>3.8</v>
      </c>
      <c r="G5632" s="4" t="str">
        <f>HYPERLINK("http://141.218.60.56/~jnz1568/getInfo.php?workbook=14_09.xlsx&amp;sheet=U0&amp;row=5632&amp;col=7&amp;number=0.00755&amp;sourceID=14","0.00755")</f>
        <v>0.00755</v>
      </c>
    </row>
    <row r="5633" spans="1:7">
      <c r="A5633" s="3"/>
      <c r="B5633" s="3"/>
      <c r="C5633" s="3"/>
      <c r="D5633" s="3"/>
      <c r="E5633" s="3">
        <v>10</v>
      </c>
      <c r="F5633" s="4" t="str">
        <f>HYPERLINK("http://141.218.60.56/~jnz1568/getInfo.php?workbook=14_09.xlsx&amp;sheet=U0&amp;row=5633&amp;col=6&amp;number=3.9&amp;sourceID=14","3.9")</f>
        <v>3.9</v>
      </c>
      <c r="G5633" s="4" t="str">
        <f>HYPERLINK("http://141.218.60.56/~jnz1568/getInfo.php?workbook=14_09.xlsx&amp;sheet=U0&amp;row=5633&amp;col=7&amp;number=0.00748&amp;sourceID=14","0.00748")</f>
        <v>0.00748</v>
      </c>
    </row>
    <row r="5634" spans="1:7">
      <c r="A5634" s="3"/>
      <c r="B5634" s="3"/>
      <c r="C5634" s="3"/>
      <c r="D5634" s="3"/>
      <c r="E5634" s="3">
        <v>11</v>
      </c>
      <c r="F5634" s="4" t="str">
        <f>HYPERLINK("http://141.218.60.56/~jnz1568/getInfo.php?workbook=14_09.xlsx&amp;sheet=U0&amp;row=5634&amp;col=6&amp;number=4&amp;sourceID=14","4")</f>
        <v>4</v>
      </c>
      <c r="G5634" s="4" t="str">
        <f>HYPERLINK("http://141.218.60.56/~jnz1568/getInfo.php?workbook=14_09.xlsx&amp;sheet=U0&amp;row=5634&amp;col=7&amp;number=0.0074&amp;sourceID=14","0.0074")</f>
        <v>0.0074</v>
      </c>
    </row>
    <row r="5635" spans="1:7">
      <c r="A5635" s="3"/>
      <c r="B5635" s="3"/>
      <c r="C5635" s="3"/>
      <c r="D5635" s="3"/>
      <c r="E5635" s="3">
        <v>12</v>
      </c>
      <c r="F5635" s="4" t="str">
        <f>HYPERLINK("http://141.218.60.56/~jnz1568/getInfo.php?workbook=14_09.xlsx&amp;sheet=U0&amp;row=5635&amp;col=6&amp;number=4.1&amp;sourceID=14","4.1")</f>
        <v>4.1</v>
      </c>
      <c r="G5635" s="4" t="str">
        <f>HYPERLINK("http://141.218.60.56/~jnz1568/getInfo.php?workbook=14_09.xlsx&amp;sheet=U0&amp;row=5635&amp;col=7&amp;number=0.00729&amp;sourceID=14","0.00729")</f>
        <v>0.00729</v>
      </c>
    </row>
    <row r="5636" spans="1:7">
      <c r="A5636" s="3"/>
      <c r="B5636" s="3"/>
      <c r="C5636" s="3"/>
      <c r="D5636" s="3"/>
      <c r="E5636" s="3">
        <v>13</v>
      </c>
      <c r="F5636" s="4" t="str">
        <f>HYPERLINK("http://141.218.60.56/~jnz1568/getInfo.php?workbook=14_09.xlsx&amp;sheet=U0&amp;row=5636&amp;col=6&amp;number=4.2&amp;sourceID=14","4.2")</f>
        <v>4.2</v>
      </c>
      <c r="G5636" s="4" t="str">
        <f>HYPERLINK("http://141.218.60.56/~jnz1568/getInfo.php?workbook=14_09.xlsx&amp;sheet=U0&amp;row=5636&amp;col=7&amp;number=0.00717&amp;sourceID=14","0.00717")</f>
        <v>0.00717</v>
      </c>
    </row>
    <row r="5637" spans="1:7">
      <c r="A5637" s="3"/>
      <c r="B5637" s="3"/>
      <c r="C5637" s="3"/>
      <c r="D5637" s="3"/>
      <c r="E5637" s="3">
        <v>14</v>
      </c>
      <c r="F5637" s="4" t="str">
        <f>HYPERLINK("http://141.218.60.56/~jnz1568/getInfo.php?workbook=14_09.xlsx&amp;sheet=U0&amp;row=5637&amp;col=6&amp;number=4.3&amp;sourceID=14","4.3")</f>
        <v>4.3</v>
      </c>
      <c r="G5637" s="4" t="str">
        <f>HYPERLINK("http://141.218.60.56/~jnz1568/getInfo.php?workbook=14_09.xlsx&amp;sheet=U0&amp;row=5637&amp;col=7&amp;number=0.00701&amp;sourceID=14","0.00701")</f>
        <v>0.00701</v>
      </c>
    </row>
    <row r="5638" spans="1:7">
      <c r="A5638" s="3"/>
      <c r="B5638" s="3"/>
      <c r="C5638" s="3"/>
      <c r="D5638" s="3"/>
      <c r="E5638" s="3">
        <v>15</v>
      </c>
      <c r="F5638" s="4" t="str">
        <f>HYPERLINK("http://141.218.60.56/~jnz1568/getInfo.php?workbook=14_09.xlsx&amp;sheet=U0&amp;row=5638&amp;col=6&amp;number=4.4&amp;sourceID=14","4.4")</f>
        <v>4.4</v>
      </c>
      <c r="G5638" s="4" t="str">
        <f>HYPERLINK("http://141.218.60.56/~jnz1568/getInfo.php?workbook=14_09.xlsx&amp;sheet=U0&amp;row=5638&amp;col=7&amp;number=0.00681&amp;sourceID=14","0.00681")</f>
        <v>0.00681</v>
      </c>
    </row>
    <row r="5639" spans="1:7">
      <c r="A5639" s="3"/>
      <c r="B5639" s="3"/>
      <c r="C5639" s="3"/>
      <c r="D5639" s="3"/>
      <c r="E5639" s="3">
        <v>16</v>
      </c>
      <c r="F5639" s="4" t="str">
        <f>HYPERLINK("http://141.218.60.56/~jnz1568/getInfo.php?workbook=14_09.xlsx&amp;sheet=U0&amp;row=5639&amp;col=6&amp;number=4.5&amp;sourceID=14","4.5")</f>
        <v>4.5</v>
      </c>
      <c r="G5639" s="4" t="str">
        <f>HYPERLINK("http://141.218.60.56/~jnz1568/getInfo.php?workbook=14_09.xlsx&amp;sheet=U0&amp;row=5639&amp;col=7&amp;number=0.00658&amp;sourceID=14","0.00658")</f>
        <v>0.00658</v>
      </c>
    </row>
    <row r="5640" spans="1:7">
      <c r="A5640" s="3"/>
      <c r="B5640" s="3"/>
      <c r="C5640" s="3"/>
      <c r="D5640" s="3"/>
      <c r="E5640" s="3">
        <v>17</v>
      </c>
      <c r="F5640" s="4" t="str">
        <f>HYPERLINK("http://141.218.60.56/~jnz1568/getInfo.php?workbook=14_09.xlsx&amp;sheet=U0&amp;row=5640&amp;col=6&amp;number=4.6&amp;sourceID=14","4.6")</f>
        <v>4.6</v>
      </c>
      <c r="G5640" s="4" t="str">
        <f>HYPERLINK("http://141.218.60.56/~jnz1568/getInfo.php?workbook=14_09.xlsx&amp;sheet=U0&amp;row=5640&amp;col=7&amp;number=0.0063&amp;sourceID=14","0.0063")</f>
        <v>0.0063</v>
      </c>
    </row>
    <row r="5641" spans="1:7">
      <c r="A5641" s="3"/>
      <c r="B5641" s="3"/>
      <c r="C5641" s="3"/>
      <c r="D5641" s="3"/>
      <c r="E5641" s="3">
        <v>18</v>
      </c>
      <c r="F5641" s="4" t="str">
        <f>HYPERLINK("http://141.218.60.56/~jnz1568/getInfo.php?workbook=14_09.xlsx&amp;sheet=U0&amp;row=5641&amp;col=6&amp;number=4.7&amp;sourceID=14","4.7")</f>
        <v>4.7</v>
      </c>
      <c r="G5641" s="4" t="str">
        <f>HYPERLINK("http://141.218.60.56/~jnz1568/getInfo.php?workbook=14_09.xlsx&amp;sheet=U0&amp;row=5641&amp;col=7&amp;number=0.00598&amp;sourceID=14","0.00598")</f>
        <v>0.00598</v>
      </c>
    </row>
    <row r="5642" spans="1:7">
      <c r="A5642" s="3"/>
      <c r="B5642" s="3"/>
      <c r="C5642" s="3"/>
      <c r="D5642" s="3"/>
      <c r="E5642" s="3">
        <v>19</v>
      </c>
      <c r="F5642" s="4" t="str">
        <f>HYPERLINK("http://141.218.60.56/~jnz1568/getInfo.php?workbook=14_09.xlsx&amp;sheet=U0&amp;row=5642&amp;col=6&amp;number=4.8&amp;sourceID=14","4.8")</f>
        <v>4.8</v>
      </c>
      <c r="G5642" s="4" t="str">
        <f>HYPERLINK("http://141.218.60.56/~jnz1568/getInfo.php?workbook=14_09.xlsx&amp;sheet=U0&amp;row=5642&amp;col=7&amp;number=0.00563&amp;sourceID=14","0.00563")</f>
        <v>0.00563</v>
      </c>
    </row>
    <row r="5643" spans="1:7">
      <c r="A5643" s="3"/>
      <c r="B5643" s="3"/>
      <c r="C5643" s="3"/>
      <c r="D5643" s="3"/>
      <c r="E5643" s="3">
        <v>20</v>
      </c>
      <c r="F5643" s="4" t="str">
        <f>HYPERLINK("http://141.218.60.56/~jnz1568/getInfo.php?workbook=14_09.xlsx&amp;sheet=U0&amp;row=5643&amp;col=6&amp;number=4.9&amp;sourceID=14","4.9")</f>
        <v>4.9</v>
      </c>
      <c r="G5643" s="4" t="str">
        <f>HYPERLINK("http://141.218.60.56/~jnz1568/getInfo.php?workbook=14_09.xlsx&amp;sheet=U0&amp;row=5643&amp;col=7&amp;number=0.00527&amp;sourceID=14","0.00527")</f>
        <v>0.00527</v>
      </c>
    </row>
    <row r="5644" spans="1:7">
      <c r="A5644" s="3">
        <v>14</v>
      </c>
      <c r="B5644" s="3">
        <v>9</v>
      </c>
      <c r="C5644" s="3">
        <v>2</v>
      </c>
      <c r="D5644" s="3">
        <v>91</v>
      </c>
      <c r="E5644" s="3">
        <v>1</v>
      </c>
      <c r="F5644" s="4" t="str">
        <f>HYPERLINK("http://141.218.60.56/~jnz1568/getInfo.php?workbook=14_09.xlsx&amp;sheet=U0&amp;row=5644&amp;col=6&amp;number=3&amp;sourceID=14","3")</f>
        <v>3</v>
      </c>
      <c r="G5644" s="4" t="str">
        <f>HYPERLINK("http://141.218.60.56/~jnz1568/getInfo.php?workbook=14_09.xlsx&amp;sheet=U0&amp;row=5644&amp;col=7&amp;number=0.00842&amp;sourceID=14","0.00842")</f>
        <v>0.00842</v>
      </c>
    </row>
    <row r="5645" spans="1:7">
      <c r="A5645" s="3"/>
      <c r="B5645" s="3"/>
      <c r="C5645" s="3"/>
      <c r="D5645" s="3"/>
      <c r="E5645" s="3">
        <v>2</v>
      </c>
      <c r="F5645" s="4" t="str">
        <f>HYPERLINK("http://141.218.60.56/~jnz1568/getInfo.php?workbook=14_09.xlsx&amp;sheet=U0&amp;row=5645&amp;col=6&amp;number=3.1&amp;sourceID=14","3.1")</f>
        <v>3.1</v>
      </c>
      <c r="G5645" s="4" t="str">
        <f>HYPERLINK("http://141.218.60.56/~jnz1568/getInfo.php?workbook=14_09.xlsx&amp;sheet=U0&amp;row=5645&amp;col=7&amp;number=0.0084&amp;sourceID=14","0.0084")</f>
        <v>0.0084</v>
      </c>
    </row>
    <row r="5646" spans="1:7">
      <c r="A5646" s="3"/>
      <c r="B5646" s="3"/>
      <c r="C5646" s="3"/>
      <c r="D5646" s="3"/>
      <c r="E5646" s="3">
        <v>3</v>
      </c>
      <c r="F5646" s="4" t="str">
        <f>HYPERLINK("http://141.218.60.56/~jnz1568/getInfo.php?workbook=14_09.xlsx&amp;sheet=U0&amp;row=5646&amp;col=6&amp;number=3.2&amp;sourceID=14","3.2")</f>
        <v>3.2</v>
      </c>
      <c r="G5646" s="4" t="str">
        <f>HYPERLINK("http://141.218.60.56/~jnz1568/getInfo.php?workbook=14_09.xlsx&amp;sheet=U0&amp;row=5646&amp;col=7&amp;number=0.00838&amp;sourceID=14","0.00838")</f>
        <v>0.00838</v>
      </c>
    </row>
    <row r="5647" spans="1:7">
      <c r="A5647" s="3"/>
      <c r="B5647" s="3"/>
      <c r="C5647" s="3"/>
      <c r="D5647" s="3"/>
      <c r="E5647" s="3">
        <v>4</v>
      </c>
      <c r="F5647" s="4" t="str">
        <f>HYPERLINK("http://141.218.60.56/~jnz1568/getInfo.php?workbook=14_09.xlsx&amp;sheet=U0&amp;row=5647&amp;col=6&amp;number=3.3&amp;sourceID=14","3.3")</f>
        <v>3.3</v>
      </c>
      <c r="G5647" s="4" t="str">
        <f>HYPERLINK("http://141.218.60.56/~jnz1568/getInfo.php?workbook=14_09.xlsx&amp;sheet=U0&amp;row=5647&amp;col=7&amp;number=0.00836&amp;sourceID=14","0.00836")</f>
        <v>0.00836</v>
      </c>
    </row>
    <row r="5648" spans="1:7">
      <c r="A5648" s="3"/>
      <c r="B5648" s="3"/>
      <c r="C5648" s="3"/>
      <c r="D5648" s="3"/>
      <c r="E5648" s="3">
        <v>5</v>
      </c>
      <c r="F5648" s="4" t="str">
        <f>HYPERLINK("http://141.218.60.56/~jnz1568/getInfo.php?workbook=14_09.xlsx&amp;sheet=U0&amp;row=5648&amp;col=6&amp;number=3.4&amp;sourceID=14","3.4")</f>
        <v>3.4</v>
      </c>
      <c r="G5648" s="4" t="str">
        <f>HYPERLINK("http://141.218.60.56/~jnz1568/getInfo.php?workbook=14_09.xlsx&amp;sheet=U0&amp;row=5648&amp;col=7&amp;number=0.00834&amp;sourceID=14","0.00834")</f>
        <v>0.00834</v>
      </c>
    </row>
    <row r="5649" spans="1:7">
      <c r="A5649" s="3"/>
      <c r="B5649" s="3"/>
      <c r="C5649" s="3"/>
      <c r="D5649" s="3"/>
      <c r="E5649" s="3">
        <v>6</v>
      </c>
      <c r="F5649" s="4" t="str">
        <f>HYPERLINK("http://141.218.60.56/~jnz1568/getInfo.php?workbook=14_09.xlsx&amp;sheet=U0&amp;row=5649&amp;col=6&amp;number=3.5&amp;sourceID=14","3.5")</f>
        <v>3.5</v>
      </c>
      <c r="G5649" s="4" t="str">
        <f>HYPERLINK("http://141.218.60.56/~jnz1568/getInfo.php?workbook=14_09.xlsx&amp;sheet=U0&amp;row=5649&amp;col=7&amp;number=0.0083&amp;sourceID=14","0.0083")</f>
        <v>0.0083</v>
      </c>
    </row>
    <row r="5650" spans="1:7">
      <c r="A5650" s="3"/>
      <c r="B5650" s="3"/>
      <c r="C5650" s="3"/>
      <c r="D5650" s="3"/>
      <c r="E5650" s="3">
        <v>7</v>
      </c>
      <c r="F5650" s="4" t="str">
        <f>HYPERLINK("http://141.218.60.56/~jnz1568/getInfo.php?workbook=14_09.xlsx&amp;sheet=U0&amp;row=5650&amp;col=6&amp;number=3.6&amp;sourceID=14","3.6")</f>
        <v>3.6</v>
      </c>
      <c r="G5650" s="4" t="str">
        <f>HYPERLINK("http://141.218.60.56/~jnz1568/getInfo.php?workbook=14_09.xlsx&amp;sheet=U0&amp;row=5650&amp;col=7&amp;number=0.00826&amp;sourceID=14","0.00826")</f>
        <v>0.00826</v>
      </c>
    </row>
    <row r="5651" spans="1:7">
      <c r="A5651" s="3"/>
      <c r="B5651" s="3"/>
      <c r="C5651" s="3"/>
      <c r="D5651" s="3"/>
      <c r="E5651" s="3">
        <v>8</v>
      </c>
      <c r="F5651" s="4" t="str">
        <f>HYPERLINK("http://141.218.60.56/~jnz1568/getInfo.php?workbook=14_09.xlsx&amp;sheet=U0&amp;row=5651&amp;col=6&amp;number=3.7&amp;sourceID=14","3.7")</f>
        <v>3.7</v>
      </c>
      <c r="G5651" s="4" t="str">
        <f>HYPERLINK("http://141.218.60.56/~jnz1568/getInfo.php?workbook=14_09.xlsx&amp;sheet=U0&amp;row=5651&amp;col=7&amp;number=0.00821&amp;sourceID=14","0.00821")</f>
        <v>0.00821</v>
      </c>
    </row>
    <row r="5652" spans="1:7">
      <c r="A5652" s="3"/>
      <c r="B5652" s="3"/>
      <c r="C5652" s="3"/>
      <c r="D5652" s="3"/>
      <c r="E5652" s="3">
        <v>9</v>
      </c>
      <c r="F5652" s="4" t="str">
        <f>HYPERLINK("http://141.218.60.56/~jnz1568/getInfo.php?workbook=14_09.xlsx&amp;sheet=U0&amp;row=5652&amp;col=6&amp;number=3.8&amp;sourceID=14","3.8")</f>
        <v>3.8</v>
      </c>
      <c r="G5652" s="4" t="str">
        <f>HYPERLINK("http://141.218.60.56/~jnz1568/getInfo.php?workbook=14_09.xlsx&amp;sheet=U0&amp;row=5652&amp;col=7&amp;number=0.00814&amp;sourceID=14","0.00814")</f>
        <v>0.00814</v>
      </c>
    </row>
    <row r="5653" spans="1:7">
      <c r="A5653" s="3"/>
      <c r="B5653" s="3"/>
      <c r="C5653" s="3"/>
      <c r="D5653" s="3"/>
      <c r="E5653" s="3">
        <v>10</v>
      </c>
      <c r="F5653" s="4" t="str">
        <f>HYPERLINK("http://141.218.60.56/~jnz1568/getInfo.php?workbook=14_09.xlsx&amp;sheet=U0&amp;row=5653&amp;col=6&amp;number=3.9&amp;sourceID=14","3.9")</f>
        <v>3.9</v>
      </c>
      <c r="G5653" s="4" t="str">
        <f>HYPERLINK("http://141.218.60.56/~jnz1568/getInfo.php?workbook=14_09.xlsx&amp;sheet=U0&amp;row=5653&amp;col=7&amp;number=0.00805&amp;sourceID=14","0.00805")</f>
        <v>0.00805</v>
      </c>
    </row>
    <row r="5654" spans="1:7">
      <c r="A5654" s="3"/>
      <c r="B5654" s="3"/>
      <c r="C5654" s="3"/>
      <c r="D5654" s="3"/>
      <c r="E5654" s="3">
        <v>11</v>
      </c>
      <c r="F5654" s="4" t="str">
        <f>HYPERLINK("http://141.218.60.56/~jnz1568/getInfo.php?workbook=14_09.xlsx&amp;sheet=U0&amp;row=5654&amp;col=6&amp;number=4&amp;sourceID=14","4")</f>
        <v>4</v>
      </c>
      <c r="G5654" s="4" t="str">
        <f>HYPERLINK("http://141.218.60.56/~jnz1568/getInfo.php?workbook=14_09.xlsx&amp;sheet=U0&amp;row=5654&amp;col=7&amp;number=0.00795&amp;sourceID=14","0.00795")</f>
        <v>0.00795</v>
      </c>
    </row>
    <row r="5655" spans="1:7">
      <c r="A5655" s="3"/>
      <c r="B5655" s="3"/>
      <c r="C5655" s="3"/>
      <c r="D5655" s="3"/>
      <c r="E5655" s="3">
        <v>12</v>
      </c>
      <c r="F5655" s="4" t="str">
        <f>HYPERLINK("http://141.218.60.56/~jnz1568/getInfo.php?workbook=14_09.xlsx&amp;sheet=U0&amp;row=5655&amp;col=6&amp;number=4.1&amp;sourceID=14","4.1")</f>
        <v>4.1</v>
      </c>
      <c r="G5655" s="4" t="str">
        <f>HYPERLINK("http://141.218.60.56/~jnz1568/getInfo.php?workbook=14_09.xlsx&amp;sheet=U0&amp;row=5655&amp;col=7&amp;number=0.00782&amp;sourceID=14","0.00782")</f>
        <v>0.00782</v>
      </c>
    </row>
    <row r="5656" spans="1:7">
      <c r="A5656" s="3"/>
      <c r="B5656" s="3"/>
      <c r="C5656" s="3"/>
      <c r="D5656" s="3"/>
      <c r="E5656" s="3">
        <v>13</v>
      </c>
      <c r="F5656" s="4" t="str">
        <f>HYPERLINK("http://141.218.60.56/~jnz1568/getInfo.php?workbook=14_09.xlsx&amp;sheet=U0&amp;row=5656&amp;col=6&amp;number=4.2&amp;sourceID=14","4.2")</f>
        <v>4.2</v>
      </c>
      <c r="G5656" s="4" t="str">
        <f>HYPERLINK("http://141.218.60.56/~jnz1568/getInfo.php?workbook=14_09.xlsx&amp;sheet=U0&amp;row=5656&amp;col=7&amp;number=0.00766&amp;sourceID=14","0.00766")</f>
        <v>0.00766</v>
      </c>
    </row>
    <row r="5657" spans="1:7">
      <c r="A5657" s="3"/>
      <c r="B5657" s="3"/>
      <c r="C5657" s="3"/>
      <c r="D5657" s="3"/>
      <c r="E5657" s="3">
        <v>14</v>
      </c>
      <c r="F5657" s="4" t="str">
        <f>HYPERLINK("http://141.218.60.56/~jnz1568/getInfo.php?workbook=14_09.xlsx&amp;sheet=U0&amp;row=5657&amp;col=6&amp;number=4.3&amp;sourceID=14","4.3")</f>
        <v>4.3</v>
      </c>
      <c r="G5657" s="4" t="str">
        <f>HYPERLINK("http://141.218.60.56/~jnz1568/getInfo.php?workbook=14_09.xlsx&amp;sheet=U0&amp;row=5657&amp;col=7&amp;number=0.00746&amp;sourceID=14","0.00746")</f>
        <v>0.00746</v>
      </c>
    </row>
    <row r="5658" spans="1:7">
      <c r="A5658" s="3"/>
      <c r="B5658" s="3"/>
      <c r="C5658" s="3"/>
      <c r="D5658" s="3"/>
      <c r="E5658" s="3">
        <v>15</v>
      </c>
      <c r="F5658" s="4" t="str">
        <f>HYPERLINK("http://141.218.60.56/~jnz1568/getInfo.php?workbook=14_09.xlsx&amp;sheet=U0&amp;row=5658&amp;col=6&amp;number=4.4&amp;sourceID=14","4.4")</f>
        <v>4.4</v>
      </c>
      <c r="G5658" s="4" t="str">
        <f>HYPERLINK("http://141.218.60.56/~jnz1568/getInfo.php?workbook=14_09.xlsx&amp;sheet=U0&amp;row=5658&amp;col=7&amp;number=0.00722&amp;sourceID=14","0.00722")</f>
        <v>0.00722</v>
      </c>
    </row>
    <row r="5659" spans="1:7">
      <c r="A5659" s="3"/>
      <c r="B5659" s="3"/>
      <c r="C5659" s="3"/>
      <c r="D5659" s="3"/>
      <c r="E5659" s="3">
        <v>16</v>
      </c>
      <c r="F5659" s="4" t="str">
        <f>HYPERLINK("http://141.218.60.56/~jnz1568/getInfo.php?workbook=14_09.xlsx&amp;sheet=U0&amp;row=5659&amp;col=6&amp;number=4.5&amp;sourceID=14","4.5")</f>
        <v>4.5</v>
      </c>
      <c r="G5659" s="4" t="str">
        <f>HYPERLINK("http://141.218.60.56/~jnz1568/getInfo.php?workbook=14_09.xlsx&amp;sheet=U0&amp;row=5659&amp;col=7&amp;number=0.00692&amp;sourceID=14","0.00692")</f>
        <v>0.00692</v>
      </c>
    </row>
    <row r="5660" spans="1:7">
      <c r="A5660" s="3"/>
      <c r="B5660" s="3"/>
      <c r="C5660" s="3"/>
      <c r="D5660" s="3"/>
      <c r="E5660" s="3">
        <v>17</v>
      </c>
      <c r="F5660" s="4" t="str">
        <f>HYPERLINK("http://141.218.60.56/~jnz1568/getInfo.php?workbook=14_09.xlsx&amp;sheet=U0&amp;row=5660&amp;col=6&amp;number=4.6&amp;sourceID=14","4.6")</f>
        <v>4.6</v>
      </c>
      <c r="G5660" s="4" t="str">
        <f>HYPERLINK("http://141.218.60.56/~jnz1568/getInfo.php?workbook=14_09.xlsx&amp;sheet=U0&amp;row=5660&amp;col=7&amp;number=0.00657&amp;sourceID=14","0.00657")</f>
        <v>0.00657</v>
      </c>
    </row>
    <row r="5661" spans="1:7">
      <c r="A5661" s="3"/>
      <c r="B5661" s="3"/>
      <c r="C5661" s="3"/>
      <c r="D5661" s="3"/>
      <c r="E5661" s="3">
        <v>18</v>
      </c>
      <c r="F5661" s="4" t="str">
        <f>HYPERLINK("http://141.218.60.56/~jnz1568/getInfo.php?workbook=14_09.xlsx&amp;sheet=U0&amp;row=5661&amp;col=6&amp;number=4.7&amp;sourceID=14","4.7")</f>
        <v>4.7</v>
      </c>
      <c r="G5661" s="4" t="str">
        <f>HYPERLINK("http://141.218.60.56/~jnz1568/getInfo.php?workbook=14_09.xlsx&amp;sheet=U0&amp;row=5661&amp;col=7&amp;number=0.00617&amp;sourceID=14","0.00617")</f>
        <v>0.00617</v>
      </c>
    </row>
    <row r="5662" spans="1:7">
      <c r="A5662" s="3"/>
      <c r="B5662" s="3"/>
      <c r="C5662" s="3"/>
      <c r="D5662" s="3"/>
      <c r="E5662" s="3">
        <v>19</v>
      </c>
      <c r="F5662" s="4" t="str">
        <f>HYPERLINK("http://141.218.60.56/~jnz1568/getInfo.php?workbook=14_09.xlsx&amp;sheet=U0&amp;row=5662&amp;col=6&amp;number=4.8&amp;sourceID=14","4.8")</f>
        <v>4.8</v>
      </c>
      <c r="G5662" s="4" t="str">
        <f>HYPERLINK("http://141.218.60.56/~jnz1568/getInfo.php?workbook=14_09.xlsx&amp;sheet=U0&amp;row=5662&amp;col=7&amp;number=0.00573&amp;sourceID=14","0.00573")</f>
        <v>0.00573</v>
      </c>
    </row>
    <row r="5663" spans="1:7">
      <c r="A5663" s="3"/>
      <c r="B5663" s="3"/>
      <c r="C5663" s="3"/>
      <c r="D5663" s="3"/>
      <c r="E5663" s="3">
        <v>20</v>
      </c>
      <c r="F5663" s="4" t="str">
        <f>HYPERLINK("http://141.218.60.56/~jnz1568/getInfo.php?workbook=14_09.xlsx&amp;sheet=U0&amp;row=5663&amp;col=6&amp;number=4.9&amp;sourceID=14","4.9")</f>
        <v>4.9</v>
      </c>
      <c r="G5663" s="4" t="str">
        <f>HYPERLINK("http://141.218.60.56/~jnz1568/getInfo.php?workbook=14_09.xlsx&amp;sheet=U0&amp;row=5663&amp;col=7&amp;number=0.00528&amp;sourceID=14","0.00528")</f>
        <v>0.00528</v>
      </c>
    </row>
    <row r="5664" spans="1:7">
      <c r="A5664" s="3">
        <v>14</v>
      </c>
      <c r="B5664" s="3">
        <v>9</v>
      </c>
      <c r="C5664" s="3">
        <v>2</v>
      </c>
      <c r="D5664" s="3">
        <v>92</v>
      </c>
      <c r="E5664" s="3">
        <v>1</v>
      </c>
      <c r="F5664" s="4" t="str">
        <f>HYPERLINK("http://141.218.60.56/~jnz1568/getInfo.php?workbook=14_09.xlsx&amp;sheet=U0&amp;row=5664&amp;col=6&amp;number=3&amp;sourceID=14","3")</f>
        <v>3</v>
      </c>
      <c r="G5664" s="4" t="str">
        <f>HYPERLINK("http://141.218.60.56/~jnz1568/getInfo.php?workbook=14_09.xlsx&amp;sheet=U0&amp;row=5664&amp;col=7&amp;number=0.00434&amp;sourceID=14","0.00434")</f>
        <v>0.00434</v>
      </c>
    </row>
    <row r="5665" spans="1:7">
      <c r="A5665" s="3"/>
      <c r="B5665" s="3"/>
      <c r="C5665" s="3"/>
      <c r="D5665" s="3"/>
      <c r="E5665" s="3">
        <v>2</v>
      </c>
      <c r="F5665" s="4" t="str">
        <f>HYPERLINK("http://141.218.60.56/~jnz1568/getInfo.php?workbook=14_09.xlsx&amp;sheet=U0&amp;row=5665&amp;col=6&amp;number=3.1&amp;sourceID=14","3.1")</f>
        <v>3.1</v>
      </c>
      <c r="G5665" s="4" t="str">
        <f>HYPERLINK("http://141.218.60.56/~jnz1568/getInfo.php?workbook=14_09.xlsx&amp;sheet=U0&amp;row=5665&amp;col=7&amp;number=0.00433&amp;sourceID=14","0.00433")</f>
        <v>0.00433</v>
      </c>
    </row>
    <row r="5666" spans="1:7">
      <c r="A5666" s="3"/>
      <c r="B5666" s="3"/>
      <c r="C5666" s="3"/>
      <c r="D5666" s="3"/>
      <c r="E5666" s="3">
        <v>3</v>
      </c>
      <c r="F5666" s="4" t="str">
        <f>HYPERLINK("http://141.218.60.56/~jnz1568/getInfo.php?workbook=14_09.xlsx&amp;sheet=U0&amp;row=5666&amp;col=6&amp;number=3.2&amp;sourceID=14","3.2")</f>
        <v>3.2</v>
      </c>
      <c r="G5666" s="4" t="str">
        <f>HYPERLINK("http://141.218.60.56/~jnz1568/getInfo.php?workbook=14_09.xlsx&amp;sheet=U0&amp;row=5666&amp;col=7&amp;number=0.00432&amp;sourceID=14","0.00432")</f>
        <v>0.00432</v>
      </c>
    </row>
    <row r="5667" spans="1:7">
      <c r="A5667" s="3"/>
      <c r="B5667" s="3"/>
      <c r="C5667" s="3"/>
      <c r="D5667" s="3"/>
      <c r="E5667" s="3">
        <v>4</v>
      </c>
      <c r="F5667" s="4" t="str">
        <f>HYPERLINK("http://141.218.60.56/~jnz1568/getInfo.php?workbook=14_09.xlsx&amp;sheet=U0&amp;row=5667&amp;col=6&amp;number=3.3&amp;sourceID=14","3.3")</f>
        <v>3.3</v>
      </c>
      <c r="G5667" s="4" t="str">
        <f>HYPERLINK("http://141.218.60.56/~jnz1568/getInfo.php?workbook=14_09.xlsx&amp;sheet=U0&amp;row=5667&amp;col=7&amp;number=0.00431&amp;sourceID=14","0.00431")</f>
        <v>0.00431</v>
      </c>
    </row>
    <row r="5668" spans="1:7">
      <c r="A5668" s="3"/>
      <c r="B5668" s="3"/>
      <c r="C5668" s="3"/>
      <c r="D5668" s="3"/>
      <c r="E5668" s="3">
        <v>5</v>
      </c>
      <c r="F5668" s="4" t="str">
        <f>HYPERLINK("http://141.218.60.56/~jnz1568/getInfo.php?workbook=14_09.xlsx&amp;sheet=U0&amp;row=5668&amp;col=6&amp;number=3.4&amp;sourceID=14","3.4")</f>
        <v>3.4</v>
      </c>
      <c r="G5668" s="4" t="str">
        <f>HYPERLINK("http://141.218.60.56/~jnz1568/getInfo.php?workbook=14_09.xlsx&amp;sheet=U0&amp;row=5668&amp;col=7&amp;number=0.00429&amp;sourceID=14","0.00429")</f>
        <v>0.00429</v>
      </c>
    </row>
    <row r="5669" spans="1:7">
      <c r="A5669" s="3"/>
      <c r="B5669" s="3"/>
      <c r="C5669" s="3"/>
      <c r="D5669" s="3"/>
      <c r="E5669" s="3">
        <v>6</v>
      </c>
      <c r="F5669" s="4" t="str">
        <f>HYPERLINK("http://141.218.60.56/~jnz1568/getInfo.php?workbook=14_09.xlsx&amp;sheet=U0&amp;row=5669&amp;col=6&amp;number=3.5&amp;sourceID=14","3.5")</f>
        <v>3.5</v>
      </c>
      <c r="G5669" s="4" t="str">
        <f>HYPERLINK("http://141.218.60.56/~jnz1568/getInfo.php?workbook=14_09.xlsx&amp;sheet=U0&amp;row=5669&amp;col=7&amp;number=0.00428&amp;sourceID=14","0.00428")</f>
        <v>0.00428</v>
      </c>
    </row>
    <row r="5670" spans="1:7">
      <c r="A5670" s="3"/>
      <c r="B5670" s="3"/>
      <c r="C5670" s="3"/>
      <c r="D5670" s="3"/>
      <c r="E5670" s="3">
        <v>7</v>
      </c>
      <c r="F5670" s="4" t="str">
        <f>HYPERLINK("http://141.218.60.56/~jnz1568/getInfo.php?workbook=14_09.xlsx&amp;sheet=U0&amp;row=5670&amp;col=6&amp;number=3.6&amp;sourceID=14","3.6")</f>
        <v>3.6</v>
      </c>
      <c r="G5670" s="4" t="str">
        <f>HYPERLINK("http://141.218.60.56/~jnz1568/getInfo.php?workbook=14_09.xlsx&amp;sheet=U0&amp;row=5670&amp;col=7&amp;number=0.00425&amp;sourceID=14","0.00425")</f>
        <v>0.00425</v>
      </c>
    </row>
    <row r="5671" spans="1:7">
      <c r="A5671" s="3"/>
      <c r="B5671" s="3"/>
      <c r="C5671" s="3"/>
      <c r="D5671" s="3"/>
      <c r="E5671" s="3">
        <v>8</v>
      </c>
      <c r="F5671" s="4" t="str">
        <f>HYPERLINK("http://141.218.60.56/~jnz1568/getInfo.php?workbook=14_09.xlsx&amp;sheet=U0&amp;row=5671&amp;col=6&amp;number=3.7&amp;sourceID=14","3.7")</f>
        <v>3.7</v>
      </c>
      <c r="G5671" s="4" t="str">
        <f>HYPERLINK("http://141.218.60.56/~jnz1568/getInfo.php?workbook=14_09.xlsx&amp;sheet=U0&amp;row=5671&amp;col=7&amp;number=0.00423&amp;sourceID=14","0.00423")</f>
        <v>0.00423</v>
      </c>
    </row>
    <row r="5672" spans="1:7">
      <c r="A5672" s="3"/>
      <c r="B5672" s="3"/>
      <c r="C5672" s="3"/>
      <c r="D5672" s="3"/>
      <c r="E5672" s="3">
        <v>9</v>
      </c>
      <c r="F5672" s="4" t="str">
        <f>HYPERLINK("http://141.218.60.56/~jnz1568/getInfo.php?workbook=14_09.xlsx&amp;sheet=U0&amp;row=5672&amp;col=6&amp;number=3.8&amp;sourceID=14","3.8")</f>
        <v>3.8</v>
      </c>
      <c r="G5672" s="4" t="str">
        <f>HYPERLINK("http://141.218.60.56/~jnz1568/getInfo.php?workbook=14_09.xlsx&amp;sheet=U0&amp;row=5672&amp;col=7&amp;number=0.00419&amp;sourceID=14","0.00419")</f>
        <v>0.00419</v>
      </c>
    </row>
    <row r="5673" spans="1:7">
      <c r="A5673" s="3"/>
      <c r="B5673" s="3"/>
      <c r="C5673" s="3"/>
      <c r="D5673" s="3"/>
      <c r="E5673" s="3">
        <v>10</v>
      </c>
      <c r="F5673" s="4" t="str">
        <f>HYPERLINK("http://141.218.60.56/~jnz1568/getInfo.php?workbook=14_09.xlsx&amp;sheet=U0&amp;row=5673&amp;col=6&amp;number=3.9&amp;sourceID=14","3.9")</f>
        <v>3.9</v>
      </c>
      <c r="G5673" s="4" t="str">
        <f>HYPERLINK("http://141.218.60.56/~jnz1568/getInfo.php?workbook=14_09.xlsx&amp;sheet=U0&amp;row=5673&amp;col=7&amp;number=0.00415&amp;sourceID=14","0.00415")</f>
        <v>0.00415</v>
      </c>
    </row>
    <row r="5674" spans="1:7">
      <c r="A5674" s="3"/>
      <c r="B5674" s="3"/>
      <c r="C5674" s="3"/>
      <c r="D5674" s="3"/>
      <c r="E5674" s="3">
        <v>11</v>
      </c>
      <c r="F5674" s="4" t="str">
        <f>HYPERLINK("http://141.218.60.56/~jnz1568/getInfo.php?workbook=14_09.xlsx&amp;sheet=U0&amp;row=5674&amp;col=6&amp;number=4&amp;sourceID=14","4")</f>
        <v>4</v>
      </c>
      <c r="G5674" s="4" t="str">
        <f>HYPERLINK("http://141.218.60.56/~jnz1568/getInfo.php?workbook=14_09.xlsx&amp;sheet=U0&amp;row=5674&amp;col=7&amp;number=0.00409&amp;sourceID=14","0.00409")</f>
        <v>0.00409</v>
      </c>
    </row>
    <row r="5675" spans="1:7">
      <c r="A5675" s="3"/>
      <c r="B5675" s="3"/>
      <c r="C5675" s="3"/>
      <c r="D5675" s="3"/>
      <c r="E5675" s="3">
        <v>12</v>
      </c>
      <c r="F5675" s="4" t="str">
        <f>HYPERLINK("http://141.218.60.56/~jnz1568/getInfo.php?workbook=14_09.xlsx&amp;sheet=U0&amp;row=5675&amp;col=6&amp;number=4.1&amp;sourceID=14","4.1")</f>
        <v>4.1</v>
      </c>
      <c r="G5675" s="4" t="str">
        <f>HYPERLINK("http://141.218.60.56/~jnz1568/getInfo.php?workbook=14_09.xlsx&amp;sheet=U0&amp;row=5675&amp;col=7&amp;number=0.00403&amp;sourceID=14","0.00403")</f>
        <v>0.00403</v>
      </c>
    </row>
    <row r="5676" spans="1:7">
      <c r="A5676" s="3"/>
      <c r="B5676" s="3"/>
      <c r="C5676" s="3"/>
      <c r="D5676" s="3"/>
      <c r="E5676" s="3">
        <v>13</v>
      </c>
      <c r="F5676" s="4" t="str">
        <f>HYPERLINK("http://141.218.60.56/~jnz1568/getInfo.php?workbook=14_09.xlsx&amp;sheet=U0&amp;row=5676&amp;col=6&amp;number=4.2&amp;sourceID=14","4.2")</f>
        <v>4.2</v>
      </c>
      <c r="G5676" s="4" t="str">
        <f>HYPERLINK("http://141.218.60.56/~jnz1568/getInfo.php?workbook=14_09.xlsx&amp;sheet=U0&amp;row=5676&amp;col=7&amp;number=0.00395&amp;sourceID=14","0.00395")</f>
        <v>0.00395</v>
      </c>
    </row>
    <row r="5677" spans="1:7">
      <c r="A5677" s="3"/>
      <c r="B5677" s="3"/>
      <c r="C5677" s="3"/>
      <c r="D5677" s="3"/>
      <c r="E5677" s="3">
        <v>14</v>
      </c>
      <c r="F5677" s="4" t="str">
        <f>HYPERLINK("http://141.218.60.56/~jnz1568/getInfo.php?workbook=14_09.xlsx&amp;sheet=U0&amp;row=5677&amp;col=6&amp;number=4.3&amp;sourceID=14","4.3")</f>
        <v>4.3</v>
      </c>
      <c r="G5677" s="4" t="str">
        <f>HYPERLINK("http://141.218.60.56/~jnz1568/getInfo.php?workbook=14_09.xlsx&amp;sheet=U0&amp;row=5677&amp;col=7&amp;number=0.00385&amp;sourceID=14","0.00385")</f>
        <v>0.00385</v>
      </c>
    </row>
    <row r="5678" spans="1:7">
      <c r="A5678" s="3"/>
      <c r="B5678" s="3"/>
      <c r="C5678" s="3"/>
      <c r="D5678" s="3"/>
      <c r="E5678" s="3">
        <v>15</v>
      </c>
      <c r="F5678" s="4" t="str">
        <f>HYPERLINK("http://141.218.60.56/~jnz1568/getInfo.php?workbook=14_09.xlsx&amp;sheet=U0&amp;row=5678&amp;col=6&amp;number=4.4&amp;sourceID=14","4.4")</f>
        <v>4.4</v>
      </c>
      <c r="G5678" s="4" t="str">
        <f>HYPERLINK("http://141.218.60.56/~jnz1568/getInfo.php?workbook=14_09.xlsx&amp;sheet=U0&amp;row=5678&amp;col=7&amp;number=0.00373&amp;sourceID=14","0.00373")</f>
        <v>0.00373</v>
      </c>
    </row>
    <row r="5679" spans="1:7">
      <c r="A5679" s="3"/>
      <c r="B5679" s="3"/>
      <c r="C5679" s="3"/>
      <c r="D5679" s="3"/>
      <c r="E5679" s="3">
        <v>16</v>
      </c>
      <c r="F5679" s="4" t="str">
        <f>HYPERLINK("http://141.218.60.56/~jnz1568/getInfo.php?workbook=14_09.xlsx&amp;sheet=U0&amp;row=5679&amp;col=6&amp;number=4.5&amp;sourceID=14","4.5")</f>
        <v>4.5</v>
      </c>
      <c r="G5679" s="4" t="str">
        <f>HYPERLINK("http://141.218.60.56/~jnz1568/getInfo.php?workbook=14_09.xlsx&amp;sheet=U0&amp;row=5679&amp;col=7&amp;number=0.00359&amp;sourceID=14","0.00359")</f>
        <v>0.00359</v>
      </c>
    </row>
    <row r="5680" spans="1:7">
      <c r="A5680" s="3"/>
      <c r="B5680" s="3"/>
      <c r="C5680" s="3"/>
      <c r="D5680" s="3"/>
      <c r="E5680" s="3">
        <v>17</v>
      </c>
      <c r="F5680" s="4" t="str">
        <f>HYPERLINK("http://141.218.60.56/~jnz1568/getInfo.php?workbook=14_09.xlsx&amp;sheet=U0&amp;row=5680&amp;col=6&amp;number=4.6&amp;sourceID=14","4.6")</f>
        <v>4.6</v>
      </c>
      <c r="G5680" s="4" t="str">
        <f>HYPERLINK("http://141.218.60.56/~jnz1568/getInfo.php?workbook=14_09.xlsx&amp;sheet=U0&amp;row=5680&amp;col=7&amp;number=0.00343&amp;sourceID=14","0.00343")</f>
        <v>0.00343</v>
      </c>
    </row>
    <row r="5681" spans="1:7">
      <c r="A5681" s="3"/>
      <c r="B5681" s="3"/>
      <c r="C5681" s="3"/>
      <c r="D5681" s="3"/>
      <c r="E5681" s="3">
        <v>18</v>
      </c>
      <c r="F5681" s="4" t="str">
        <f>HYPERLINK("http://141.218.60.56/~jnz1568/getInfo.php?workbook=14_09.xlsx&amp;sheet=U0&amp;row=5681&amp;col=6&amp;number=4.7&amp;sourceID=14","4.7")</f>
        <v>4.7</v>
      </c>
      <c r="G5681" s="4" t="str">
        <f>HYPERLINK("http://141.218.60.56/~jnz1568/getInfo.php?workbook=14_09.xlsx&amp;sheet=U0&amp;row=5681&amp;col=7&amp;number=0.00327&amp;sourceID=14","0.00327")</f>
        <v>0.00327</v>
      </c>
    </row>
    <row r="5682" spans="1:7">
      <c r="A5682" s="3"/>
      <c r="B5682" s="3"/>
      <c r="C5682" s="3"/>
      <c r="D5682" s="3"/>
      <c r="E5682" s="3">
        <v>19</v>
      </c>
      <c r="F5682" s="4" t="str">
        <f>HYPERLINK("http://141.218.60.56/~jnz1568/getInfo.php?workbook=14_09.xlsx&amp;sheet=U0&amp;row=5682&amp;col=6&amp;number=4.8&amp;sourceID=14","4.8")</f>
        <v>4.8</v>
      </c>
      <c r="G5682" s="4" t="str">
        <f>HYPERLINK("http://141.218.60.56/~jnz1568/getInfo.php?workbook=14_09.xlsx&amp;sheet=U0&amp;row=5682&amp;col=7&amp;number=0.00311&amp;sourceID=14","0.00311")</f>
        <v>0.00311</v>
      </c>
    </row>
    <row r="5683" spans="1:7">
      <c r="A5683" s="3"/>
      <c r="B5683" s="3"/>
      <c r="C5683" s="3"/>
      <c r="D5683" s="3"/>
      <c r="E5683" s="3">
        <v>20</v>
      </c>
      <c r="F5683" s="4" t="str">
        <f>HYPERLINK("http://141.218.60.56/~jnz1568/getInfo.php?workbook=14_09.xlsx&amp;sheet=U0&amp;row=5683&amp;col=6&amp;number=4.9&amp;sourceID=14","4.9")</f>
        <v>4.9</v>
      </c>
      <c r="G5683" s="4" t="str">
        <f>HYPERLINK("http://141.218.60.56/~jnz1568/getInfo.php?workbook=14_09.xlsx&amp;sheet=U0&amp;row=5683&amp;col=7&amp;number=0.00297&amp;sourceID=14","0.00297")</f>
        <v>0.00297</v>
      </c>
    </row>
    <row r="5684" spans="1:7">
      <c r="A5684" s="3">
        <v>14</v>
      </c>
      <c r="B5684" s="3">
        <v>9</v>
      </c>
      <c r="C5684" s="3">
        <v>2</v>
      </c>
      <c r="D5684" s="3">
        <v>93</v>
      </c>
      <c r="E5684" s="3">
        <v>1</v>
      </c>
      <c r="F5684" s="4" t="str">
        <f>HYPERLINK("http://141.218.60.56/~jnz1568/getInfo.php?workbook=14_09.xlsx&amp;sheet=U0&amp;row=5684&amp;col=6&amp;number=3&amp;sourceID=14","3")</f>
        <v>3</v>
      </c>
      <c r="G5684" s="4" t="str">
        <f>HYPERLINK("http://141.218.60.56/~jnz1568/getInfo.php?workbook=14_09.xlsx&amp;sheet=U0&amp;row=5684&amp;col=7&amp;number=0.00986&amp;sourceID=14","0.00986")</f>
        <v>0.00986</v>
      </c>
    </row>
    <row r="5685" spans="1:7">
      <c r="A5685" s="3"/>
      <c r="B5685" s="3"/>
      <c r="C5685" s="3"/>
      <c r="D5685" s="3"/>
      <c r="E5685" s="3">
        <v>2</v>
      </c>
      <c r="F5685" s="4" t="str">
        <f>HYPERLINK("http://141.218.60.56/~jnz1568/getInfo.php?workbook=14_09.xlsx&amp;sheet=U0&amp;row=5685&amp;col=6&amp;number=3.1&amp;sourceID=14","3.1")</f>
        <v>3.1</v>
      </c>
      <c r="G5685" s="4" t="str">
        <f>HYPERLINK("http://141.218.60.56/~jnz1568/getInfo.php?workbook=14_09.xlsx&amp;sheet=U0&amp;row=5685&amp;col=7&amp;number=0.00985&amp;sourceID=14","0.00985")</f>
        <v>0.00985</v>
      </c>
    </row>
    <row r="5686" spans="1:7">
      <c r="A5686" s="3"/>
      <c r="B5686" s="3"/>
      <c r="C5686" s="3"/>
      <c r="D5686" s="3"/>
      <c r="E5686" s="3">
        <v>3</v>
      </c>
      <c r="F5686" s="4" t="str">
        <f>HYPERLINK("http://141.218.60.56/~jnz1568/getInfo.php?workbook=14_09.xlsx&amp;sheet=U0&amp;row=5686&amp;col=6&amp;number=3.2&amp;sourceID=14","3.2")</f>
        <v>3.2</v>
      </c>
      <c r="G5686" s="4" t="str">
        <f>HYPERLINK("http://141.218.60.56/~jnz1568/getInfo.php?workbook=14_09.xlsx&amp;sheet=U0&amp;row=5686&amp;col=7&amp;number=0.00983&amp;sourceID=14","0.00983")</f>
        <v>0.00983</v>
      </c>
    </row>
    <row r="5687" spans="1:7">
      <c r="A5687" s="3"/>
      <c r="B5687" s="3"/>
      <c r="C5687" s="3"/>
      <c r="D5687" s="3"/>
      <c r="E5687" s="3">
        <v>4</v>
      </c>
      <c r="F5687" s="4" t="str">
        <f>HYPERLINK("http://141.218.60.56/~jnz1568/getInfo.php?workbook=14_09.xlsx&amp;sheet=U0&amp;row=5687&amp;col=6&amp;number=3.3&amp;sourceID=14","3.3")</f>
        <v>3.3</v>
      </c>
      <c r="G5687" s="4" t="str">
        <f>HYPERLINK("http://141.218.60.56/~jnz1568/getInfo.php?workbook=14_09.xlsx&amp;sheet=U0&amp;row=5687&amp;col=7&amp;number=0.00981&amp;sourceID=14","0.00981")</f>
        <v>0.00981</v>
      </c>
    </row>
    <row r="5688" spans="1:7">
      <c r="A5688" s="3"/>
      <c r="B5688" s="3"/>
      <c r="C5688" s="3"/>
      <c r="D5688" s="3"/>
      <c r="E5688" s="3">
        <v>5</v>
      </c>
      <c r="F5688" s="4" t="str">
        <f>HYPERLINK("http://141.218.60.56/~jnz1568/getInfo.php?workbook=14_09.xlsx&amp;sheet=U0&amp;row=5688&amp;col=6&amp;number=3.4&amp;sourceID=14","3.4")</f>
        <v>3.4</v>
      </c>
      <c r="G5688" s="4" t="str">
        <f>HYPERLINK("http://141.218.60.56/~jnz1568/getInfo.php?workbook=14_09.xlsx&amp;sheet=U0&amp;row=5688&amp;col=7&amp;number=0.00978&amp;sourceID=14","0.00978")</f>
        <v>0.00978</v>
      </c>
    </row>
    <row r="5689" spans="1:7">
      <c r="A5689" s="3"/>
      <c r="B5689" s="3"/>
      <c r="C5689" s="3"/>
      <c r="D5689" s="3"/>
      <c r="E5689" s="3">
        <v>6</v>
      </c>
      <c r="F5689" s="4" t="str">
        <f>HYPERLINK("http://141.218.60.56/~jnz1568/getInfo.php?workbook=14_09.xlsx&amp;sheet=U0&amp;row=5689&amp;col=6&amp;number=3.5&amp;sourceID=14","3.5")</f>
        <v>3.5</v>
      </c>
      <c r="G5689" s="4" t="str">
        <f>HYPERLINK("http://141.218.60.56/~jnz1568/getInfo.php?workbook=14_09.xlsx&amp;sheet=U0&amp;row=5689&amp;col=7&amp;number=0.00974&amp;sourceID=14","0.00974")</f>
        <v>0.00974</v>
      </c>
    </row>
    <row r="5690" spans="1:7">
      <c r="A5690" s="3"/>
      <c r="B5690" s="3"/>
      <c r="C5690" s="3"/>
      <c r="D5690" s="3"/>
      <c r="E5690" s="3">
        <v>7</v>
      </c>
      <c r="F5690" s="4" t="str">
        <f>HYPERLINK("http://141.218.60.56/~jnz1568/getInfo.php?workbook=14_09.xlsx&amp;sheet=U0&amp;row=5690&amp;col=6&amp;number=3.6&amp;sourceID=14","3.6")</f>
        <v>3.6</v>
      </c>
      <c r="G5690" s="4" t="str">
        <f>HYPERLINK("http://141.218.60.56/~jnz1568/getInfo.php?workbook=14_09.xlsx&amp;sheet=U0&amp;row=5690&amp;col=7&amp;number=0.0097&amp;sourceID=14","0.0097")</f>
        <v>0.0097</v>
      </c>
    </row>
    <row r="5691" spans="1:7">
      <c r="A5691" s="3"/>
      <c r="B5691" s="3"/>
      <c r="C5691" s="3"/>
      <c r="D5691" s="3"/>
      <c r="E5691" s="3">
        <v>8</v>
      </c>
      <c r="F5691" s="4" t="str">
        <f>HYPERLINK("http://141.218.60.56/~jnz1568/getInfo.php?workbook=14_09.xlsx&amp;sheet=U0&amp;row=5691&amp;col=6&amp;number=3.7&amp;sourceID=14","3.7")</f>
        <v>3.7</v>
      </c>
      <c r="G5691" s="4" t="str">
        <f>HYPERLINK("http://141.218.60.56/~jnz1568/getInfo.php?workbook=14_09.xlsx&amp;sheet=U0&amp;row=5691&amp;col=7&amp;number=0.00964&amp;sourceID=14","0.00964")</f>
        <v>0.00964</v>
      </c>
    </row>
    <row r="5692" spans="1:7">
      <c r="A5692" s="3"/>
      <c r="B5692" s="3"/>
      <c r="C5692" s="3"/>
      <c r="D5692" s="3"/>
      <c r="E5692" s="3">
        <v>9</v>
      </c>
      <c r="F5692" s="4" t="str">
        <f>HYPERLINK("http://141.218.60.56/~jnz1568/getInfo.php?workbook=14_09.xlsx&amp;sheet=U0&amp;row=5692&amp;col=6&amp;number=3.8&amp;sourceID=14","3.8")</f>
        <v>3.8</v>
      </c>
      <c r="G5692" s="4" t="str">
        <f>HYPERLINK("http://141.218.60.56/~jnz1568/getInfo.php?workbook=14_09.xlsx&amp;sheet=U0&amp;row=5692&amp;col=7&amp;number=0.00957&amp;sourceID=14","0.00957")</f>
        <v>0.00957</v>
      </c>
    </row>
    <row r="5693" spans="1:7">
      <c r="A5693" s="3"/>
      <c r="B5693" s="3"/>
      <c r="C5693" s="3"/>
      <c r="D5693" s="3"/>
      <c r="E5693" s="3">
        <v>10</v>
      </c>
      <c r="F5693" s="4" t="str">
        <f>HYPERLINK("http://141.218.60.56/~jnz1568/getInfo.php?workbook=14_09.xlsx&amp;sheet=U0&amp;row=5693&amp;col=6&amp;number=3.9&amp;sourceID=14","3.9")</f>
        <v>3.9</v>
      </c>
      <c r="G5693" s="4" t="str">
        <f>HYPERLINK("http://141.218.60.56/~jnz1568/getInfo.php?workbook=14_09.xlsx&amp;sheet=U0&amp;row=5693&amp;col=7&amp;number=0.00948&amp;sourceID=14","0.00948")</f>
        <v>0.00948</v>
      </c>
    </row>
    <row r="5694" spans="1:7">
      <c r="A5694" s="3"/>
      <c r="B5694" s="3"/>
      <c r="C5694" s="3"/>
      <c r="D5694" s="3"/>
      <c r="E5694" s="3">
        <v>11</v>
      </c>
      <c r="F5694" s="4" t="str">
        <f>HYPERLINK("http://141.218.60.56/~jnz1568/getInfo.php?workbook=14_09.xlsx&amp;sheet=U0&amp;row=5694&amp;col=6&amp;number=4&amp;sourceID=14","4")</f>
        <v>4</v>
      </c>
      <c r="G5694" s="4" t="str">
        <f>HYPERLINK("http://141.218.60.56/~jnz1568/getInfo.php?workbook=14_09.xlsx&amp;sheet=U0&amp;row=5694&amp;col=7&amp;number=0.00937&amp;sourceID=14","0.00937")</f>
        <v>0.00937</v>
      </c>
    </row>
    <row r="5695" spans="1:7">
      <c r="A5695" s="3"/>
      <c r="B5695" s="3"/>
      <c r="C5695" s="3"/>
      <c r="D5695" s="3"/>
      <c r="E5695" s="3">
        <v>12</v>
      </c>
      <c r="F5695" s="4" t="str">
        <f>HYPERLINK("http://141.218.60.56/~jnz1568/getInfo.php?workbook=14_09.xlsx&amp;sheet=U0&amp;row=5695&amp;col=6&amp;number=4.1&amp;sourceID=14","4.1")</f>
        <v>4.1</v>
      </c>
      <c r="G5695" s="4" t="str">
        <f>HYPERLINK("http://141.218.60.56/~jnz1568/getInfo.php?workbook=14_09.xlsx&amp;sheet=U0&amp;row=5695&amp;col=7&amp;number=0.00923&amp;sourceID=14","0.00923")</f>
        <v>0.00923</v>
      </c>
    </row>
    <row r="5696" spans="1:7">
      <c r="A5696" s="3"/>
      <c r="B5696" s="3"/>
      <c r="C5696" s="3"/>
      <c r="D5696" s="3"/>
      <c r="E5696" s="3">
        <v>13</v>
      </c>
      <c r="F5696" s="4" t="str">
        <f>HYPERLINK("http://141.218.60.56/~jnz1568/getInfo.php?workbook=14_09.xlsx&amp;sheet=U0&amp;row=5696&amp;col=6&amp;number=4.2&amp;sourceID=14","4.2")</f>
        <v>4.2</v>
      </c>
      <c r="G5696" s="4" t="str">
        <f>HYPERLINK("http://141.218.60.56/~jnz1568/getInfo.php?workbook=14_09.xlsx&amp;sheet=U0&amp;row=5696&amp;col=7&amp;number=0.00905&amp;sourceID=14","0.00905")</f>
        <v>0.00905</v>
      </c>
    </row>
    <row r="5697" spans="1:7">
      <c r="A5697" s="3"/>
      <c r="B5697" s="3"/>
      <c r="C5697" s="3"/>
      <c r="D5697" s="3"/>
      <c r="E5697" s="3">
        <v>14</v>
      </c>
      <c r="F5697" s="4" t="str">
        <f>HYPERLINK("http://141.218.60.56/~jnz1568/getInfo.php?workbook=14_09.xlsx&amp;sheet=U0&amp;row=5697&amp;col=6&amp;number=4.3&amp;sourceID=14","4.3")</f>
        <v>4.3</v>
      </c>
      <c r="G5697" s="4" t="str">
        <f>HYPERLINK("http://141.218.60.56/~jnz1568/getInfo.php?workbook=14_09.xlsx&amp;sheet=U0&amp;row=5697&amp;col=7&amp;number=0.00884&amp;sourceID=14","0.00884")</f>
        <v>0.00884</v>
      </c>
    </row>
    <row r="5698" spans="1:7">
      <c r="A5698" s="3"/>
      <c r="B5698" s="3"/>
      <c r="C5698" s="3"/>
      <c r="D5698" s="3"/>
      <c r="E5698" s="3">
        <v>15</v>
      </c>
      <c r="F5698" s="4" t="str">
        <f>HYPERLINK("http://141.218.60.56/~jnz1568/getInfo.php?workbook=14_09.xlsx&amp;sheet=U0&amp;row=5698&amp;col=6&amp;number=4.4&amp;sourceID=14","4.4")</f>
        <v>4.4</v>
      </c>
      <c r="G5698" s="4" t="str">
        <f>HYPERLINK("http://141.218.60.56/~jnz1568/getInfo.php?workbook=14_09.xlsx&amp;sheet=U0&amp;row=5698&amp;col=7&amp;number=0.00858&amp;sourceID=14","0.00858")</f>
        <v>0.00858</v>
      </c>
    </row>
    <row r="5699" spans="1:7">
      <c r="A5699" s="3"/>
      <c r="B5699" s="3"/>
      <c r="C5699" s="3"/>
      <c r="D5699" s="3"/>
      <c r="E5699" s="3">
        <v>16</v>
      </c>
      <c r="F5699" s="4" t="str">
        <f>HYPERLINK("http://141.218.60.56/~jnz1568/getInfo.php?workbook=14_09.xlsx&amp;sheet=U0&amp;row=5699&amp;col=6&amp;number=4.5&amp;sourceID=14","4.5")</f>
        <v>4.5</v>
      </c>
      <c r="G5699" s="4" t="str">
        <f>HYPERLINK("http://141.218.60.56/~jnz1568/getInfo.php?workbook=14_09.xlsx&amp;sheet=U0&amp;row=5699&amp;col=7&amp;number=0.00827&amp;sourceID=14","0.00827")</f>
        <v>0.00827</v>
      </c>
    </row>
    <row r="5700" spans="1:7">
      <c r="A5700" s="3"/>
      <c r="B5700" s="3"/>
      <c r="C5700" s="3"/>
      <c r="D5700" s="3"/>
      <c r="E5700" s="3">
        <v>17</v>
      </c>
      <c r="F5700" s="4" t="str">
        <f>HYPERLINK("http://141.218.60.56/~jnz1568/getInfo.php?workbook=14_09.xlsx&amp;sheet=U0&amp;row=5700&amp;col=6&amp;number=4.6&amp;sourceID=14","4.6")</f>
        <v>4.6</v>
      </c>
      <c r="G5700" s="4" t="str">
        <f>HYPERLINK("http://141.218.60.56/~jnz1568/getInfo.php?workbook=14_09.xlsx&amp;sheet=U0&amp;row=5700&amp;col=7&amp;number=0.00789&amp;sourceID=14","0.00789")</f>
        <v>0.00789</v>
      </c>
    </row>
    <row r="5701" spans="1:7">
      <c r="A5701" s="3"/>
      <c r="B5701" s="3"/>
      <c r="C5701" s="3"/>
      <c r="D5701" s="3"/>
      <c r="E5701" s="3">
        <v>18</v>
      </c>
      <c r="F5701" s="4" t="str">
        <f>HYPERLINK("http://141.218.60.56/~jnz1568/getInfo.php?workbook=14_09.xlsx&amp;sheet=U0&amp;row=5701&amp;col=6&amp;number=4.7&amp;sourceID=14","4.7")</f>
        <v>4.7</v>
      </c>
      <c r="G5701" s="4" t="str">
        <f>HYPERLINK("http://141.218.60.56/~jnz1568/getInfo.php?workbook=14_09.xlsx&amp;sheet=U0&amp;row=5701&amp;col=7&amp;number=0.00746&amp;sourceID=14","0.00746")</f>
        <v>0.00746</v>
      </c>
    </row>
    <row r="5702" spans="1:7">
      <c r="A5702" s="3"/>
      <c r="B5702" s="3"/>
      <c r="C5702" s="3"/>
      <c r="D5702" s="3"/>
      <c r="E5702" s="3">
        <v>19</v>
      </c>
      <c r="F5702" s="4" t="str">
        <f>HYPERLINK("http://141.218.60.56/~jnz1568/getInfo.php?workbook=14_09.xlsx&amp;sheet=U0&amp;row=5702&amp;col=6&amp;number=4.8&amp;sourceID=14","4.8")</f>
        <v>4.8</v>
      </c>
      <c r="G5702" s="4" t="str">
        <f>HYPERLINK("http://141.218.60.56/~jnz1568/getInfo.php?workbook=14_09.xlsx&amp;sheet=U0&amp;row=5702&amp;col=7&amp;number=0.00699&amp;sourceID=14","0.00699")</f>
        <v>0.00699</v>
      </c>
    </row>
    <row r="5703" spans="1:7">
      <c r="A5703" s="3"/>
      <c r="B5703" s="3"/>
      <c r="C5703" s="3"/>
      <c r="D5703" s="3"/>
      <c r="E5703" s="3">
        <v>20</v>
      </c>
      <c r="F5703" s="4" t="str">
        <f>HYPERLINK("http://141.218.60.56/~jnz1568/getInfo.php?workbook=14_09.xlsx&amp;sheet=U0&amp;row=5703&amp;col=6&amp;number=4.9&amp;sourceID=14","4.9")</f>
        <v>4.9</v>
      </c>
      <c r="G5703" s="4" t="str">
        <f>HYPERLINK("http://141.218.60.56/~jnz1568/getInfo.php?workbook=14_09.xlsx&amp;sheet=U0&amp;row=5703&amp;col=7&amp;number=0.0065&amp;sourceID=14","0.0065")</f>
        <v>0.0065</v>
      </c>
    </row>
    <row r="5704" spans="1:7">
      <c r="A5704" s="3">
        <v>14</v>
      </c>
      <c r="B5704" s="3">
        <v>9</v>
      </c>
      <c r="C5704" s="3">
        <v>2</v>
      </c>
      <c r="D5704" s="3">
        <v>94</v>
      </c>
      <c r="E5704" s="3">
        <v>1</v>
      </c>
      <c r="F5704" s="4" t="str">
        <f>HYPERLINK("http://141.218.60.56/~jnz1568/getInfo.php?workbook=14_09.xlsx&amp;sheet=U0&amp;row=5704&amp;col=6&amp;number=3&amp;sourceID=14","3")</f>
        <v>3</v>
      </c>
      <c r="G5704" s="4" t="str">
        <f>HYPERLINK("http://141.218.60.56/~jnz1568/getInfo.php?workbook=14_09.xlsx&amp;sheet=U0&amp;row=5704&amp;col=7&amp;number=0.00904&amp;sourceID=14","0.00904")</f>
        <v>0.00904</v>
      </c>
    </row>
    <row r="5705" spans="1:7">
      <c r="A5705" s="3"/>
      <c r="B5705" s="3"/>
      <c r="C5705" s="3"/>
      <c r="D5705" s="3"/>
      <c r="E5705" s="3">
        <v>2</v>
      </c>
      <c r="F5705" s="4" t="str">
        <f>HYPERLINK("http://141.218.60.56/~jnz1568/getInfo.php?workbook=14_09.xlsx&amp;sheet=U0&amp;row=5705&amp;col=6&amp;number=3.1&amp;sourceID=14","3.1")</f>
        <v>3.1</v>
      </c>
      <c r="G5705" s="4" t="str">
        <f>HYPERLINK("http://141.218.60.56/~jnz1568/getInfo.php?workbook=14_09.xlsx&amp;sheet=U0&amp;row=5705&amp;col=7&amp;number=0.00902&amp;sourceID=14","0.00902")</f>
        <v>0.00902</v>
      </c>
    </row>
    <row r="5706" spans="1:7">
      <c r="A5706" s="3"/>
      <c r="B5706" s="3"/>
      <c r="C5706" s="3"/>
      <c r="D5706" s="3"/>
      <c r="E5706" s="3">
        <v>3</v>
      </c>
      <c r="F5706" s="4" t="str">
        <f>HYPERLINK("http://141.218.60.56/~jnz1568/getInfo.php?workbook=14_09.xlsx&amp;sheet=U0&amp;row=5706&amp;col=6&amp;number=3.2&amp;sourceID=14","3.2")</f>
        <v>3.2</v>
      </c>
      <c r="G5706" s="4" t="str">
        <f>HYPERLINK("http://141.218.60.56/~jnz1568/getInfo.php?workbook=14_09.xlsx&amp;sheet=U0&amp;row=5706&amp;col=7&amp;number=0.00901&amp;sourceID=14","0.00901")</f>
        <v>0.00901</v>
      </c>
    </row>
    <row r="5707" spans="1:7">
      <c r="A5707" s="3"/>
      <c r="B5707" s="3"/>
      <c r="C5707" s="3"/>
      <c r="D5707" s="3"/>
      <c r="E5707" s="3">
        <v>4</v>
      </c>
      <c r="F5707" s="4" t="str">
        <f>HYPERLINK("http://141.218.60.56/~jnz1568/getInfo.php?workbook=14_09.xlsx&amp;sheet=U0&amp;row=5707&amp;col=6&amp;number=3.3&amp;sourceID=14","3.3")</f>
        <v>3.3</v>
      </c>
      <c r="G5707" s="4" t="str">
        <f>HYPERLINK("http://141.218.60.56/~jnz1568/getInfo.php?workbook=14_09.xlsx&amp;sheet=U0&amp;row=5707&amp;col=7&amp;number=0.00899&amp;sourceID=14","0.00899")</f>
        <v>0.00899</v>
      </c>
    </row>
    <row r="5708" spans="1:7">
      <c r="A5708" s="3"/>
      <c r="B5708" s="3"/>
      <c r="C5708" s="3"/>
      <c r="D5708" s="3"/>
      <c r="E5708" s="3">
        <v>5</v>
      </c>
      <c r="F5708" s="4" t="str">
        <f>HYPERLINK("http://141.218.60.56/~jnz1568/getInfo.php?workbook=14_09.xlsx&amp;sheet=U0&amp;row=5708&amp;col=6&amp;number=3.4&amp;sourceID=14","3.4")</f>
        <v>3.4</v>
      </c>
      <c r="G5708" s="4" t="str">
        <f>HYPERLINK("http://141.218.60.56/~jnz1568/getInfo.php?workbook=14_09.xlsx&amp;sheet=U0&amp;row=5708&amp;col=7&amp;number=0.00897&amp;sourceID=14","0.00897")</f>
        <v>0.00897</v>
      </c>
    </row>
    <row r="5709" spans="1:7">
      <c r="A5709" s="3"/>
      <c r="B5709" s="3"/>
      <c r="C5709" s="3"/>
      <c r="D5709" s="3"/>
      <c r="E5709" s="3">
        <v>6</v>
      </c>
      <c r="F5709" s="4" t="str">
        <f>HYPERLINK("http://141.218.60.56/~jnz1568/getInfo.php?workbook=14_09.xlsx&amp;sheet=U0&amp;row=5709&amp;col=6&amp;number=3.5&amp;sourceID=14","3.5")</f>
        <v>3.5</v>
      </c>
      <c r="G5709" s="4" t="str">
        <f>HYPERLINK("http://141.218.60.56/~jnz1568/getInfo.php?workbook=14_09.xlsx&amp;sheet=U0&amp;row=5709&amp;col=7&amp;number=0.00894&amp;sourceID=14","0.00894")</f>
        <v>0.00894</v>
      </c>
    </row>
    <row r="5710" spans="1:7">
      <c r="A5710" s="3"/>
      <c r="B5710" s="3"/>
      <c r="C5710" s="3"/>
      <c r="D5710" s="3"/>
      <c r="E5710" s="3">
        <v>7</v>
      </c>
      <c r="F5710" s="4" t="str">
        <f>HYPERLINK("http://141.218.60.56/~jnz1568/getInfo.php?workbook=14_09.xlsx&amp;sheet=U0&amp;row=5710&amp;col=6&amp;number=3.6&amp;sourceID=14","3.6")</f>
        <v>3.6</v>
      </c>
      <c r="G5710" s="4" t="str">
        <f>HYPERLINK("http://141.218.60.56/~jnz1568/getInfo.php?workbook=14_09.xlsx&amp;sheet=U0&amp;row=5710&amp;col=7&amp;number=0.0089&amp;sourceID=14","0.0089")</f>
        <v>0.0089</v>
      </c>
    </row>
    <row r="5711" spans="1:7">
      <c r="A5711" s="3"/>
      <c r="B5711" s="3"/>
      <c r="C5711" s="3"/>
      <c r="D5711" s="3"/>
      <c r="E5711" s="3">
        <v>8</v>
      </c>
      <c r="F5711" s="4" t="str">
        <f>HYPERLINK("http://141.218.60.56/~jnz1568/getInfo.php?workbook=14_09.xlsx&amp;sheet=U0&amp;row=5711&amp;col=6&amp;number=3.7&amp;sourceID=14","3.7")</f>
        <v>3.7</v>
      </c>
      <c r="G5711" s="4" t="str">
        <f>HYPERLINK("http://141.218.60.56/~jnz1568/getInfo.php?workbook=14_09.xlsx&amp;sheet=U0&amp;row=5711&amp;col=7&amp;number=0.00886&amp;sourceID=14","0.00886")</f>
        <v>0.00886</v>
      </c>
    </row>
    <row r="5712" spans="1:7">
      <c r="A5712" s="3"/>
      <c r="B5712" s="3"/>
      <c r="C5712" s="3"/>
      <c r="D5712" s="3"/>
      <c r="E5712" s="3">
        <v>9</v>
      </c>
      <c r="F5712" s="4" t="str">
        <f>HYPERLINK("http://141.218.60.56/~jnz1568/getInfo.php?workbook=14_09.xlsx&amp;sheet=U0&amp;row=5712&amp;col=6&amp;number=3.8&amp;sourceID=14","3.8")</f>
        <v>3.8</v>
      </c>
      <c r="G5712" s="4" t="str">
        <f>HYPERLINK("http://141.218.60.56/~jnz1568/getInfo.php?workbook=14_09.xlsx&amp;sheet=U0&amp;row=5712&amp;col=7&amp;number=0.0088&amp;sourceID=14","0.0088")</f>
        <v>0.0088</v>
      </c>
    </row>
    <row r="5713" spans="1:7">
      <c r="A5713" s="3"/>
      <c r="B5713" s="3"/>
      <c r="C5713" s="3"/>
      <c r="D5713" s="3"/>
      <c r="E5713" s="3">
        <v>10</v>
      </c>
      <c r="F5713" s="4" t="str">
        <f>HYPERLINK("http://141.218.60.56/~jnz1568/getInfo.php?workbook=14_09.xlsx&amp;sheet=U0&amp;row=5713&amp;col=6&amp;number=3.9&amp;sourceID=14","3.9")</f>
        <v>3.9</v>
      </c>
      <c r="G5713" s="4" t="str">
        <f>HYPERLINK("http://141.218.60.56/~jnz1568/getInfo.php?workbook=14_09.xlsx&amp;sheet=U0&amp;row=5713&amp;col=7&amp;number=0.00873&amp;sourceID=14","0.00873")</f>
        <v>0.00873</v>
      </c>
    </row>
    <row r="5714" spans="1:7">
      <c r="A5714" s="3"/>
      <c r="B5714" s="3"/>
      <c r="C5714" s="3"/>
      <c r="D5714" s="3"/>
      <c r="E5714" s="3">
        <v>11</v>
      </c>
      <c r="F5714" s="4" t="str">
        <f>HYPERLINK("http://141.218.60.56/~jnz1568/getInfo.php?workbook=14_09.xlsx&amp;sheet=U0&amp;row=5714&amp;col=6&amp;number=4&amp;sourceID=14","4")</f>
        <v>4</v>
      </c>
      <c r="G5714" s="4" t="str">
        <f>HYPERLINK("http://141.218.60.56/~jnz1568/getInfo.php?workbook=14_09.xlsx&amp;sheet=U0&amp;row=5714&amp;col=7&amp;number=0.00864&amp;sourceID=14","0.00864")</f>
        <v>0.00864</v>
      </c>
    </row>
    <row r="5715" spans="1:7">
      <c r="A5715" s="3"/>
      <c r="B5715" s="3"/>
      <c r="C5715" s="3"/>
      <c r="D5715" s="3"/>
      <c r="E5715" s="3">
        <v>12</v>
      </c>
      <c r="F5715" s="4" t="str">
        <f>HYPERLINK("http://141.218.60.56/~jnz1568/getInfo.php?workbook=14_09.xlsx&amp;sheet=U0&amp;row=5715&amp;col=6&amp;number=4.1&amp;sourceID=14","4.1")</f>
        <v>4.1</v>
      </c>
      <c r="G5715" s="4" t="str">
        <f>HYPERLINK("http://141.218.60.56/~jnz1568/getInfo.php?workbook=14_09.xlsx&amp;sheet=U0&amp;row=5715&amp;col=7&amp;number=0.00852&amp;sourceID=14","0.00852")</f>
        <v>0.00852</v>
      </c>
    </row>
    <row r="5716" spans="1:7">
      <c r="A5716" s="3"/>
      <c r="B5716" s="3"/>
      <c r="C5716" s="3"/>
      <c r="D5716" s="3"/>
      <c r="E5716" s="3">
        <v>13</v>
      </c>
      <c r="F5716" s="4" t="str">
        <f>HYPERLINK("http://141.218.60.56/~jnz1568/getInfo.php?workbook=14_09.xlsx&amp;sheet=U0&amp;row=5716&amp;col=6&amp;number=4.2&amp;sourceID=14","4.2")</f>
        <v>4.2</v>
      </c>
      <c r="G5716" s="4" t="str">
        <f>HYPERLINK("http://141.218.60.56/~jnz1568/getInfo.php?workbook=14_09.xlsx&amp;sheet=U0&amp;row=5716&amp;col=7&amp;number=0.00839&amp;sourceID=14","0.00839")</f>
        <v>0.00839</v>
      </c>
    </row>
    <row r="5717" spans="1:7">
      <c r="A5717" s="3"/>
      <c r="B5717" s="3"/>
      <c r="C5717" s="3"/>
      <c r="D5717" s="3"/>
      <c r="E5717" s="3">
        <v>14</v>
      </c>
      <c r="F5717" s="4" t="str">
        <f>HYPERLINK("http://141.218.60.56/~jnz1568/getInfo.php?workbook=14_09.xlsx&amp;sheet=U0&amp;row=5717&amp;col=6&amp;number=4.3&amp;sourceID=14","4.3")</f>
        <v>4.3</v>
      </c>
      <c r="G5717" s="4" t="str">
        <f>HYPERLINK("http://141.218.60.56/~jnz1568/getInfo.php?workbook=14_09.xlsx&amp;sheet=U0&amp;row=5717&amp;col=7&amp;number=0.00821&amp;sourceID=14","0.00821")</f>
        <v>0.00821</v>
      </c>
    </row>
    <row r="5718" spans="1:7">
      <c r="A5718" s="3"/>
      <c r="B5718" s="3"/>
      <c r="C5718" s="3"/>
      <c r="D5718" s="3"/>
      <c r="E5718" s="3">
        <v>15</v>
      </c>
      <c r="F5718" s="4" t="str">
        <f>HYPERLINK("http://141.218.60.56/~jnz1568/getInfo.php?workbook=14_09.xlsx&amp;sheet=U0&amp;row=5718&amp;col=6&amp;number=4.4&amp;sourceID=14","4.4")</f>
        <v>4.4</v>
      </c>
      <c r="G5718" s="4" t="str">
        <f>HYPERLINK("http://141.218.60.56/~jnz1568/getInfo.php?workbook=14_09.xlsx&amp;sheet=U0&amp;row=5718&amp;col=7&amp;number=0.00801&amp;sourceID=14","0.00801")</f>
        <v>0.00801</v>
      </c>
    </row>
    <row r="5719" spans="1:7">
      <c r="A5719" s="3"/>
      <c r="B5719" s="3"/>
      <c r="C5719" s="3"/>
      <c r="D5719" s="3"/>
      <c r="E5719" s="3">
        <v>16</v>
      </c>
      <c r="F5719" s="4" t="str">
        <f>HYPERLINK("http://141.218.60.56/~jnz1568/getInfo.php?workbook=14_09.xlsx&amp;sheet=U0&amp;row=5719&amp;col=6&amp;number=4.5&amp;sourceID=14","4.5")</f>
        <v>4.5</v>
      </c>
      <c r="G5719" s="4" t="str">
        <f>HYPERLINK("http://141.218.60.56/~jnz1568/getInfo.php?workbook=14_09.xlsx&amp;sheet=U0&amp;row=5719&amp;col=7&amp;number=0.00775&amp;sourceID=14","0.00775")</f>
        <v>0.00775</v>
      </c>
    </row>
    <row r="5720" spans="1:7">
      <c r="A5720" s="3"/>
      <c r="B5720" s="3"/>
      <c r="C5720" s="3"/>
      <c r="D5720" s="3"/>
      <c r="E5720" s="3">
        <v>17</v>
      </c>
      <c r="F5720" s="4" t="str">
        <f>HYPERLINK("http://141.218.60.56/~jnz1568/getInfo.php?workbook=14_09.xlsx&amp;sheet=U0&amp;row=5720&amp;col=6&amp;number=4.6&amp;sourceID=14","4.6")</f>
        <v>4.6</v>
      </c>
      <c r="G5720" s="4" t="str">
        <f>HYPERLINK("http://141.218.60.56/~jnz1568/getInfo.php?workbook=14_09.xlsx&amp;sheet=U0&amp;row=5720&amp;col=7&amp;number=0.00746&amp;sourceID=14","0.00746")</f>
        <v>0.00746</v>
      </c>
    </row>
    <row r="5721" spans="1:7">
      <c r="A5721" s="3"/>
      <c r="B5721" s="3"/>
      <c r="C5721" s="3"/>
      <c r="D5721" s="3"/>
      <c r="E5721" s="3">
        <v>18</v>
      </c>
      <c r="F5721" s="4" t="str">
        <f>HYPERLINK("http://141.218.60.56/~jnz1568/getInfo.php?workbook=14_09.xlsx&amp;sheet=U0&amp;row=5721&amp;col=6&amp;number=4.7&amp;sourceID=14","4.7")</f>
        <v>4.7</v>
      </c>
      <c r="G5721" s="4" t="str">
        <f>HYPERLINK("http://141.218.60.56/~jnz1568/getInfo.php?workbook=14_09.xlsx&amp;sheet=U0&amp;row=5721&amp;col=7&amp;number=0.00711&amp;sourceID=14","0.00711")</f>
        <v>0.00711</v>
      </c>
    </row>
    <row r="5722" spans="1:7">
      <c r="A5722" s="3"/>
      <c r="B5722" s="3"/>
      <c r="C5722" s="3"/>
      <c r="D5722" s="3"/>
      <c r="E5722" s="3">
        <v>19</v>
      </c>
      <c r="F5722" s="4" t="str">
        <f>HYPERLINK("http://141.218.60.56/~jnz1568/getInfo.php?workbook=14_09.xlsx&amp;sheet=U0&amp;row=5722&amp;col=6&amp;number=4.8&amp;sourceID=14","4.8")</f>
        <v>4.8</v>
      </c>
      <c r="G5722" s="4" t="str">
        <f>HYPERLINK("http://141.218.60.56/~jnz1568/getInfo.php?workbook=14_09.xlsx&amp;sheet=U0&amp;row=5722&amp;col=7&amp;number=0.00674&amp;sourceID=14","0.00674")</f>
        <v>0.00674</v>
      </c>
    </row>
    <row r="5723" spans="1:7">
      <c r="A5723" s="3"/>
      <c r="B5723" s="3"/>
      <c r="C5723" s="3"/>
      <c r="D5723" s="3"/>
      <c r="E5723" s="3">
        <v>20</v>
      </c>
      <c r="F5723" s="4" t="str">
        <f>HYPERLINK("http://141.218.60.56/~jnz1568/getInfo.php?workbook=14_09.xlsx&amp;sheet=U0&amp;row=5723&amp;col=6&amp;number=4.9&amp;sourceID=14","4.9")</f>
        <v>4.9</v>
      </c>
      <c r="G5723" s="4" t="str">
        <f>HYPERLINK("http://141.218.60.56/~jnz1568/getInfo.php?workbook=14_09.xlsx&amp;sheet=U0&amp;row=5723&amp;col=7&amp;number=0.00635&amp;sourceID=14","0.00635")</f>
        <v>0.00635</v>
      </c>
    </row>
    <row r="5724" spans="1:7">
      <c r="A5724" s="3">
        <v>14</v>
      </c>
      <c r="B5724" s="3">
        <v>9</v>
      </c>
      <c r="C5724" s="3">
        <v>2</v>
      </c>
      <c r="D5724" s="3">
        <v>95</v>
      </c>
      <c r="E5724" s="3">
        <v>1</v>
      </c>
      <c r="F5724" s="4" t="str">
        <f>HYPERLINK("http://141.218.60.56/~jnz1568/getInfo.php?workbook=14_09.xlsx&amp;sheet=U0&amp;row=5724&amp;col=6&amp;number=3&amp;sourceID=14","3")</f>
        <v>3</v>
      </c>
      <c r="G5724" s="4" t="str">
        <f>HYPERLINK("http://141.218.60.56/~jnz1568/getInfo.php?workbook=14_09.xlsx&amp;sheet=U0&amp;row=5724&amp;col=7&amp;number=0.0121&amp;sourceID=14","0.0121")</f>
        <v>0.0121</v>
      </c>
    </row>
    <row r="5725" spans="1:7">
      <c r="A5725" s="3"/>
      <c r="B5725" s="3"/>
      <c r="C5725" s="3"/>
      <c r="D5725" s="3"/>
      <c r="E5725" s="3">
        <v>2</v>
      </c>
      <c r="F5725" s="4" t="str">
        <f>HYPERLINK("http://141.218.60.56/~jnz1568/getInfo.php?workbook=14_09.xlsx&amp;sheet=U0&amp;row=5725&amp;col=6&amp;number=3.1&amp;sourceID=14","3.1")</f>
        <v>3.1</v>
      </c>
      <c r="G5725" s="4" t="str">
        <f>HYPERLINK("http://141.218.60.56/~jnz1568/getInfo.php?workbook=14_09.xlsx&amp;sheet=U0&amp;row=5725&amp;col=7&amp;number=0.0121&amp;sourceID=14","0.0121")</f>
        <v>0.0121</v>
      </c>
    </row>
    <row r="5726" spans="1:7">
      <c r="A5726" s="3"/>
      <c r="B5726" s="3"/>
      <c r="C5726" s="3"/>
      <c r="D5726" s="3"/>
      <c r="E5726" s="3">
        <v>3</v>
      </c>
      <c r="F5726" s="4" t="str">
        <f>HYPERLINK("http://141.218.60.56/~jnz1568/getInfo.php?workbook=14_09.xlsx&amp;sheet=U0&amp;row=5726&amp;col=6&amp;number=3.2&amp;sourceID=14","3.2")</f>
        <v>3.2</v>
      </c>
      <c r="G5726" s="4" t="str">
        <f>HYPERLINK("http://141.218.60.56/~jnz1568/getInfo.php?workbook=14_09.xlsx&amp;sheet=U0&amp;row=5726&amp;col=7&amp;number=0.0121&amp;sourceID=14","0.0121")</f>
        <v>0.0121</v>
      </c>
    </row>
    <row r="5727" spans="1:7">
      <c r="A5727" s="3"/>
      <c r="B5727" s="3"/>
      <c r="C5727" s="3"/>
      <c r="D5727" s="3"/>
      <c r="E5727" s="3">
        <v>4</v>
      </c>
      <c r="F5727" s="4" t="str">
        <f>HYPERLINK("http://141.218.60.56/~jnz1568/getInfo.php?workbook=14_09.xlsx&amp;sheet=U0&amp;row=5727&amp;col=6&amp;number=3.3&amp;sourceID=14","3.3")</f>
        <v>3.3</v>
      </c>
      <c r="G5727" s="4" t="str">
        <f>HYPERLINK("http://141.218.60.56/~jnz1568/getInfo.php?workbook=14_09.xlsx&amp;sheet=U0&amp;row=5727&amp;col=7&amp;number=0.0121&amp;sourceID=14","0.0121")</f>
        <v>0.0121</v>
      </c>
    </row>
    <row r="5728" spans="1:7">
      <c r="A5728" s="3"/>
      <c r="B5728" s="3"/>
      <c r="C5728" s="3"/>
      <c r="D5728" s="3"/>
      <c r="E5728" s="3">
        <v>5</v>
      </c>
      <c r="F5728" s="4" t="str">
        <f>HYPERLINK("http://141.218.60.56/~jnz1568/getInfo.php?workbook=14_09.xlsx&amp;sheet=U0&amp;row=5728&amp;col=6&amp;number=3.4&amp;sourceID=14","3.4")</f>
        <v>3.4</v>
      </c>
      <c r="G5728" s="4" t="str">
        <f>HYPERLINK("http://141.218.60.56/~jnz1568/getInfo.php?workbook=14_09.xlsx&amp;sheet=U0&amp;row=5728&amp;col=7&amp;number=0.0121&amp;sourceID=14","0.0121")</f>
        <v>0.0121</v>
      </c>
    </row>
    <row r="5729" spans="1:7">
      <c r="A5729" s="3"/>
      <c r="B5729" s="3"/>
      <c r="C5729" s="3"/>
      <c r="D5729" s="3"/>
      <c r="E5729" s="3">
        <v>6</v>
      </c>
      <c r="F5729" s="4" t="str">
        <f>HYPERLINK("http://141.218.60.56/~jnz1568/getInfo.php?workbook=14_09.xlsx&amp;sheet=U0&amp;row=5729&amp;col=6&amp;number=3.5&amp;sourceID=14","3.5")</f>
        <v>3.5</v>
      </c>
      <c r="G5729" s="4" t="str">
        <f>HYPERLINK("http://141.218.60.56/~jnz1568/getInfo.php?workbook=14_09.xlsx&amp;sheet=U0&amp;row=5729&amp;col=7&amp;number=0.0121&amp;sourceID=14","0.0121")</f>
        <v>0.0121</v>
      </c>
    </row>
    <row r="5730" spans="1:7">
      <c r="A5730" s="3"/>
      <c r="B5730" s="3"/>
      <c r="C5730" s="3"/>
      <c r="D5730" s="3"/>
      <c r="E5730" s="3">
        <v>7</v>
      </c>
      <c r="F5730" s="4" t="str">
        <f>HYPERLINK("http://141.218.60.56/~jnz1568/getInfo.php?workbook=14_09.xlsx&amp;sheet=U0&amp;row=5730&amp;col=6&amp;number=3.6&amp;sourceID=14","3.6")</f>
        <v>3.6</v>
      </c>
      <c r="G5730" s="4" t="str">
        <f>HYPERLINK("http://141.218.60.56/~jnz1568/getInfo.php?workbook=14_09.xlsx&amp;sheet=U0&amp;row=5730&amp;col=7&amp;number=0.012&amp;sourceID=14","0.012")</f>
        <v>0.012</v>
      </c>
    </row>
    <row r="5731" spans="1:7">
      <c r="A5731" s="3"/>
      <c r="B5731" s="3"/>
      <c r="C5731" s="3"/>
      <c r="D5731" s="3"/>
      <c r="E5731" s="3">
        <v>8</v>
      </c>
      <c r="F5731" s="4" t="str">
        <f>HYPERLINK("http://141.218.60.56/~jnz1568/getInfo.php?workbook=14_09.xlsx&amp;sheet=U0&amp;row=5731&amp;col=6&amp;number=3.7&amp;sourceID=14","3.7")</f>
        <v>3.7</v>
      </c>
      <c r="G5731" s="4" t="str">
        <f>HYPERLINK("http://141.218.60.56/~jnz1568/getInfo.php?workbook=14_09.xlsx&amp;sheet=U0&amp;row=5731&amp;col=7&amp;number=0.012&amp;sourceID=14","0.012")</f>
        <v>0.012</v>
      </c>
    </row>
    <row r="5732" spans="1:7">
      <c r="A5732" s="3"/>
      <c r="B5732" s="3"/>
      <c r="C5732" s="3"/>
      <c r="D5732" s="3"/>
      <c r="E5732" s="3">
        <v>9</v>
      </c>
      <c r="F5732" s="4" t="str">
        <f>HYPERLINK("http://141.218.60.56/~jnz1568/getInfo.php?workbook=14_09.xlsx&amp;sheet=U0&amp;row=5732&amp;col=6&amp;number=3.8&amp;sourceID=14","3.8")</f>
        <v>3.8</v>
      </c>
      <c r="G5732" s="4" t="str">
        <f>HYPERLINK("http://141.218.60.56/~jnz1568/getInfo.php?workbook=14_09.xlsx&amp;sheet=U0&amp;row=5732&amp;col=7&amp;number=0.0119&amp;sourceID=14","0.0119")</f>
        <v>0.0119</v>
      </c>
    </row>
    <row r="5733" spans="1:7">
      <c r="A5733" s="3"/>
      <c r="B5733" s="3"/>
      <c r="C5733" s="3"/>
      <c r="D5733" s="3"/>
      <c r="E5733" s="3">
        <v>10</v>
      </c>
      <c r="F5733" s="4" t="str">
        <f>HYPERLINK("http://141.218.60.56/~jnz1568/getInfo.php?workbook=14_09.xlsx&amp;sheet=U0&amp;row=5733&amp;col=6&amp;number=3.9&amp;sourceID=14","3.9")</f>
        <v>3.9</v>
      </c>
      <c r="G5733" s="4" t="str">
        <f>HYPERLINK("http://141.218.60.56/~jnz1568/getInfo.php?workbook=14_09.xlsx&amp;sheet=U0&amp;row=5733&amp;col=7&amp;number=0.0119&amp;sourceID=14","0.0119")</f>
        <v>0.0119</v>
      </c>
    </row>
    <row r="5734" spans="1:7">
      <c r="A5734" s="3"/>
      <c r="B5734" s="3"/>
      <c r="C5734" s="3"/>
      <c r="D5734" s="3"/>
      <c r="E5734" s="3">
        <v>11</v>
      </c>
      <c r="F5734" s="4" t="str">
        <f>HYPERLINK("http://141.218.60.56/~jnz1568/getInfo.php?workbook=14_09.xlsx&amp;sheet=U0&amp;row=5734&amp;col=6&amp;number=4&amp;sourceID=14","4")</f>
        <v>4</v>
      </c>
      <c r="G5734" s="4" t="str">
        <f>HYPERLINK("http://141.218.60.56/~jnz1568/getInfo.php?workbook=14_09.xlsx&amp;sheet=U0&amp;row=5734&amp;col=7&amp;number=0.0118&amp;sourceID=14","0.0118")</f>
        <v>0.0118</v>
      </c>
    </row>
    <row r="5735" spans="1:7">
      <c r="A5735" s="3"/>
      <c r="B5735" s="3"/>
      <c r="C5735" s="3"/>
      <c r="D5735" s="3"/>
      <c r="E5735" s="3">
        <v>12</v>
      </c>
      <c r="F5735" s="4" t="str">
        <f>HYPERLINK("http://141.218.60.56/~jnz1568/getInfo.php?workbook=14_09.xlsx&amp;sheet=U0&amp;row=5735&amp;col=6&amp;number=4.1&amp;sourceID=14","4.1")</f>
        <v>4.1</v>
      </c>
      <c r="G5735" s="4" t="str">
        <f>HYPERLINK("http://141.218.60.56/~jnz1568/getInfo.php?workbook=14_09.xlsx&amp;sheet=U0&amp;row=5735&amp;col=7&amp;number=0.0117&amp;sourceID=14","0.0117")</f>
        <v>0.0117</v>
      </c>
    </row>
    <row r="5736" spans="1:7">
      <c r="A5736" s="3"/>
      <c r="B5736" s="3"/>
      <c r="C5736" s="3"/>
      <c r="D5736" s="3"/>
      <c r="E5736" s="3">
        <v>13</v>
      </c>
      <c r="F5736" s="4" t="str">
        <f>HYPERLINK("http://141.218.60.56/~jnz1568/getInfo.php?workbook=14_09.xlsx&amp;sheet=U0&amp;row=5736&amp;col=6&amp;number=4.2&amp;sourceID=14","4.2")</f>
        <v>4.2</v>
      </c>
      <c r="G5736" s="4" t="str">
        <f>HYPERLINK("http://141.218.60.56/~jnz1568/getInfo.php?workbook=14_09.xlsx&amp;sheet=U0&amp;row=5736&amp;col=7&amp;number=0.0116&amp;sourceID=14","0.0116")</f>
        <v>0.0116</v>
      </c>
    </row>
    <row r="5737" spans="1:7">
      <c r="A5737" s="3"/>
      <c r="B5737" s="3"/>
      <c r="C5737" s="3"/>
      <c r="D5737" s="3"/>
      <c r="E5737" s="3">
        <v>14</v>
      </c>
      <c r="F5737" s="4" t="str">
        <f>HYPERLINK("http://141.218.60.56/~jnz1568/getInfo.php?workbook=14_09.xlsx&amp;sheet=U0&amp;row=5737&amp;col=6&amp;number=4.3&amp;sourceID=14","4.3")</f>
        <v>4.3</v>
      </c>
      <c r="G5737" s="4" t="str">
        <f>HYPERLINK("http://141.218.60.56/~jnz1568/getInfo.php?workbook=14_09.xlsx&amp;sheet=U0&amp;row=5737&amp;col=7&amp;number=0.0114&amp;sourceID=14","0.0114")</f>
        <v>0.0114</v>
      </c>
    </row>
    <row r="5738" spans="1:7">
      <c r="A5738" s="3"/>
      <c r="B5738" s="3"/>
      <c r="C5738" s="3"/>
      <c r="D5738" s="3"/>
      <c r="E5738" s="3">
        <v>15</v>
      </c>
      <c r="F5738" s="4" t="str">
        <f>HYPERLINK("http://141.218.60.56/~jnz1568/getInfo.php?workbook=14_09.xlsx&amp;sheet=U0&amp;row=5738&amp;col=6&amp;number=4.4&amp;sourceID=14","4.4")</f>
        <v>4.4</v>
      </c>
      <c r="G5738" s="4" t="str">
        <f>HYPERLINK("http://141.218.60.56/~jnz1568/getInfo.php?workbook=14_09.xlsx&amp;sheet=U0&amp;row=5738&amp;col=7&amp;number=0.0113&amp;sourceID=14","0.0113")</f>
        <v>0.0113</v>
      </c>
    </row>
    <row r="5739" spans="1:7">
      <c r="A5739" s="3"/>
      <c r="B5739" s="3"/>
      <c r="C5739" s="3"/>
      <c r="D5739" s="3"/>
      <c r="E5739" s="3">
        <v>16</v>
      </c>
      <c r="F5739" s="4" t="str">
        <f>HYPERLINK("http://141.218.60.56/~jnz1568/getInfo.php?workbook=14_09.xlsx&amp;sheet=U0&amp;row=5739&amp;col=6&amp;number=4.5&amp;sourceID=14","4.5")</f>
        <v>4.5</v>
      </c>
      <c r="G5739" s="4" t="str">
        <f>HYPERLINK("http://141.218.60.56/~jnz1568/getInfo.php?workbook=14_09.xlsx&amp;sheet=U0&amp;row=5739&amp;col=7&amp;number=0.011&amp;sourceID=14","0.011")</f>
        <v>0.011</v>
      </c>
    </row>
    <row r="5740" spans="1:7">
      <c r="A5740" s="3"/>
      <c r="B5740" s="3"/>
      <c r="C5740" s="3"/>
      <c r="D5740" s="3"/>
      <c r="E5740" s="3">
        <v>17</v>
      </c>
      <c r="F5740" s="4" t="str">
        <f>HYPERLINK("http://141.218.60.56/~jnz1568/getInfo.php?workbook=14_09.xlsx&amp;sheet=U0&amp;row=5740&amp;col=6&amp;number=4.6&amp;sourceID=14","4.6")</f>
        <v>4.6</v>
      </c>
      <c r="G5740" s="4" t="str">
        <f>HYPERLINK("http://141.218.60.56/~jnz1568/getInfo.php?workbook=14_09.xlsx&amp;sheet=U0&amp;row=5740&amp;col=7&amp;number=0.0108&amp;sourceID=14","0.0108")</f>
        <v>0.0108</v>
      </c>
    </row>
    <row r="5741" spans="1:7">
      <c r="A5741" s="3"/>
      <c r="B5741" s="3"/>
      <c r="C5741" s="3"/>
      <c r="D5741" s="3"/>
      <c r="E5741" s="3">
        <v>18</v>
      </c>
      <c r="F5741" s="4" t="str">
        <f>HYPERLINK("http://141.218.60.56/~jnz1568/getInfo.php?workbook=14_09.xlsx&amp;sheet=U0&amp;row=5741&amp;col=6&amp;number=4.7&amp;sourceID=14","4.7")</f>
        <v>4.7</v>
      </c>
      <c r="G5741" s="4" t="str">
        <f>HYPERLINK("http://141.218.60.56/~jnz1568/getInfo.php?workbook=14_09.xlsx&amp;sheet=U0&amp;row=5741&amp;col=7&amp;number=0.0104&amp;sourceID=14","0.0104")</f>
        <v>0.0104</v>
      </c>
    </row>
    <row r="5742" spans="1:7">
      <c r="A5742" s="3"/>
      <c r="B5742" s="3"/>
      <c r="C5742" s="3"/>
      <c r="D5742" s="3"/>
      <c r="E5742" s="3">
        <v>19</v>
      </c>
      <c r="F5742" s="4" t="str">
        <f>HYPERLINK("http://141.218.60.56/~jnz1568/getInfo.php?workbook=14_09.xlsx&amp;sheet=U0&amp;row=5742&amp;col=6&amp;number=4.8&amp;sourceID=14","4.8")</f>
        <v>4.8</v>
      </c>
      <c r="G5742" s="4" t="str">
        <f>HYPERLINK("http://141.218.60.56/~jnz1568/getInfo.php?workbook=14_09.xlsx&amp;sheet=U0&amp;row=5742&amp;col=7&amp;number=0.0101&amp;sourceID=14","0.0101")</f>
        <v>0.0101</v>
      </c>
    </row>
    <row r="5743" spans="1:7">
      <c r="A5743" s="3"/>
      <c r="B5743" s="3"/>
      <c r="C5743" s="3"/>
      <c r="D5743" s="3"/>
      <c r="E5743" s="3">
        <v>20</v>
      </c>
      <c r="F5743" s="4" t="str">
        <f>HYPERLINK("http://141.218.60.56/~jnz1568/getInfo.php?workbook=14_09.xlsx&amp;sheet=U0&amp;row=5743&amp;col=6&amp;number=4.9&amp;sourceID=14","4.9")</f>
        <v>4.9</v>
      </c>
      <c r="G5743" s="4" t="str">
        <f>HYPERLINK("http://141.218.60.56/~jnz1568/getInfo.php?workbook=14_09.xlsx&amp;sheet=U0&amp;row=5743&amp;col=7&amp;number=0.00965&amp;sourceID=14","0.00965")</f>
        <v>0.00965</v>
      </c>
    </row>
    <row r="5744" spans="1:7">
      <c r="A5744" s="3">
        <v>14</v>
      </c>
      <c r="B5744" s="3">
        <v>9</v>
      </c>
      <c r="C5744" s="3">
        <v>2</v>
      </c>
      <c r="D5744" s="3">
        <v>96</v>
      </c>
      <c r="E5744" s="3">
        <v>1</v>
      </c>
      <c r="F5744" s="4" t="str">
        <f>HYPERLINK("http://141.218.60.56/~jnz1568/getInfo.php?workbook=14_09.xlsx&amp;sheet=U0&amp;row=5744&amp;col=6&amp;number=3&amp;sourceID=14","3")</f>
        <v>3</v>
      </c>
      <c r="G5744" s="4" t="str">
        <f>HYPERLINK("http://141.218.60.56/~jnz1568/getInfo.php?workbook=14_09.xlsx&amp;sheet=U0&amp;row=5744&amp;col=7&amp;number=0.0118&amp;sourceID=14","0.0118")</f>
        <v>0.0118</v>
      </c>
    </row>
    <row r="5745" spans="1:7">
      <c r="A5745" s="3"/>
      <c r="B5745" s="3"/>
      <c r="C5745" s="3"/>
      <c r="D5745" s="3"/>
      <c r="E5745" s="3">
        <v>2</v>
      </c>
      <c r="F5745" s="4" t="str">
        <f>HYPERLINK("http://141.218.60.56/~jnz1568/getInfo.php?workbook=14_09.xlsx&amp;sheet=U0&amp;row=5745&amp;col=6&amp;number=3.1&amp;sourceID=14","3.1")</f>
        <v>3.1</v>
      </c>
      <c r="G5745" s="4" t="str">
        <f>HYPERLINK("http://141.218.60.56/~jnz1568/getInfo.php?workbook=14_09.xlsx&amp;sheet=U0&amp;row=5745&amp;col=7&amp;number=0.0118&amp;sourceID=14","0.0118")</f>
        <v>0.0118</v>
      </c>
    </row>
    <row r="5746" spans="1:7">
      <c r="A5746" s="3"/>
      <c r="B5746" s="3"/>
      <c r="C5746" s="3"/>
      <c r="D5746" s="3"/>
      <c r="E5746" s="3">
        <v>3</v>
      </c>
      <c r="F5746" s="4" t="str">
        <f>HYPERLINK("http://141.218.60.56/~jnz1568/getInfo.php?workbook=14_09.xlsx&amp;sheet=U0&amp;row=5746&amp;col=6&amp;number=3.2&amp;sourceID=14","3.2")</f>
        <v>3.2</v>
      </c>
      <c r="G5746" s="4" t="str">
        <f>HYPERLINK("http://141.218.60.56/~jnz1568/getInfo.php?workbook=14_09.xlsx&amp;sheet=U0&amp;row=5746&amp;col=7&amp;number=0.0117&amp;sourceID=14","0.0117")</f>
        <v>0.0117</v>
      </c>
    </row>
    <row r="5747" spans="1:7">
      <c r="A5747" s="3"/>
      <c r="B5747" s="3"/>
      <c r="C5747" s="3"/>
      <c r="D5747" s="3"/>
      <c r="E5747" s="3">
        <v>4</v>
      </c>
      <c r="F5747" s="4" t="str">
        <f>HYPERLINK("http://141.218.60.56/~jnz1568/getInfo.php?workbook=14_09.xlsx&amp;sheet=U0&amp;row=5747&amp;col=6&amp;number=3.3&amp;sourceID=14","3.3")</f>
        <v>3.3</v>
      </c>
      <c r="G5747" s="4" t="str">
        <f>HYPERLINK("http://141.218.60.56/~jnz1568/getInfo.php?workbook=14_09.xlsx&amp;sheet=U0&amp;row=5747&amp;col=7&amp;number=0.0117&amp;sourceID=14","0.0117")</f>
        <v>0.0117</v>
      </c>
    </row>
    <row r="5748" spans="1:7">
      <c r="A5748" s="3"/>
      <c r="B5748" s="3"/>
      <c r="C5748" s="3"/>
      <c r="D5748" s="3"/>
      <c r="E5748" s="3">
        <v>5</v>
      </c>
      <c r="F5748" s="4" t="str">
        <f>HYPERLINK("http://141.218.60.56/~jnz1568/getInfo.php?workbook=14_09.xlsx&amp;sheet=U0&amp;row=5748&amp;col=6&amp;number=3.4&amp;sourceID=14","3.4")</f>
        <v>3.4</v>
      </c>
      <c r="G5748" s="4" t="str">
        <f>HYPERLINK("http://141.218.60.56/~jnz1568/getInfo.php?workbook=14_09.xlsx&amp;sheet=U0&amp;row=5748&amp;col=7&amp;number=0.0117&amp;sourceID=14","0.0117")</f>
        <v>0.0117</v>
      </c>
    </row>
    <row r="5749" spans="1:7">
      <c r="A5749" s="3"/>
      <c r="B5749" s="3"/>
      <c r="C5749" s="3"/>
      <c r="D5749" s="3"/>
      <c r="E5749" s="3">
        <v>6</v>
      </c>
      <c r="F5749" s="4" t="str">
        <f>HYPERLINK("http://141.218.60.56/~jnz1568/getInfo.php?workbook=14_09.xlsx&amp;sheet=U0&amp;row=5749&amp;col=6&amp;number=3.5&amp;sourceID=14","3.5")</f>
        <v>3.5</v>
      </c>
      <c r="G5749" s="4" t="str">
        <f>HYPERLINK("http://141.218.60.56/~jnz1568/getInfo.php?workbook=14_09.xlsx&amp;sheet=U0&amp;row=5749&amp;col=7&amp;number=0.0117&amp;sourceID=14","0.0117")</f>
        <v>0.0117</v>
      </c>
    </row>
    <row r="5750" spans="1:7">
      <c r="A5750" s="3"/>
      <c r="B5750" s="3"/>
      <c r="C5750" s="3"/>
      <c r="D5750" s="3"/>
      <c r="E5750" s="3">
        <v>7</v>
      </c>
      <c r="F5750" s="4" t="str">
        <f>HYPERLINK("http://141.218.60.56/~jnz1568/getInfo.php?workbook=14_09.xlsx&amp;sheet=U0&amp;row=5750&amp;col=6&amp;number=3.6&amp;sourceID=14","3.6")</f>
        <v>3.6</v>
      </c>
      <c r="G5750" s="4" t="str">
        <f>HYPERLINK("http://141.218.60.56/~jnz1568/getInfo.php?workbook=14_09.xlsx&amp;sheet=U0&amp;row=5750&amp;col=7&amp;number=0.0116&amp;sourceID=14","0.0116")</f>
        <v>0.0116</v>
      </c>
    </row>
    <row r="5751" spans="1:7">
      <c r="A5751" s="3"/>
      <c r="B5751" s="3"/>
      <c r="C5751" s="3"/>
      <c r="D5751" s="3"/>
      <c r="E5751" s="3">
        <v>8</v>
      </c>
      <c r="F5751" s="4" t="str">
        <f>HYPERLINK("http://141.218.60.56/~jnz1568/getInfo.php?workbook=14_09.xlsx&amp;sheet=U0&amp;row=5751&amp;col=6&amp;number=3.7&amp;sourceID=14","3.7")</f>
        <v>3.7</v>
      </c>
      <c r="G5751" s="4" t="str">
        <f>HYPERLINK("http://141.218.60.56/~jnz1568/getInfo.php?workbook=14_09.xlsx&amp;sheet=U0&amp;row=5751&amp;col=7&amp;number=0.0115&amp;sourceID=14","0.0115")</f>
        <v>0.0115</v>
      </c>
    </row>
    <row r="5752" spans="1:7">
      <c r="A5752" s="3"/>
      <c r="B5752" s="3"/>
      <c r="C5752" s="3"/>
      <c r="D5752" s="3"/>
      <c r="E5752" s="3">
        <v>9</v>
      </c>
      <c r="F5752" s="4" t="str">
        <f>HYPERLINK("http://141.218.60.56/~jnz1568/getInfo.php?workbook=14_09.xlsx&amp;sheet=U0&amp;row=5752&amp;col=6&amp;number=3.8&amp;sourceID=14","3.8")</f>
        <v>3.8</v>
      </c>
      <c r="G5752" s="4" t="str">
        <f>HYPERLINK("http://141.218.60.56/~jnz1568/getInfo.php?workbook=14_09.xlsx&amp;sheet=U0&amp;row=5752&amp;col=7&amp;number=0.0115&amp;sourceID=14","0.0115")</f>
        <v>0.0115</v>
      </c>
    </row>
    <row r="5753" spans="1:7">
      <c r="A5753" s="3"/>
      <c r="B5753" s="3"/>
      <c r="C5753" s="3"/>
      <c r="D5753" s="3"/>
      <c r="E5753" s="3">
        <v>10</v>
      </c>
      <c r="F5753" s="4" t="str">
        <f>HYPERLINK("http://141.218.60.56/~jnz1568/getInfo.php?workbook=14_09.xlsx&amp;sheet=U0&amp;row=5753&amp;col=6&amp;number=3.9&amp;sourceID=14","3.9")</f>
        <v>3.9</v>
      </c>
      <c r="G5753" s="4" t="str">
        <f>HYPERLINK("http://141.218.60.56/~jnz1568/getInfo.php?workbook=14_09.xlsx&amp;sheet=U0&amp;row=5753&amp;col=7&amp;number=0.0114&amp;sourceID=14","0.0114")</f>
        <v>0.0114</v>
      </c>
    </row>
    <row r="5754" spans="1:7">
      <c r="A5754" s="3"/>
      <c r="B5754" s="3"/>
      <c r="C5754" s="3"/>
      <c r="D5754" s="3"/>
      <c r="E5754" s="3">
        <v>11</v>
      </c>
      <c r="F5754" s="4" t="str">
        <f>HYPERLINK("http://141.218.60.56/~jnz1568/getInfo.php?workbook=14_09.xlsx&amp;sheet=U0&amp;row=5754&amp;col=6&amp;number=4&amp;sourceID=14","4")</f>
        <v>4</v>
      </c>
      <c r="G5754" s="4" t="str">
        <f>HYPERLINK("http://141.218.60.56/~jnz1568/getInfo.php?workbook=14_09.xlsx&amp;sheet=U0&amp;row=5754&amp;col=7&amp;number=0.0113&amp;sourceID=14","0.0113")</f>
        <v>0.0113</v>
      </c>
    </row>
    <row r="5755" spans="1:7">
      <c r="A5755" s="3"/>
      <c r="B5755" s="3"/>
      <c r="C5755" s="3"/>
      <c r="D5755" s="3"/>
      <c r="E5755" s="3">
        <v>12</v>
      </c>
      <c r="F5755" s="4" t="str">
        <f>HYPERLINK("http://141.218.60.56/~jnz1568/getInfo.php?workbook=14_09.xlsx&amp;sheet=U0&amp;row=5755&amp;col=6&amp;number=4.1&amp;sourceID=14","4.1")</f>
        <v>4.1</v>
      </c>
      <c r="G5755" s="4" t="str">
        <f>HYPERLINK("http://141.218.60.56/~jnz1568/getInfo.php?workbook=14_09.xlsx&amp;sheet=U0&amp;row=5755&amp;col=7&amp;number=0.0111&amp;sourceID=14","0.0111")</f>
        <v>0.0111</v>
      </c>
    </row>
    <row r="5756" spans="1:7">
      <c r="A5756" s="3"/>
      <c r="B5756" s="3"/>
      <c r="C5756" s="3"/>
      <c r="D5756" s="3"/>
      <c r="E5756" s="3">
        <v>13</v>
      </c>
      <c r="F5756" s="4" t="str">
        <f>HYPERLINK("http://141.218.60.56/~jnz1568/getInfo.php?workbook=14_09.xlsx&amp;sheet=U0&amp;row=5756&amp;col=6&amp;number=4.2&amp;sourceID=14","4.2")</f>
        <v>4.2</v>
      </c>
      <c r="G5756" s="4" t="str">
        <f>HYPERLINK("http://141.218.60.56/~jnz1568/getInfo.php?workbook=14_09.xlsx&amp;sheet=U0&amp;row=5756&amp;col=7&amp;number=0.0109&amp;sourceID=14","0.0109")</f>
        <v>0.0109</v>
      </c>
    </row>
    <row r="5757" spans="1:7">
      <c r="A5757" s="3"/>
      <c r="B5757" s="3"/>
      <c r="C5757" s="3"/>
      <c r="D5757" s="3"/>
      <c r="E5757" s="3">
        <v>14</v>
      </c>
      <c r="F5757" s="4" t="str">
        <f>HYPERLINK("http://141.218.60.56/~jnz1568/getInfo.php?workbook=14_09.xlsx&amp;sheet=U0&amp;row=5757&amp;col=6&amp;number=4.3&amp;sourceID=14","4.3")</f>
        <v>4.3</v>
      </c>
      <c r="G5757" s="4" t="str">
        <f>HYPERLINK("http://141.218.60.56/~jnz1568/getInfo.php?workbook=14_09.xlsx&amp;sheet=U0&amp;row=5757&amp;col=7&amp;number=0.0107&amp;sourceID=14","0.0107")</f>
        <v>0.0107</v>
      </c>
    </row>
    <row r="5758" spans="1:7">
      <c r="A5758" s="3"/>
      <c r="B5758" s="3"/>
      <c r="C5758" s="3"/>
      <c r="D5758" s="3"/>
      <c r="E5758" s="3">
        <v>15</v>
      </c>
      <c r="F5758" s="4" t="str">
        <f>HYPERLINK("http://141.218.60.56/~jnz1568/getInfo.php?workbook=14_09.xlsx&amp;sheet=U0&amp;row=5758&amp;col=6&amp;number=4.4&amp;sourceID=14","4.4")</f>
        <v>4.4</v>
      </c>
      <c r="G5758" s="4" t="str">
        <f>HYPERLINK("http://141.218.60.56/~jnz1568/getInfo.php?workbook=14_09.xlsx&amp;sheet=U0&amp;row=5758&amp;col=7&amp;number=0.0104&amp;sourceID=14","0.0104")</f>
        <v>0.0104</v>
      </c>
    </row>
    <row r="5759" spans="1:7">
      <c r="A5759" s="3"/>
      <c r="B5759" s="3"/>
      <c r="C5759" s="3"/>
      <c r="D5759" s="3"/>
      <c r="E5759" s="3">
        <v>16</v>
      </c>
      <c r="F5759" s="4" t="str">
        <f>HYPERLINK("http://141.218.60.56/~jnz1568/getInfo.php?workbook=14_09.xlsx&amp;sheet=U0&amp;row=5759&amp;col=6&amp;number=4.5&amp;sourceID=14","4.5")</f>
        <v>4.5</v>
      </c>
      <c r="G5759" s="4" t="str">
        <f>HYPERLINK("http://141.218.60.56/~jnz1568/getInfo.php?workbook=14_09.xlsx&amp;sheet=U0&amp;row=5759&amp;col=7&amp;number=0.0101&amp;sourceID=14","0.0101")</f>
        <v>0.0101</v>
      </c>
    </row>
    <row r="5760" spans="1:7">
      <c r="A5760" s="3"/>
      <c r="B5760" s="3"/>
      <c r="C5760" s="3"/>
      <c r="D5760" s="3"/>
      <c r="E5760" s="3">
        <v>17</v>
      </c>
      <c r="F5760" s="4" t="str">
        <f>HYPERLINK("http://141.218.60.56/~jnz1568/getInfo.php?workbook=14_09.xlsx&amp;sheet=U0&amp;row=5760&amp;col=6&amp;number=4.6&amp;sourceID=14","4.6")</f>
        <v>4.6</v>
      </c>
      <c r="G5760" s="4" t="str">
        <f>HYPERLINK("http://141.218.60.56/~jnz1568/getInfo.php?workbook=14_09.xlsx&amp;sheet=U0&amp;row=5760&amp;col=7&amp;number=0.00969&amp;sourceID=14","0.00969")</f>
        <v>0.00969</v>
      </c>
    </row>
    <row r="5761" spans="1:7">
      <c r="A5761" s="3"/>
      <c r="B5761" s="3"/>
      <c r="C5761" s="3"/>
      <c r="D5761" s="3"/>
      <c r="E5761" s="3">
        <v>18</v>
      </c>
      <c r="F5761" s="4" t="str">
        <f>HYPERLINK("http://141.218.60.56/~jnz1568/getInfo.php?workbook=14_09.xlsx&amp;sheet=U0&amp;row=5761&amp;col=6&amp;number=4.7&amp;sourceID=14","4.7")</f>
        <v>4.7</v>
      </c>
      <c r="G5761" s="4" t="str">
        <f>HYPERLINK("http://141.218.60.56/~jnz1568/getInfo.php?workbook=14_09.xlsx&amp;sheet=U0&amp;row=5761&amp;col=7&amp;number=0.00924&amp;sourceID=14","0.00924")</f>
        <v>0.00924</v>
      </c>
    </row>
    <row r="5762" spans="1:7">
      <c r="A5762" s="3"/>
      <c r="B5762" s="3"/>
      <c r="C5762" s="3"/>
      <c r="D5762" s="3"/>
      <c r="E5762" s="3">
        <v>19</v>
      </c>
      <c r="F5762" s="4" t="str">
        <f>HYPERLINK("http://141.218.60.56/~jnz1568/getInfo.php?workbook=14_09.xlsx&amp;sheet=U0&amp;row=5762&amp;col=6&amp;number=4.8&amp;sourceID=14","4.8")</f>
        <v>4.8</v>
      </c>
      <c r="G5762" s="4" t="str">
        <f>HYPERLINK("http://141.218.60.56/~jnz1568/getInfo.php?workbook=14_09.xlsx&amp;sheet=U0&amp;row=5762&amp;col=7&amp;number=0.00875&amp;sourceID=14","0.00875")</f>
        <v>0.00875</v>
      </c>
    </row>
    <row r="5763" spans="1:7">
      <c r="A5763" s="3"/>
      <c r="B5763" s="3"/>
      <c r="C5763" s="3"/>
      <c r="D5763" s="3"/>
      <c r="E5763" s="3">
        <v>20</v>
      </c>
      <c r="F5763" s="4" t="str">
        <f>HYPERLINK("http://141.218.60.56/~jnz1568/getInfo.php?workbook=14_09.xlsx&amp;sheet=U0&amp;row=5763&amp;col=6&amp;number=4.9&amp;sourceID=14","4.9")</f>
        <v>4.9</v>
      </c>
      <c r="G5763" s="4" t="str">
        <f>HYPERLINK("http://141.218.60.56/~jnz1568/getInfo.php?workbook=14_09.xlsx&amp;sheet=U0&amp;row=5763&amp;col=7&amp;number=0.00825&amp;sourceID=14","0.00825")</f>
        <v>0.00825</v>
      </c>
    </row>
    <row r="5764" spans="1:7">
      <c r="A5764" s="3">
        <v>14</v>
      </c>
      <c r="B5764" s="3">
        <v>9</v>
      </c>
      <c r="C5764" s="3">
        <v>2</v>
      </c>
      <c r="D5764" s="3">
        <v>97</v>
      </c>
      <c r="E5764" s="3">
        <v>1</v>
      </c>
      <c r="F5764" s="4" t="str">
        <f>HYPERLINK("http://141.218.60.56/~jnz1568/getInfo.php?workbook=14_09.xlsx&amp;sheet=U0&amp;row=5764&amp;col=6&amp;number=3&amp;sourceID=14","3")</f>
        <v>3</v>
      </c>
      <c r="G5764" s="4" t="str">
        <f>HYPERLINK("http://141.218.60.56/~jnz1568/getInfo.php?workbook=14_09.xlsx&amp;sheet=U0&amp;row=5764&amp;col=7&amp;number=0.0114&amp;sourceID=14","0.0114")</f>
        <v>0.0114</v>
      </c>
    </row>
    <row r="5765" spans="1:7">
      <c r="A5765" s="3"/>
      <c r="B5765" s="3"/>
      <c r="C5765" s="3"/>
      <c r="D5765" s="3"/>
      <c r="E5765" s="3">
        <v>2</v>
      </c>
      <c r="F5765" s="4" t="str">
        <f>HYPERLINK("http://141.218.60.56/~jnz1568/getInfo.php?workbook=14_09.xlsx&amp;sheet=U0&amp;row=5765&amp;col=6&amp;number=3.1&amp;sourceID=14","3.1")</f>
        <v>3.1</v>
      </c>
      <c r="G5765" s="4" t="str">
        <f>HYPERLINK("http://141.218.60.56/~jnz1568/getInfo.php?workbook=14_09.xlsx&amp;sheet=U0&amp;row=5765&amp;col=7&amp;number=0.0114&amp;sourceID=14","0.0114")</f>
        <v>0.0114</v>
      </c>
    </row>
    <row r="5766" spans="1:7">
      <c r="A5766" s="3"/>
      <c r="B5766" s="3"/>
      <c r="C5766" s="3"/>
      <c r="D5766" s="3"/>
      <c r="E5766" s="3">
        <v>3</v>
      </c>
      <c r="F5766" s="4" t="str">
        <f>HYPERLINK("http://141.218.60.56/~jnz1568/getInfo.php?workbook=14_09.xlsx&amp;sheet=U0&amp;row=5766&amp;col=6&amp;number=3.2&amp;sourceID=14","3.2")</f>
        <v>3.2</v>
      </c>
      <c r="G5766" s="4" t="str">
        <f>HYPERLINK("http://141.218.60.56/~jnz1568/getInfo.php?workbook=14_09.xlsx&amp;sheet=U0&amp;row=5766&amp;col=7&amp;number=0.0114&amp;sourceID=14","0.0114")</f>
        <v>0.0114</v>
      </c>
    </row>
    <row r="5767" spans="1:7">
      <c r="A5767" s="3"/>
      <c r="B5767" s="3"/>
      <c r="C5767" s="3"/>
      <c r="D5767" s="3"/>
      <c r="E5767" s="3">
        <v>4</v>
      </c>
      <c r="F5767" s="4" t="str">
        <f>HYPERLINK("http://141.218.60.56/~jnz1568/getInfo.php?workbook=14_09.xlsx&amp;sheet=U0&amp;row=5767&amp;col=6&amp;number=3.3&amp;sourceID=14","3.3")</f>
        <v>3.3</v>
      </c>
      <c r="G5767" s="4" t="str">
        <f>HYPERLINK("http://141.218.60.56/~jnz1568/getInfo.php?workbook=14_09.xlsx&amp;sheet=U0&amp;row=5767&amp;col=7&amp;number=0.0114&amp;sourceID=14","0.0114")</f>
        <v>0.0114</v>
      </c>
    </row>
    <row r="5768" spans="1:7">
      <c r="A5768" s="3"/>
      <c r="B5768" s="3"/>
      <c r="C5768" s="3"/>
      <c r="D5768" s="3"/>
      <c r="E5768" s="3">
        <v>5</v>
      </c>
      <c r="F5768" s="4" t="str">
        <f>HYPERLINK("http://141.218.60.56/~jnz1568/getInfo.php?workbook=14_09.xlsx&amp;sheet=U0&amp;row=5768&amp;col=6&amp;number=3.4&amp;sourceID=14","3.4")</f>
        <v>3.4</v>
      </c>
      <c r="G5768" s="4" t="str">
        <f>HYPERLINK("http://141.218.60.56/~jnz1568/getInfo.php?workbook=14_09.xlsx&amp;sheet=U0&amp;row=5768&amp;col=7&amp;number=0.0113&amp;sourceID=14","0.0113")</f>
        <v>0.0113</v>
      </c>
    </row>
    <row r="5769" spans="1:7">
      <c r="A5769" s="3"/>
      <c r="B5769" s="3"/>
      <c r="C5769" s="3"/>
      <c r="D5769" s="3"/>
      <c r="E5769" s="3">
        <v>6</v>
      </c>
      <c r="F5769" s="4" t="str">
        <f>HYPERLINK("http://141.218.60.56/~jnz1568/getInfo.php?workbook=14_09.xlsx&amp;sheet=U0&amp;row=5769&amp;col=6&amp;number=3.5&amp;sourceID=14","3.5")</f>
        <v>3.5</v>
      </c>
      <c r="G5769" s="4" t="str">
        <f>HYPERLINK("http://141.218.60.56/~jnz1568/getInfo.php?workbook=14_09.xlsx&amp;sheet=U0&amp;row=5769&amp;col=7&amp;number=0.0113&amp;sourceID=14","0.0113")</f>
        <v>0.0113</v>
      </c>
    </row>
    <row r="5770" spans="1:7">
      <c r="A5770" s="3"/>
      <c r="B5770" s="3"/>
      <c r="C5770" s="3"/>
      <c r="D5770" s="3"/>
      <c r="E5770" s="3">
        <v>7</v>
      </c>
      <c r="F5770" s="4" t="str">
        <f>HYPERLINK("http://141.218.60.56/~jnz1568/getInfo.php?workbook=14_09.xlsx&amp;sheet=U0&amp;row=5770&amp;col=6&amp;number=3.6&amp;sourceID=14","3.6")</f>
        <v>3.6</v>
      </c>
      <c r="G5770" s="4" t="str">
        <f>HYPERLINK("http://141.218.60.56/~jnz1568/getInfo.php?workbook=14_09.xlsx&amp;sheet=U0&amp;row=5770&amp;col=7&amp;number=0.0113&amp;sourceID=14","0.0113")</f>
        <v>0.0113</v>
      </c>
    </row>
    <row r="5771" spans="1:7">
      <c r="A5771" s="3"/>
      <c r="B5771" s="3"/>
      <c r="C5771" s="3"/>
      <c r="D5771" s="3"/>
      <c r="E5771" s="3">
        <v>8</v>
      </c>
      <c r="F5771" s="4" t="str">
        <f>HYPERLINK("http://141.218.60.56/~jnz1568/getInfo.php?workbook=14_09.xlsx&amp;sheet=U0&amp;row=5771&amp;col=6&amp;number=3.7&amp;sourceID=14","3.7")</f>
        <v>3.7</v>
      </c>
      <c r="G5771" s="4" t="str">
        <f>HYPERLINK("http://141.218.60.56/~jnz1568/getInfo.php?workbook=14_09.xlsx&amp;sheet=U0&amp;row=5771&amp;col=7&amp;number=0.0113&amp;sourceID=14","0.0113")</f>
        <v>0.0113</v>
      </c>
    </row>
    <row r="5772" spans="1:7">
      <c r="A5772" s="3"/>
      <c r="B5772" s="3"/>
      <c r="C5772" s="3"/>
      <c r="D5772" s="3"/>
      <c r="E5772" s="3">
        <v>9</v>
      </c>
      <c r="F5772" s="4" t="str">
        <f>HYPERLINK("http://141.218.60.56/~jnz1568/getInfo.php?workbook=14_09.xlsx&amp;sheet=U0&amp;row=5772&amp;col=6&amp;number=3.8&amp;sourceID=14","3.8")</f>
        <v>3.8</v>
      </c>
      <c r="G5772" s="4" t="str">
        <f>HYPERLINK("http://141.218.60.56/~jnz1568/getInfo.php?workbook=14_09.xlsx&amp;sheet=U0&amp;row=5772&amp;col=7&amp;number=0.0112&amp;sourceID=14","0.0112")</f>
        <v>0.0112</v>
      </c>
    </row>
    <row r="5773" spans="1:7">
      <c r="A5773" s="3"/>
      <c r="B5773" s="3"/>
      <c r="C5773" s="3"/>
      <c r="D5773" s="3"/>
      <c r="E5773" s="3">
        <v>10</v>
      </c>
      <c r="F5773" s="4" t="str">
        <f>HYPERLINK("http://141.218.60.56/~jnz1568/getInfo.php?workbook=14_09.xlsx&amp;sheet=U0&amp;row=5773&amp;col=6&amp;number=3.9&amp;sourceID=14","3.9")</f>
        <v>3.9</v>
      </c>
      <c r="G5773" s="4" t="str">
        <f>HYPERLINK("http://141.218.60.56/~jnz1568/getInfo.php?workbook=14_09.xlsx&amp;sheet=U0&amp;row=5773&amp;col=7&amp;number=0.0111&amp;sourceID=14","0.0111")</f>
        <v>0.0111</v>
      </c>
    </row>
    <row r="5774" spans="1:7">
      <c r="A5774" s="3"/>
      <c r="B5774" s="3"/>
      <c r="C5774" s="3"/>
      <c r="D5774" s="3"/>
      <c r="E5774" s="3">
        <v>11</v>
      </c>
      <c r="F5774" s="4" t="str">
        <f>HYPERLINK("http://141.218.60.56/~jnz1568/getInfo.php?workbook=14_09.xlsx&amp;sheet=U0&amp;row=5774&amp;col=6&amp;number=4&amp;sourceID=14","4")</f>
        <v>4</v>
      </c>
      <c r="G5774" s="4" t="str">
        <f>HYPERLINK("http://141.218.60.56/~jnz1568/getInfo.php?workbook=14_09.xlsx&amp;sheet=U0&amp;row=5774&amp;col=7&amp;number=0.0111&amp;sourceID=14","0.0111")</f>
        <v>0.0111</v>
      </c>
    </row>
    <row r="5775" spans="1:7">
      <c r="A5775" s="3"/>
      <c r="B5775" s="3"/>
      <c r="C5775" s="3"/>
      <c r="D5775" s="3"/>
      <c r="E5775" s="3">
        <v>12</v>
      </c>
      <c r="F5775" s="4" t="str">
        <f>HYPERLINK("http://141.218.60.56/~jnz1568/getInfo.php?workbook=14_09.xlsx&amp;sheet=U0&amp;row=5775&amp;col=6&amp;number=4.1&amp;sourceID=14","4.1")</f>
        <v>4.1</v>
      </c>
      <c r="G5775" s="4" t="str">
        <f>HYPERLINK("http://141.218.60.56/~jnz1568/getInfo.php?workbook=14_09.xlsx&amp;sheet=U0&amp;row=5775&amp;col=7&amp;number=0.011&amp;sourceID=14","0.011")</f>
        <v>0.011</v>
      </c>
    </row>
    <row r="5776" spans="1:7">
      <c r="A5776" s="3"/>
      <c r="B5776" s="3"/>
      <c r="C5776" s="3"/>
      <c r="D5776" s="3"/>
      <c r="E5776" s="3">
        <v>13</v>
      </c>
      <c r="F5776" s="4" t="str">
        <f>HYPERLINK("http://141.218.60.56/~jnz1568/getInfo.php?workbook=14_09.xlsx&amp;sheet=U0&amp;row=5776&amp;col=6&amp;number=4.2&amp;sourceID=14","4.2")</f>
        <v>4.2</v>
      </c>
      <c r="G5776" s="4" t="str">
        <f>HYPERLINK("http://141.218.60.56/~jnz1568/getInfo.php?workbook=14_09.xlsx&amp;sheet=U0&amp;row=5776&amp;col=7&amp;number=0.0109&amp;sourceID=14","0.0109")</f>
        <v>0.0109</v>
      </c>
    </row>
    <row r="5777" spans="1:7">
      <c r="A5777" s="3"/>
      <c r="B5777" s="3"/>
      <c r="C5777" s="3"/>
      <c r="D5777" s="3"/>
      <c r="E5777" s="3">
        <v>14</v>
      </c>
      <c r="F5777" s="4" t="str">
        <f>HYPERLINK("http://141.218.60.56/~jnz1568/getInfo.php?workbook=14_09.xlsx&amp;sheet=U0&amp;row=5777&amp;col=6&amp;number=4.3&amp;sourceID=14","4.3")</f>
        <v>4.3</v>
      </c>
      <c r="G5777" s="4" t="str">
        <f>HYPERLINK("http://141.218.60.56/~jnz1568/getInfo.php?workbook=14_09.xlsx&amp;sheet=U0&amp;row=5777&amp;col=7&amp;number=0.0107&amp;sourceID=14","0.0107")</f>
        <v>0.0107</v>
      </c>
    </row>
    <row r="5778" spans="1:7">
      <c r="A5778" s="3"/>
      <c r="B5778" s="3"/>
      <c r="C5778" s="3"/>
      <c r="D5778" s="3"/>
      <c r="E5778" s="3">
        <v>15</v>
      </c>
      <c r="F5778" s="4" t="str">
        <f>HYPERLINK("http://141.218.60.56/~jnz1568/getInfo.php?workbook=14_09.xlsx&amp;sheet=U0&amp;row=5778&amp;col=6&amp;number=4.4&amp;sourceID=14","4.4")</f>
        <v>4.4</v>
      </c>
      <c r="G5778" s="4" t="str">
        <f>HYPERLINK("http://141.218.60.56/~jnz1568/getInfo.php?workbook=14_09.xlsx&amp;sheet=U0&amp;row=5778&amp;col=7&amp;number=0.0105&amp;sourceID=14","0.0105")</f>
        <v>0.0105</v>
      </c>
    </row>
    <row r="5779" spans="1:7">
      <c r="A5779" s="3"/>
      <c r="B5779" s="3"/>
      <c r="C5779" s="3"/>
      <c r="D5779" s="3"/>
      <c r="E5779" s="3">
        <v>16</v>
      </c>
      <c r="F5779" s="4" t="str">
        <f>HYPERLINK("http://141.218.60.56/~jnz1568/getInfo.php?workbook=14_09.xlsx&amp;sheet=U0&amp;row=5779&amp;col=6&amp;number=4.5&amp;sourceID=14","4.5")</f>
        <v>4.5</v>
      </c>
      <c r="G5779" s="4" t="str">
        <f>HYPERLINK("http://141.218.60.56/~jnz1568/getInfo.php?workbook=14_09.xlsx&amp;sheet=U0&amp;row=5779&amp;col=7&amp;number=0.0103&amp;sourceID=14","0.0103")</f>
        <v>0.0103</v>
      </c>
    </row>
    <row r="5780" spans="1:7">
      <c r="A5780" s="3"/>
      <c r="B5780" s="3"/>
      <c r="C5780" s="3"/>
      <c r="D5780" s="3"/>
      <c r="E5780" s="3">
        <v>17</v>
      </c>
      <c r="F5780" s="4" t="str">
        <f>HYPERLINK("http://141.218.60.56/~jnz1568/getInfo.php?workbook=14_09.xlsx&amp;sheet=U0&amp;row=5780&amp;col=6&amp;number=4.6&amp;sourceID=14","4.6")</f>
        <v>4.6</v>
      </c>
      <c r="G5780" s="4" t="str">
        <f>HYPERLINK("http://141.218.60.56/~jnz1568/getInfo.php?workbook=14_09.xlsx&amp;sheet=U0&amp;row=5780&amp;col=7&amp;number=0.0101&amp;sourceID=14","0.0101")</f>
        <v>0.0101</v>
      </c>
    </row>
    <row r="5781" spans="1:7">
      <c r="A5781" s="3"/>
      <c r="B5781" s="3"/>
      <c r="C5781" s="3"/>
      <c r="D5781" s="3"/>
      <c r="E5781" s="3">
        <v>18</v>
      </c>
      <c r="F5781" s="4" t="str">
        <f>HYPERLINK("http://141.218.60.56/~jnz1568/getInfo.php?workbook=14_09.xlsx&amp;sheet=U0&amp;row=5781&amp;col=6&amp;number=4.7&amp;sourceID=14","4.7")</f>
        <v>4.7</v>
      </c>
      <c r="G5781" s="4" t="str">
        <f>HYPERLINK("http://141.218.60.56/~jnz1568/getInfo.php?workbook=14_09.xlsx&amp;sheet=U0&amp;row=5781&amp;col=7&amp;number=0.00975&amp;sourceID=14","0.00975")</f>
        <v>0.00975</v>
      </c>
    </row>
    <row r="5782" spans="1:7">
      <c r="A5782" s="3"/>
      <c r="B5782" s="3"/>
      <c r="C5782" s="3"/>
      <c r="D5782" s="3"/>
      <c r="E5782" s="3">
        <v>19</v>
      </c>
      <c r="F5782" s="4" t="str">
        <f>HYPERLINK("http://141.218.60.56/~jnz1568/getInfo.php?workbook=14_09.xlsx&amp;sheet=U0&amp;row=5782&amp;col=6&amp;number=4.8&amp;sourceID=14","4.8")</f>
        <v>4.8</v>
      </c>
      <c r="G5782" s="4" t="str">
        <f>HYPERLINK("http://141.218.60.56/~jnz1568/getInfo.php?workbook=14_09.xlsx&amp;sheet=U0&amp;row=5782&amp;col=7&amp;number=0.00939&amp;sourceID=14","0.00939")</f>
        <v>0.00939</v>
      </c>
    </row>
    <row r="5783" spans="1:7">
      <c r="A5783" s="3"/>
      <c r="B5783" s="3"/>
      <c r="C5783" s="3"/>
      <c r="D5783" s="3"/>
      <c r="E5783" s="3">
        <v>20</v>
      </c>
      <c r="F5783" s="4" t="str">
        <f>HYPERLINK("http://141.218.60.56/~jnz1568/getInfo.php?workbook=14_09.xlsx&amp;sheet=U0&amp;row=5783&amp;col=6&amp;number=4.9&amp;sourceID=14","4.9")</f>
        <v>4.9</v>
      </c>
      <c r="G5783" s="4" t="str">
        <f>HYPERLINK("http://141.218.60.56/~jnz1568/getInfo.php?workbook=14_09.xlsx&amp;sheet=U0&amp;row=5783&amp;col=7&amp;number=0.00898&amp;sourceID=14","0.00898")</f>
        <v>0.00898</v>
      </c>
    </row>
    <row r="5784" spans="1:7">
      <c r="A5784" s="3">
        <v>14</v>
      </c>
      <c r="B5784" s="3">
        <v>9</v>
      </c>
      <c r="C5784" s="3">
        <v>2</v>
      </c>
      <c r="D5784" s="3">
        <v>98</v>
      </c>
      <c r="E5784" s="3">
        <v>1</v>
      </c>
      <c r="F5784" s="4" t="str">
        <f>HYPERLINK("http://141.218.60.56/~jnz1568/getInfo.php?workbook=14_09.xlsx&amp;sheet=U0&amp;row=5784&amp;col=6&amp;number=3&amp;sourceID=14","3")</f>
        <v>3</v>
      </c>
      <c r="G5784" s="4" t="str">
        <f>HYPERLINK("http://141.218.60.56/~jnz1568/getInfo.php?workbook=14_09.xlsx&amp;sheet=U0&amp;row=5784&amp;col=7&amp;number=0.0115&amp;sourceID=14","0.0115")</f>
        <v>0.0115</v>
      </c>
    </row>
    <row r="5785" spans="1:7">
      <c r="A5785" s="3"/>
      <c r="B5785" s="3"/>
      <c r="C5785" s="3"/>
      <c r="D5785" s="3"/>
      <c r="E5785" s="3">
        <v>2</v>
      </c>
      <c r="F5785" s="4" t="str">
        <f>HYPERLINK("http://141.218.60.56/~jnz1568/getInfo.php?workbook=14_09.xlsx&amp;sheet=U0&amp;row=5785&amp;col=6&amp;number=3.1&amp;sourceID=14","3.1")</f>
        <v>3.1</v>
      </c>
      <c r="G5785" s="4" t="str">
        <f>HYPERLINK("http://141.218.60.56/~jnz1568/getInfo.php?workbook=14_09.xlsx&amp;sheet=U0&amp;row=5785&amp;col=7&amp;number=0.0115&amp;sourceID=14","0.0115")</f>
        <v>0.0115</v>
      </c>
    </row>
    <row r="5786" spans="1:7">
      <c r="A5786" s="3"/>
      <c r="B5786" s="3"/>
      <c r="C5786" s="3"/>
      <c r="D5786" s="3"/>
      <c r="E5786" s="3">
        <v>3</v>
      </c>
      <c r="F5786" s="4" t="str">
        <f>HYPERLINK("http://141.218.60.56/~jnz1568/getInfo.php?workbook=14_09.xlsx&amp;sheet=U0&amp;row=5786&amp;col=6&amp;number=3.2&amp;sourceID=14","3.2")</f>
        <v>3.2</v>
      </c>
      <c r="G5786" s="4" t="str">
        <f>HYPERLINK("http://141.218.60.56/~jnz1568/getInfo.php?workbook=14_09.xlsx&amp;sheet=U0&amp;row=5786&amp;col=7&amp;number=0.0115&amp;sourceID=14","0.0115")</f>
        <v>0.0115</v>
      </c>
    </row>
    <row r="5787" spans="1:7">
      <c r="A5787" s="3"/>
      <c r="B5787" s="3"/>
      <c r="C5787" s="3"/>
      <c r="D5787" s="3"/>
      <c r="E5787" s="3">
        <v>4</v>
      </c>
      <c r="F5787" s="4" t="str">
        <f>HYPERLINK("http://141.218.60.56/~jnz1568/getInfo.php?workbook=14_09.xlsx&amp;sheet=U0&amp;row=5787&amp;col=6&amp;number=3.3&amp;sourceID=14","3.3")</f>
        <v>3.3</v>
      </c>
      <c r="G5787" s="4" t="str">
        <f>HYPERLINK("http://141.218.60.56/~jnz1568/getInfo.php?workbook=14_09.xlsx&amp;sheet=U0&amp;row=5787&amp;col=7&amp;number=0.0114&amp;sourceID=14","0.0114")</f>
        <v>0.0114</v>
      </c>
    </row>
    <row r="5788" spans="1:7">
      <c r="A5788" s="3"/>
      <c r="B5788" s="3"/>
      <c r="C5788" s="3"/>
      <c r="D5788" s="3"/>
      <c r="E5788" s="3">
        <v>5</v>
      </c>
      <c r="F5788" s="4" t="str">
        <f>HYPERLINK("http://141.218.60.56/~jnz1568/getInfo.php?workbook=14_09.xlsx&amp;sheet=U0&amp;row=5788&amp;col=6&amp;number=3.4&amp;sourceID=14","3.4")</f>
        <v>3.4</v>
      </c>
      <c r="G5788" s="4" t="str">
        <f>HYPERLINK("http://141.218.60.56/~jnz1568/getInfo.php?workbook=14_09.xlsx&amp;sheet=U0&amp;row=5788&amp;col=7&amp;number=0.0114&amp;sourceID=14","0.0114")</f>
        <v>0.0114</v>
      </c>
    </row>
    <row r="5789" spans="1:7">
      <c r="A5789" s="3"/>
      <c r="B5789" s="3"/>
      <c r="C5789" s="3"/>
      <c r="D5789" s="3"/>
      <c r="E5789" s="3">
        <v>6</v>
      </c>
      <c r="F5789" s="4" t="str">
        <f>HYPERLINK("http://141.218.60.56/~jnz1568/getInfo.php?workbook=14_09.xlsx&amp;sheet=U0&amp;row=5789&amp;col=6&amp;number=3.5&amp;sourceID=14","3.5")</f>
        <v>3.5</v>
      </c>
      <c r="G5789" s="4" t="str">
        <f>HYPERLINK("http://141.218.60.56/~jnz1568/getInfo.php?workbook=14_09.xlsx&amp;sheet=U0&amp;row=5789&amp;col=7&amp;number=0.0114&amp;sourceID=14","0.0114")</f>
        <v>0.0114</v>
      </c>
    </row>
    <row r="5790" spans="1:7">
      <c r="A5790" s="3"/>
      <c r="B5790" s="3"/>
      <c r="C5790" s="3"/>
      <c r="D5790" s="3"/>
      <c r="E5790" s="3">
        <v>7</v>
      </c>
      <c r="F5790" s="4" t="str">
        <f>HYPERLINK("http://141.218.60.56/~jnz1568/getInfo.php?workbook=14_09.xlsx&amp;sheet=U0&amp;row=5790&amp;col=6&amp;number=3.6&amp;sourceID=14","3.6")</f>
        <v>3.6</v>
      </c>
      <c r="G5790" s="4" t="str">
        <f>HYPERLINK("http://141.218.60.56/~jnz1568/getInfo.php?workbook=14_09.xlsx&amp;sheet=U0&amp;row=5790&amp;col=7&amp;number=0.0114&amp;sourceID=14","0.0114")</f>
        <v>0.0114</v>
      </c>
    </row>
    <row r="5791" spans="1:7">
      <c r="A5791" s="3"/>
      <c r="B5791" s="3"/>
      <c r="C5791" s="3"/>
      <c r="D5791" s="3"/>
      <c r="E5791" s="3">
        <v>8</v>
      </c>
      <c r="F5791" s="4" t="str">
        <f>HYPERLINK("http://141.218.60.56/~jnz1568/getInfo.php?workbook=14_09.xlsx&amp;sheet=U0&amp;row=5791&amp;col=6&amp;number=3.7&amp;sourceID=14","3.7")</f>
        <v>3.7</v>
      </c>
      <c r="G5791" s="4" t="str">
        <f>HYPERLINK("http://141.218.60.56/~jnz1568/getInfo.php?workbook=14_09.xlsx&amp;sheet=U0&amp;row=5791&amp;col=7&amp;number=0.0113&amp;sourceID=14","0.0113")</f>
        <v>0.0113</v>
      </c>
    </row>
    <row r="5792" spans="1:7">
      <c r="A5792" s="3"/>
      <c r="B5792" s="3"/>
      <c r="C5792" s="3"/>
      <c r="D5792" s="3"/>
      <c r="E5792" s="3">
        <v>9</v>
      </c>
      <c r="F5792" s="4" t="str">
        <f>HYPERLINK("http://141.218.60.56/~jnz1568/getInfo.php?workbook=14_09.xlsx&amp;sheet=U0&amp;row=5792&amp;col=6&amp;number=3.8&amp;sourceID=14","3.8")</f>
        <v>3.8</v>
      </c>
      <c r="G5792" s="4" t="str">
        <f>HYPERLINK("http://141.218.60.56/~jnz1568/getInfo.php?workbook=14_09.xlsx&amp;sheet=U0&amp;row=5792&amp;col=7&amp;number=0.0112&amp;sourceID=14","0.0112")</f>
        <v>0.0112</v>
      </c>
    </row>
    <row r="5793" spans="1:7">
      <c r="A5793" s="3"/>
      <c r="B5793" s="3"/>
      <c r="C5793" s="3"/>
      <c r="D5793" s="3"/>
      <c r="E5793" s="3">
        <v>10</v>
      </c>
      <c r="F5793" s="4" t="str">
        <f>HYPERLINK("http://141.218.60.56/~jnz1568/getInfo.php?workbook=14_09.xlsx&amp;sheet=U0&amp;row=5793&amp;col=6&amp;number=3.9&amp;sourceID=14","3.9")</f>
        <v>3.9</v>
      </c>
      <c r="G5793" s="4" t="str">
        <f>HYPERLINK("http://141.218.60.56/~jnz1568/getInfo.php?workbook=14_09.xlsx&amp;sheet=U0&amp;row=5793&amp;col=7&amp;number=0.0112&amp;sourceID=14","0.0112")</f>
        <v>0.0112</v>
      </c>
    </row>
    <row r="5794" spans="1:7">
      <c r="A5794" s="3"/>
      <c r="B5794" s="3"/>
      <c r="C5794" s="3"/>
      <c r="D5794" s="3"/>
      <c r="E5794" s="3">
        <v>11</v>
      </c>
      <c r="F5794" s="4" t="str">
        <f>HYPERLINK("http://141.218.60.56/~jnz1568/getInfo.php?workbook=14_09.xlsx&amp;sheet=U0&amp;row=5794&amp;col=6&amp;number=4&amp;sourceID=14","4")</f>
        <v>4</v>
      </c>
      <c r="G5794" s="4" t="str">
        <f>HYPERLINK("http://141.218.60.56/~jnz1568/getInfo.php?workbook=14_09.xlsx&amp;sheet=U0&amp;row=5794&amp;col=7&amp;number=0.0111&amp;sourceID=14","0.0111")</f>
        <v>0.0111</v>
      </c>
    </row>
    <row r="5795" spans="1:7">
      <c r="A5795" s="3"/>
      <c r="B5795" s="3"/>
      <c r="C5795" s="3"/>
      <c r="D5795" s="3"/>
      <c r="E5795" s="3">
        <v>12</v>
      </c>
      <c r="F5795" s="4" t="str">
        <f>HYPERLINK("http://141.218.60.56/~jnz1568/getInfo.php?workbook=14_09.xlsx&amp;sheet=U0&amp;row=5795&amp;col=6&amp;number=4.1&amp;sourceID=14","4.1")</f>
        <v>4.1</v>
      </c>
      <c r="G5795" s="4" t="str">
        <f>HYPERLINK("http://141.218.60.56/~jnz1568/getInfo.php?workbook=14_09.xlsx&amp;sheet=U0&amp;row=5795&amp;col=7&amp;number=0.011&amp;sourceID=14","0.011")</f>
        <v>0.011</v>
      </c>
    </row>
    <row r="5796" spans="1:7">
      <c r="A5796" s="3"/>
      <c r="B5796" s="3"/>
      <c r="C5796" s="3"/>
      <c r="D5796" s="3"/>
      <c r="E5796" s="3">
        <v>13</v>
      </c>
      <c r="F5796" s="4" t="str">
        <f>HYPERLINK("http://141.218.60.56/~jnz1568/getInfo.php?workbook=14_09.xlsx&amp;sheet=U0&amp;row=5796&amp;col=6&amp;number=4.2&amp;sourceID=14","4.2")</f>
        <v>4.2</v>
      </c>
      <c r="G5796" s="4" t="str">
        <f>HYPERLINK("http://141.218.60.56/~jnz1568/getInfo.php?workbook=14_09.xlsx&amp;sheet=U0&amp;row=5796&amp;col=7&amp;number=0.0108&amp;sourceID=14","0.0108")</f>
        <v>0.0108</v>
      </c>
    </row>
    <row r="5797" spans="1:7">
      <c r="A5797" s="3"/>
      <c r="B5797" s="3"/>
      <c r="C5797" s="3"/>
      <c r="D5797" s="3"/>
      <c r="E5797" s="3">
        <v>14</v>
      </c>
      <c r="F5797" s="4" t="str">
        <f>HYPERLINK("http://141.218.60.56/~jnz1568/getInfo.php?workbook=14_09.xlsx&amp;sheet=U0&amp;row=5797&amp;col=6&amp;number=4.3&amp;sourceID=14","4.3")</f>
        <v>4.3</v>
      </c>
      <c r="G5797" s="4" t="str">
        <f>HYPERLINK("http://141.218.60.56/~jnz1568/getInfo.php?workbook=14_09.xlsx&amp;sheet=U0&amp;row=5797&amp;col=7&amp;number=0.0106&amp;sourceID=14","0.0106")</f>
        <v>0.0106</v>
      </c>
    </row>
    <row r="5798" spans="1:7">
      <c r="A5798" s="3"/>
      <c r="B5798" s="3"/>
      <c r="C5798" s="3"/>
      <c r="D5798" s="3"/>
      <c r="E5798" s="3">
        <v>15</v>
      </c>
      <c r="F5798" s="4" t="str">
        <f>HYPERLINK("http://141.218.60.56/~jnz1568/getInfo.php?workbook=14_09.xlsx&amp;sheet=U0&amp;row=5798&amp;col=6&amp;number=4.4&amp;sourceID=14","4.4")</f>
        <v>4.4</v>
      </c>
      <c r="G5798" s="4" t="str">
        <f>HYPERLINK("http://141.218.60.56/~jnz1568/getInfo.php?workbook=14_09.xlsx&amp;sheet=U0&amp;row=5798&amp;col=7&amp;number=0.0104&amp;sourceID=14","0.0104")</f>
        <v>0.0104</v>
      </c>
    </row>
    <row r="5799" spans="1:7">
      <c r="A5799" s="3"/>
      <c r="B5799" s="3"/>
      <c r="C5799" s="3"/>
      <c r="D5799" s="3"/>
      <c r="E5799" s="3">
        <v>16</v>
      </c>
      <c r="F5799" s="4" t="str">
        <f>HYPERLINK("http://141.218.60.56/~jnz1568/getInfo.php?workbook=14_09.xlsx&amp;sheet=U0&amp;row=5799&amp;col=6&amp;number=4.5&amp;sourceID=14","4.5")</f>
        <v>4.5</v>
      </c>
      <c r="G5799" s="4" t="str">
        <f>HYPERLINK("http://141.218.60.56/~jnz1568/getInfo.php?workbook=14_09.xlsx&amp;sheet=U0&amp;row=5799&amp;col=7&amp;number=0.0101&amp;sourceID=14","0.0101")</f>
        <v>0.0101</v>
      </c>
    </row>
    <row r="5800" spans="1:7">
      <c r="A5800" s="3"/>
      <c r="B5800" s="3"/>
      <c r="C5800" s="3"/>
      <c r="D5800" s="3"/>
      <c r="E5800" s="3">
        <v>17</v>
      </c>
      <c r="F5800" s="4" t="str">
        <f>HYPERLINK("http://141.218.60.56/~jnz1568/getInfo.php?workbook=14_09.xlsx&amp;sheet=U0&amp;row=5800&amp;col=6&amp;number=4.6&amp;sourceID=14","4.6")</f>
        <v>4.6</v>
      </c>
      <c r="G5800" s="4" t="str">
        <f>HYPERLINK("http://141.218.60.56/~jnz1568/getInfo.php?workbook=14_09.xlsx&amp;sheet=U0&amp;row=5800&amp;col=7&amp;number=0.00983&amp;sourceID=14","0.00983")</f>
        <v>0.00983</v>
      </c>
    </row>
    <row r="5801" spans="1:7">
      <c r="A5801" s="3"/>
      <c r="B5801" s="3"/>
      <c r="C5801" s="3"/>
      <c r="D5801" s="3"/>
      <c r="E5801" s="3">
        <v>18</v>
      </c>
      <c r="F5801" s="4" t="str">
        <f>HYPERLINK("http://141.218.60.56/~jnz1568/getInfo.php?workbook=14_09.xlsx&amp;sheet=U0&amp;row=5801&amp;col=6&amp;number=4.7&amp;sourceID=14","4.7")</f>
        <v>4.7</v>
      </c>
      <c r="G5801" s="4" t="str">
        <f>HYPERLINK("http://141.218.60.56/~jnz1568/getInfo.php?workbook=14_09.xlsx&amp;sheet=U0&amp;row=5801&amp;col=7&amp;number=0.00947&amp;sourceID=14","0.00947")</f>
        <v>0.00947</v>
      </c>
    </row>
    <row r="5802" spans="1:7">
      <c r="A5802" s="3"/>
      <c r="B5802" s="3"/>
      <c r="C5802" s="3"/>
      <c r="D5802" s="3"/>
      <c r="E5802" s="3">
        <v>19</v>
      </c>
      <c r="F5802" s="4" t="str">
        <f>HYPERLINK("http://141.218.60.56/~jnz1568/getInfo.php?workbook=14_09.xlsx&amp;sheet=U0&amp;row=5802&amp;col=6&amp;number=4.8&amp;sourceID=14","4.8")</f>
        <v>4.8</v>
      </c>
      <c r="G5802" s="4" t="str">
        <f>HYPERLINK("http://141.218.60.56/~jnz1568/getInfo.php?workbook=14_09.xlsx&amp;sheet=U0&amp;row=5802&amp;col=7&amp;number=0.00906&amp;sourceID=14","0.00906")</f>
        <v>0.00906</v>
      </c>
    </row>
    <row r="5803" spans="1:7">
      <c r="A5803" s="3"/>
      <c r="B5803" s="3"/>
      <c r="C5803" s="3"/>
      <c r="D5803" s="3"/>
      <c r="E5803" s="3">
        <v>20</v>
      </c>
      <c r="F5803" s="4" t="str">
        <f>HYPERLINK("http://141.218.60.56/~jnz1568/getInfo.php?workbook=14_09.xlsx&amp;sheet=U0&amp;row=5803&amp;col=6&amp;number=4.9&amp;sourceID=14","4.9")</f>
        <v>4.9</v>
      </c>
      <c r="G5803" s="4" t="str">
        <f>HYPERLINK("http://141.218.60.56/~jnz1568/getInfo.php?workbook=14_09.xlsx&amp;sheet=U0&amp;row=5803&amp;col=7&amp;number=0.00863&amp;sourceID=14","0.00863")</f>
        <v>0.00863</v>
      </c>
    </row>
    <row r="5804" spans="1:7">
      <c r="A5804" s="3">
        <v>14</v>
      </c>
      <c r="B5804" s="3">
        <v>9</v>
      </c>
      <c r="C5804" s="3">
        <v>2</v>
      </c>
      <c r="D5804" s="3">
        <v>99</v>
      </c>
      <c r="E5804" s="3">
        <v>1</v>
      </c>
      <c r="F5804" s="4" t="str">
        <f>HYPERLINK("http://141.218.60.56/~jnz1568/getInfo.php?workbook=14_09.xlsx&amp;sheet=U0&amp;row=5804&amp;col=6&amp;number=3&amp;sourceID=14","3")</f>
        <v>3</v>
      </c>
      <c r="G5804" s="4" t="str">
        <f>HYPERLINK("http://141.218.60.56/~jnz1568/getInfo.php?workbook=14_09.xlsx&amp;sheet=U0&amp;row=5804&amp;col=7&amp;number=0.012&amp;sourceID=14","0.012")</f>
        <v>0.012</v>
      </c>
    </row>
    <row r="5805" spans="1:7">
      <c r="A5805" s="3"/>
      <c r="B5805" s="3"/>
      <c r="C5805" s="3"/>
      <c r="D5805" s="3"/>
      <c r="E5805" s="3">
        <v>2</v>
      </c>
      <c r="F5805" s="4" t="str">
        <f>HYPERLINK("http://141.218.60.56/~jnz1568/getInfo.php?workbook=14_09.xlsx&amp;sheet=U0&amp;row=5805&amp;col=6&amp;number=3.1&amp;sourceID=14","3.1")</f>
        <v>3.1</v>
      </c>
      <c r="G5805" s="4" t="str">
        <f>HYPERLINK("http://141.218.60.56/~jnz1568/getInfo.php?workbook=14_09.xlsx&amp;sheet=U0&amp;row=5805&amp;col=7&amp;number=0.012&amp;sourceID=14","0.012")</f>
        <v>0.012</v>
      </c>
    </row>
    <row r="5806" spans="1:7">
      <c r="A5806" s="3"/>
      <c r="B5806" s="3"/>
      <c r="C5806" s="3"/>
      <c r="D5806" s="3"/>
      <c r="E5806" s="3">
        <v>3</v>
      </c>
      <c r="F5806" s="4" t="str">
        <f>HYPERLINK("http://141.218.60.56/~jnz1568/getInfo.php?workbook=14_09.xlsx&amp;sheet=U0&amp;row=5806&amp;col=6&amp;number=3.2&amp;sourceID=14","3.2")</f>
        <v>3.2</v>
      </c>
      <c r="G5806" s="4" t="str">
        <f>HYPERLINK("http://141.218.60.56/~jnz1568/getInfo.php?workbook=14_09.xlsx&amp;sheet=U0&amp;row=5806&amp;col=7&amp;number=0.012&amp;sourceID=14","0.012")</f>
        <v>0.012</v>
      </c>
    </row>
    <row r="5807" spans="1:7">
      <c r="A5807" s="3"/>
      <c r="B5807" s="3"/>
      <c r="C5807" s="3"/>
      <c r="D5807" s="3"/>
      <c r="E5807" s="3">
        <v>4</v>
      </c>
      <c r="F5807" s="4" t="str">
        <f>HYPERLINK("http://141.218.60.56/~jnz1568/getInfo.php?workbook=14_09.xlsx&amp;sheet=U0&amp;row=5807&amp;col=6&amp;number=3.3&amp;sourceID=14","3.3")</f>
        <v>3.3</v>
      </c>
      <c r="G5807" s="4" t="str">
        <f>HYPERLINK("http://141.218.60.56/~jnz1568/getInfo.php?workbook=14_09.xlsx&amp;sheet=U0&amp;row=5807&amp;col=7&amp;number=0.012&amp;sourceID=14","0.012")</f>
        <v>0.012</v>
      </c>
    </row>
    <row r="5808" spans="1:7">
      <c r="A5808" s="3"/>
      <c r="B5808" s="3"/>
      <c r="C5808" s="3"/>
      <c r="D5808" s="3"/>
      <c r="E5808" s="3">
        <v>5</v>
      </c>
      <c r="F5808" s="4" t="str">
        <f>HYPERLINK("http://141.218.60.56/~jnz1568/getInfo.php?workbook=14_09.xlsx&amp;sheet=U0&amp;row=5808&amp;col=6&amp;number=3.4&amp;sourceID=14","3.4")</f>
        <v>3.4</v>
      </c>
      <c r="G5808" s="4" t="str">
        <f>HYPERLINK("http://141.218.60.56/~jnz1568/getInfo.php?workbook=14_09.xlsx&amp;sheet=U0&amp;row=5808&amp;col=7&amp;number=0.012&amp;sourceID=14","0.012")</f>
        <v>0.012</v>
      </c>
    </row>
    <row r="5809" spans="1:7">
      <c r="A5809" s="3"/>
      <c r="B5809" s="3"/>
      <c r="C5809" s="3"/>
      <c r="D5809" s="3"/>
      <c r="E5809" s="3">
        <v>6</v>
      </c>
      <c r="F5809" s="4" t="str">
        <f>HYPERLINK("http://141.218.60.56/~jnz1568/getInfo.php?workbook=14_09.xlsx&amp;sheet=U0&amp;row=5809&amp;col=6&amp;number=3.5&amp;sourceID=14","3.5")</f>
        <v>3.5</v>
      </c>
      <c r="G5809" s="4" t="str">
        <f>HYPERLINK("http://141.218.60.56/~jnz1568/getInfo.php?workbook=14_09.xlsx&amp;sheet=U0&amp;row=5809&amp;col=7&amp;number=0.012&amp;sourceID=14","0.012")</f>
        <v>0.012</v>
      </c>
    </row>
    <row r="5810" spans="1:7">
      <c r="A5810" s="3"/>
      <c r="B5810" s="3"/>
      <c r="C5810" s="3"/>
      <c r="D5810" s="3"/>
      <c r="E5810" s="3">
        <v>7</v>
      </c>
      <c r="F5810" s="4" t="str">
        <f>HYPERLINK("http://141.218.60.56/~jnz1568/getInfo.php?workbook=14_09.xlsx&amp;sheet=U0&amp;row=5810&amp;col=6&amp;number=3.6&amp;sourceID=14","3.6")</f>
        <v>3.6</v>
      </c>
      <c r="G5810" s="4" t="str">
        <f>HYPERLINK("http://141.218.60.56/~jnz1568/getInfo.php?workbook=14_09.xlsx&amp;sheet=U0&amp;row=5810&amp;col=7&amp;number=0.012&amp;sourceID=14","0.012")</f>
        <v>0.012</v>
      </c>
    </row>
    <row r="5811" spans="1:7">
      <c r="A5811" s="3"/>
      <c r="B5811" s="3"/>
      <c r="C5811" s="3"/>
      <c r="D5811" s="3"/>
      <c r="E5811" s="3">
        <v>8</v>
      </c>
      <c r="F5811" s="4" t="str">
        <f>HYPERLINK("http://141.218.60.56/~jnz1568/getInfo.php?workbook=14_09.xlsx&amp;sheet=U0&amp;row=5811&amp;col=6&amp;number=3.7&amp;sourceID=14","3.7")</f>
        <v>3.7</v>
      </c>
      <c r="G5811" s="4" t="str">
        <f>HYPERLINK("http://141.218.60.56/~jnz1568/getInfo.php?workbook=14_09.xlsx&amp;sheet=U0&amp;row=5811&amp;col=7&amp;number=0.012&amp;sourceID=14","0.012")</f>
        <v>0.012</v>
      </c>
    </row>
    <row r="5812" spans="1:7">
      <c r="A5812" s="3"/>
      <c r="B5812" s="3"/>
      <c r="C5812" s="3"/>
      <c r="D5812" s="3"/>
      <c r="E5812" s="3">
        <v>9</v>
      </c>
      <c r="F5812" s="4" t="str">
        <f>HYPERLINK("http://141.218.60.56/~jnz1568/getInfo.php?workbook=14_09.xlsx&amp;sheet=U0&amp;row=5812&amp;col=6&amp;number=3.8&amp;sourceID=14","3.8")</f>
        <v>3.8</v>
      </c>
      <c r="G5812" s="4" t="str">
        <f>HYPERLINK("http://141.218.60.56/~jnz1568/getInfo.php?workbook=14_09.xlsx&amp;sheet=U0&amp;row=5812&amp;col=7&amp;number=0.012&amp;sourceID=14","0.012")</f>
        <v>0.012</v>
      </c>
    </row>
    <row r="5813" spans="1:7">
      <c r="A5813" s="3"/>
      <c r="B5813" s="3"/>
      <c r="C5813" s="3"/>
      <c r="D5813" s="3"/>
      <c r="E5813" s="3">
        <v>10</v>
      </c>
      <c r="F5813" s="4" t="str">
        <f>HYPERLINK("http://141.218.60.56/~jnz1568/getInfo.php?workbook=14_09.xlsx&amp;sheet=U0&amp;row=5813&amp;col=6&amp;number=3.9&amp;sourceID=14","3.9")</f>
        <v>3.9</v>
      </c>
      <c r="G5813" s="4" t="str">
        <f>HYPERLINK("http://141.218.60.56/~jnz1568/getInfo.php?workbook=14_09.xlsx&amp;sheet=U0&amp;row=5813&amp;col=7&amp;number=0.012&amp;sourceID=14","0.012")</f>
        <v>0.012</v>
      </c>
    </row>
    <row r="5814" spans="1:7">
      <c r="A5814" s="3"/>
      <c r="B5814" s="3"/>
      <c r="C5814" s="3"/>
      <c r="D5814" s="3"/>
      <c r="E5814" s="3">
        <v>11</v>
      </c>
      <c r="F5814" s="4" t="str">
        <f>HYPERLINK("http://141.218.60.56/~jnz1568/getInfo.php?workbook=14_09.xlsx&amp;sheet=U0&amp;row=5814&amp;col=6&amp;number=4&amp;sourceID=14","4")</f>
        <v>4</v>
      </c>
      <c r="G5814" s="4" t="str">
        <f>HYPERLINK("http://141.218.60.56/~jnz1568/getInfo.php?workbook=14_09.xlsx&amp;sheet=U0&amp;row=5814&amp;col=7&amp;number=0.012&amp;sourceID=14","0.012")</f>
        <v>0.012</v>
      </c>
    </row>
    <row r="5815" spans="1:7">
      <c r="A5815" s="3"/>
      <c r="B5815" s="3"/>
      <c r="C5815" s="3"/>
      <c r="D5815" s="3"/>
      <c r="E5815" s="3">
        <v>12</v>
      </c>
      <c r="F5815" s="4" t="str">
        <f>HYPERLINK("http://141.218.60.56/~jnz1568/getInfo.php?workbook=14_09.xlsx&amp;sheet=U0&amp;row=5815&amp;col=6&amp;number=4.1&amp;sourceID=14","4.1")</f>
        <v>4.1</v>
      </c>
      <c r="G5815" s="4" t="str">
        <f>HYPERLINK("http://141.218.60.56/~jnz1568/getInfo.php?workbook=14_09.xlsx&amp;sheet=U0&amp;row=5815&amp;col=7&amp;number=0.012&amp;sourceID=14","0.012")</f>
        <v>0.012</v>
      </c>
    </row>
    <row r="5816" spans="1:7">
      <c r="A5816" s="3"/>
      <c r="B5816" s="3"/>
      <c r="C5816" s="3"/>
      <c r="D5816" s="3"/>
      <c r="E5816" s="3">
        <v>13</v>
      </c>
      <c r="F5816" s="4" t="str">
        <f>HYPERLINK("http://141.218.60.56/~jnz1568/getInfo.php?workbook=14_09.xlsx&amp;sheet=U0&amp;row=5816&amp;col=6&amp;number=4.2&amp;sourceID=14","4.2")</f>
        <v>4.2</v>
      </c>
      <c r="G5816" s="4" t="str">
        <f>HYPERLINK("http://141.218.60.56/~jnz1568/getInfo.php?workbook=14_09.xlsx&amp;sheet=U0&amp;row=5816&amp;col=7&amp;number=0.012&amp;sourceID=14","0.012")</f>
        <v>0.012</v>
      </c>
    </row>
    <row r="5817" spans="1:7">
      <c r="A5817" s="3"/>
      <c r="B5817" s="3"/>
      <c r="C5817" s="3"/>
      <c r="D5817" s="3"/>
      <c r="E5817" s="3">
        <v>14</v>
      </c>
      <c r="F5817" s="4" t="str">
        <f>HYPERLINK("http://141.218.60.56/~jnz1568/getInfo.php?workbook=14_09.xlsx&amp;sheet=U0&amp;row=5817&amp;col=6&amp;number=4.3&amp;sourceID=14","4.3")</f>
        <v>4.3</v>
      </c>
      <c r="G5817" s="4" t="str">
        <f>HYPERLINK("http://141.218.60.56/~jnz1568/getInfo.php?workbook=14_09.xlsx&amp;sheet=U0&amp;row=5817&amp;col=7&amp;number=0.0121&amp;sourceID=14","0.0121")</f>
        <v>0.0121</v>
      </c>
    </row>
    <row r="5818" spans="1:7">
      <c r="A5818" s="3"/>
      <c r="B5818" s="3"/>
      <c r="C5818" s="3"/>
      <c r="D5818" s="3"/>
      <c r="E5818" s="3">
        <v>15</v>
      </c>
      <c r="F5818" s="4" t="str">
        <f>HYPERLINK("http://141.218.60.56/~jnz1568/getInfo.php?workbook=14_09.xlsx&amp;sheet=U0&amp;row=5818&amp;col=6&amp;number=4.4&amp;sourceID=14","4.4")</f>
        <v>4.4</v>
      </c>
      <c r="G5818" s="4" t="str">
        <f>HYPERLINK("http://141.218.60.56/~jnz1568/getInfo.php?workbook=14_09.xlsx&amp;sheet=U0&amp;row=5818&amp;col=7&amp;number=0.0121&amp;sourceID=14","0.0121")</f>
        <v>0.0121</v>
      </c>
    </row>
    <row r="5819" spans="1:7">
      <c r="A5819" s="3"/>
      <c r="B5819" s="3"/>
      <c r="C5819" s="3"/>
      <c r="D5819" s="3"/>
      <c r="E5819" s="3">
        <v>16</v>
      </c>
      <c r="F5819" s="4" t="str">
        <f>HYPERLINK("http://141.218.60.56/~jnz1568/getInfo.php?workbook=14_09.xlsx&amp;sheet=U0&amp;row=5819&amp;col=6&amp;number=4.5&amp;sourceID=14","4.5")</f>
        <v>4.5</v>
      </c>
      <c r="G5819" s="4" t="str">
        <f>HYPERLINK("http://141.218.60.56/~jnz1568/getInfo.php?workbook=14_09.xlsx&amp;sheet=U0&amp;row=5819&amp;col=7&amp;number=0.0121&amp;sourceID=14","0.0121")</f>
        <v>0.0121</v>
      </c>
    </row>
    <row r="5820" spans="1:7">
      <c r="A5820" s="3"/>
      <c r="B5820" s="3"/>
      <c r="C5820" s="3"/>
      <c r="D5820" s="3"/>
      <c r="E5820" s="3">
        <v>17</v>
      </c>
      <c r="F5820" s="4" t="str">
        <f>HYPERLINK("http://141.218.60.56/~jnz1568/getInfo.php?workbook=14_09.xlsx&amp;sheet=U0&amp;row=5820&amp;col=6&amp;number=4.6&amp;sourceID=14","4.6")</f>
        <v>4.6</v>
      </c>
      <c r="G5820" s="4" t="str">
        <f>HYPERLINK("http://141.218.60.56/~jnz1568/getInfo.php?workbook=14_09.xlsx&amp;sheet=U0&amp;row=5820&amp;col=7&amp;number=0.0121&amp;sourceID=14","0.0121")</f>
        <v>0.0121</v>
      </c>
    </row>
    <row r="5821" spans="1:7">
      <c r="A5821" s="3"/>
      <c r="B5821" s="3"/>
      <c r="C5821" s="3"/>
      <c r="D5821" s="3"/>
      <c r="E5821" s="3">
        <v>18</v>
      </c>
      <c r="F5821" s="4" t="str">
        <f>HYPERLINK("http://141.218.60.56/~jnz1568/getInfo.php?workbook=14_09.xlsx&amp;sheet=U0&amp;row=5821&amp;col=6&amp;number=4.7&amp;sourceID=14","4.7")</f>
        <v>4.7</v>
      </c>
      <c r="G5821" s="4" t="str">
        <f>HYPERLINK("http://141.218.60.56/~jnz1568/getInfo.php?workbook=14_09.xlsx&amp;sheet=U0&amp;row=5821&amp;col=7&amp;number=0.0121&amp;sourceID=14","0.0121")</f>
        <v>0.0121</v>
      </c>
    </row>
    <row r="5822" spans="1:7">
      <c r="A5822" s="3"/>
      <c r="B5822" s="3"/>
      <c r="C5822" s="3"/>
      <c r="D5822" s="3"/>
      <c r="E5822" s="3">
        <v>19</v>
      </c>
      <c r="F5822" s="4" t="str">
        <f>HYPERLINK("http://141.218.60.56/~jnz1568/getInfo.php?workbook=14_09.xlsx&amp;sheet=U0&amp;row=5822&amp;col=6&amp;number=4.8&amp;sourceID=14","4.8")</f>
        <v>4.8</v>
      </c>
      <c r="G5822" s="4" t="str">
        <f>HYPERLINK("http://141.218.60.56/~jnz1568/getInfo.php?workbook=14_09.xlsx&amp;sheet=U0&amp;row=5822&amp;col=7&amp;number=0.0122&amp;sourceID=14","0.0122")</f>
        <v>0.0122</v>
      </c>
    </row>
    <row r="5823" spans="1:7">
      <c r="A5823" s="3"/>
      <c r="B5823" s="3"/>
      <c r="C5823" s="3"/>
      <c r="D5823" s="3"/>
      <c r="E5823" s="3">
        <v>20</v>
      </c>
      <c r="F5823" s="4" t="str">
        <f>HYPERLINK("http://141.218.60.56/~jnz1568/getInfo.php?workbook=14_09.xlsx&amp;sheet=U0&amp;row=5823&amp;col=6&amp;number=4.9&amp;sourceID=14","4.9")</f>
        <v>4.9</v>
      </c>
      <c r="G5823" s="4" t="str">
        <f>HYPERLINK("http://141.218.60.56/~jnz1568/getInfo.php?workbook=14_09.xlsx&amp;sheet=U0&amp;row=5823&amp;col=7&amp;number=0.0123&amp;sourceID=14","0.0123")</f>
        <v>0.0123</v>
      </c>
    </row>
    <row r="5824" spans="1:7">
      <c r="A5824" s="3">
        <v>14</v>
      </c>
      <c r="B5824" s="3">
        <v>9</v>
      </c>
      <c r="C5824" s="3">
        <v>2</v>
      </c>
      <c r="D5824" s="3">
        <v>100</v>
      </c>
      <c r="E5824" s="3">
        <v>1</v>
      </c>
      <c r="F5824" s="4" t="str">
        <f>HYPERLINK("http://141.218.60.56/~jnz1568/getInfo.php?workbook=14_09.xlsx&amp;sheet=U0&amp;row=5824&amp;col=6&amp;number=3&amp;sourceID=14","3")</f>
        <v>3</v>
      </c>
      <c r="G5824" s="4" t="str">
        <f>HYPERLINK("http://141.218.60.56/~jnz1568/getInfo.php?workbook=14_09.xlsx&amp;sheet=U0&amp;row=5824&amp;col=7&amp;number=0.0177&amp;sourceID=14","0.0177")</f>
        <v>0.0177</v>
      </c>
    </row>
    <row r="5825" spans="1:7">
      <c r="A5825" s="3"/>
      <c r="B5825" s="3"/>
      <c r="C5825" s="3"/>
      <c r="D5825" s="3"/>
      <c r="E5825" s="3">
        <v>2</v>
      </c>
      <c r="F5825" s="4" t="str">
        <f>HYPERLINK("http://141.218.60.56/~jnz1568/getInfo.php?workbook=14_09.xlsx&amp;sheet=U0&amp;row=5825&amp;col=6&amp;number=3.1&amp;sourceID=14","3.1")</f>
        <v>3.1</v>
      </c>
      <c r="G5825" s="4" t="str">
        <f>HYPERLINK("http://141.218.60.56/~jnz1568/getInfo.php?workbook=14_09.xlsx&amp;sheet=U0&amp;row=5825&amp;col=7&amp;number=0.0177&amp;sourceID=14","0.0177")</f>
        <v>0.0177</v>
      </c>
    </row>
    <row r="5826" spans="1:7">
      <c r="A5826" s="3"/>
      <c r="B5826" s="3"/>
      <c r="C5826" s="3"/>
      <c r="D5826" s="3"/>
      <c r="E5826" s="3">
        <v>3</v>
      </c>
      <c r="F5826" s="4" t="str">
        <f>HYPERLINK("http://141.218.60.56/~jnz1568/getInfo.php?workbook=14_09.xlsx&amp;sheet=U0&amp;row=5826&amp;col=6&amp;number=3.2&amp;sourceID=14","3.2")</f>
        <v>3.2</v>
      </c>
      <c r="G5826" s="4" t="str">
        <f>HYPERLINK("http://141.218.60.56/~jnz1568/getInfo.php?workbook=14_09.xlsx&amp;sheet=U0&amp;row=5826&amp;col=7&amp;number=0.0177&amp;sourceID=14","0.0177")</f>
        <v>0.0177</v>
      </c>
    </row>
    <row r="5827" spans="1:7">
      <c r="A5827" s="3"/>
      <c r="B5827" s="3"/>
      <c r="C5827" s="3"/>
      <c r="D5827" s="3"/>
      <c r="E5827" s="3">
        <v>4</v>
      </c>
      <c r="F5827" s="4" t="str">
        <f>HYPERLINK("http://141.218.60.56/~jnz1568/getInfo.php?workbook=14_09.xlsx&amp;sheet=U0&amp;row=5827&amp;col=6&amp;number=3.3&amp;sourceID=14","3.3")</f>
        <v>3.3</v>
      </c>
      <c r="G5827" s="4" t="str">
        <f>HYPERLINK("http://141.218.60.56/~jnz1568/getInfo.php?workbook=14_09.xlsx&amp;sheet=U0&amp;row=5827&amp;col=7&amp;number=0.0177&amp;sourceID=14","0.0177")</f>
        <v>0.0177</v>
      </c>
    </row>
    <row r="5828" spans="1:7">
      <c r="A5828" s="3"/>
      <c r="B5828" s="3"/>
      <c r="C5828" s="3"/>
      <c r="D5828" s="3"/>
      <c r="E5828" s="3">
        <v>5</v>
      </c>
      <c r="F5828" s="4" t="str">
        <f>HYPERLINK("http://141.218.60.56/~jnz1568/getInfo.php?workbook=14_09.xlsx&amp;sheet=U0&amp;row=5828&amp;col=6&amp;number=3.4&amp;sourceID=14","3.4")</f>
        <v>3.4</v>
      </c>
      <c r="G5828" s="4" t="str">
        <f>HYPERLINK("http://141.218.60.56/~jnz1568/getInfo.php?workbook=14_09.xlsx&amp;sheet=U0&amp;row=5828&amp;col=7&amp;number=0.0177&amp;sourceID=14","0.0177")</f>
        <v>0.0177</v>
      </c>
    </row>
    <row r="5829" spans="1:7">
      <c r="A5829" s="3"/>
      <c r="B5829" s="3"/>
      <c r="C5829" s="3"/>
      <c r="D5829" s="3"/>
      <c r="E5829" s="3">
        <v>6</v>
      </c>
      <c r="F5829" s="4" t="str">
        <f>HYPERLINK("http://141.218.60.56/~jnz1568/getInfo.php?workbook=14_09.xlsx&amp;sheet=U0&amp;row=5829&amp;col=6&amp;number=3.5&amp;sourceID=14","3.5")</f>
        <v>3.5</v>
      </c>
      <c r="G5829" s="4" t="str">
        <f>HYPERLINK("http://141.218.60.56/~jnz1568/getInfo.php?workbook=14_09.xlsx&amp;sheet=U0&amp;row=5829&amp;col=7&amp;number=0.0177&amp;sourceID=14","0.0177")</f>
        <v>0.0177</v>
      </c>
    </row>
    <row r="5830" spans="1:7">
      <c r="A5830" s="3"/>
      <c r="B5830" s="3"/>
      <c r="C5830" s="3"/>
      <c r="D5830" s="3"/>
      <c r="E5830" s="3">
        <v>7</v>
      </c>
      <c r="F5830" s="4" t="str">
        <f>HYPERLINK("http://141.218.60.56/~jnz1568/getInfo.php?workbook=14_09.xlsx&amp;sheet=U0&amp;row=5830&amp;col=6&amp;number=3.6&amp;sourceID=14","3.6")</f>
        <v>3.6</v>
      </c>
      <c r="G5830" s="4" t="str">
        <f>HYPERLINK("http://141.218.60.56/~jnz1568/getInfo.php?workbook=14_09.xlsx&amp;sheet=U0&amp;row=5830&amp;col=7&amp;number=0.0177&amp;sourceID=14","0.0177")</f>
        <v>0.0177</v>
      </c>
    </row>
    <row r="5831" spans="1:7">
      <c r="A5831" s="3"/>
      <c r="B5831" s="3"/>
      <c r="C5831" s="3"/>
      <c r="D5831" s="3"/>
      <c r="E5831" s="3">
        <v>8</v>
      </c>
      <c r="F5831" s="4" t="str">
        <f>HYPERLINK("http://141.218.60.56/~jnz1568/getInfo.php?workbook=14_09.xlsx&amp;sheet=U0&amp;row=5831&amp;col=6&amp;number=3.7&amp;sourceID=14","3.7")</f>
        <v>3.7</v>
      </c>
      <c r="G5831" s="4" t="str">
        <f>HYPERLINK("http://141.218.60.56/~jnz1568/getInfo.php?workbook=14_09.xlsx&amp;sheet=U0&amp;row=5831&amp;col=7&amp;number=0.0176&amp;sourceID=14","0.0176")</f>
        <v>0.0176</v>
      </c>
    </row>
    <row r="5832" spans="1:7">
      <c r="A5832" s="3"/>
      <c r="B5832" s="3"/>
      <c r="C5832" s="3"/>
      <c r="D5832" s="3"/>
      <c r="E5832" s="3">
        <v>9</v>
      </c>
      <c r="F5832" s="4" t="str">
        <f>HYPERLINK("http://141.218.60.56/~jnz1568/getInfo.php?workbook=14_09.xlsx&amp;sheet=U0&amp;row=5832&amp;col=6&amp;number=3.8&amp;sourceID=14","3.8")</f>
        <v>3.8</v>
      </c>
      <c r="G5832" s="4" t="str">
        <f>HYPERLINK("http://141.218.60.56/~jnz1568/getInfo.php?workbook=14_09.xlsx&amp;sheet=U0&amp;row=5832&amp;col=7&amp;number=0.0176&amp;sourceID=14","0.0176")</f>
        <v>0.0176</v>
      </c>
    </row>
    <row r="5833" spans="1:7">
      <c r="A5833" s="3"/>
      <c r="B5833" s="3"/>
      <c r="C5833" s="3"/>
      <c r="D5833" s="3"/>
      <c r="E5833" s="3">
        <v>10</v>
      </c>
      <c r="F5833" s="4" t="str">
        <f>HYPERLINK("http://141.218.60.56/~jnz1568/getInfo.php?workbook=14_09.xlsx&amp;sheet=U0&amp;row=5833&amp;col=6&amp;number=3.9&amp;sourceID=14","3.9")</f>
        <v>3.9</v>
      </c>
      <c r="G5833" s="4" t="str">
        <f>HYPERLINK("http://141.218.60.56/~jnz1568/getInfo.php?workbook=14_09.xlsx&amp;sheet=U0&amp;row=5833&amp;col=7&amp;number=0.0176&amp;sourceID=14","0.0176")</f>
        <v>0.0176</v>
      </c>
    </row>
    <row r="5834" spans="1:7">
      <c r="A5834" s="3"/>
      <c r="B5834" s="3"/>
      <c r="C5834" s="3"/>
      <c r="D5834" s="3"/>
      <c r="E5834" s="3">
        <v>11</v>
      </c>
      <c r="F5834" s="4" t="str">
        <f>HYPERLINK("http://141.218.60.56/~jnz1568/getInfo.php?workbook=14_09.xlsx&amp;sheet=U0&amp;row=5834&amp;col=6&amp;number=4&amp;sourceID=14","4")</f>
        <v>4</v>
      </c>
      <c r="G5834" s="4" t="str">
        <f>HYPERLINK("http://141.218.60.56/~jnz1568/getInfo.php?workbook=14_09.xlsx&amp;sheet=U0&amp;row=5834&amp;col=7&amp;number=0.0176&amp;sourceID=14","0.0176")</f>
        <v>0.0176</v>
      </c>
    </row>
    <row r="5835" spans="1:7">
      <c r="A5835" s="3"/>
      <c r="B5835" s="3"/>
      <c r="C5835" s="3"/>
      <c r="D5835" s="3"/>
      <c r="E5835" s="3">
        <v>12</v>
      </c>
      <c r="F5835" s="4" t="str">
        <f>HYPERLINK("http://141.218.60.56/~jnz1568/getInfo.php?workbook=14_09.xlsx&amp;sheet=U0&amp;row=5835&amp;col=6&amp;number=4.1&amp;sourceID=14","4.1")</f>
        <v>4.1</v>
      </c>
      <c r="G5835" s="4" t="str">
        <f>HYPERLINK("http://141.218.60.56/~jnz1568/getInfo.php?workbook=14_09.xlsx&amp;sheet=U0&amp;row=5835&amp;col=7&amp;number=0.0175&amp;sourceID=14","0.0175")</f>
        <v>0.0175</v>
      </c>
    </row>
    <row r="5836" spans="1:7">
      <c r="A5836" s="3"/>
      <c r="B5836" s="3"/>
      <c r="C5836" s="3"/>
      <c r="D5836" s="3"/>
      <c r="E5836" s="3">
        <v>13</v>
      </c>
      <c r="F5836" s="4" t="str">
        <f>HYPERLINK("http://141.218.60.56/~jnz1568/getInfo.php?workbook=14_09.xlsx&amp;sheet=U0&amp;row=5836&amp;col=6&amp;number=4.2&amp;sourceID=14","4.2")</f>
        <v>4.2</v>
      </c>
      <c r="G5836" s="4" t="str">
        <f>HYPERLINK("http://141.218.60.56/~jnz1568/getInfo.php?workbook=14_09.xlsx&amp;sheet=U0&amp;row=5836&amp;col=7&amp;number=0.0175&amp;sourceID=14","0.0175")</f>
        <v>0.0175</v>
      </c>
    </row>
    <row r="5837" spans="1:7">
      <c r="A5837" s="3"/>
      <c r="B5837" s="3"/>
      <c r="C5837" s="3"/>
      <c r="D5837" s="3"/>
      <c r="E5837" s="3">
        <v>14</v>
      </c>
      <c r="F5837" s="4" t="str">
        <f>HYPERLINK("http://141.218.60.56/~jnz1568/getInfo.php?workbook=14_09.xlsx&amp;sheet=U0&amp;row=5837&amp;col=6&amp;number=4.3&amp;sourceID=14","4.3")</f>
        <v>4.3</v>
      </c>
      <c r="G5837" s="4" t="str">
        <f>HYPERLINK("http://141.218.60.56/~jnz1568/getInfo.php?workbook=14_09.xlsx&amp;sheet=U0&amp;row=5837&amp;col=7&amp;number=0.0174&amp;sourceID=14","0.0174")</f>
        <v>0.0174</v>
      </c>
    </row>
    <row r="5838" spans="1:7">
      <c r="A5838" s="3"/>
      <c r="B5838" s="3"/>
      <c r="C5838" s="3"/>
      <c r="D5838" s="3"/>
      <c r="E5838" s="3">
        <v>15</v>
      </c>
      <c r="F5838" s="4" t="str">
        <f>HYPERLINK("http://141.218.60.56/~jnz1568/getInfo.php?workbook=14_09.xlsx&amp;sheet=U0&amp;row=5838&amp;col=6&amp;number=4.4&amp;sourceID=14","4.4")</f>
        <v>4.4</v>
      </c>
      <c r="G5838" s="4" t="str">
        <f>HYPERLINK("http://141.218.60.56/~jnz1568/getInfo.php?workbook=14_09.xlsx&amp;sheet=U0&amp;row=5838&amp;col=7&amp;number=0.0174&amp;sourceID=14","0.0174")</f>
        <v>0.0174</v>
      </c>
    </row>
    <row r="5839" spans="1:7">
      <c r="A5839" s="3"/>
      <c r="B5839" s="3"/>
      <c r="C5839" s="3"/>
      <c r="D5839" s="3"/>
      <c r="E5839" s="3">
        <v>16</v>
      </c>
      <c r="F5839" s="4" t="str">
        <f>HYPERLINK("http://141.218.60.56/~jnz1568/getInfo.php?workbook=14_09.xlsx&amp;sheet=U0&amp;row=5839&amp;col=6&amp;number=4.5&amp;sourceID=14","4.5")</f>
        <v>4.5</v>
      </c>
      <c r="G5839" s="4" t="str">
        <f>HYPERLINK("http://141.218.60.56/~jnz1568/getInfo.php?workbook=14_09.xlsx&amp;sheet=U0&amp;row=5839&amp;col=7&amp;number=0.0173&amp;sourceID=14","0.0173")</f>
        <v>0.0173</v>
      </c>
    </row>
    <row r="5840" spans="1:7">
      <c r="A5840" s="3"/>
      <c r="B5840" s="3"/>
      <c r="C5840" s="3"/>
      <c r="D5840" s="3"/>
      <c r="E5840" s="3">
        <v>17</v>
      </c>
      <c r="F5840" s="4" t="str">
        <f>HYPERLINK("http://141.218.60.56/~jnz1568/getInfo.php?workbook=14_09.xlsx&amp;sheet=U0&amp;row=5840&amp;col=6&amp;number=4.6&amp;sourceID=14","4.6")</f>
        <v>4.6</v>
      </c>
      <c r="G5840" s="4" t="str">
        <f>HYPERLINK("http://141.218.60.56/~jnz1568/getInfo.php?workbook=14_09.xlsx&amp;sheet=U0&amp;row=5840&amp;col=7&amp;number=0.0172&amp;sourceID=14","0.0172")</f>
        <v>0.0172</v>
      </c>
    </row>
    <row r="5841" spans="1:7">
      <c r="A5841" s="3"/>
      <c r="B5841" s="3"/>
      <c r="C5841" s="3"/>
      <c r="D5841" s="3"/>
      <c r="E5841" s="3">
        <v>18</v>
      </c>
      <c r="F5841" s="4" t="str">
        <f>HYPERLINK("http://141.218.60.56/~jnz1568/getInfo.php?workbook=14_09.xlsx&amp;sheet=U0&amp;row=5841&amp;col=6&amp;number=4.7&amp;sourceID=14","4.7")</f>
        <v>4.7</v>
      </c>
      <c r="G5841" s="4" t="str">
        <f>HYPERLINK("http://141.218.60.56/~jnz1568/getInfo.php?workbook=14_09.xlsx&amp;sheet=U0&amp;row=5841&amp;col=7&amp;number=0.0171&amp;sourceID=14","0.0171")</f>
        <v>0.0171</v>
      </c>
    </row>
    <row r="5842" spans="1:7">
      <c r="A5842" s="3"/>
      <c r="B5842" s="3"/>
      <c r="C5842" s="3"/>
      <c r="D5842" s="3"/>
      <c r="E5842" s="3">
        <v>19</v>
      </c>
      <c r="F5842" s="4" t="str">
        <f>HYPERLINK("http://141.218.60.56/~jnz1568/getInfo.php?workbook=14_09.xlsx&amp;sheet=U0&amp;row=5842&amp;col=6&amp;number=4.8&amp;sourceID=14","4.8")</f>
        <v>4.8</v>
      </c>
      <c r="G5842" s="4" t="str">
        <f>HYPERLINK("http://141.218.60.56/~jnz1568/getInfo.php?workbook=14_09.xlsx&amp;sheet=U0&amp;row=5842&amp;col=7&amp;number=0.017&amp;sourceID=14","0.017")</f>
        <v>0.017</v>
      </c>
    </row>
    <row r="5843" spans="1:7">
      <c r="A5843" s="3"/>
      <c r="B5843" s="3"/>
      <c r="C5843" s="3"/>
      <c r="D5843" s="3"/>
      <c r="E5843" s="3">
        <v>20</v>
      </c>
      <c r="F5843" s="4" t="str">
        <f>HYPERLINK("http://141.218.60.56/~jnz1568/getInfo.php?workbook=14_09.xlsx&amp;sheet=U0&amp;row=5843&amp;col=6&amp;number=4.9&amp;sourceID=14","4.9")</f>
        <v>4.9</v>
      </c>
      <c r="G5843" s="4" t="str">
        <f>HYPERLINK("http://141.218.60.56/~jnz1568/getInfo.php?workbook=14_09.xlsx&amp;sheet=U0&amp;row=5843&amp;col=7&amp;number=0.0169&amp;sourceID=14","0.0169")</f>
        <v>0.0169</v>
      </c>
    </row>
    <row r="5844" spans="1:7">
      <c r="A5844" s="3">
        <v>14</v>
      </c>
      <c r="B5844" s="3">
        <v>9</v>
      </c>
      <c r="C5844" s="3">
        <v>2</v>
      </c>
      <c r="D5844" s="3">
        <v>101</v>
      </c>
      <c r="E5844" s="3">
        <v>1</v>
      </c>
      <c r="F5844" s="4" t="str">
        <f>HYPERLINK("http://141.218.60.56/~jnz1568/getInfo.php?workbook=14_09.xlsx&amp;sheet=U0&amp;row=5844&amp;col=6&amp;number=3&amp;sourceID=14","3")</f>
        <v>3</v>
      </c>
      <c r="G5844" s="4" t="str">
        <f>HYPERLINK("http://141.218.60.56/~jnz1568/getInfo.php?workbook=14_09.xlsx&amp;sheet=U0&amp;row=5844&amp;col=7&amp;number=0.0222&amp;sourceID=14","0.0222")</f>
        <v>0.0222</v>
      </c>
    </row>
    <row r="5845" spans="1:7">
      <c r="A5845" s="3"/>
      <c r="B5845" s="3"/>
      <c r="C5845" s="3"/>
      <c r="D5845" s="3"/>
      <c r="E5845" s="3">
        <v>2</v>
      </c>
      <c r="F5845" s="4" t="str">
        <f>HYPERLINK("http://141.218.60.56/~jnz1568/getInfo.php?workbook=14_09.xlsx&amp;sheet=U0&amp;row=5845&amp;col=6&amp;number=3.1&amp;sourceID=14","3.1")</f>
        <v>3.1</v>
      </c>
      <c r="G5845" s="4" t="str">
        <f>HYPERLINK("http://141.218.60.56/~jnz1568/getInfo.php?workbook=14_09.xlsx&amp;sheet=U0&amp;row=5845&amp;col=7&amp;number=0.0222&amp;sourceID=14","0.0222")</f>
        <v>0.0222</v>
      </c>
    </row>
    <row r="5846" spans="1:7">
      <c r="A5846" s="3"/>
      <c r="B5846" s="3"/>
      <c r="C5846" s="3"/>
      <c r="D5846" s="3"/>
      <c r="E5846" s="3">
        <v>3</v>
      </c>
      <c r="F5846" s="4" t="str">
        <f>HYPERLINK("http://141.218.60.56/~jnz1568/getInfo.php?workbook=14_09.xlsx&amp;sheet=U0&amp;row=5846&amp;col=6&amp;number=3.2&amp;sourceID=14","3.2")</f>
        <v>3.2</v>
      </c>
      <c r="G5846" s="4" t="str">
        <f>HYPERLINK("http://141.218.60.56/~jnz1568/getInfo.php?workbook=14_09.xlsx&amp;sheet=U0&amp;row=5846&amp;col=7&amp;number=0.0221&amp;sourceID=14","0.0221")</f>
        <v>0.0221</v>
      </c>
    </row>
    <row r="5847" spans="1:7">
      <c r="A5847" s="3"/>
      <c r="B5847" s="3"/>
      <c r="C5847" s="3"/>
      <c r="D5847" s="3"/>
      <c r="E5847" s="3">
        <v>4</v>
      </c>
      <c r="F5847" s="4" t="str">
        <f>HYPERLINK("http://141.218.60.56/~jnz1568/getInfo.php?workbook=14_09.xlsx&amp;sheet=U0&amp;row=5847&amp;col=6&amp;number=3.3&amp;sourceID=14","3.3")</f>
        <v>3.3</v>
      </c>
      <c r="G5847" s="4" t="str">
        <f>HYPERLINK("http://141.218.60.56/~jnz1568/getInfo.php?workbook=14_09.xlsx&amp;sheet=U0&amp;row=5847&amp;col=7&amp;number=0.0221&amp;sourceID=14","0.0221")</f>
        <v>0.0221</v>
      </c>
    </row>
    <row r="5848" spans="1:7">
      <c r="A5848" s="3"/>
      <c r="B5848" s="3"/>
      <c r="C5848" s="3"/>
      <c r="D5848" s="3"/>
      <c r="E5848" s="3">
        <v>5</v>
      </c>
      <c r="F5848" s="4" t="str">
        <f>HYPERLINK("http://141.218.60.56/~jnz1568/getInfo.php?workbook=14_09.xlsx&amp;sheet=U0&amp;row=5848&amp;col=6&amp;number=3.4&amp;sourceID=14","3.4")</f>
        <v>3.4</v>
      </c>
      <c r="G5848" s="4" t="str">
        <f>HYPERLINK("http://141.218.60.56/~jnz1568/getInfo.php?workbook=14_09.xlsx&amp;sheet=U0&amp;row=5848&amp;col=7&amp;number=0.022&amp;sourceID=14","0.022")</f>
        <v>0.022</v>
      </c>
    </row>
    <row r="5849" spans="1:7">
      <c r="A5849" s="3"/>
      <c r="B5849" s="3"/>
      <c r="C5849" s="3"/>
      <c r="D5849" s="3"/>
      <c r="E5849" s="3">
        <v>6</v>
      </c>
      <c r="F5849" s="4" t="str">
        <f>HYPERLINK("http://141.218.60.56/~jnz1568/getInfo.php?workbook=14_09.xlsx&amp;sheet=U0&amp;row=5849&amp;col=6&amp;number=3.5&amp;sourceID=14","3.5")</f>
        <v>3.5</v>
      </c>
      <c r="G5849" s="4" t="str">
        <f>HYPERLINK("http://141.218.60.56/~jnz1568/getInfo.php?workbook=14_09.xlsx&amp;sheet=U0&amp;row=5849&amp;col=7&amp;number=0.0219&amp;sourceID=14","0.0219")</f>
        <v>0.0219</v>
      </c>
    </row>
    <row r="5850" spans="1:7">
      <c r="A5850" s="3"/>
      <c r="B5850" s="3"/>
      <c r="C5850" s="3"/>
      <c r="D5850" s="3"/>
      <c r="E5850" s="3">
        <v>7</v>
      </c>
      <c r="F5850" s="4" t="str">
        <f>HYPERLINK("http://141.218.60.56/~jnz1568/getInfo.php?workbook=14_09.xlsx&amp;sheet=U0&amp;row=5850&amp;col=6&amp;number=3.6&amp;sourceID=14","3.6")</f>
        <v>3.6</v>
      </c>
      <c r="G5850" s="4" t="str">
        <f>HYPERLINK("http://141.218.60.56/~jnz1568/getInfo.php?workbook=14_09.xlsx&amp;sheet=U0&amp;row=5850&amp;col=7&amp;number=0.0218&amp;sourceID=14","0.0218")</f>
        <v>0.0218</v>
      </c>
    </row>
    <row r="5851" spans="1:7">
      <c r="A5851" s="3"/>
      <c r="B5851" s="3"/>
      <c r="C5851" s="3"/>
      <c r="D5851" s="3"/>
      <c r="E5851" s="3">
        <v>8</v>
      </c>
      <c r="F5851" s="4" t="str">
        <f>HYPERLINK("http://141.218.60.56/~jnz1568/getInfo.php?workbook=14_09.xlsx&amp;sheet=U0&amp;row=5851&amp;col=6&amp;number=3.7&amp;sourceID=14","3.7")</f>
        <v>3.7</v>
      </c>
      <c r="G5851" s="4" t="str">
        <f>HYPERLINK("http://141.218.60.56/~jnz1568/getInfo.php?workbook=14_09.xlsx&amp;sheet=U0&amp;row=5851&amp;col=7&amp;number=0.0217&amp;sourceID=14","0.0217")</f>
        <v>0.0217</v>
      </c>
    </row>
    <row r="5852" spans="1:7">
      <c r="A5852" s="3"/>
      <c r="B5852" s="3"/>
      <c r="C5852" s="3"/>
      <c r="D5852" s="3"/>
      <c r="E5852" s="3">
        <v>9</v>
      </c>
      <c r="F5852" s="4" t="str">
        <f>HYPERLINK("http://141.218.60.56/~jnz1568/getInfo.php?workbook=14_09.xlsx&amp;sheet=U0&amp;row=5852&amp;col=6&amp;number=3.8&amp;sourceID=14","3.8")</f>
        <v>3.8</v>
      </c>
      <c r="G5852" s="4" t="str">
        <f>HYPERLINK("http://141.218.60.56/~jnz1568/getInfo.php?workbook=14_09.xlsx&amp;sheet=U0&amp;row=5852&amp;col=7&amp;number=0.0215&amp;sourceID=14","0.0215")</f>
        <v>0.0215</v>
      </c>
    </row>
    <row r="5853" spans="1:7">
      <c r="A5853" s="3"/>
      <c r="B5853" s="3"/>
      <c r="C5853" s="3"/>
      <c r="D5853" s="3"/>
      <c r="E5853" s="3">
        <v>10</v>
      </c>
      <c r="F5853" s="4" t="str">
        <f>HYPERLINK("http://141.218.60.56/~jnz1568/getInfo.php?workbook=14_09.xlsx&amp;sheet=U0&amp;row=5853&amp;col=6&amp;number=3.9&amp;sourceID=14","3.9")</f>
        <v>3.9</v>
      </c>
      <c r="G5853" s="4" t="str">
        <f>HYPERLINK("http://141.218.60.56/~jnz1568/getInfo.php?workbook=14_09.xlsx&amp;sheet=U0&amp;row=5853&amp;col=7&amp;number=0.0213&amp;sourceID=14","0.0213")</f>
        <v>0.0213</v>
      </c>
    </row>
    <row r="5854" spans="1:7">
      <c r="A5854" s="3"/>
      <c r="B5854" s="3"/>
      <c r="C5854" s="3"/>
      <c r="D5854" s="3"/>
      <c r="E5854" s="3">
        <v>11</v>
      </c>
      <c r="F5854" s="4" t="str">
        <f>HYPERLINK("http://141.218.60.56/~jnz1568/getInfo.php?workbook=14_09.xlsx&amp;sheet=U0&amp;row=5854&amp;col=6&amp;number=4&amp;sourceID=14","4")</f>
        <v>4</v>
      </c>
      <c r="G5854" s="4" t="str">
        <f>HYPERLINK("http://141.218.60.56/~jnz1568/getInfo.php?workbook=14_09.xlsx&amp;sheet=U0&amp;row=5854&amp;col=7&amp;number=0.0211&amp;sourceID=14","0.0211")</f>
        <v>0.0211</v>
      </c>
    </row>
    <row r="5855" spans="1:7">
      <c r="A5855" s="3"/>
      <c r="B5855" s="3"/>
      <c r="C5855" s="3"/>
      <c r="D5855" s="3"/>
      <c r="E5855" s="3">
        <v>12</v>
      </c>
      <c r="F5855" s="4" t="str">
        <f>HYPERLINK("http://141.218.60.56/~jnz1568/getInfo.php?workbook=14_09.xlsx&amp;sheet=U0&amp;row=5855&amp;col=6&amp;number=4.1&amp;sourceID=14","4.1")</f>
        <v>4.1</v>
      </c>
      <c r="G5855" s="4" t="str">
        <f>HYPERLINK("http://141.218.60.56/~jnz1568/getInfo.php?workbook=14_09.xlsx&amp;sheet=U0&amp;row=5855&amp;col=7&amp;number=0.0207&amp;sourceID=14","0.0207")</f>
        <v>0.0207</v>
      </c>
    </row>
    <row r="5856" spans="1:7">
      <c r="A5856" s="3"/>
      <c r="B5856" s="3"/>
      <c r="C5856" s="3"/>
      <c r="D5856" s="3"/>
      <c r="E5856" s="3">
        <v>13</v>
      </c>
      <c r="F5856" s="4" t="str">
        <f>HYPERLINK("http://141.218.60.56/~jnz1568/getInfo.php?workbook=14_09.xlsx&amp;sheet=U0&amp;row=5856&amp;col=6&amp;number=4.2&amp;sourceID=14","4.2")</f>
        <v>4.2</v>
      </c>
      <c r="G5856" s="4" t="str">
        <f>HYPERLINK("http://141.218.60.56/~jnz1568/getInfo.php?workbook=14_09.xlsx&amp;sheet=U0&amp;row=5856&amp;col=7&amp;number=0.0203&amp;sourceID=14","0.0203")</f>
        <v>0.0203</v>
      </c>
    </row>
    <row r="5857" spans="1:7">
      <c r="A5857" s="3"/>
      <c r="B5857" s="3"/>
      <c r="C5857" s="3"/>
      <c r="D5857" s="3"/>
      <c r="E5857" s="3">
        <v>14</v>
      </c>
      <c r="F5857" s="4" t="str">
        <f>HYPERLINK("http://141.218.60.56/~jnz1568/getInfo.php?workbook=14_09.xlsx&amp;sheet=U0&amp;row=5857&amp;col=6&amp;number=4.3&amp;sourceID=14","4.3")</f>
        <v>4.3</v>
      </c>
      <c r="G5857" s="4" t="str">
        <f>HYPERLINK("http://141.218.60.56/~jnz1568/getInfo.php?workbook=14_09.xlsx&amp;sheet=U0&amp;row=5857&amp;col=7&amp;number=0.0198&amp;sourceID=14","0.0198")</f>
        <v>0.0198</v>
      </c>
    </row>
    <row r="5858" spans="1:7">
      <c r="A5858" s="3"/>
      <c r="B5858" s="3"/>
      <c r="C5858" s="3"/>
      <c r="D5858" s="3"/>
      <c r="E5858" s="3">
        <v>15</v>
      </c>
      <c r="F5858" s="4" t="str">
        <f>HYPERLINK("http://141.218.60.56/~jnz1568/getInfo.php?workbook=14_09.xlsx&amp;sheet=U0&amp;row=5858&amp;col=6&amp;number=4.4&amp;sourceID=14","4.4")</f>
        <v>4.4</v>
      </c>
      <c r="G5858" s="4" t="str">
        <f>HYPERLINK("http://141.218.60.56/~jnz1568/getInfo.php?workbook=14_09.xlsx&amp;sheet=U0&amp;row=5858&amp;col=7&amp;number=0.0192&amp;sourceID=14","0.0192")</f>
        <v>0.0192</v>
      </c>
    </row>
    <row r="5859" spans="1:7">
      <c r="A5859" s="3"/>
      <c r="B5859" s="3"/>
      <c r="C5859" s="3"/>
      <c r="D5859" s="3"/>
      <c r="E5859" s="3">
        <v>16</v>
      </c>
      <c r="F5859" s="4" t="str">
        <f>HYPERLINK("http://141.218.60.56/~jnz1568/getInfo.php?workbook=14_09.xlsx&amp;sheet=U0&amp;row=5859&amp;col=6&amp;number=4.5&amp;sourceID=14","4.5")</f>
        <v>4.5</v>
      </c>
      <c r="G5859" s="4" t="str">
        <f>HYPERLINK("http://141.218.60.56/~jnz1568/getInfo.php?workbook=14_09.xlsx&amp;sheet=U0&amp;row=5859&amp;col=7&amp;number=0.0185&amp;sourceID=14","0.0185")</f>
        <v>0.0185</v>
      </c>
    </row>
    <row r="5860" spans="1:7">
      <c r="A5860" s="3"/>
      <c r="B5860" s="3"/>
      <c r="C5860" s="3"/>
      <c r="D5860" s="3"/>
      <c r="E5860" s="3">
        <v>17</v>
      </c>
      <c r="F5860" s="4" t="str">
        <f>HYPERLINK("http://141.218.60.56/~jnz1568/getInfo.php?workbook=14_09.xlsx&amp;sheet=U0&amp;row=5860&amp;col=6&amp;number=4.6&amp;sourceID=14","4.6")</f>
        <v>4.6</v>
      </c>
      <c r="G5860" s="4" t="str">
        <f>HYPERLINK("http://141.218.60.56/~jnz1568/getInfo.php?workbook=14_09.xlsx&amp;sheet=U0&amp;row=5860&amp;col=7&amp;number=0.0176&amp;sourceID=14","0.0176")</f>
        <v>0.0176</v>
      </c>
    </row>
    <row r="5861" spans="1:7">
      <c r="A5861" s="3"/>
      <c r="B5861" s="3"/>
      <c r="C5861" s="3"/>
      <c r="D5861" s="3"/>
      <c r="E5861" s="3">
        <v>18</v>
      </c>
      <c r="F5861" s="4" t="str">
        <f>HYPERLINK("http://141.218.60.56/~jnz1568/getInfo.php?workbook=14_09.xlsx&amp;sheet=U0&amp;row=5861&amp;col=6&amp;number=4.7&amp;sourceID=14","4.7")</f>
        <v>4.7</v>
      </c>
      <c r="G5861" s="4" t="str">
        <f>HYPERLINK("http://141.218.60.56/~jnz1568/getInfo.php?workbook=14_09.xlsx&amp;sheet=U0&amp;row=5861&amp;col=7&amp;number=0.0165&amp;sourceID=14","0.0165")</f>
        <v>0.0165</v>
      </c>
    </row>
    <row r="5862" spans="1:7">
      <c r="A5862" s="3"/>
      <c r="B5862" s="3"/>
      <c r="C5862" s="3"/>
      <c r="D5862" s="3"/>
      <c r="E5862" s="3">
        <v>19</v>
      </c>
      <c r="F5862" s="4" t="str">
        <f>HYPERLINK("http://141.218.60.56/~jnz1568/getInfo.php?workbook=14_09.xlsx&amp;sheet=U0&amp;row=5862&amp;col=6&amp;number=4.8&amp;sourceID=14","4.8")</f>
        <v>4.8</v>
      </c>
      <c r="G5862" s="4" t="str">
        <f>HYPERLINK("http://141.218.60.56/~jnz1568/getInfo.php?workbook=14_09.xlsx&amp;sheet=U0&amp;row=5862&amp;col=7&amp;number=0.0152&amp;sourceID=14","0.0152")</f>
        <v>0.0152</v>
      </c>
    </row>
    <row r="5863" spans="1:7">
      <c r="A5863" s="3"/>
      <c r="B5863" s="3"/>
      <c r="C5863" s="3"/>
      <c r="D5863" s="3"/>
      <c r="E5863" s="3">
        <v>20</v>
      </c>
      <c r="F5863" s="4" t="str">
        <f>HYPERLINK("http://141.218.60.56/~jnz1568/getInfo.php?workbook=14_09.xlsx&amp;sheet=U0&amp;row=5863&amp;col=6&amp;number=4.9&amp;sourceID=14","4.9")</f>
        <v>4.9</v>
      </c>
      <c r="G5863" s="4" t="str">
        <f>HYPERLINK("http://141.218.60.56/~jnz1568/getInfo.php?workbook=14_09.xlsx&amp;sheet=U0&amp;row=5863&amp;col=7&amp;number=0.0138&amp;sourceID=14","0.0138")</f>
        <v>0.0138</v>
      </c>
    </row>
    <row r="5864" spans="1:7">
      <c r="A5864" s="3">
        <v>14</v>
      </c>
      <c r="B5864" s="3">
        <v>9</v>
      </c>
      <c r="C5864" s="3">
        <v>2</v>
      </c>
      <c r="D5864" s="3">
        <v>102</v>
      </c>
      <c r="E5864" s="3">
        <v>1</v>
      </c>
      <c r="F5864" s="4" t="str">
        <f>HYPERLINK("http://141.218.60.56/~jnz1568/getInfo.php?workbook=14_09.xlsx&amp;sheet=U0&amp;row=5864&amp;col=6&amp;number=3&amp;sourceID=14","3")</f>
        <v>3</v>
      </c>
      <c r="G5864" s="4" t="str">
        <f>HYPERLINK("http://141.218.60.56/~jnz1568/getInfo.php?workbook=14_09.xlsx&amp;sheet=U0&amp;row=5864&amp;col=7&amp;number=0.023&amp;sourceID=14","0.023")</f>
        <v>0.023</v>
      </c>
    </row>
    <row r="5865" spans="1:7">
      <c r="A5865" s="3"/>
      <c r="B5865" s="3"/>
      <c r="C5865" s="3"/>
      <c r="D5865" s="3"/>
      <c r="E5865" s="3">
        <v>2</v>
      </c>
      <c r="F5865" s="4" t="str">
        <f>HYPERLINK("http://141.218.60.56/~jnz1568/getInfo.php?workbook=14_09.xlsx&amp;sheet=U0&amp;row=5865&amp;col=6&amp;number=3.1&amp;sourceID=14","3.1")</f>
        <v>3.1</v>
      </c>
      <c r="G5865" s="4" t="str">
        <f>HYPERLINK("http://141.218.60.56/~jnz1568/getInfo.php?workbook=14_09.xlsx&amp;sheet=U0&amp;row=5865&amp;col=7&amp;number=0.0229&amp;sourceID=14","0.0229")</f>
        <v>0.0229</v>
      </c>
    </row>
    <row r="5866" spans="1:7">
      <c r="A5866" s="3"/>
      <c r="B5866" s="3"/>
      <c r="C5866" s="3"/>
      <c r="D5866" s="3"/>
      <c r="E5866" s="3">
        <v>3</v>
      </c>
      <c r="F5866" s="4" t="str">
        <f>HYPERLINK("http://141.218.60.56/~jnz1568/getInfo.php?workbook=14_09.xlsx&amp;sheet=U0&amp;row=5866&amp;col=6&amp;number=3.2&amp;sourceID=14","3.2")</f>
        <v>3.2</v>
      </c>
      <c r="G5866" s="4" t="str">
        <f>HYPERLINK("http://141.218.60.56/~jnz1568/getInfo.php?workbook=14_09.xlsx&amp;sheet=U0&amp;row=5866&amp;col=7&amp;number=0.0229&amp;sourceID=14","0.0229")</f>
        <v>0.0229</v>
      </c>
    </row>
    <row r="5867" spans="1:7">
      <c r="A5867" s="3"/>
      <c r="B5867" s="3"/>
      <c r="C5867" s="3"/>
      <c r="D5867" s="3"/>
      <c r="E5867" s="3">
        <v>4</v>
      </c>
      <c r="F5867" s="4" t="str">
        <f>HYPERLINK("http://141.218.60.56/~jnz1568/getInfo.php?workbook=14_09.xlsx&amp;sheet=U0&amp;row=5867&amp;col=6&amp;number=3.3&amp;sourceID=14","3.3")</f>
        <v>3.3</v>
      </c>
      <c r="G5867" s="4" t="str">
        <f>HYPERLINK("http://141.218.60.56/~jnz1568/getInfo.php?workbook=14_09.xlsx&amp;sheet=U0&amp;row=5867&amp;col=7&amp;number=0.0228&amp;sourceID=14","0.0228")</f>
        <v>0.0228</v>
      </c>
    </row>
    <row r="5868" spans="1:7">
      <c r="A5868" s="3"/>
      <c r="B5868" s="3"/>
      <c r="C5868" s="3"/>
      <c r="D5868" s="3"/>
      <c r="E5868" s="3">
        <v>5</v>
      </c>
      <c r="F5868" s="4" t="str">
        <f>HYPERLINK("http://141.218.60.56/~jnz1568/getInfo.php?workbook=14_09.xlsx&amp;sheet=U0&amp;row=5868&amp;col=6&amp;number=3.4&amp;sourceID=14","3.4")</f>
        <v>3.4</v>
      </c>
      <c r="G5868" s="4" t="str">
        <f>HYPERLINK("http://141.218.60.56/~jnz1568/getInfo.php?workbook=14_09.xlsx&amp;sheet=U0&amp;row=5868&amp;col=7&amp;number=0.0228&amp;sourceID=14","0.0228")</f>
        <v>0.0228</v>
      </c>
    </row>
    <row r="5869" spans="1:7">
      <c r="A5869" s="3"/>
      <c r="B5869" s="3"/>
      <c r="C5869" s="3"/>
      <c r="D5869" s="3"/>
      <c r="E5869" s="3">
        <v>6</v>
      </c>
      <c r="F5869" s="4" t="str">
        <f>HYPERLINK("http://141.218.60.56/~jnz1568/getInfo.php?workbook=14_09.xlsx&amp;sheet=U0&amp;row=5869&amp;col=6&amp;number=3.5&amp;sourceID=14","3.5")</f>
        <v>3.5</v>
      </c>
      <c r="G5869" s="4" t="str">
        <f>HYPERLINK("http://141.218.60.56/~jnz1568/getInfo.php?workbook=14_09.xlsx&amp;sheet=U0&amp;row=5869&amp;col=7&amp;number=0.0227&amp;sourceID=14","0.0227")</f>
        <v>0.0227</v>
      </c>
    </row>
    <row r="5870" spans="1:7">
      <c r="A5870" s="3"/>
      <c r="B5870" s="3"/>
      <c r="C5870" s="3"/>
      <c r="D5870" s="3"/>
      <c r="E5870" s="3">
        <v>7</v>
      </c>
      <c r="F5870" s="4" t="str">
        <f>HYPERLINK("http://141.218.60.56/~jnz1568/getInfo.php?workbook=14_09.xlsx&amp;sheet=U0&amp;row=5870&amp;col=6&amp;number=3.6&amp;sourceID=14","3.6")</f>
        <v>3.6</v>
      </c>
      <c r="G5870" s="4" t="str">
        <f>HYPERLINK("http://141.218.60.56/~jnz1568/getInfo.php?workbook=14_09.xlsx&amp;sheet=U0&amp;row=5870&amp;col=7&amp;number=0.0226&amp;sourceID=14","0.0226")</f>
        <v>0.0226</v>
      </c>
    </row>
    <row r="5871" spans="1:7">
      <c r="A5871" s="3"/>
      <c r="B5871" s="3"/>
      <c r="C5871" s="3"/>
      <c r="D5871" s="3"/>
      <c r="E5871" s="3">
        <v>8</v>
      </c>
      <c r="F5871" s="4" t="str">
        <f>HYPERLINK("http://141.218.60.56/~jnz1568/getInfo.php?workbook=14_09.xlsx&amp;sheet=U0&amp;row=5871&amp;col=6&amp;number=3.7&amp;sourceID=14","3.7")</f>
        <v>3.7</v>
      </c>
      <c r="G5871" s="4" t="str">
        <f>HYPERLINK("http://141.218.60.56/~jnz1568/getInfo.php?workbook=14_09.xlsx&amp;sheet=U0&amp;row=5871&amp;col=7&amp;number=0.0225&amp;sourceID=14","0.0225")</f>
        <v>0.0225</v>
      </c>
    </row>
    <row r="5872" spans="1:7">
      <c r="A5872" s="3"/>
      <c r="B5872" s="3"/>
      <c r="C5872" s="3"/>
      <c r="D5872" s="3"/>
      <c r="E5872" s="3">
        <v>9</v>
      </c>
      <c r="F5872" s="4" t="str">
        <f>HYPERLINK("http://141.218.60.56/~jnz1568/getInfo.php?workbook=14_09.xlsx&amp;sheet=U0&amp;row=5872&amp;col=6&amp;number=3.8&amp;sourceID=14","3.8")</f>
        <v>3.8</v>
      </c>
      <c r="G5872" s="4" t="str">
        <f>HYPERLINK("http://141.218.60.56/~jnz1568/getInfo.php?workbook=14_09.xlsx&amp;sheet=U0&amp;row=5872&amp;col=7&amp;number=0.0223&amp;sourceID=14","0.0223")</f>
        <v>0.0223</v>
      </c>
    </row>
    <row r="5873" spans="1:7">
      <c r="A5873" s="3"/>
      <c r="B5873" s="3"/>
      <c r="C5873" s="3"/>
      <c r="D5873" s="3"/>
      <c r="E5873" s="3">
        <v>10</v>
      </c>
      <c r="F5873" s="4" t="str">
        <f>HYPERLINK("http://141.218.60.56/~jnz1568/getInfo.php?workbook=14_09.xlsx&amp;sheet=U0&amp;row=5873&amp;col=6&amp;number=3.9&amp;sourceID=14","3.9")</f>
        <v>3.9</v>
      </c>
      <c r="G5873" s="4" t="str">
        <f>HYPERLINK("http://141.218.60.56/~jnz1568/getInfo.php?workbook=14_09.xlsx&amp;sheet=U0&amp;row=5873&amp;col=7&amp;number=0.0221&amp;sourceID=14","0.0221")</f>
        <v>0.0221</v>
      </c>
    </row>
    <row r="5874" spans="1:7">
      <c r="A5874" s="3"/>
      <c r="B5874" s="3"/>
      <c r="C5874" s="3"/>
      <c r="D5874" s="3"/>
      <c r="E5874" s="3">
        <v>11</v>
      </c>
      <c r="F5874" s="4" t="str">
        <f>HYPERLINK("http://141.218.60.56/~jnz1568/getInfo.php?workbook=14_09.xlsx&amp;sheet=U0&amp;row=5874&amp;col=6&amp;number=4&amp;sourceID=14","4")</f>
        <v>4</v>
      </c>
      <c r="G5874" s="4" t="str">
        <f>HYPERLINK("http://141.218.60.56/~jnz1568/getInfo.php?workbook=14_09.xlsx&amp;sheet=U0&amp;row=5874&amp;col=7&amp;number=0.0219&amp;sourceID=14","0.0219")</f>
        <v>0.0219</v>
      </c>
    </row>
    <row r="5875" spans="1:7">
      <c r="A5875" s="3"/>
      <c r="B5875" s="3"/>
      <c r="C5875" s="3"/>
      <c r="D5875" s="3"/>
      <c r="E5875" s="3">
        <v>12</v>
      </c>
      <c r="F5875" s="4" t="str">
        <f>HYPERLINK("http://141.218.60.56/~jnz1568/getInfo.php?workbook=14_09.xlsx&amp;sheet=U0&amp;row=5875&amp;col=6&amp;number=4.1&amp;sourceID=14","4.1")</f>
        <v>4.1</v>
      </c>
      <c r="G5875" s="4" t="str">
        <f>HYPERLINK("http://141.218.60.56/~jnz1568/getInfo.php?workbook=14_09.xlsx&amp;sheet=U0&amp;row=5875&amp;col=7&amp;number=0.0216&amp;sourceID=14","0.0216")</f>
        <v>0.0216</v>
      </c>
    </row>
    <row r="5876" spans="1:7">
      <c r="A5876" s="3"/>
      <c r="B5876" s="3"/>
      <c r="C5876" s="3"/>
      <c r="D5876" s="3"/>
      <c r="E5876" s="3">
        <v>13</v>
      </c>
      <c r="F5876" s="4" t="str">
        <f>HYPERLINK("http://141.218.60.56/~jnz1568/getInfo.php?workbook=14_09.xlsx&amp;sheet=U0&amp;row=5876&amp;col=6&amp;number=4.2&amp;sourceID=14","4.2")</f>
        <v>4.2</v>
      </c>
      <c r="G5876" s="4" t="str">
        <f>HYPERLINK("http://141.218.60.56/~jnz1568/getInfo.php?workbook=14_09.xlsx&amp;sheet=U0&amp;row=5876&amp;col=7&amp;number=0.0212&amp;sourceID=14","0.0212")</f>
        <v>0.0212</v>
      </c>
    </row>
    <row r="5877" spans="1:7">
      <c r="A5877" s="3"/>
      <c r="B5877" s="3"/>
      <c r="C5877" s="3"/>
      <c r="D5877" s="3"/>
      <c r="E5877" s="3">
        <v>14</v>
      </c>
      <c r="F5877" s="4" t="str">
        <f>HYPERLINK("http://141.218.60.56/~jnz1568/getInfo.php?workbook=14_09.xlsx&amp;sheet=U0&amp;row=5877&amp;col=6&amp;number=4.3&amp;sourceID=14","4.3")</f>
        <v>4.3</v>
      </c>
      <c r="G5877" s="4" t="str">
        <f>HYPERLINK("http://141.218.60.56/~jnz1568/getInfo.php?workbook=14_09.xlsx&amp;sheet=U0&amp;row=5877&amp;col=7&amp;number=0.0207&amp;sourceID=14","0.0207")</f>
        <v>0.0207</v>
      </c>
    </row>
    <row r="5878" spans="1:7">
      <c r="A5878" s="3"/>
      <c r="B5878" s="3"/>
      <c r="C5878" s="3"/>
      <c r="D5878" s="3"/>
      <c r="E5878" s="3">
        <v>15</v>
      </c>
      <c r="F5878" s="4" t="str">
        <f>HYPERLINK("http://141.218.60.56/~jnz1568/getInfo.php?workbook=14_09.xlsx&amp;sheet=U0&amp;row=5878&amp;col=6&amp;number=4.4&amp;sourceID=14","4.4")</f>
        <v>4.4</v>
      </c>
      <c r="G5878" s="4" t="str">
        <f>HYPERLINK("http://141.218.60.56/~jnz1568/getInfo.php?workbook=14_09.xlsx&amp;sheet=U0&amp;row=5878&amp;col=7&amp;number=0.0201&amp;sourceID=14","0.0201")</f>
        <v>0.0201</v>
      </c>
    </row>
    <row r="5879" spans="1:7">
      <c r="A5879" s="3"/>
      <c r="B5879" s="3"/>
      <c r="C5879" s="3"/>
      <c r="D5879" s="3"/>
      <c r="E5879" s="3">
        <v>16</v>
      </c>
      <c r="F5879" s="4" t="str">
        <f>HYPERLINK("http://141.218.60.56/~jnz1568/getInfo.php?workbook=14_09.xlsx&amp;sheet=U0&amp;row=5879&amp;col=6&amp;number=4.5&amp;sourceID=14","4.5")</f>
        <v>4.5</v>
      </c>
      <c r="G5879" s="4" t="str">
        <f>HYPERLINK("http://141.218.60.56/~jnz1568/getInfo.php?workbook=14_09.xlsx&amp;sheet=U0&amp;row=5879&amp;col=7&amp;number=0.0194&amp;sourceID=14","0.0194")</f>
        <v>0.0194</v>
      </c>
    </row>
    <row r="5880" spans="1:7">
      <c r="A5880" s="3"/>
      <c r="B5880" s="3"/>
      <c r="C5880" s="3"/>
      <c r="D5880" s="3"/>
      <c r="E5880" s="3">
        <v>17</v>
      </c>
      <c r="F5880" s="4" t="str">
        <f>HYPERLINK("http://141.218.60.56/~jnz1568/getInfo.php?workbook=14_09.xlsx&amp;sheet=U0&amp;row=5880&amp;col=6&amp;number=4.6&amp;sourceID=14","4.6")</f>
        <v>4.6</v>
      </c>
      <c r="G5880" s="4" t="str">
        <f>HYPERLINK("http://141.218.60.56/~jnz1568/getInfo.php?workbook=14_09.xlsx&amp;sheet=U0&amp;row=5880&amp;col=7&amp;number=0.0186&amp;sourceID=14","0.0186")</f>
        <v>0.0186</v>
      </c>
    </row>
    <row r="5881" spans="1:7">
      <c r="A5881" s="3"/>
      <c r="B5881" s="3"/>
      <c r="C5881" s="3"/>
      <c r="D5881" s="3"/>
      <c r="E5881" s="3">
        <v>18</v>
      </c>
      <c r="F5881" s="4" t="str">
        <f>HYPERLINK("http://141.218.60.56/~jnz1568/getInfo.php?workbook=14_09.xlsx&amp;sheet=U0&amp;row=5881&amp;col=6&amp;number=4.7&amp;sourceID=14","4.7")</f>
        <v>4.7</v>
      </c>
      <c r="G5881" s="4" t="str">
        <f>HYPERLINK("http://141.218.60.56/~jnz1568/getInfo.php?workbook=14_09.xlsx&amp;sheet=U0&amp;row=5881&amp;col=7&amp;number=0.0176&amp;sourceID=14","0.0176")</f>
        <v>0.0176</v>
      </c>
    </row>
    <row r="5882" spans="1:7">
      <c r="A5882" s="3"/>
      <c r="B5882" s="3"/>
      <c r="C5882" s="3"/>
      <c r="D5882" s="3"/>
      <c r="E5882" s="3">
        <v>19</v>
      </c>
      <c r="F5882" s="4" t="str">
        <f>HYPERLINK("http://141.218.60.56/~jnz1568/getInfo.php?workbook=14_09.xlsx&amp;sheet=U0&amp;row=5882&amp;col=6&amp;number=4.8&amp;sourceID=14","4.8")</f>
        <v>4.8</v>
      </c>
      <c r="G5882" s="4" t="str">
        <f>HYPERLINK("http://141.218.60.56/~jnz1568/getInfo.php?workbook=14_09.xlsx&amp;sheet=U0&amp;row=5882&amp;col=7&amp;number=0.0165&amp;sourceID=14","0.0165")</f>
        <v>0.0165</v>
      </c>
    </row>
    <row r="5883" spans="1:7">
      <c r="A5883" s="3"/>
      <c r="B5883" s="3"/>
      <c r="C5883" s="3"/>
      <c r="D5883" s="3"/>
      <c r="E5883" s="3">
        <v>20</v>
      </c>
      <c r="F5883" s="4" t="str">
        <f>HYPERLINK("http://141.218.60.56/~jnz1568/getInfo.php?workbook=14_09.xlsx&amp;sheet=U0&amp;row=5883&amp;col=6&amp;number=4.9&amp;sourceID=14","4.9")</f>
        <v>4.9</v>
      </c>
      <c r="G5883" s="4" t="str">
        <f>HYPERLINK("http://141.218.60.56/~jnz1568/getInfo.php?workbook=14_09.xlsx&amp;sheet=U0&amp;row=5883&amp;col=7&amp;number=0.0154&amp;sourceID=14","0.0154")</f>
        <v>0.0154</v>
      </c>
    </row>
    <row r="5884" spans="1:7">
      <c r="A5884" s="3">
        <v>14</v>
      </c>
      <c r="B5884" s="3">
        <v>9</v>
      </c>
      <c r="C5884" s="3">
        <v>2</v>
      </c>
      <c r="D5884" s="3">
        <v>103</v>
      </c>
      <c r="E5884" s="3">
        <v>1</v>
      </c>
      <c r="F5884" s="4" t="str">
        <f>HYPERLINK("http://141.218.60.56/~jnz1568/getInfo.php?workbook=14_09.xlsx&amp;sheet=U0&amp;row=5884&amp;col=6&amp;number=3&amp;sourceID=14","3")</f>
        <v>3</v>
      </c>
      <c r="G5884" s="4" t="str">
        <f>HYPERLINK("http://141.218.60.56/~jnz1568/getInfo.php?workbook=14_09.xlsx&amp;sheet=U0&amp;row=5884&amp;col=7&amp;number=0.00904&amp;sourceID=14","0.00904")</f>
        <v>0.00904</v>
      </c>
    </row>
    <row r="5885" spans="1:7">
      <c r="A5885" s="3"/>
      <c r="B5885" s="3"/>
      <c r="C5885" s="3"/>
      <c r="D5885" s="3"/>
      <c r="E5885" s="3">
        <v>2</v>
      </c>
      <c r="F5885" s="4" t="str">
        <f>HYPERLINK("http://141.218.60.56/~jnz1568/getInfo.php?workbook=14_09.xlsx&amp;sheet=U0&amp;row=5885&amp;col=6&amp;number=3.1&amp;sourceID=14","3.1")</f>
        <v>3.1</v>
      </c>
      <c r="G5885" s="4" t="str">
        <f>HYPERLINK("http://141.218.60.56/~jnz1568/getInfo.php?workbook=14_09.xlsx&amp;sheet=U0&amp;row=5885&amp;col=7&amp;number=0.00904&amp;sourceID=14","0.00904")</f>
        <v>0.00904</v>
      </c>
    </row>
    <row r="5886" spans="1:7">
      <c r="A5886" s="3"/>
      <c r="B5886" s="3"/>
      <c r="C5886" s="3"/>
      <c r="D5886" s="3"/>
      <c r="E5886" s="3">
        <v>3</v>
      </c>
      <c r="F5886" s="4" t="str">
        <f>HYPERLINK("http://141.218.60.56/~jnz1568/getInfo.php?workbook=14_09.xlsx&amp;sheet=U0&amp;row=5886&amp;col=6&amp;number=3.2&amp;sourceID=14","3.2")</f>
        <v>3.2</v>
      </c>
      <c r="G5886" s="4" t="str">
        <f>HYPERLINK("http://141.218.60.56/~jnz1568/getInfo.php?workbook=14_09.xlsx&amp;sheet=U0&amp;row=5886&amp;col=7&amp;number=0.00903&amp;sourceID=14","0.00903")</f>
        <v>0.00903</v>
      </c>
    </row>
    <row r="5887" spans="1:7">
      <c r="A5887" s="3"/>
      <c r="B5887" s="3"/>
      <c r="C5887" s="3"/>
      <c r="D5887" s="3"/>
      <c r="E5887" s="3">
        <v>4</v>
      </c>
      <c r="F5887" s="4" t="str">
        <f>HYPERLINK("http://141.218.60.56/~jnz1568/getInfo.php?workbook=14_09.xlsx&amp;sheet=U0&amp;row=5887&amp;col=6&amp;number=3.3&amp;sourceID=14","3.3")</f>
        <v>3.3</v>
      </c>
      <c r="G5887" s="4" t="str">
        <f>HYPERLINK("http://141.218.60.56/~jnz1568/getInfo.php?workbook=14_09.xlsx&amp;sheet=U0&amp;row=5887&amp;col=7&amp;number=0.00902&amp;sourceID=14","0.00902")</f>
        <v>0.00902</v>
      </c>
    </row>
    <row r="5888" spans="1:7">
      <c r="A5888" s="3"/>
      <c r="B5888" s="3"/>
      <c r="C5888" s="3"/>
      <c r="D5888" s="3"/>
      <c r="E5888" s="3">
        <v>5</v>
      </c>
      <c r="F5888" s="4" t="str">
        <f>HYPERLINK("http://141.218.60.56/~jnz1568/getInfo.php?workbook=14_09.xlsx&amp;sheet=U0&amp;row=5888&amp;col=6&amp;number=3.4&amp;sourceID=14","3.4")</f>
        <v>3.4</v>
      </c>
      <c r="G5888" s="4" t="str">
        <f>HYPERLINK("http://141.218.60.56/~jnz1568/getInfo.php?workbook=14_09.xlsx&amp;sheet=U0&amp;row=5888&amp;col=7&amp;number=0.00901&amp;sourceID=14","0.00901")</f>
        <v>0.00901</v>
      </c>
    </row>
    <row r="5889" spans="1:7">
      <c r="A5889" s="3"/>
      <c r="B5889" s="3"/>
      <c r="C5889" s="3"/>
      <c r="D5889" s="3"/>
      <c r="E5889" s="3">
        <v>6</v>
      </c>
      <c r="F5889" s="4" t="str">
        <f>HYPERLINK("http://141.218.60.56/~jnz1568/getInfo.php?workbook=14_09.xlsx&amp;sheet=U0&amp;row=5889&amp;col=6&amp;number=3.5&amp;sourceID=14","3.5")</f>
        <v>3.5</v>
      </c>
      <c r="G5889" s="4" t="str">
        <f>HYPERLINK("http://141.218.60.56/~jnz1568/getInfo.php?workbook=14_09.xlsx&amp;sheet=U0&amp;row=5889&amp;col=7&amp;number=0.009&amp;sourceID=14","0.009")</f>
        <v>0.009</v>
      </c>
    </row>
    <row r="5890" spans="1:7">
      <c r="A5890" s="3"/>
      <c r="B5890" s="3"/>
      <c r="C5890" s="3"/>
      <c r="D5890" s="3"/>
      <c r="E5890" s="3">
        <v>7</v>
      </c>
      <c r="F5890" s="4" t="str">
        <f>HYPERLINK("http://141.218.60.56/~jnz1568/getInfo.php?workbook=14_09.xlsx&amp;sheet=U0&amp;row=5890&amp;col=6&amp;number=3.6&amp;sourceID=14","3.6")</f>
        <v>3.6</v>
      </c>
      <c r="G5890" s="4" t="str">
        <f>HYPERLINK("http://141.218.60.56/~jnz1568/getInfo.php?workbook=14_09.xlsx&amp;sheet=U0&amp;row=5890&amp;col=7&amp;number=0.00898&amp;sourceID=14","0.00898")</f>
        <v>0.00898</v>
      </c>
    </row>
    <row r="5891" spans="1:7">
      <c r="A5891" s="3"/>
      <c r="B5891" s="3"/>
      <c r="C5891" s="3"/>
      <c r="D5891" s="3"/>
      <c r="E5891" s="3">
        <v>8</v>
      </c>
      <c r="F5891" s="4" t="str">
        <f>HYPERLINK("http://141.218.60.56/~jnz1568/getInfo.php?workbook=14_09.xlsx&amp;sheet=U0&amp;row=5891&amp;col=6&amp;number=3.7&amp;sourceID=14","3.7")</f>
        <v>3.7</v>
      </c>
      <c r="G5891" s="4" t="str">
        <f>HYPERLINK("http://141.218.60.56/~jnz1568/getInfo.php?workbook=14_09.xlsx&amp;sheet=U0&amp;row=5891&amp;col=7&amp;number=0.00896&amp;sourceID=14","0.00896")</f>
        <v>0.00896</v>
      </c>
    </row>
    <row r="5892" spans="1:7">
      <c r="A5892" s="3"/>
      <c r="B5892" s="3"/>
      <c r="C5892" s="3"/>
      <c r="D5892" s="3"/>
      <c r="E5892" s="3">
        <v>9</v>
      </c>
      <c r="F5892" s="4" t="str">
        <f>HYPERLINK("http://141.218.60.56/~jnz1568/getInfo.php?workbook=14_09.xlsx&amp;sheet=U0&amp;row=5892&amp;col=6&amp;number=3.8&amp;sourceID=14","3.8")</f>
        <v>3.8</v>
      </c>
      <c r="G5892" s="4" t="str">
        <f>HYPERLINK("http://141.218.60.56/~jnz1568/getInfo.php?workbook=14_09.xlsx&amp;sheet=U0&amp;row=5892&amp;col=7&amp;number=0.00893&amp;sourceID=14","0.00893")</f>
        <v>0.00893</v>
      </c>
    </row>
    <row r="5893" spans="1:7">
      <c r="A5893" s="3"/>
      <c r="B5893" s="3"/>
      <c r="C5893" s="3"/>
      <c r="D5893" s="3"/>
      <c r="E5893" s="3">
        <v>10</v>
      </c>
      <c r="F5893" s="4" t="str">
        <f>HYPERLINK("http://141.218.60.56/~jnz1568/getInfo.php?workbook=14_09.xlsx&amp;sheet=U0&amp;row=5893&amp;col=6&amp;number=3.9&amp;sourceID=14","3.9")</f>
        <v>3.9</v>
      </c>
      <c r="G5893" s="4" t="str">
        <f>HYPERLINK("http://141.218.60.56/~jnz1568/getInfo.php?workbook=14_09.xlsx&amp;sheet=U0&amp;row=5893&amp;col=7&amp;number=0.00889&amp;sourceID=14","0.00889")</f>
        <v>0.00889</v>
      </c>
    </row>
    <row r="5894" spans="1:7">
      <c r="A5894" s="3"/>
      <c r="B5894" s="3"/>
      <c r="C5894" s="3"/>
      <c r="D5894" s="3"/>
      <c r="E5894" s="3">
        <v>11</v>
      </c>
      <c r="F5894" s="4" t="str">
        <f>HYPERLINK("http://141.218.60.56/~jnz1568/getInfo.php?workbook=14_09.xlsx&amp;sheet=U0&amp;row=5894&amp;col=6&amp;number=4&amp;sourceID=14","4")</f>
        <v>4</v>
      </c>
      <c r="G5894" s="4" t="str">
        <f>HYPERLINK("http://141.218.60.56/~jnz1568/getInfo.php?workbook=14_09.xlsx&amp;sheet=U0&amp;row=5894&amp;col=7&amp;number=0.00885&amp;sourceID=14","0.00885")</f>
        <v>0.00885</v>
      </c>
    </row>
    <row r="5895" spans="1:7">
      <c r="A5895" s="3"/>
      <c r="B5895" s="3"/>
      <c r="C5895" s="3"/>
      <c r="D5895" s="3"/>
      <c r="E5895" s="3">
        <v>12</v>
      </c>
      <c r="F5895" s="4" t="str">
        <f>HYPERLINK("http://141.218.60.56/~jnz1568/getInfo.php?workbook=14_09.xlsx&amp;sheet=U0&amp;row=5895&amp;col=6&amp;number=4.1&amp;sourceID=14","4.1")</f>
        <v>4.1</v>
      </c>
      <c r="G5895" s="4" t="str">
        <f>HYPERLINK("http://141.218.60.56/~jnz1568/getInfo.php?workbook=14_09.xlsx&amp;sheet=U0&amp;row=5895&amp;col=7&amp;number=0.0088&amp;sourceID=14","0.0088")</f>
        <v>0.0088</v>
      </c>
    </row>
    <row r="5896" spans="1:7">
      <c r="A5896" s="3"/>
      <c r="B5896" s="3"/>
      <c r="C5896" s="3"/>
      <c r="D5896" s="3"/>
      <c r="E5896" s="3">
        <v>13</v>
      </c>
      <c r="F5896" s="4" t="str">
        <f>HYPERLINK("http://141.218.60.56/~jnz1568/getInfo.php?workbook=14_09.xlsx&amp;sheet=U0&amp;row=5896&amp;col=6&amp;number=4.2&amp;sourceID=14","4.2")</f>
        <v>4.2</v>
      </c>
      <c r="G5896" s="4" t="str">
        <f>HYPERLINK("http://141.218.60.56/~jnz1568/getInfo.php?workbook=14_09.xlsx&amp;sheet=U0&amp;row=5896&amp;col=7&amp;number=0.00873&amp;sourceID=14","0.00873")</f>
        <v>0.00873</v>
      </c>
    </row>
    <row r="5897" spans="1:7">
      <c r="A5897" s="3"/>
      <c r="B5897" s="3"/>
      <c r="C5897" s="3"/>
      <c r="D5897" s="3"/>
      <c r="E5897" s="3">
        <v>14</v>
      </c>
      <c r="F5897" s="4" t="str">
        <f>HYPERLINK("http://141.218.60.56/~jnz1568/getInfo.php?workbook=14_09.xlsx&amp;sheet=U0&amp;row=5897&amp;col=6&amp;number=4.3&amp;sourceID=14","4.3")</f>
        <v>4.3</v>
      </c>
      <c r="G5897" s="4" t="str">
        <f>HYPERLINK("http://141.218.60.56/~jnz1568/getInfo.php?workbook=14_09.xlsx&amp;sheet=U0&amp;row=5897&amp;col=7&amp;number=0.00865&amp;sourceID=14","0.00865")</f>
        <v>0.00865</v>
      </c>
    </row>
    <row r="5898" spans="1:7">
      <c r="A5898" s="3"/>
      <c r="B5898" s="3"/>
      <c r="C5898" s="3"/>
      <c r="D5898" s="3"/>
      <c r="E5898" s="3">
        <v>15</v>
      </c>
      <c r="F5898" s="4" t="str">
        <f>HYPERLINK("http://141.218.60.56/~jnz1568/getInfo.php?workbook=14_09.xlsx&amp;sheet=U0&amp;row=5898&amp;col=6&amp;number=4.4&amp;sourceID=14","4.4")</f>
        <v>4.4</v>
      </c>
      <c r="G5898" s="4" t="str">
        <f>HYPERLINK("http://141.218.60.56/~jnz1568/getInfo.php?workbook=14_09.xlsx&amp;sheet=U0&amp;row=5898&amp;col=7&amp;number=0.00855&amp;sourceID=14","0.00855")</f>
        <v>0.00855</v>
      </c>
    </row>
    <row r="5899" spans="1:7">
      <c r="A5899" s="3"/>
      <c r="B5899" s="3"/>
      <c r="C5899" s="3"/>
      <c r="D5899" s="3"/>
      <c r="E5899" s="3">
        <v>16</v>
      </c>
      <c r="F5899" s="4" t="str">
        <f>HYPERLINK("http://141.218.60.56/~jnz1568/getInfo.php?workbook=14_09.xlsx&amp;sheet=U0&amp;row=5899&amp;col=6&amp;number=4.5&amp;sourceID=14","4.5")</f>
        <v>4.5</v>
      </c>
      <c r="G5899" s="4" t="str">
        <f>HYPERLINK("http://141.218.60.56/~jnz1568/getInfo.php?workbook=14_09.xlsx&amp;sheet=U0&amp;row=5899&amp;col=7&amp;number=0.00842&amp;sourceID=14","0.00842")</f>
        <v>0.00842</v>
      </c>
    </row>
    <row r="5900" spans="1:7">
      <c r="A5900" s="3"/>
      <c r="B5900" s="3"/>
      <c r="C5900" s="3"/>
      <c r="D5900" s="3"/>
      <c r="E5900" s="3">
        <v>17</v>
      </c>
      <c r="F5900" s="4" t="str">
        <f>HYPERLINK("http://141.218.60.56/~jnz1568/getInfo.php?workbook=14_09.xlsx&amp;sheet=U0&amp;row=5900&amp;col=6&amp;number=4.6&amp;sourceID=14","4.6")</f>
        <v>4.6</v>
      </c>
      <c r="G5900" s="4" t="str">
        <f>HYPERLINK("http://141.218.60.56/~jnz1568/getInfo.php?workbook=14_09.xlsx&amp;sheet=U0&amp;row=5900&amp;col=7&amp;number=0.00827&amp;sourceID=14","0.00827")</f>
        <v>0.00827</v>
      </c>
    </row>
    <row r="5901" spans="1:7">
      <c r="A5901" s="3"/>
      <c r="B5901" s="3"/>
      <c r="C5901" s="3"/>
      <c r="D5901" s="3"/>
      <c r="E5901" s="3">
        <v>18</v>
      </c>
      <c r="F5901" s="4" t="str">
        <f>HYPERLINK("http://141.218.60.56/~jnz1568/getInfo.php?workbook=14_09.xlsx&amp;sheet=U0&amp;row=5901&amp;col=6&amp;number=4.7&amp;sourceID=14","4.7")</f>
        <v>4.7</v>
      </c>
      <c r="G5901" s="4" t="str">
        <f>HYPERLINK("http://141.218.60.56/~jnz1568/getInfo.php?workbook=14_09.xlsx&amp;sheet=U0&amp;row=5901&amp;col=7&amp;number=0.00809&amp;sourceID=14","0.00809")</f>
        <v>0.00809</v>
      </c>
    </row>
    <row r="5902" spans="1:7">
      <c r="A5902" s="3"/>
      <c r="B5902" s="3"/>
      <c r="C5902" s="3"/>
      <c r="D5902" s="3"/>
      <c r="E5902" s="3">
        <v>19</v>
      </c>
      <c r="F5902" s="4" t="str">
        <f>HYPERLINK("http://141.218.60.56/~jnz1568/getInfo.php?workbook=14_09.xlsx&amp;sheet=U0&amp;row=5902&amp;col=6&amp;number=4.8&amp;sourceID=14","4.8")</f>
        <v>4.8</v>
      </c>
      <c r="G5902" s="4" t="str">
        <f>HYPERLINK("http://141.218.60.56/~jnz1568/getInfo.php?workbook=14_09.xlsx&amp;sheet=U0&amp;row=5902&amp;col=7&amp;number=0.00787&amp;sourceID=14","0.00787")</f>
        <v>0.00787</v>
      </c>
    </row>
    <row r="5903" spans="1:7">
      <c r="A5903" s="3"/>
      <c r="B5903" s="3"/>
      <c r="C5903" s="3"/>
      <c r="D5903" s="3"/>
      <c r="E5903" s="3">
        <v>20</v>
      </c>
      <c r="F5903" s="4" t="str">
        <f>HYPERLINK("http://141.218.60.56/~jnz1568/getInfo.php?workbook=14_09.xlsx&amp;sheet=U0&amp;row=5903&amp;col=6&amp;number=4.9&amp;sourceID=14","4.9")</f>
        <v>4.9</v>
      </c>
      <c r="G5903" s="4" t="str">
        <f>HYPERLINK("http://141.218.60.56/~jnz1568/getInfo.php?workbook=14_09.xlsx&amp;sheet=U0&amp;row=5903&amp;col=7&amp;number=0.00763&amp;sourceID=14","0.00763")</f>
        <v>0.00763</v>
      </c>
    </row>
    <row r="5904" spans="1:7">
      <c r="A5904" s="3">
        <v>14</v>
      </c>
      <c r="B5904" s="3">
        <v>9</v>
      </c>
      <c r="C5904" s="3">
        <v>2</v>
      </c>
      <c r="D5904" s="3">
        <v>104</v>
      </c>
      <c r="E5904" s="3">
        <v>1</v>
      </c>
      <c r="F5904" s="4" t="str">
        <f>HYPERLINK("http://141.218.60.56/~jnz1568/getInfo.php?workbook=14_09.xlsx&amp;sheet=U0&amp;row=5904&amp;col=6&amp;number=3&amp;sourceID=14","3")</f>
        <v>3</v>
      </c>
      <c r="G5904" s="4" t="str">
        <f>HYPERLINK("http://141.218.60.56/~jnz1568/getInfo.php?workbook=14_09.xlsx&amp;sheet=U0&amp;row=5904&amp;col=7&amp;number=0.00136&amp;sourceID=14","0.00136")</f>
        <v>0.00136</v>
      </c>
    </row>
    <row r="5905" spans="1:7">
      <c r="A5905" s="3"/>
      <c r="B5905" s="3"/>
      <c r="C5905" s="3"/>
      <c r="D5905" s="3"/>
      <c r="E5905" s="3">
        <v>2</v>
      </c>
      <c r="F5905" s="4" t="str">
        <f>HYPERLINK("http://141.218.60.56/~jnz1568/getInfo.php?workbook=14_09.xlsx&amp;sheet=U0&amp;row=5905&amp;col=6&amp;number=3.1&amp;sourceID=14","3.1")</f>
        <v>3.1</v>
      </c>
      <c r="G5905" s="4" t="str">
        <f>HYPERLINK("http://141.218.60.56/~jnz1568/getInfo.php?workbook=14_09.xlsx&amp;sheet=U0&amp;row=5905&amp;col=7&amp;number=0.00135&amp;sourceID=14","0.00135")</f>
        <v>0.00135</v>
      </c>
    </row>
    <row r="5906" spans="1:7">
      <c r="A5906" s="3"/>
      <c r="B5906" s="3"/>
      <c r="C5906" s="3"/>
      <c r="D5906" s="3"/>
      <c r="E5906" s="3">
        <v>3</v>
      </c>
      <c r="F5906" s="4" t="str">
        <f>HYPERLINK("http://141.218.60.56/~jnz1568/getInfo.php?workbook=14_09.xlsx&amp;sheet=U0&amp;row=5906&amp;col=6&amp;number=3.2&amp;sourceID=14","3.2")</f>
        <v>3.2</v>
      </c>
      <c r="G5906" s="4" t="str">
        <f>HYPERLINK("http://141.218.60.56/~jnz1568/getInfo.php?workbook=14_09.xlsx&amp;sheet=U0&amp;row=5906&amp;col=7&amp;number=0.00135&amp;sourceID=14","0.00135")</f>
        <v>0.00135</v>
      </c>
    </row>
    <row r="5907" spans="1:7">
      <c r="A5907" s="3"/>
      <c r="B5907" s="3"/>
      <c r="C5907" s="3"/>
      <c r="D5907" s="3"/>
      <c r="E5907" s="3">
        <v>4</v>
      </c>
      <c r="F5907" s="4" t="str">
        <f>HYPERLINK("http://141.218.60.56/~jnz1568/getInfo.php?workbook=14_09.xlsx&amp;sheet=U0&amp;row=5907&amp;col=6&amp;number=3.3&amp;sourceID=14","3.3")</f>
        <v>3.3</v>
      </c>
      <c r="G5907" s="4" t="str">
        <f>HYPERLINK("http://141.218.60.56/~jnz1568/getInfo.php?workbook=14_09.xlsx&amp;sheet=U0&amp;row=5907&amp;col=7&amp;number=0.00135&amp;sourceID=14","0.00135")</f>
        <v>0.00135</v>
      </c>
    </row>
    <row r="5908" spans="1:7">
      <c r="A5908" s="3"/>
      <c r="B5908" s="3"/>
      <c r="C5908" s="3"/>
      <c r="D5908" s="3"/>
      <c r="E5908" s="3">
        <v>5</v>
      </c>
      <c r="F5908" s="4" t="str">
        <f>HYPERLINK("http://141.218.60.56/~jnz1568/getInfo.php?workbook=14_09.xlsx&amp;sheet=U0&amp;row=5908&amp;col=6&amp;number=3.4&amp;sourceID=14","3.4")</f>
        <v>3.4</v>
      </c>
      <c r="G5908" s="4" t="str">
        <f>HYPERLINK("http://141.218.60.56/~jnz1568/getInfo.php?workbook=14_09.xlsx&amp;sheet=U0&amp;row=5908&amp;col=7&amp;number=0.00134&amp;sourceID=14","0.00134")</f>
        <v>0.00134</v>
      </c>
    </row>
    <row r="5909" spans="1:7">
      <c r="A5909" s="3"/>
      <c r="B5909" s="3"/>
      <c r="C5909" s="3"/>
      <c r="D5909" s="3"/>
      <c r="E5909" s="3">
        <v>6</v>
      </c>
      <c r="F5909" s="4" t="str">
        <f>HYPERLINK("http://141.218.60.56/~jnz1568/getInfo.php?workbook=14_09.xlsx&amp;sheet=U0&amp;row=5909&amp;col=6&amp;number=3.5&amp;sourceID=14","3.5")</f>
        <v>3.5</v>
      </c>
      <c r="G5909" s="4" t="str">
        <f>HYPERLINK("http://141.218.60.56/~jnz1568/getInfo.php?workbook=14_09.xlsx&amp;sheet=U0&amp;row=5909&amp;col=7&amp;number=0.00134&amp;sourceID=14","0.00134")</f>
        <v>0.00134</v>
      </c>
    </row>
    <row r="5910" spans="1:7">
      <c r="A5910" s="3"/>
      <c r="B5910" s="3"/>
      <c r="C5910" s="3"/>
      <c r="D5910" s="3"/>
      <c r="E5910" s="3">
        <v>7</v>
      </c>
      <c r="F5910" s="4" t="str">
        <f>HYPERLINK("http://141.218.60.56/~jnz1568/getInfo.php?workbook=14_09.xlsx&amp;sheet=U0&amp;row=5910&amp;col=6&amp;number=3.6&amp;sourceID=14","3.6")</f>
        <v>3.6</v>
      </c>
      <c r="G5910" s="4" t="str">
        <f>HYPERLINK("http://141.218.60.56/~jnz1568/getInfo.php?workbook=14_09.xlsx&amp;sheet=U0&amp;row=5910&amp;col=7&amp;number=0.00133&amp;sourceID=14","0.00133")</f>
        <v>0.00133</v>
      </c>
    </row>
    <row r="5911" spans="1:7">
      <c r="A5911" s="3"/>
      <c r="B5911" s="3"/>
      <c r="C5911" s="3"/>
      <c r="D5911" s="3"/>
      <c r="E5911" s="3">
        <v>8</v>
      </c>
      <c r="F5911" s="4" t="str">
        <f>HYPERLINK("http://141.218.60.56/~jnz1568/getInfo.php?workbook=14_09.xlsx&amp;sheet=U0&amp;row=5911&amp;col=6&amp;number=3.7&amp;sourceID=14","3.7")</f>
        <v>3.7</v>
      </c>
      <c r="G5911" s="4" t="str">
        <f>HYPERLINK("http://141.218.60.56/~jnz1568/getInfo.php?workbook=14_09.xlsx&amp;sheet=U0&amp;row=5911&amp;col=7&amp;number=0.00132&amp;sourceID=14","0.00132")</f>
        <v>0.00132</v>
      </c>
    </row>
    <row r="5912" spans="1:7">
      <c r="A5912" s="3"/>
      <c r="B5912" s="3"/>
      <c r="C5912" s="3"/>
      <c r="D5912" s="3"/>
      <c r="E5912" s="3">
        <v>9</v>
      </c>
      <c r="F5912" s="4" t="str">
        <f>HYPERLINK("http://141.218.60.56/~jnz1568/getInfo.php?workbook=14_09.xlsx&amp;sheet=U0&amp;row=5912&amp;col=6&amp;number=3.8&amp;sourceID=14","3.8")</f>
        <v>3.8</v>
      </c>
      <c r="G5912" s="4" t="str">
        <f>HYPERLINK("http://141.218.60.56/~jnz1568/getInfo.php?workbook=14_09.xlsx&amp;sheet=U0&amp;row=5912&amp;col=7&amp;number=0.00131&amp;sourceID=14","0.00131")</f>
        <v>0.00131</v>
      </c>
    </row>
    <row r="5913" spans="1:7">
      <c r="A5913" s="3"/>
      <c r="B5913" s="3"/>
      <c r="C5913" s="3"/>
      <c r="D5913" s="3"/>
      <c r="E5913" s="3">
        <v>10</v>
      </c>
      <c r="F5913" s="4" t="str">
        <f>HYPERLINK("http://141.218.60.56/~jnz1568/getInfo.php?workbook=14_09.xlsx&amp;sheet=U0&amp;row=5913&amp;col=6&amp;number=3.9&amp;sourceID=14","3.9")</f>
        <v>3.9</v>
      </c>
      <c r="G5913" s="4" t="str">
        <f>HYPERLINK("http://141.218.60.56/~jnz1568/getInfo.php?workbook=14_09.xlsx&amp;sheet=U0&amp;row=5913&amp;col=7&amp;number=0.0013&amp;sourceID=14","0.0013")</f>
        <v>0.0013</v>
      </c>
    </row>
    <row r="5914" spans="1:7">
      <c r="A5914" s="3"/>
      <c r="B5914" s="3"/>
      <c r="C5914" s="3"/>
      <c r="D5914" s="3"/>
      <c r="E5914" s="3">
        <v>11</v>
      </c>
      <c r="F5914" s="4" t="str">
        <f>HYPERLINK("http://141.218.60.56/~jnz1568/getInfo.php?workbook=14_09.xlsx&amp;sheet=U0&amp;row=5914&amp;col=6&amp;number=4&amp;sourceID=14","4")</f>
        <v>4</v>
      </c>
      <c r="G5914" s="4" t="str">
        <f>HYPERLINK("http://141.218.60.56/~jnz1568/getInfo.php?workbook=14_09.xlsx&amp;sheet=U0&amp;row=5914&amp;col=7&amp;number=0.00128&amp;sourceID=14","0.00128")</f>
        <v>0.00128</v>
      </c>
    </row>
    <row r="5915" spans="1:7">
      <c r="A5915" s="3"/>
      <c r="B5915" s="3"/>
      <c r="C5915" s="3"/>
      <c r="D5915" s="3"/>
      <c r="E5915" s="3">
        <v>12</v>
      </c>
      <c r="F5915" s="4" t="str">
        <f>HYPERLINK("http://141.218.60.56/~jnz1568/getInfo.php?workbook=14_09.xlsx&amp;sheet=U0&amp;row=5915&amp;col=6&amp;number=4.1&amp;sourceID=14","4.1")</f>
        <v>4.1</v>
      </c>
      <c r="G5915" s="4" t="str">
        <f>HYPERLINK("http://141.218.60.56/~jnz1568/getInfo.php?workbook=14_09.xlsx&amp;sheet=U0&amp;row=5915&amp;col=7&amp;number=0.00126&amp;sourceID=14","0.00126")</f>
        <v>0.00126</v>
      </c>
    </row>
    <row r="5916" spans="1:7">
      <c r="A5916" s="3"/>
      <c r="B5916" s="3"/>
      <c r="C5916" s="3"/>
      <c r="D5916" s="3"/>
      <c r="E5916" s="3">
        <v>13</v>
      </c>
      <c r="F5916" s="4" t="str">
        <f>HYPERLINK("http://141.218.60.56/~jnz1568/getInfo.php?workbook=14_09.xlsx&amp;sheet=U0&amp;row=5916&amp;col=6&amp;number=4.2&amp;sourceID=14","4.2")</f>
        <v>4.2</v>
      </c>
      <c r="G5916" s="4" t="str">
        <f>HYPERLINK("http://141.218.60.56/~jnz1568/getInfo.php?workbook=14_09.xlsx&amp;sheet=U0&amp;row=5916&amp;col=7&amp;number=0.00124&amp;sourceID=14","0.00124")</f>
        <v>0.00124</v>
      </c>
    </row>
    <row r="5917" spans="1:7">
      <c r="A5917" s="3"/>
      <c r="B5917" s="3"/>
      <c r="C5917" s="3"/>
      <c r="D5917" s="3"/>
      <c r="E5917" s="3">
        <v>14</v>
      </c>
      <c r="F5917" s="4" t="str">
        <f>HYPERLINK("http://141.218.60.56/~jnz1568/getInfo.php?workbook=14_09.xlsx&amp;sheet=U0&amp;row=5917&amp;col=6&amp;number=4.3&amp;sourceID=14","4.3")</f>
        <v>4.3</v>
      </c>
      <c r="G5917" s="4" t="str">
        <f>HYPERLINK("http://141.218.60.56/~jnz1568/getInfo.php?workbook=14_09.xlsx&amp;sheet=U0&amp;row=5917&amp;col=7&amp;number=0.00121&amp;sourceID=14","0.00121")</f>
        <v>0.00121</v>
      </c>
    </row>
    <row r="5918" spans="1:7">
      <c r="A5918" s="3"/>
      <c r="B5918" s="3"/>
      <c r="C5918" s="3"/>
      <c r="D5918" s="3"/>
      <c r="E5918" s="3">
        <v>15</v>
      </c>
      <c r="F5918" s="4" t="str">
        <f>HYPERLINK("http://141.218.60.56/~jnz1568/getInfo.php?workbook=14_09.xlsx&amp;sheet=U0&amp;row=5918&amp;col=6&amp;number=4.4&amp;sourceID=14","4.4")</f>
        <v>4.4</v>
      </c>
      <c r="G5918" s="4" t="str">
        <f>HYPERLINK("http://141.218.60.56/~jnz1568/getInfo.php?workbook=14_09.xlsx&amp;sheet=U0&amp;row=5918&amp;col=7&amp;number=0.00117&amp;sourceID=14","0.00117")</f>
        <v>0.00117</v>
      </c>
    </row>
    <row r="5919" spans="1:7">
      <c r="A5919" s="3"/>
      <c r="B5919" s="3"/>
      <c r="C5919" s="3"/>
      <c r="D5919" s="3"/>
      <c r="E5919" s="3">
        <v>16</v>
      </c>
      <c r="F5919" s="4" t="str">
        <f>HYPERLINK("http://141.218.60.56/~jnz1568/getInfo.php?workbook=14_09.xlsx&amp;sheet=U0&amp;row=5919&amp;col=6&amp;number=4.5&amp;sourceID=14","4.5")</f>
        <v>4.5</v>
      </c>
      <c r="G5919" s="4" t="str">
        <f>HYPERLINK("http://141.218.60.56/~jnz1568/getInfo.php?workbook=14_09.xlsx&amp;sheet=U0&amp;row=5919&amp;col=7&amp;number=0.00112&amp;sourceID=14","0.00112")</f>
        <v>0.00112</v>
      </c>
    </row>
    <row r="5920" spans="1:7">
      <c r="A5920" s="3"/>
      <c r="B5920" s="3"/>
      <c r="C5920" s="3"/>
      <c r="D5920" s="3"/>
      <c r="E5920" s="3">
        <v>17</v>
      </c>
      <c r="F5920" s="4" t="str">
        <f>HYPERLINK("http://141.218.60.56/~jnz1568/getInfo.php?workbook=14_09.xlsx&amp;sheet=U0&amp;row=5920&amp;col=6&amp;number=4.6&amp;sourceID=14","4.6")</f>
        <v>4.6</v>
      </c>
      <c r="G5920" s="4" t="str">
        <f>HYPERLINK("http://141.218.60.56/~jnz1568/getInfo.php?workbook=14_09.xlsx&amp;sheet=U0&amp;row=5920&amp;col=7&amp;number=0.00107&amp;sourceID=14","0.00107")</f>
        <v>0.00107</v>
      </c>
    </row>
    <row r="5921" spans="1:7">
      <c r="A5921" s="3"/>
      <c r="B5921" s="3"/>
      <c r="C5921" s="3"/>
      <c r="D5921" s="3"/>
      <c r="E5921" s="3">
        <v>18</v>
      </c>
      <c r="F5921" s="4" t="str">
        <f>HYPERLINK("http://141.218.60.56/~jnz1568/getInfo.php?workbook=14_09.xlsx&amp;sheet=U0&amp;row=5921&amp;col=6&amp;number=4.7&amp;sourceID=14","4.7")</f>
        <v>4.7</v>
      </c>
      <c r="G5921" s="4" t="str">
        <f>HYPERLINK("http://141.218.60.56/~jnz1568/getInfo.php?workbook=14_09.xlsx&amp;sheet=U0&amp;row=5921&amp;col=7&amp;number=0.001&amp;sourceID=14","0.001")</f>
        <v>0.001</v>
      </c>
    </row>
    <row r="5922" spans="1:7">
      <c r="A5922" s="3"/>
      <c r="B5922" s="3"/>
      <c r="C5922" s="3"/>
      <c r="D5922" s="3"/>
      <c r="E5922" s="3">
        <v>19</v>
      </c>
      <c r="F5922" s="4" t="str">
        <f>HYPERLINK("http://141.218.60.56/~jnz1568/getInfo.php?workbook=14_09.xlsx&amp;sheet=U0&amp;row=5922&amp;col=6&amp;number=4.8&amp;sourceID=14","4.8")</f>
        <v>4.8</v>
      </c>
      <c r="G5922" s="4" t="str">
        <f>HYPERLINK("http://141.218.60.56/~jnz1568/getInfo.php?workbook=14_09.xlsx&amp;sheet=U0&amp;row=5922&amp;col=7&amp;number=0.000929&amp;sourceID=14","0.000929")</f>
        <v>0.000929</v>
      </c>
    </row>
    <row r="5923" spans="1:7">
      <c r="A5923" s="3"/>
      <c r="B5923" s="3"/>
      <c r="C5923" s="3"/>
      <c r="D5923" s="3"/>
      <c r="E5923" s="3">
        <v>20</v>
      </c>
      <c r="F5923" s="4" t="str">
        <f>HYPERLINK("http://141.218.60.56/~jnz1568/getInfo.php?workbook=14_09.xlsx&amp;sheet=U0&amp;row=5923&amp;col=6&amp;number=4.9&amp;sourceID=14","4.9")</f>
        <v>4.9</v>
      </c>
      <c r="G5923" s="4" t="str">
        <f>HYPERLINK("http://141.218.60.56/~jnz1568/getInfo.php?workbook=14_09.xlsx&amp;sheet=U0&amp;row=5923&amp;col=7&amp;number=0.000852&amp;sourceID=14","0.000852")</f>
        <v>0.000852</v>
      </c>
    </row>
    <row r="5924" spans="1:7">
      <c r="A5924" s="3">
        <v>14</v>
      </c>
      <c r="B5924" s="3">
        <v>9</v>
      </c>
      <c r="C5924" s="3">
        <v>2</v>
      </c>
      <c r="D5924" s="3">
        <v>105</v>
      </c>
      <c r="E5924" s="3">
        <v>1</v>
      </c>
      <c r="F5924" s="4" t="str">
        <f>HYPERLINK("http://141.218.60.56/~jnz1568/getInfo.php?workbook=14_09.xlsx&amp;sheet=U0&amp;row=5924&amp;col=6&amp;number=3&amp;sourceID=14","3")</f>
        <v>3</v>
      </c>
      <c r="G5924" s="4" t="str">
        <f>HYPERLINK("http://141.218.60.56/~jnz1568/getInfo.php?workbook=14_09.xlsx&amp;sheet=U0&amp;row=5924&amp;col=7&amp;number=0.00152&amp;sourceID=14","0.00152")</f>
        <v>0.00152</v>
      </c>
    </row>
    <row r="5925" spans="1:7">
      <c r="A5925" s="3"/>
      <c r="B5925" s="3"/>
      <c r="C5925" s="3"/>
      <c r="D5925" s="3"/>
      <c r="E5925" s="3">
        <v>2</v>
      </c>
      <c r="F5925" s="4" t="str">
        <f>HYPERLINK("http://141.218.60.56/~jnz1568/getInfo.php?workbook=14_09.xlsx&amp;sheet=U0&amp;row=5925&amp;col=6&amp;number=3.1&amp;sourceID=14","3.1")</f>
        <v>3.1</v>
      </c>
      <c r="G5925" s="4" t="str">
        <f>HYPERLINK("http://141.218.60.56/~jnz1568/getInfo.php?workbook=14_09.xlsx&amp;sheet=U0&amp;row=5925&amp;col=7&amp;number=0.00152&amp;sourceID=14","0.00152")</f>
        <v>0.00152</v>
      </c>
    </row>
    <row r="5926" spans="1:7">
      <c r="A5926" s="3"/>
      <c r="B5926" s="3"/>
      <c r="C5926" s="3"/>
      <c r="D5926" s="3"/>
      <c r="E5926" s="3">
        <v>3</v>
      </c>
      <c r="F5926" s="4" t="str">
        <f>HYPERLINK("http://141.218.60.56/~jnz1568/getInfo.php?workbook=14_09.xlsx&amp;sheet=U0&amp;row=5926&amp;col=6&amp;number=3.2&amp;sourceID=14","3.2")</f>
        <v>3.2</v>
      </c>
      <c r="G5926" s="4" t="str">
        <f>HYPERLINK("http://141.218.60.56/~jnz1568/getInfo.php?workbook=14_09.xlsx&amp;sheet=U0&amp;row=5926&amp;col=7&amp;number=0.00152&amp;sourceID=14","0.00152")</f>
        <v>0.00152</v>
      </c>
    </row>
    <row r="5927" spans="1:7">
      <c r="A5927" s="3"/>
      <c r="B5927" s="3"/>
      <c r="C5927" s="3"/>
      <c r="D5927" s="3"/>
      <c r="E5927" s="3">
        <v>4</v>
      </c>
      <c r="F5927" s="4" t="str">
        <f>HYPERLINK("http://141.218.60.56/~jnz1568/getInfo.php?workbook=14_09.xlsx&amp;sheet=U0&amp;row=5927&amp;col=6&amp;number=3.3&amp;sourceID=14","3.3")</f>
        <v>3.3</v>
      </c>
      <c r="G5927" s="4" t="str">
        <f>HYPERLINK("http://141.218.60.56/~jnz1568/getInfo.php?workbook=14_09.xlsx&amp;sheet=U0&amp;row=5927&amp;col=7&amp;number=0.00152&amp;sourceID=14","0.00152")</f>
        <v>0.00152</v>
      </c>
    </row>
    <row r="5928" spans="1:7">
      <c r="A5928" s="3"/>
      <c r="B5928" s="3"/>
      <c r="C5928" s="3"/>
      <c r="D5928" s="3"/>
      <c r="E5928" s="3">
        <v>5</v>
      </c>
      <c r="F5928" s="4" t="str">
        <f>HYPERLINK("http://141.218.60.56/~jnz1568/getInfo.php?workbook=14_09.xlsx&amp;sheet=U0&amp;row=5928&amp;col=6&amp;number=3.4&amp;sourceID=14","3.4")</f>
        <v>3.4</v>
      </c>
      <c r="G5928" s="4" t="str">
        <f>HYPERLINK("http://141.218.60.56/~jnz1568/getInfo.php?workbook=14_09.xlsx&amp;sheet=U0&amp;row=5928&amp;col=7&amp;number=0.00151&amp;sourceID=14","0.00151")</f>
        <v>0.00151</v>
      </c>
    </row>
    <row r="5929" spans="1:7">
      <c r="A5929" s="3"/>
      <c r="B5929" s="3"/>
      <c r="C5929" s="3"/>
      <c r="D5929" s="3"/>
      <c r="E5929" s="3">
        <v>6</v>
      </c>
      <c r="F5929" s="4" t="str">
        <f>HYPERLINK("http://141.218.60.56/~jnz1568/getInfo.php?workbook=14_09.xlsx&amp;sheet=U0&amp;row=5929&amp;col=6&amp;number=3.5&amp;sourceID=14","3.5")</f>
        <v>3.5</v>
      </c>
      <c r="G5929" s="4" t="str">
        <f>HYPERLINK("http://141.218.60.56/~jnz1568/getInfo.php?workbook=14_09.xlsx&amp;sheet=U0&amp;row=5929&amp;col=7&amp;number=0.00151&amp;sourceID=14","0.00151")</f>
        <v>0.00151</v>
      </c>
    </row>
    <row r="5930" spans="1:7">
      <c r="A5930" s="3"/>
      <c r="B5930" s="3"/>
      <c r="C5930" s="3"/>
      <c r="D5930" s="3"/>
      <c r="E5930" s="3">
        <v>7</v>
      </c>
      <c r="F5930" s="4" t="str">
        <f>HYPERLINK("http://141.218.60.56/~jnz1568/getInfo.php?workbook=14_09.xlsx&amp;sheet=U0&amp;row=5930&amp;col=6&amp;number=3.6&amp;sourceID=14","3.6")</f>
        <v>3.6</v>
      </c>
      <c r="G5930" s="4" t="str">
        <f>HYPERLINK("http://141.218.60.56/~jnz1568/getInfo.php?workbook=14_09.xlsx&amp;sheet=U0&amp;row=5930&amp;col=7&amp;number=0.0015&amp;sourceID=14","0.0015")</f>
        <v>0.0015</v>
      </c>
    </row>
    <row r="5931" spans="1:7">
      <c r="A5931" s="3"/>
      <c r="B5931" s="3"/>
      <c r="C5931" s="3"/>
      <c r="D5931" s="3"/>
      <c r="E5931" s="3">
        <v>8</v>
      </c>
      <c r="F5931" s="4" t="str">
        <f>HYPERLINK("http://141.218.60.56/~jnz1568/getInfo.php?workbook=14_09.xlsx&amp;sheet=U0&amp;row=5931&amp;col=6&amp;number=3.7&amp;sourceID=14","3.7")</f>
        <v>3.7</v>
      </c>
      <c r="G5931" s="4" t="str">
        <f>HYPERLINK("http://141.218.60.56/~jnz1568/getInfo.php?workbook=14_09.xlsx&amp;sheet=U0&amp;row=5931&amp;col=7&amp;number=0.0015&amp;sourceID=14","0.0015")</f>
        <v>0.0015</v>
      </c>
    </row>
    <row r="5932" spans="1:7">
      <c r="A5932" s="3"/>
      <c r="B5932" s="3"/>
      <c r="C5932" s="3"/>
      <c r="D5932" s="3"/>
      <c r="E5932" s="3">
        <v>9</v>
      </c>
      <c r="F5932" s="4" t="str">
        <f>HYPERLINK("http://141.218.60.56/~jnz1568/getInfo.php?workbook=14_09.xlsx&amp;sheet=U0&amp;row=5932&amp;col=6&amp;number=3.8&amp;sourceID=14","3.8")</f>
        <v>3.8</v>
      </c>
      <c r="G5932" s="4" t="str">
        <f>HYPERLINK("http://141.218.60.56/~jnz1568/getInfo.php?workbook=14_09.xlsx&amp;sheet=U0&amp;row=5932&amp;col=7&amp;number=0.00149&amp;sourceID=14","0.00149")</f>
        <v>0.00149</v>
      </c>
    </row>
    <row r="5933" spans="1:7">
      <c r="A5933" s="3"/>
      <c r="B5933" s="3"/>
      <c r="C5933" s="3"/>
      <c r="D5933" s="3"/>
      <c r="E5933" s="3">
        <v>10</v>
      </c>
      <c r="F5933" s="4" t="str">
        <f>HYPERLINK("http://141.218.60.56/~jnz1568/getInfo.php?workbook=14_09.xlsx&amp;sheet=U0&amp;row=5933&amp;col=6&amp;number=3.9&amp;sourceID=14","3.9")</f>
        <v>3.9</v>
      </c>
      <c r="G5933" s="4" t="str">
        <f>HYPERLINK("http://141.218.60.56/~jnz1568/getInfo.php?workbook=14_09.xlsx&amp;sheet=U0&amp;row=5933&amp;col=7&amp;number=0.00148&amp;sourceID=14","0.00148")</f>
        <v>0.00148</v>
      </c>
    </row>
    <row r="5934" spans="1:7">
      <c r="A5934" s="3"/>
      <c r="B5934" s="3"/>
      <c r="C5934" s="3"/>
      <c r="D5934" s="3"/>
      <c r="E5934" s="3">
        <v>11</v>
      </c>
      <c r="F5934" s="4" t="str">
        <f>HYPERLINK("http://141.218.60.56/~jnz1568/getInfo.php?workbook=14_09.xlsx&amp;sheet=U0&amp;row=5934&amp;col=6&amp;number=4&amp;sourceID=14","4")</f>
        <v>4</v>
      </c>
      <c r="G5934" s="4" t="str">
        <f>HYPERLINK("http://141.218.60.56/~jnz1568/getInfo.php?workbook=14_09.xlsx&amp;sheet=U0&amp;row=5934&amp;col=7&amp;number=0.00146&amp;sourceID=14","0.00146")</f>
        <v>0.00146</v>
      </c>
    </row>
    <row r="5935" spans="1:7">
      <c r="A5935" s="3"/>
      <c r="B5935" s="3"/>
      <c r="C5935" s="3"/>
      <c r="D5935" s="3"/>
      <c r="E5935" s="3">
        <v>12</v>
      </c>
      <c r="F5935" s="4" t="str">
        <f>HYPERLINK("http://141.218.60.56/~jnz1568/getInfo.php?workbook=14_09.xlsx&amp;sheet=U0&amp;row=5935&amp;col=6&amp;number=4.1&amp;sourceID=14","4.1")</f>
        <v>4.1</v>
      </c>
      <c r="G5935" s="4" t="str">
        <f>HYPERLINK("http://141.218.60.56/~jnz1568/getInfo.php?workbook=14_09.xlsx&amp;sheet=U0&amp;row=5935&amp;col=7&amp;number=0.00145&amp;sourceID=14","0.00145")</f>
        <v>0.00145</v>
      </c>
    </row>
    <row r="5936" spans="1:7">
      <c r="A5936" s="3"/>
      <c r="B5936" s="3"/>
      <c r="C5936" s="3"/>
      <c r="D5936" s="3"/>
      <c r="E5936" s="3">
        <v>13</v>
      </c>
      <c r="F5936" s="4" t="str">
        <f>HYPERLINK("http://141.218.60.56/~jnz1568/getInfo.php?workbook=14_09.xlsx&amp;sheet=U0&amp;row=5936&amp;col=6&amp;number=4.2&amp;sourceID=14","4.2")</f>
        <v>4.2</v>
      </c>
      <c r="G5936" s="4" t="str">
        <f>HYPERLINK("http://141.218.60.56/~jnz1568/getInfo.php?workbook=14_09.xlsx&amp;sheet=U0&amp;row=5936&amp;col=7&amp;number=0.00143&amp;sourceID=14","0.00143")</f>
        <v>0.00143</v>
      </c>
    </row>
    <row r="5937" spans="1:7">
      <c r="A5937" s="3"/>
      <c r="B5937" s="3"/>
      <c r="C5937" s="3"/>
      <c r="D5937" s="3"/>
      <c r="E5937" s="3">
        <v>14</v>
      </c>
      <c r="F5937" s="4" t="str">
        <f>HYPERLINK("http://141.218.60.56/~jnz1568/getInfo.php?workbook=14_09.xlsx&amp;sheet=U0&amp;row=5937&amp;col=6&amp;number=4.3&amp;sourceID=14","4.3")</f>
        <v>4.3</v>
      </c>
      <c r="G5937" s="4" t="str">
        <f>HYPERLINK("http://141.218.60.56/~jnz1568/getInfo.php?workbook=14_09.xlsx&amp;sheet=U0&amp;row=5937&amp;col=7&amp;number=0.0014&amp;sourceID=14","0.0014")</f>
        <v>0.0014</v>
      </c>
    </row>
    <row r="5938" spans="1:7">
      <c r="A5938" s="3"/>
      <c r="B5938" s="3"/>
      <c r="C5938" s="3"/>
      <c r="D5938" s="3"/>
      <c r="E5938" s="3">
        <v>15</v>
      </c>
      <c r="F5938" s="4" t="str">
        <f>HYPERLINK("http://141.218.60.56/~jnz1568/getInfo.php?workbook=14_09.xlsx&amp;sheet=U0&amp;row=5938&amp;col=6&amp;number=4.4&amp;sourceID=14","4.4")</f>
        <v>4.4</v>
      </c>
      <c r="G5938" s="4" t="str">
        <f>HYPERLINK("http://141.218.60.56/~jnz1568/getInfo.php?workbook=14_09.xlsx&amp;sheet=U0&amp;row=5938&amp;col=7&amp;number=0.00137&amp;sourceID=14","0.00137")</f>
        <v>0.00137</v>
      </c>
    </row>
    <row r="5939" spans="1:7">
      <c r="A5939" s="3"/>
      <c r="B5939" s="3"/>
      <c r="C5939" s="3"/>
      <c r="D5939" s="3"/>
      <c r="E5939" s="3">
        <v>16</v>
      </c>
      <c r="F5939" s="4" t="str">
        <f>HYPERLINK("http://141.218.60.56/~jnz1568/getInfo.php?workbook=14_09.xlsx&amp;sheet=U0&amp;row=5939&amp;col=6&amp;number=4.5&amp;sourceID=14","4.5")</f>
        <v>4.5</v>
      </c>
      <c r="G5939" s="4" t="str">
        <f>HYPERLINK("http://141.218.60.56/~jnz1568/getInfo.php?workbook=14_09.xlsx&amp;sheet=U0&amp;row=5939&amp;col=7&amp;number=0.00133&amp;sourceID=14","0.00133")</f>
        <v>0.00133</v>
      </c>
    </row>
    <row r="5940" spans="1:7">
      <c r="A5940" s="3"/>
      <c r="B5940" s="3"/>
      <c r="C5940" s="3"/>
      <c r="D5940" s="3"/>
      <c r="E5940" s="3">
        <v>17</v>
      </c>
      <c r="F5940" s="4" t="str">
        <f>HYPERLINK("http://141.218.60.56/~jnz1568/getInfo.php?workbook=14_09.xlsx&amp;sheet=U0&amp;row=5940&amp;col=6&amp;number=4.6&amp;sourceID=14","4.6")</f>
        <v>4.6</v>
      </c>
      <c r="G5940" s="4" t="str">
        <f>HYPERLINK("http://141.218.60.56/~jnz1568/getInfo.php?workbook=14_09.xlsx&amp;sheet=U0&amp;row=5940&amp;col=7&amp;number=0.00129&amp;sourceID=14","0.00129")</f>
        <v>0.00129</v>
      </c>
    </row>
    <row r="5941" spans="1:7">
      <c r="A5941" s="3"/>
      <c r="B5941" s="3"/>
      <c r="C5941" s="3"/>
      <c r="D5941" s="3"/>
      <c r="E5941" s="3">
        <v>18</v>
      </c>
      <c r="F5941" s="4" t="str">
        <f>HYPERLINK("http://141.218.60.56/~jnz1568/getInfo.php?workbook=14_09.xlsx&amp;sheet=U0&amp;row=5941&amp;col=6&amp;number=4.7&amp;sourceID=14","4.7")</f>
        <v>4.7</v>
      </c>
      <c r="G5941" s="4" t="str">
        <f>HYPERLINK("http://141.218.60.56/~jnz1568/getInfo.php?workbook=14_09.xlsx&amp;sheet=U0&amp;row=5941&amp;col=7&amp;number=0.00123&amp;sourceID=14","0.00123")</f>
        <v>0.00123</v>
      </c>
    </row>
    <row r="5942" spans="1:7">
      <c r="A5942" s="3"/>
      <c r="B5942" s="3"/>
      <c r="C5942" s="3"/>
      <c r="D5942" s="3"/>
      <c r="E5942" s="3">
        <v>19</v>
      </c>
      <c r="F5942" s="4" t="str">
        <f>HYPERLINK("http://141.218.60.56/~jnz1568/getInfo.php?workbook=14_09.xlsx&amp;sheet=U0&amp;row=5942&amp;col=6&amp;number=4.8&amp;sourceID=14","4.8")</f>
        <v>4.8</v>
      </c>
      <c r="G5942" s="4" t="str">
        <f>HYPERLINK("http://141.218.60.56/~jnz1568/getInfo.php?workbook=14_09.xlsx&amp;sheet=U0&amp;row=5942&amp;col=7&amp;number=0.00116&amp;sourceID=14","0.00116")</f>
        <v>0.00116</v>
      </c>
    </row>
    <row r="5943" spans="1:7">
      <c r="A5943" s="3"/>
      <c r="B5943" s="3"/>
      <c r="C5943" s="3"/>
      <c r="D5943" s="3"/>
      <c r="E5943" s="3">
        <v>20</v>
      </c>
      <c r="F5943" s="4" t="str">
        <f>HYPERLINK("http://141.218.60.56/~jnz1568/getInfo.php?workbook=14_09.xlsx&amp;sheet=U0&amp;row=5943&amp;col=6&amp;number=4.9&amp;sourceID=14","4.9")</f>
        <v>4.9</v>
      </c>
      <c r="G5943" s="4" t="str">
        <f>HYPERLINK("http://141.218.60.56/~jnz1568/getInfo.php?workbook=14_09.xlsx&amp;sheet=U0&amp;row=5943&amp;col=7&amp;number=0.00109&amp;sourceID=14","0.00109")</f>
        <v>0.00109</v>
      </c>
    </row>
    <row r="5944" spans="1:7">
      <c r="A5944" s="3">
        <v>14</v>
      </c>
      <c r="B5944" s="3">
        <v>9</v>
      </c>
      <c r="C5944" s="3">
        <v>2</v>
      </c>
      <c r="D5944" s="3">
        <v>106</v>
      </c>
      <c r="E5944" s="3">
        <v>1</v>
      </c>
      <c r="F5944" s="4" t="str">
        <f>HYPERLINK("http://141.218.60.56/~jnz1568/getInfo.php?workbook=14_09.xlsx&amp;sheet=U0&amp;row=5944&amp;col=6&amp;number=3&amp;sourceID=14","3")</f>
        <v>3</v>
      </c>
      <c r="G5944" s="4" t="str">
        <f>HYPERLINK("http://141.218.60.56/~jnz1568/getInfo.php?workbook=14_09.xlsx&amp;sheet=U0&amp;row=5944&amp;col=7&amp;number=0.00193&amp;sourceID=14","0.00193")</f>
        <v>0.00193</v>
      </c>
    </row>
    <row r="5945" spans="1:7">
      <c r="A5945" s="3"/>
      <c r="B5945" s="3"/>
      <c r="C5945" s="3"/>
      <c r="D5945" s="3"/>
      <c r="E5945" s="3">
        <v>2</v>
      </c>
      <c r="F5945" s="4" t="str">
        <f>HYPERLINK("http://141.218.60.56/~jnz1568/getInfo.php?workbook=14_09.xlsx&amp;sheet=U0&amp;row=5945&amp;col=6&amp;number=3.1&amp;sourceID=14","3.1")</f>
        <v>3.1</v>
      </c>
      <c r="G5945" s="4" t="str">
        <f>HYPERLINK("http://141.218.60.56/~jnz1568/getInfo.php?workbook=14_09.xlsx&amp;sheet=U0&amp;row=5945&amp;col=7&amp;number=0.00193&amp;sourceID=14","0.00193")</f>
        <v>0.00193</v>
      </c>
    </row>
    <row r="5946" spans="1:7">
      <c r="A5946" s="3"/>
      <c r="B5946" s="3"/>
      <c r="C5946" s="3"/>
      <c r="D5946" s="3"/>
      <c r="E5946" s="3">
        <v>3</v>
      </c>
      <c r="F5946" s="4" t="str">
        <f>HYPERLINK("http://141.218.60.56/~jnz1568/getInfo.php?workbook=14_09.xlsx&amp;sheet=U0&amp;row=5946&amp;col=6&amp;number=3.2&amp;sourceID=14","3.2")</f>
        <v>3.2</v>
      </c>
      <c r="G5946" s="4" t="str">
        <f>HYPERLINK("http://141.218.60.56/~jnz1568/getInfo.php?workbook=14_09.xlsx&amp;sheet=U0&amp;row=5946&amp;col=7&amp;number=0.00192&amp;sourceID=14","0.00192")</f>
        <v>0.00192</v>
      </c>
    </row>
    <row r="5947" spans="1:7">
      <c r="A5947" s="3"/>
      <c r="B5947" s="3"/>
      <c r="C5947" s="3"/>
      <c r="D5947" s="3"/>
      <c r="E5947" s="3">
        <v>4</v>
      </c>
      <c r="F5947" s="4" t="str">
        <f>HYPERLINK("http://141.218.60.56/~jnz1568/getInfo.php?workbook=14_09.xlsx&amp;sheet=U0&amp;row=5947&amp;col=6&amp;number=3.3&amp;sourceID=14","3.3")</f>
        <v>3.3</v>
      </c>
      <c r="G5947" s="4" t="str">
        <f>HYPERLINK("http://141.218.60.56/~jnz1568/getInfo.php?workbook=14_09.xlsx&amp;sheet=U0&amp;row=5947&amp;col=7&amp;number=0.00192&amp;sourceID=14","0.00192")</f>
        <v>0.00192</v>
      </c>
    </row>
    <row r="5948" spans="1:7">
      <c r="A5948" s="3"/>
      <c r="B5948" s="3"/>
      <c r="C5948" s="3"/>
      <c r="D5948" s="3"/>
      <c r="E5948" s="3">
        <v>5</v>
      </c>
      <c r="F5948" s="4" t="str">
        <f>HYPERLINK("http://141.218.60.56/~jnz1568/getInfo.php?workbook=14_09.xlsx&amp;sheet=U0&amp;row=5948&amp;col=6&amp;number=3.4&amp;sourceID=14","3.4")</f>
        <v>3.4</v>
      </c>
      <c r="G5948" s="4" t="str">
        <f>HYPERLINK("http://141.218.60.56/~jnz1568/getInfo.php?workbook=14_09.xlsx&amp;sheet=U0&amp;row=5948&amp;col=7&amp;number=0.00192&amp;sourceID=14","0.00192")</f>
        <v>0.00192</v>
      </c>
    </row>
    <row r="5949" spans="1:7">
      <c r="A5949" s="3"/>
      <c r="B5949" s="3"/>
      <c r="C5949" s="3"/>
      <c r="D5949" s="3"/>
      <c r="E5949" s="3">
        <v>6</v>
      </c>
      <c r="F5949" s="4" t="str">
        <f>HYPERLINK("http://141.218.60.56/~jnz1568/getInfo.php?workbook=14_09.xlsx&amp;sheet=U0&amp;row=5949&amp;col=6&amp;number=3.5&amp;sourceID=14","3.5")</f>
        <v>3.5</v>
      </c>
      <c r="G5949" s="4" t="str">
        <f>HYPERLINK("http://141.218.60.56/~jnz1568/getInfo.php?workbook=14_09.xlsx&amp;sheet=U0&amp;row=5949&amp;col=7&amp;number=0.00191&amp;sourceID=14","0.00191")</f>
        <v>0.00191</v>
      </c>
    </row>
    <row r="5950" spans="1:7">
      <c r="A5950" s="3"/>
      <c r="B5950" s="3"/>
      <c r="C5950" s="3"/>
      <c r="D5950" s="3"/>
      <c r="E5950" s="3">
        <v>7</v>
      </c>
      <c r="F5950" s="4" t="str">
        <f>HYPERLINK("http://141.218.60.56/~jnz1568/getInfo.php?workbook=14_09.xlsx&amp;sheet=U0&amp;row=5950&amp;col=6&amp;number=3.6&amp;sourceID=14","3.6")</f>
        <v>3.6</v>
      </c>
      <c r="G5950" s="4" t="str">
        <f>HYPERLINK("http://141.218.60.56/~jnz1568/getInfo.php?workbook=14_09.xlsx&amp;sheet=U0&amp;row=5950&amp;col=7&amp;number=0.00191&amp;sourceID=14","0.00191")</f>
        <v>0.00191</v>
      </c>
    </row>
    <row r="5951" spans="1:7">
      <c r="A5951" s="3"/>
      <c r="B5951" s="3"/>
      <c r="C5951" s="3"/>
      <c r="D5951" s="3"/>
      <c r="E5951" s="3">
        <v>8</v>
      </c>
      <c r="F5951" s="4" t="str">
        <f>HYPERLINK("http://141.218.60.56/~jnz1568/getInfo.php?workbook=14_09.xlsx&amp;sheet=U0&amp;row=5951&amp;col=6&amp;number=3.7&amp;sourceID=14","3.7")</f>
        <v>3.7</v>
      </c>
      <c r="G5951" s="4" t="str">
        <f>HYPERLINK("http://141.218.60.56/~jnz1568/getInfo.php?workbook=14_09.xlsx&amp;sheet=U0&amp;row=5951&amp;col=7&amp;number=0.0019&amp;sourceID=14","0.0019")</f>
        <v>0.0019</v>
      </c>
    </row>
    <row r="5952" spans="1:7">
      <c r="A5952" s="3"/>
      <c r="B5952" s="3"/>
      <c r="C5952" s="3"/>
      <c r="D5952" s="3"/>
      <c r="E5952" s="3">
        <v>9</v>
      </c>
      <c r="F5952" s="4" t="str">
        <f>HYPERLINK("http://141.218.60.56/~jnz1568/getInfo.php?workbook=14_09.xlsx&amp;sheet=U0&amp;row=5952&amp;col=6&amp;number=3.8&amp;sourceID=14","3.8")</f>
        <v>3.8</v>
      </c>
      <c r="G5952" s="4" t="str">
        <f>HYPERLINK("http://141.218.60.56/~jnz1568/getInfo.php?workbook=14_09.xlsx&amp;sheet=U0&amp;row=5952&amp;col=7&amp;number=0.00189&amp;sourceID=14","0.00189")</f>
        <v>0.00189</v>
      </c>
    </row>
    <row r="5953" spans="1:7">
      <c r="A5953" s="3"/>
      <c r="B5953" s="3"/>
      <c r="C5953" s="3"/>
      <c r="D5953" s="3"/>
      <c r="E5953" s="3">
        <v>10</v>
      </c>
      <c r="F5953" s="4" t="str">
        <f>HYPERLINK("http://141.218.60.56/~jnz1568/getInfo.php?workbook=14_09.xlsx&amp;sheet=U0&amp;row=5953&amp;col=6&amp;number=3.9&amp;sourceID=14","3.9")</f>
        <v>3.9</v>
      </c>
      <c r="G5953" s="4" t="str">
        <f>HYPERLINK("http://141.218.60.56/~jnz1568/getInfo.php?workbook=14_09.xlsx&amp;sheet=U0&amp;row=5953&amp;col=7&amp;number=0.00188&amp;sourceID=14","0.00188")</f>
        <v>0.00188</v>
      </c>
    </row>
    <row r="5954" spans="1:7">
      <c r="A5954" s="3"/>
      <c r="B5954" s="3"/>
      <c r="C5954" s="3"/>
      <c r="D5954" s="3"/>
      <c r="E5954" s="3">
        <v>11</v>
      </c>
      <c r="F5954" s="4" t="str">
        <f>HYPERLINK("http://141.218.60.56/~jnz1568/getInfo.php?workbook=14_09.xlsx&amp;sheet=U0&amp;row=5954&amp;col=6&amp;number=4&amp;sourceID=14","4")</f>
        <v>4</v>
      </c>
      <c r="G5954" s="4" t="str">
        <f>HYPERLINK("http://141.218.60.56/~jnz1568/getInfo.php?workbook=14_09.xlsx&amp;sheet=U0&amp;row=5954&amp;col=7&amp;number=0.00187&amp;sourceID=14","0.00187")</f>
        <v>0.00187</v>
      </c>
    </row>
    <row r="5955" spans="1:7">
      <c r="A5955" s="3"/>
      <c r="B5955" s="3"/>
      <c r="C5955" s="3"/>
      <c r="D5955" s="3"/>
      <c r="E5955" s="3">
        <v>12</v>
      </c>
      <c r="F5955" s="4" t="str">
        <f>HYPERLINK("http://141.218.60.56/~jnz1568/getInfo.php?workbook=14_09.xlsx&amp;sheet=U0&amp;row=5955&amp;col=6&amp;number=4.1&amp;sourceID=14","4.1")</f>
        <v>4.1</v>
      </c>
      <c r="G5955" s="4" t="str">
        <f>HYPERLINK("http://141.218.60.56/~jnz1568/getInfo.php?workbook=14_09.xlsx&amp;sheet=U0&amp;row=5955&amp;col=7&amp;number=0.00185&amp;sourceID=14","0.00185")</f>
        <v>0.00185</v>
      </c>
    </row>
    <row r="5956" spans="1:7">
      <c r="A5956" s="3"/>
      <c r="B5956" s="3"/>
      <c r="C5956" s="3"/>
      <c r="D5956" s="3"/>
      <c r="E5956" s="3">
        <v>13</v>
      </c>
      <c r="F5956" s="4" t="str">
        <f>HYPERLINK("http://141.218.60.56/~jnz1568/getInfo.php?workbook=14_09.xlsx&amp;sheet=U0&amp;row=5956&amp;col=6&amp;number=4.2&amp;sourceID=14","4.2")</f>
        <v>4.2</v>
      </c>
      <c r="G5956" s="4" t="str">
        <f>HYPERLINK("http://141.218.60.56/~jnz1568/getInfo.php?workbook=14_09.xlsx&amp;sheet=U0&amp;row=5956&amp;col=7&amp;number=0.00183&amp;sourceID=14","0.00183")</f>
        <v>0.00183</v>
      </c>
    </row>
    <row r="5957" spans="1:7">
      <c r="A5957" s="3"/>
      <c r="B5957" s="3"/>
      <c r="C5957" s="3"/>
      <c r="D5957" s="3"/>
      <c r="E5957" s="3">
        <v>14</v>
      </c>
      <c r="F5957" s="4" t="str">
        <f>HYPERLINK("http://141.218.60.56/~jnz1568/getInfo.php?workbook=14_09.xlsx&amp;sheet=U0&amp;row=5957&amp;col=6&amp;number=4.3&amp;sourceID=14","4.3")</f>
        <v>4.3</v>
      </c>
      <c r="G5957" s="4" t="str">
        <f>HYPERLINK("http://141.218.60.56/~jnz1568/getInfo.php?workbook=14_09.xlsx&amp;sheet=U0&amp;row=5957&amp;col=7&amp;number=0.0018&amp;sourceID=14","0.0018")</f>
        <v>0.0018</v>
      </c>
    </row>
    <row r="5958" spans="1:7">
      <c r="A5958" s="3"/>
      <c r="B5958" s="3"/>
      <c r="C5958" s="3"/>
      <c r="D5958" s="3"/>
      <c r="E5958" s="3">
        <v>15</v>
      </c>
      <c r="F5958" s="4" t="str">
        <f>HYPERLINK("http://141.218.60.56/~jnz1568/getInfo.php?workbook=14_09.xlsx&amp;sheet=U0&amp;row=5958&amp;col=6&amp;number=4.4&amp;sourceID=14","4.4")</f>
        <v>4.4</v>
      </c>
      <c r="G5958" s="4" t="str">
        <f>HYPERLINK("http://141.218.60.56/~jnz1568/getInfo.php?workbook=14_09.xlsx&amp;sheet=U0&amp;row=5958&amp;col=7&amp;number=0.00177&amp;sourceID=14","0.00177")</f>
        <v>0.00177</v>
      </c>
    </row>
    <row r="5959" spans="1:7">
      <c r="A5959" s="3"/>
      <c r="B5959" s="3"/>
      <c r="C5959" s="3"/>
      <c r="D5959" s="3"/>
      <c r="E5959" s="3">
        <v>16</v>
      </c>
      <c r="F5959" s="4" t="str">
        <f>HYPERLINK("http://141.218.60.56/~jnz1568/getInfo.php?workbook=14_09.xlsx&amp;sheet=U0&amp;row=5959&amp;col=6&amp;number=4.5&amp;sourceID=14","4.5")</f>
        <v>4.5</v>
      </c>
      <c r="G5959" s="4" t="str">
        <f>HYPERLINK("http://141.218.60.56/~jnz1568/getInfo.php?workbook=14_09.xlsx&amp;sheet=U0&amp;row=5959&amp;col=7&amp;number=0.00173&amp;sourceID=14","0.00173")</f>
        <v>0.00173</v>
      </c>
    </row>
    <row r="5960" spans="1:7">
      <c r="A5960" s="3"/>
      <c r="B5960" s="3"/>
      <c r="C5960" s="3"/>
      <c r="D5960" s="3"/>
      <c r="E5960" s="3">
        <v>17</v>
      </c>
      <c r="F5960" s="4" t="str">
        <f>HYPERLINK("http://141.218.60.56/~jnz1568/getInfo.php?workbook=14_09.xlsx&amp;sheet=U0&amp;row=5960&amp;col=6&amp;number=4.6&amp;sourceID=14","4.6")</f>
        <v>4.6</v>
      </c>
      <c r="G5960" s="4" t="str">
        <f>HYPERLINK("http://141.218.60.56/~jnz1568/getInfo.php?workbook=14_09.xlsx&amp;sheet=U0&amp;row=5960&amp;col=7&amp;number=0.00168&amp;sourceID=14","0.00168")</f>
        <v>0.00168</v>
      </c>
    </row>
    <row r="5961" spans="1:7">
      <c r="A5961" s="3"/>
      <c r="B5961" s="3"/>
      <c r="C5961" s="3"/>
      <c r="D5961" s="3"/>
      <c r="E5961" s="3">
        <v>18</v>
      </c>
      <c r="F5961" s="4" t="str">
        <f>HYPERLINK("http://141.218.60.56/~jnz1568/getInfo.php?workbook=14_09.xlsx&amp;sheet=U0&amp;row=5961&amp;col=6&amp;number=4.7&amp;sourceID=14","4.7")</f>
        <v>4.7</v>
      </c>
      <c r="G5961" s="4" t="str">
        <f>HYPERLINK("http://141.218.60.56/~jnz1568/getInfo.php?workbook=14_09.xlsx&amp;sheet=U0&amp;row=5961&amp;col=7&amp;number=0.00163&amp;sourceID=14","0.00163")</f>
        <v>0.00163</v>
      </c>
    </row>
    <row r="5962" spans="1:7">
      <c r="A5962" s="3"/>
      <c r="B5962" s="3"/>
      <c r="C5962" s="3"/>
      <c r="D5962" s="3"/>
      <c r="E5962" s="3">
        <v>19</v>
      </c>
      <c r="F5962" s="4" t="str">
        <f>HYPERLINK("http://141.218.60.56/~jnz1568/getInfo.php?workbook=14_09.xlsx&amp;sheet=U0&amp;row=5962&amp;col=6&amp;number=4.8&amp;sourceID=14","4.8")</f>
        <v>4.8</v>
      </c>
      <c r="G5962" s="4" t="str">
        <f>HYPERLINK("http://141.218.60.56/~jnz1568/getInfo.php?workbook=14_09.xlsx&amp;sheet=U0&amp;row=5962&amp;col=7&amp;number=0.00156&amp;sourceID=14","0.00156")</f>
        <v>0.00156</v>
      </c>
    </row>
    <row r="5963" spans="1:7">
      <c r="A5963" s="3"/>
      <c r="B5963" s="3"/>
      <c r="C5963" s="3"/>
      <c r="D5963" s="3"/>
      <c r="E5963" s="3">
        <v>20</v>
      </c>
      <c r="F5963" s="4" t="str">
        <f>HYPERLINK("http://141.218.60.56/~jnz1568/getInfo.php?workbook=14_09.xlsx&amp;sheet=U0&amp;row=5963&amp;col=6&amp;number=4.9&amp;sourceID=14","4.9")</f>
        <v>4.9</v>
      </c>
      <c r="G5963" s="4" t="str">
        <f>HYPERLINK("http://141.218.60.56/~jnz1568/getInfo.php?workbook=14_09.xlsx&amp;sheet=U0&amp;row=5963&amp;col=7&amp;number=0.00148&amp;sourceID=14","0.00148")</f>
        <v>0.00148</v>
      </c>
    </row>
    <row r="5964" spans="1:7">
      <c r="A5964" s="3">
        <v>14</v>
      </c>
      <c r="B5964" s="3">
        <v>9</v>
      </c>
      <c r="C5964" s="3">
        <v>2</v>
      </c>
      <c r="D5964" s="3">
        <v>107</v>
      </c>
      <c r="E5964" s="3">
        <v>1</v>
      </c>
      <c r="F5964" s="4" t="str">
        <f>HYPERLINK("http://141.218.60.56/~jnz1568/getInfo.php?workbook=14_09.xlsx&amp;sheet=U0&amp;row=5964&amp;col=6&amp;number=3&amp;sourceID=14","3")</f>
        <v>3</v>
      </c>
      <c r="G5964" s="4" t="str">
        <f>HYPERLINK("http://141.218.60.56/~jnz1568/getInfo.php?workbook=14_09.xlsx&amp;sheet=U0&amp;row=5964&amp;col=7&amp;number=0.00229&amp;sourceID=14","0.00229")</f>
        <v>0.00229</v>
      </c>
    </row>
    <row r="5965" spans="1:7">
      <c r="A5965" s="3"/>
      <c r="B5965" s="3"/>
      <c r="C5965" s="3"/>
      <c r="D5965" s="3"/>
      <c r="E5965" s="3">
        <v>2</v>
      </c>
      <c r="F5965" s="4" t="str">
        <f>HYPERLINK("http://141.218.60.56/~jnz1568/getInfo.php?workbook=14_09.xlsx&amp;sheet=U0&amp;row=5965&amp;col=6&amp;number=3.1&amp;sourceID=14","3.1")</f>
        <v>3.1</v>
      </c>
      <c r="G5965" s="4" t="str">
        <f>HYPERLINK("http://141.218.60.56/~jnz1568/getInfo.php?workbook=14_09.xlsx&amp;sheet=U0&amp;row=5965&amp;col=7&amp;number=0.00228&amp;sourceID=14","0.00228")</f>
        <v>0.00228</v>
      </c>
    </row>
    <row r="5966" spans="1:7">
      <c r="A5966" s="3"/>
      <c r="B5966" s="3"/>
      <c r="C5966" s="3"/>
      <c r="D5966" s="3"/>
      <c r="E5966" s="3">
        <v>3</v>
      </c>
      <c r="F5966" s="4" t="str">
        <f>HYPERLINK("http://141.218.60.56/~jnz1568/getInfo.php?workbook=14_09.xlsx&amp;sheet=U0&amp;row=5966&amp;col=6&amp;number=3.2&amp;sourceID=14","3.2")</f>
        <v>3.2</v>
      </c>
      <c r="G5966" s="4" t="str">
        <f>HYPERLINK("http://141.218.60.56/~jnz1568/getInfo.php?workbook=14_09.xlsx&amp;sheet=U0&amp;row=5966&amp;col=7&amp;number=0.00228&amp;sourceID=14","0.00228")</f>
        <v>0.00228</v>
      </c>
    </row>
    <row r="5967" spans="1:7">
      <c r="A5967" s="3"/>
      <c r="B5967" s="3"/>
      <c r="C5967" s="3"/>
      <c r="D5967" s="3"/>
      <c r="E5967" s="3">
        <v>4</v>
      </c>
      <c r="F5967" s="4" t="str">
        <f>HYPERLINK("http://141.218.60.56/~jnz1568/getInfo.php?workbook=14_09.xlsx&amp;sheet=U0&amp;row=5967&amp;col=6&amp;number=3.3&amp;sourceID=14","3.3")</f>
        <v>3.3</v>
      </c>
      <c r="G5967" s="4" t="str">
        <f>HYPERLINK("http://141.218.60.56/~jnz1568/getInfo.php?workbook=14_09.xlsx&amp;sheet=U0&amp;row=5967&amp;col=7&amp;number=0.00227&amp;sourceID=14","0.00227")</f>
        <v>0.00227</v>
      </c>
    </row>
    <row r="5968" spans="1:7">
      <c r="A5968" s="3"/>
      <c r="B5968" s="3"/>
      <c r="C5968" s="3"/>
      <c r="D5968" s="3"/>
      <c r="E5968" s="3">
        <v>5</v>
      </c>
      <c r="F5968" s="4" t="str">
        <f>HYPERLINK("http://141.218.60.56/~jnz1568/getInfo.php?workbook=14_09.xlsx&amp;sheet=U0&amp;row=5968&amp;col=6&amp;number=3.4&amp;sourceID=14","3.4")</f>
        <v>3.4</v>
      </c>
      <c r="G5968" s="4" t="str">
        <f>HYPERLINK("http://141.218.60.56/~jnz1568/getInfo.php?workbook=14_09.xlsx&amp;sheet=U0&amp;row=5968&amp;col=7&amp;number=0.00226&amp;sourceID=14","0.00226")</f>
        <v>0.00226</v>
      </c>
    </row>
    <row r="5969" spans="1:7">
      <c r="A5969" s="3"/>
      <c r="B5969" s="3"/>
      <c r="C5969" s="3"/>
      <c r="D5969" s="3"/>
      <c r="E5969" s="3">
        <v>6</v>
      </c>
      <c r="F5969" s="4" t="str">
        <f>HYPERLINK("http://141.218.60.56/~jnz1568/getInfo.php?workbook=14_09.xlsx&amp;sheet=U0&amp;row=5969&amp;col=6&amp;number=3.5&amp;sourceID=14","3.5")</f>
        <v>3.5</v>
      </c>
      <c r="G5969" s="4" t="str">
        <f>HYPERLINK("http://141.218.60.56/~jnz1568/getInfo.php?workbook=14_09.xlsx&amp;sheet=U0&amp;row=5969&amp;col=7&amp;number=0.00225&amp;sourceID=14","0.00225")</f>
        <v>0.00225</v>
      </c>
    </row>
    <row r="5970" spans="1:7">
      <c r="A5970" s="3"/>
      <c r="B5970" s="3"/>
      <c r="C5970" s="3"/>
      <c r="D5970" s="3"/>
      <c r="E5970" s="3">
        <v>7</v>
      </c>
      <c r="F5970" s="4" t="str">
        <f>HYPERLINK("http://141.218.60.56/~jnz1568/getInfo.php?workbook=14_09.xlsx&amp;sheet=U0&amp;row=5970&amp;col=6&amp;number=3.6&amp;sourceID=14","3.6")</f>
        <v>3.6</v>
      </c>
      <c r="G5970" s="4" t="str">
        <f>HYPERLINK("http://141.218.60.56/~jnz1568/getInfo.php?workbook=14_09.xlsx&amp;sheet=U0&amp;row=5970&amp;col=7&amp;number=0.00224&amp;sourceID=14","0.00224")</f>
        <v>0.00224</v>
      </c>
    </row>
    <row r="5971" spans="1:7">
      <c r="A5971" s="3"/>
      <c r="B5971" s="3"/>
      <c r="C5971" s="3"/>
      <c r="D5971" s="3"/>
      <c r="E5971" s="3">
        <v>8</v>
      </c>
      <c r="F5971" s="4" t="str">
        <f>HYPERLINK("http://141.218.60.56/~jnz1568/getInfo.php?workbook=14_09.xlsx&amp;sheet=U0&amp;row=5971&amp;col=6&amp;number=3.7&amp;sourceID=14","3.7")</f>
        <v>3.7</v>
      </c>
      <c r="G5971" s="4" t="str">
        <f>HYPERLINK("http://141.218.60.56/~jnz1568/getInfo.php?workbook=14_09.xlsx&amp;sheet=U0&amp;row=5971&amp;col=7&amp;number=0.00222&amp;sourceID=14","0.00222")</f>
        <v>0.00222</v>
      </c>
    </row>
    <row r="5972" spans="1:7">
      <c r="A5972" s="3"/>
      <c r="B5972" s="3"/>
      <c r="C5972" s="3"/>
      <c r="D5972" s="3"/>
      <c r="E5972" s="3">
        <v>9</v>
      </c>
      <c r="F5972" s="4" t="str">
        <f>HYPERLINK("http://141.218.60.56/~jnz1568/getInfo.php?workbook=14_09.xlsx&amp;sheet=U0&amp;row=5972&amp;col=6&amp;number=3.8&amp;sourceID=14","3.8")</f>
        <v>3.8</v>
      </c>
      <c r="G5972" s="4" t="str">
        <f>HYPERLINK("http://141.218.60.56/~jnz1568/getInfo.php?workbook=14_09.xlsx&amp;sheet=U0&amp;row=5972&amp;col=7&amp;number=0.0022&amp;sourceID=14","0.0022")</f>
        <v>0.0022</v>
      </c>
    </row>
    <row r="5973" spans="1:7">
      <c r="A5973" s="3"/>
      <c r="B5973" s="3"/>
      <c r="C5973" s="3"/>
      <c r="D5973" s="3"/>
      <c r="E5973" s="3">
        <v>10</v>
      </c>
      <c r="F5973" s="4" t="str">
        <f>HYPERLINK("http://141.218.60.56/~jnz1568/getInfo.php?workbook=14_09.xlsx&amp;sheet=U0&amp;row=5973&amp;col=6&amp;number=3.9&amp;sourceID=14","3.9")</f>
        <v>3.9</v>
      </c>
      <c r="G5973" s="4" t="str">
        <f>HYPERLINK("http://141.218.60.56/~jnz1568/getInfo.php?workbook=14_09.xlsx&amp;sheet=U0&amp;row=5973&amp;col=7&amp;number=0.00218&amp;sourceID=14","0.00218")</f>
        <v>0.00218</v>
      </c>
    </row>
    <row r="5974" spans="1:7">
      <c r="A5974" s="3"/>
      <c r="B5974" s="3"/>
      <c r="C5974" s="3"/>
      <c r="D5974" s="3"/>
      <c r="E5974" s="3">
        <v>11</v>
      </c>
      <c r="F5974" s="4" t="str">
        <f>HYPERLINK("http://141.218.60.56/~jnz1568/getInfo.php?workbook=14_09.xlsx&amp;sheet=U0&amp;row=5974&amp;col=6&amp;number=4&amp;sourceID=14","4")</f>
        <v>4</v>
      </c>
      <c r="G5974" s="4" t="str">
        <f>HYPERLINK("http://141.218.60.56/~jnz1568/getInfo.php?workbook=14_09.xlsx&amp;sheet=U0&amp;row=5974&amp;col=7&amp;number=0.00215&amp;sourceID=14","0.00215")</f>
        <v>0.00215</v>
      </c>
    </row>
    <row r="5975" spans="1:7">
      <c r="A5975" s="3"/>
      <c r="B5975" s="3"/>
      <c r="C5975" s="3"/>
      <c r="D5975" s="3"/>
      <c r="E5975" s="3">
        <v>12</v>
      </c>
      <c r="F5975" s="4" t="str">
        <f>HYPERLINK("http://141.218.60.56/~jnz1568/getInfo.php?workbook=14_09.xlsx&amp;sheet=U0&amp;row=5975&amp;col=6&amp;number=4.1&amp;sourceID=14","4.1")</f>
        <v>4.1</v>
      </c>
      <c r="G5975" s="4" t="str">
        <f>HYPERLINK("http://141.218.60.56/~jnz1568/getInfo.php?workbook=14_09.xlsx&amp;sheet=U0&amp;row=5975&amp;col=7&amp;number=0.00211&amp;sourceID=14","0.00211")</f>
        <v>0.00211</v>
      </c>
    </row>
    <row r="5976" spans="1:7">
      <c r="A5976" s="3"/>
      <c r="B5976" s="3"/>
      <c r="C5976" s="3"/>
      <c r="D5976" s="3"/>
      <c r="E5976" s="3">
        <v>13</v>
      </c>
      <c r="F5976" s="4" t="str">
        <f>HYPERLINK("http://141.218.60.56/~jnz1568/getInfo.php?workbook=14_09.xlsx&amp;sheet=U0&amp;row=5976&amp;col=6&amp;number=4.2&amp;sourceID=14","4.2")</f>
        <v>4.2</v>
      </c>
      <c r="G5976" s="4" t="str">
        <f>HYPERLINK("http://141.218.60.56/~jnz1568/getInfo.php?workbook=14_09.xlsx&amp;sheet=U0&amp;row=5976&amp;col=7&amp;number=0.00206&amp;sourceID=14","0.00206")</f>
        <v>0.00206</v>
      </c>
    </row>
    <row r="5977" spans="1:7">
      <c r="A5977" s="3"/>
      <c r="B5977" s="3"/>
      <c r="C5977" s="3"/>
      <c r="D5977" s="3"/>
      <c r="E5977" s="3">
        <v>14</v>
      </c>
      <c r="F5977" s="4" t="str">
        <f>HYPERLINK("http://141.218.60.56/~jnz1568/getInfo.php?workbook=14_09.xlsx&amp;sheet=U0&amp;row=5977&amp;col=6&amp;number=4.3&amp;sourceID=14","4.3")</f>
        <v>4.3</v>
      </c>
      <c r="G5977" s="4" t="str">
        <f>HYPERLINK("http://141.218.60.56/~jnz1568/getInfo.php?workbook=14_09.xlsx&amp;sheet=U0&amp;row=5977&amp;col=7&amp;number=0.00201&amp;sourceID=14","0.00201")</f>
        <v>0.00201</v>
      </c>
    </row>
    <row r="5978" spans="1:7">
      <c r="A5978" s="3"/>
      <c r="B5978" s="3"/>
      <c r="C5978" s="3"/>
      <c r="D5978" s="3"/>
      <c r="E5978" s="3">
        <v>15</v>
      </c>
      <c r="F5978" s="4" t="str">
        <f>HYPERLINK("http://141.218.60.56/~jnz1568/getInfo.php?workbook=14_09.xlsx&amp;sheet=U0&amp;row=5978&amp;col=6&amp;number=4.4&amp;sourceID=14","4.4")</f>
        <v>4.4</v>
      </c>
      <c r="G5978" s="4" t="str">
        <f>HYPERLINK("http://141.218.60.56/~jnz1568/getInfo.php?workbook=14_09.xlsx&amp;sheet=U0&amp;row=5978&amp;col=7&amp;number=0.00193&amp;sourceID=14","0.00193")</f>
        <v>0.00193</v>
      </c>
    </row>
    <row r="5979" spans="1:7">
      <c r="A5979" s="3"/>
      <c r="B5979" s="3"/>
      <c r="C5979" s="3"/>
      <c r="D5979" s="3"/>
      <c r="E5979" s="3">
        <v>16</v>
      </c>
      <c r="F5979" s="4" t="str">
        <f>HYPERLINK("http://141.218.60.56/~jnz1568/getInfo.php?workbook=14_09.xlsx&amp;sheet=U0&amp;row=5979&amp;col=6&amp;number=4.5&amp;sourceID=14","4.5")</f>
        <v>4.5</v>
      </c>
      <c r="G5979" s="4" t="str">
        <f>HYPERLINK("http://141.218.60.56/~jnz1568/getInfo.php?workbook=14_09.xlsx&amp;sheet=U0&amp;row=5979&amp;col=7&amp;number=0.00185&amp;sourceID=14","0.00185")</f>
        <v>0.00185</v>
      </c>
    </row>
    <row r="5980" spans="1:7">
      <c r="A5980" s="3"/>
      <c r="B5980" s="3"/>
      <c r="C5980" s="3"/>
      <c r="D5980" s="3"/>
      <c r="E5980" s="3">
        <v>17</v>
      </c>
      <c r="F5980" s="4" t="str">
        <f>HYPERLINK("http://141.218.60.56/~jnz1568/getInfo.php?workbook=14_09.xlsx&amp;sheet=U0&amp;row=5980&amp;col=6&amp;number=4.6&amp;sourceID=14","4.6")</f>
        <v>4.6</v>
      </c>
      <c r="G5980" s="4" t="str">
        <f>HYPERLINK("http://141.218.60.56/~jnz1568/getInfo.php?workbook=14_09.xlsx&amp;sheet=U0&amp;row=5980&amp;col=7&amp;number=0.00174&amp;sourceID=14","0.00174")</f>
        <v>0.00174</v>
      </c>
    </row>
    <row r="5981" spans="1:7">
      <c r="A5981" s="3"/>
      <c r="B5981" s="3"/>
      <c r="C5981" s="3"/>
      <c r="D5981" s="3"/>
      <c r="E5981" s="3">
        <v>18</v>
      </c>
      <c r="F5981" s="4" t="str">
        <f>HYPERLINK("http://141.218.60.56/~jnz1568/getInfo.php?workbook=14_09.xlsx&amp;sheet=U0&amp;row=5981&amp;col=6&amp;number=4.7&amp;sourceID=14","4.7")</f>
        <v>4.7</v>
      </c>
      <c r="G5981" s="4" t="str">
        <f>HYPERLINK("http://141.218.60.56/~jnz1568/getInfo.php?workbook=14_09.xlsx&amp;sheet=U0&amp;row=5981&amp;col=7&amp;number=0.00162&amp;sourceID=14","0.00162")</f>
        <v>0.00162</v>
      </c>
    </row>
    <row r="5982" spans="1:7">
      <c r="A5982" s="3"/>
      <c r="B5982" s="3"/>
      <c r="C5982" s="3"/>
      <c r="D5982" s="3"/>
      <c r="E5982" s="3">
        <v>19</v>
      </c>
      <c r="F5982" s="4" t="str">
        <f>HYPERLINK("http://141.218.60.56/~jnz1568/getInfo.php?workbook=14_09.xlsx&amp;sheet=U0&amp;row=5982&amp;col=6&amp;number=4.8&amp;sourceID=14","4.8")</f>
        <v>4.8</v>
      </c>
      <c r="G5982" s="4" t="str">
        <f>HYPERLINK("http://141.218.60.56/~jnz1568/getInfo.php?workbook=14_09.xlsx&amp;sheet=U0&amp;row=5982&amp;col=7&amp;number=0.00149&amp;sourceID=14","0.00149")</f>
        <v>0.00149</v>
      </c>
    </row>
    <row r="5983" spans="1:7">
      <c r="A5983" s="3"/>
      <c r="B5983" s="3"/>
      <c r="C5983" s="3"/>
      <c r="D5983" s="3"/>
      <c r="E5983" s="3">
        <v>20</v>
      </c>
      <c r="F5983" s="4" t="str">
        <f>HYPERLINK("http://141.218.60.56/~jnz1568/getInfo.php?workbook=14_09.xlsx&amp;sheet=U0&amp;row=5983&amp;col=6&amp;number=4.9&amp;sourceID=14","4.9")</f>
        <v>4.9</v>
      </c>
      <c r="G5983" s="4" t="str">
        <f>HYPERLINK("http://141.218.60.56/~jnz1568/getInfo.php?workbook=14_09.xlsx&amp;sheet=U0&amp;row=5983&amp;col=7&amp;number=0.00135&amp;sourceID=14","0.00135")</f>
        <v>0.00135</v>
      </c>
    </row>
    <row r="5984" spans="1:7">
      <c r="A5984" s="3">
        <v>14</v>
      </c>
      <c r="B5984" s="3">
        <v>9</v>
      </c>
      <c r="C5984" s="3">
        <v>2</v>
      </c>
      <c r="D5984" s="3">
        <v>108</v>
      </c>
      <c r="E5984" s="3">
        <v>1</v>
      </c>
      <c r="F5984" s="4" t="str">
        <f>HYPERLINK("http://141.218.60.56/~jnz1568/getInfo.php?workbook=14_09.xlsx&amp;sheet=U0&amp;row=5984&amp;col=6&amp;number=3&amp;sourceID=14","3")</f>
        <v>3</v>
      </c>
      <c r="G5984" s="4" t="str">
        <f>HYPERLINK("http://141.218.60.56/~jnz1568/getInfo.php?workbook=14_09.xlsx&amp;sheet=U0&amp;row=5984&amp;col=7&amp;number=0.00154&amp;sourceID=14","0.00154")</f>
        <v>0.00154</v>
      </c>
    </row>
    <row r="5985" spans="1:7">
      <c r="A5985" s="3"/>
      <c r="B5985" s="3"/>
      <c r="C5985" s="3"/>
      <c r="D5985" s="3"/>
      <c r="E5985" s="3">
        <v>2</v>
      </c>
      <c r="F5985" s="4" t="str">
        <f>HYPERLINK("http://141.218.60.56/~jnz1568/getInfo.php?workbook=14_09.xlsx&amp;sheet=U0&amp;row=5985&amp;col=6&amp;number=3.1&amp;sourceID=14","3.1")</f>
        <v>3.1</v>
      </c>
      <c r="G5985" s="4" t="str">
        <f>HYPERLINK("http://141.218.60.56/~jnz1568/getInfo.php?workbook=14_09.xlsx&amp;sheet=U0&amp;row=5985&amp;col=7&amp;number=0.00154&amp;sourceID=14","0.00154")</f>
        <v>0.00154</v>
      </c>
    </row>
    <row r="5986" spans="1:7">
      <c r="A5986" s="3"/>
      <c r="B5986" s="3"/>
      <c r="C5986" s="3"/>
      <c r="D5986" s="3"/>
      <c r="E5986" s="3">
        <v>3</v>
      </c>
      <c r="F5986" s="4" t="str">
        <f>HYPERLINK("http://141.218.60.56/~jnz1568/getInfo.php?workbook=14_09.xlsx&amp;sheet=U0&amp;row=5986&amp;col=6&amp;number=3.2&amp;sourceID=14","3.2")</f>
        <v>3.2</v>
      </c>
      <c r="G5986" s="4" t="str">
        <f>HYPERLINK("http://141.218.60.56/~jnz1568/getInfo.php?workbook=14_09.xlsx&amp;sheet=U0&amp;row=5986&amp;col=7&amp;number=0.00153&amp;sourceID=14","0.00153")</f>
        <v>0.00153</v>
      </c>
    </row>
    <row r="5987" spans="1:7">
      <c r="A5987" s="3"/>
      <c r="B5987" s="3"/>
      <c r="C5987" s="3"/>
      <c r="D5987" s="3"/>
      <c r="E5987" s="3">
        <v>4</v>
      </c>
      <c r="F5987" s="4" t="str">
        <f>HYPERLINK("http://141.218.60.56/~jnz1568/getInfo.php?workbook=14_09.xlsx&amp;sheet=U0&amp;row=5987&amp;col=6&amp;number=3.3&amp;sourceID=14","3.3")</f>
        <v>3.3</v>
      </c>
      <c r="G5987" s="4" t="str">
        <f>HYPERLINK("http://141.218.60.56/~jnz1568/getInfo.php?workbook=14_09.xlsx&amp;sheet=U0&amp;row=5987&amp;col=7&amp;number=0.00153&amp;sourceID=14","0.00153")</f>
        <v>0.00153</v>
      </c>
    </row>
    <row r="5988" spans="1:7">
      <c r="A5988" s="3"/>
      <c r="B5988" s="3"/>
      <c r="C5988" s="3"/>
      <c r="D5988" s="3"/>
      <c r="E5988" s="3">
        <v>5</v>
      </c>
      <c r="F5988" s="4" t="str">
        <f>HYPERLINK("http://141.218.60.56/~jnz1568/getInfo.php?workbook=14_09.xlsx&amp;sheet=U0&amp;row=5988&amp;col=6&amp;number=3.4&amp;sourceID=14","3.4")</f>
        <v>3.4</v>
      </c>
      <c r="G5988" s="4" t="str">
        <f>HYPERLINK("http://141.218.60.56/~jnz1568/getInfo.php?workbook=14_09.xlsx&amp;sheet=U0&amp;row=5988&amp;col=7&amp;number=0.00152&amp;sourceID=14","0.00152")</f>
        <v>0.00152</v>
      </c>
    </row>
    <row r="5989" spans="1:7">
      <c r="A5989" s="3"/>
      <c r="B5989" s="3"/>
      <c r="C5989" s="3"/>
      <c r="D5989" s="3"/>
      <c r="E5989" s="3">
        <v>6</v>
      </c>
      <c r="F5989" s="4" t="str">
        <f>HYPERLINK("http://141.218.60.56/~jnz1568/getInfo.php?workbook=14_09.xlsx&amp;sheet=U0&amp;row=5989&amp;col=6&amp;number=3.5&amp;sourceID=14","3.5")</f>
        <v>3.5</v>
      </c>
      <c r="G5989" s="4" t="str">
        <f>HYPERLINK("http://141.218.60.56/~jnz1568/getInfo.php?workbook=14_09.xlsx&amp;sheet=U0&amp;row=5989&amp;col=7&amp;number=0.00152&amp;sourceID=14","0.00152")</f>
        <v>0.00152</v>
      </c>
    </row>
    <row r="5990" spans="1:7">
      <c r="A5990" s="3"/>
      <c r="B5990" s="3"/>
      <c r="C5990" s="3"/>
      <c r="D5990" s="3"/>
      <c r="E5990" s="3">
        <v>7</v>
      </c>
      <c r="F5990" s="4" t="str">
        <f>HYPERLINK("http://141.218.60.56/~jnz1568/getInfo.php?workbook=14_09.xlsx&amp;sheet=U0&amp;row=5990&amp;col=6&amp;number=3.6&amp;sourceID=14","3.6")</f>
        <v>3.6</v>
      </c>
      <c r="G5990" s="4" t="str">
        <f>HYPERLINK("http://141.218.60.56/~jnz1568/getInfo.php?workbook=14_09.xlsx&amp;sheet=U0&amp;row=5990&amp;col=7&amp;number=0.00151&amp;sourceID=14","0.00151")</f>
        <v>0.00151</v>
      </c>
    </row>
    <row r="5991" spans="1:7">
      <c r="A5991" s="3"/>
      <c r="B5991" s="3"/>
      <c r="C5991" s="3"/>
      <c r="D5991" s="3"/>
      <c r="E5991" s="3">
        <v>8</v>
      </c>
      <c r="F5991" s="4" t="str">
        <f>HYPERLINK("http://141.218.60.56/~jnz1568/getInfo.php?workbook=14_09.xlsx&amp;sheet=U0&amp;row=5991&amp;col=6&amp;number=3.7&amp;sourceID=14","3.7")</f>
        <v>3.7</v>
      </c>
      <c r="G5991" s="4" t="str">
        <f>HYPERLINK("http://141.218.60.56/~jnz1568/getInfo.php?workbook=14_09.xlsx&amp;sheet=U0&amp;row=5991&amp;col=7&amp;number=0.0015&amp;sourceID=14","0.0015")</f>
        <v>0.0015</v>
      </c>
    </row>
    <row r="5992" spans="1:7">
      <c r="A5992" s="3"/>
      <c r="B5992" s="3"/>
      <c r="C5992" s="3"/>
      <c r="D5992" s="3"/>
      <c r="E5992" s="3">
        <v>9</v>
      </c>
      <c r="F5992" s="4" t="str">
        <f>HYPERLINK("http://141.218.60.56/~jnz1568/getInfo.php?workbook=14_09.xlsx&amp;sheet=U0&amp;row=5992&amp;col=6&amp;number=3.8&amp;sourceID=14","3.8")</f>
        <v>3.8</v>
      </c>
      <c r="G5992" s="4" t="str">
        <f>HYPERLINK("http://141.218.60.56/~jnz1568/getInfo.php?workbook=14_09.xlsx&amp;sheet=U0&amp;row=5992&amp;col=7&amp;number=0.00148&amp;sourceID=14","0.00148")</f>
        <v>0.00148</v>
      </c>
    </row>
    <row r="5993" spans="1:7">
      <c r="A5993" s="3"/>
      <c r="B5993" s="3"/>
      <c r="C5993" s="3"/>
      <c r="D5993" s="3"/>
      <c r="E5993" s="3">
        <v>10</v>
      </c>
      <c r="F5993" s="4" t="str">
        <f>HYPERLINK("http://141.218.60.56/~jnz1568/getInfo.php?workbook=14_09.xlsx&amp;sheet=U0&amp;row=5993&amp;col=6&amp;number=3.9&amp;sourceID=14","3.9")</f>
        <v>3.9</v>
      </c>
      <c r="G5993" s="4" t="str">
        <f>HYPERLINK("http://141.218.60.56/~jnz1568/getInfo.php?workbook=14_09.xlsx&amp;sheet=U0&amp;row=5993&amp;col=7&amp;number=0.00147&amp;sourceID=14","0.00147")</f>
        <v>0.00147</v>
      </c>
    </row>
    <row r="5994" spans="1:7">
      <c r="A5994" s="3"/>
      <c r="B5994" s="3"/>
      <c r="C5994" s="3"/>
      <c r="D5994" s="3"/>
      <c r="E5994" s="3">
        <v>11</v>
      </c>
      <c r="F5994" s="4" t="str">
        <f>HYPERLINK("http://141.218.60.56/~jnz1568/getInfo.php?workbook=14_09.xlsx&amp;sheet=U0&amp;row=5994&amp;col=6&amp;number=4&amp;sourceID=14","4")</f>
        <v>4</v>
      </c>
      <c r="G5994" s="4" t="str">
        <f>HYPERLINK("http://141.218.60.56/~jnz1568/getInfo.php?workbook=14_09.xlsx&amp;sheet=U0&amp;row=5994&amp;col=7&amp;number=0.00145&amp;sourceID=14","0.00145")</f>
        <v>0.00145</v>
      </c>
    </row>
    <row r="5995" spans="1:7">
      <c r="A5995" s="3"/>
      <c r="B5995" s="3"/>
      <c r="C5995" s="3"/>
      <c r="D5995" s="3"/>
      <c r="E5995" s="3">
        <v>12</v>
      </c>
      <c r="F5995" s="4" t="str">
        <f>HYPERLINK("http://141.218.60.56/~jnz1568/getInfo.php?workbook=14_09.xlsx&amp;sheet=U0&amp;row=5995&amp;col=6&amp;number=4.1&amp;sourceID=14","4.1")</f>
        <v>4.1</v>
      </c>
      <c r="G5995" s="4" t="str">
        <f>HYPERLINK("http://141.218.60.56/~jnz1568/getInfo.php?workbook=14_09.xlsx&amp;sheet=U0&amp;row=5995&amp;col=7&amp;number=0.00142&amp;sourceID=14","0.00142")</f>
        <v>0.00142</v>
      </c>
    </row>
    <row r="5996" spans="1:7">
      <c r="A5996" s="3"/>
      <c r="B5996" s="3"/>
      <c r="C5996" s="3"/>
      <c r="D5996" s="3"/>
      <c r="E5996" s="3">
        <v>13</v>
      </c>
      <c r="F5996" s="4" t="str">
        <f>HYPERLINK("http://141.218.60.56/~jnz1568/getInfo.php?workbook=14_09.xlsx&amp;sheet=U0&amp;row=5996&amp;col=6&amp;number=4.2&amp;sourceID=14","4.2")</f>
        <v>4.2</v>
      </c>
      <c r="G5996" s="4" t="str">
        <f>HYPERLINK("http://141.218.60.56/~jnz1568/getInfo.php?workbook=14_09.xlsx&amp;sheet=U0&amp;row=5996&amp;col=7&amp;number=0.0014&amp;sourceID=14","0.0014")</f>
        <v>0.0014</v>
      </c>
    </row>
    <row r="5997" spans="1:7">
      <c r="A5997" s="3"/>
      <c r="B5997" s="3"/>
      <c r="C5997" s="3"/>
      <c r="D5997" s="3"/>
      <c r="E5997" s="3">
        <v>14</v>
      </c>
      <c r="F5997" s="4" t="str">
        <f>HYPERLINK("http://141.218.60.56/~jnz1568/getInfo.php?workbook=14_09.xlsx&amp;sheet=U0&amp;row=5997&amp;col=6&amp;number=4.3&amp;sourceID=14","4.3")</f>
        <v>4.3</v>
      </c>
      <c r="G5997" s="4" t="str">
        <f>HYPERLINK("http://141.218.60.56/~jnz1568/getInfo.php?workbook=14_09.xlsx&amp;sheet=U0&amp;row=5997&amp;col=7&amp;number=0.00136&amp;sourceID=14","0.00136")</f>
        <v>0.00136</v>
      </c>
    </row>
    <row r="5998" spans="1:7">
      <c r="A5998" s="3"/>
      <c r="B5998" s="3"/>
      <c r="C5998" s="3"/>
      <c r="D5998" s="3"/>
      <c r="E5998" s="3">
        <v>15</v>
      </c>
      <c r="F5998" s="4" t="str">
        <f>HYPERLINK("http://141.218.60.56/~jnz1568/getInfo.php?workbook=14_09.xlsx&amp;sheet=U0&amp;row=5998&amp;col=6&amp;number=4.4&amp;sourceID=14","4.4")</f>
        <v>4.4</v>
      </c>
      <c r="G5998" s="4" t="str">
        <f>HYPERLINK("http://141.218.60.56/~jnz1568/getInfo.php?workbook=14_09.xlsx&amp;sheet=U0&amp;row=5998&amp;col=7&amp;number=0.00133&amp;sourceID=14","0.00133")</f>
        <v>0.00133</v>
      </c>
    </row>
    <row r="5999" spans="1:7">
      <c r="A5999" s="3"/>
      <c r="B5999" s="3"/>
      <c r="C5999" s="3"/>
      <c r="D5999" s="3"/>
      <c r="E5999" s="3">
        <v>16</v>
      </c>
      <c r="F5999" s="4" t="str">
        <f>HYPERLINK("http://141.218.60.56/~jnz1568/getInfo.php?workbook=14_09.xlsx&amp;sheet=U0&amp;row=5999&amp;col=6&amp;number=4.5&amp;sourceID=14","4.5")</f>
        <v>4.5</v>
      </c>
      <c r="G5999" s="4" t="str">
        <f>HYPERLINK("http://141.218.60.56/~jnz1568/getInfo.php?workbook=14_09.xlsx&amp;sheet=U0&amp;row=5999&amp;col=7&amp;number=0.00129&amp;sourceID=14","0.00129")</f>
        <v>0.00129</v>
      </c>
    </row>
    <row r="6000" spans="1:7">
      <c r="A6000" s="3"/>
      <c r="B6000" s="3"/>
      <c r="C6000" s="3"/>
      <c r="D6000" s="3"/>
      <c r="E6000" s="3">
        <v>17</v>
      </c>
      <c r="F6000" s="4" t="str">
        <f>HYPERLINK("http://141.218.60.56/~jnz1568/getInfo.php?workbook=14_09.xlsx&amp;sheet=U0&amp;row=6000&amp;col=6&amp;number=4.6&amp;sourceID=14","4.6")</f>
        <v>4.6</v>
      </c>
      <c r="G6000" s="4" t="str">
        <f>HYPERLINK("http://141.218.60.56/~jnz1568/getInfo.php?workbook=14_09.xlsx&amp;sheet=U0&amp;row=6000&amp;col=7&amp;number=0.00126&amp;sourceID=14","0.00126")</f>
        <v>0.00126</v>
      </c>
    </row>
    <row r="6001" spans="1:7">
      <c r="A6001" s="3"/>
      <c r="B6001" s="3"/>
      <c r="C6001" s="3"/>
      <c r="D6001" s="3"/>
      <c r="E6001" s="3">
        <v>18</v>
      </c>
      <c r="F6001" s="4" t="str">
        <f>HYPERLINK("http://141.218.60.56/~jnz1568/getInfo.php?workbook=14_09.xlsx&amp;sheet=U0&amp;row=6001&amp;col=6&amp;number=4.7&amp;sourceID=14","4.7")</f>
        <v>4.7</v>
      </c>
      <c r="G6001" s="4" t="str">
        <f>HYPERLINK("http://141.218.60.56/~jnz1568/getInfo.php?workbook=14_09.xlsx&amp;sheet=U0&amp;row=6001&amp;col=7&amp;number=0.00122&amp;sourceID=14","0.00122")</f>
        <v>0.00122</v>
      </c>
    </row>
    <row r="6002" spans="1:7">
      <c r="A6002" s="3"/>
      <c r="B6002" s="3"/>
      <c r="C6002" s="3"/>
      <c r="D6002" s="3"/>
      <c r="E6002" s="3">
        <v>19</v>
      </c>
      <c r="F6002" s="4" t="str">
        <f>HYPERLINK("http://141.218.60.56/~jnz1568/getInfo.php?workbook=14_09.xlsx&amp;sheet=U0&amp;row=6002&amp;col=6&amp;number=4.8&amp;sourceID=14","4.8")</f>
        <v>4.8</v>
      </c>
      <c r="G6002" s="4" t="str">
        <f>HYPERLINK("http://141.218.60.56/~jnz1568/getInfo.php?workbook=14_09.xlsx&amp;sheet=U0&amp;row=6002&amp;col=7&amp;number=0.00119&amp;sourceID=14","0.00119")</f>
        <v>0.00119</v>
      </c>
    </row>
    <row r="6003" spans="1:7">
      <c r="A6003" s="3"/>
      <c r="B6003" s="3"/>
      <c r="C6003" s="3"/>
      <c r="D6003" s="3"/>
      <c r="E6003" s="3">
        <v>20</v>
      </c>
      <c r="F6003" s="4" t="str">
        <f>HYPERLINK("http://141.218.60.56/~jnz1568/getInfo.php?workbook=14_09.xlsx&amp;sheet=U0&amp;row=6003&amp;col=6&amp;number=4.9&amp;sourceID=14","4.9")</f>
        <v>4.9</v>
      </c>
      <c r="G6003" s="4" t="str">
        <f>HYPERLINK("http://141.218.60.56/~jnz1568/getInfo.php?workbook=14_09.xlsx&amp;sheet=U0&amp;row=6003&amp;col=7&amp;number=0.00115&amp;sourceID=14","0.00115")</f>
        <v>0.00115</v>
      </c>
    </row>
    <row r="6004" spans="1:7">
      <c r="A6004" s="3">
        <v>14</v>
      </c>
      <c r="B6004" s="3">
        <v>9</v>
      </c>
      <c r="C6004" s="3">
        <v>2</v>
      </c>
      <c r="D6004" s="3">
        <v>109</v>
      </c>
      <c r="E6004" s="3">
        <v>1</v>
      </c>
      <c r="F6004" s="4" t="str">
        <f>HYPERLINK("http://141.218.60.56/~jnz1568/getInfo.php?workbook=14_09.xlsx&amp;sheet=U0&amp;row=6004&amp;col=6&amp;number=3&amp;sourceID=14","3")</f>
        <v>3</v>
      </c>
      <c r="G6004" s="4" t="str">
        <f>HYPERLINK("http://141.218.60.56/~jnz1568/getInfo.php?workbook=14_09.xlsx&amp;sheet=U0&amp;row=6004&amp;col=7&amp;number=0.00408&amp;sourceID=14","0.00408")</f>
        <v>0.00408</v>
      </c>
    </row>
    <row r="6005" spans="1:7">
      <c r="A6005" s="3"/>
      <c r="B6005" s="3"/>
      <c r="C6005" s="3"/>
      <c r="D6005" s="3"/>
      <c r="E6005" s="3">
        <v>2</v>
      </c>
      <c r="F6005" s="4" t="str">
        <f>HYPERLINK("http://141.218.60.56/~jnz1568/getInfo.php?workbook=14_09.xlsx&amp;sheet=U0&amp;row=6005&amp;col=6&amp;number=3.1&amp;sourceID=14","3.1")</f>
        <v>3.1</v>
      </c>
      <c r="G6005" s="4" t="str">
        <f>HYPERLINK("http://141.218.60.56/~jnz1568/getInfo.php?workbook=14_09.xlsx&amp;sheet=U0&amp;row=6005&amp;col=7&amp;number=0.00408&amp;sourceID=14","0.00408")</f>
        <v>0.00408</v>
      </c>
    </row>
    <row r="6006" spans="1:7">
      <c r="A6006" s="3"/>
      <c r="B6006" s="3"/>
      <c r="C6006" s="3"/>
      <c r="D6006" s="3"/>
      <c r="E6006" s="3">
        <v>3</v>
      </c>
      <c r="F6006" s="4" t="str">
        <f>HYPERLINK("http://141.218.60.56/~jnz1568/getInfo.php?workbook=14_09.xlsx&amp;sheet=U0&amp;row=6006&amp;col=6&amp;number=3.2&amp;sourceID=14","3.2")</f>
        <v>3.2</v>
      </c>
      <c r="G6006" s="4" t="str">
        <f>HYPERLINK("http://141.218.60.56/~jnz1568/getInfo.php?workbook=14_09.xlsx&amp;sheet=U0&amp;row=6006&amp;col=7&amp;number=0.00408&amp;sourceID=14","0.00408")</f>
        <v>0.00408</v>
      </c>
    </row>
    <row r="6007" spans="1:7">
      <c r="A6007" s="3"/>
      <c r="B6007" s="3"/>
      <c r="C6007" s="3"/>
      <c r="D6007" s="3"/>
      <c r="E6007" s="3">
        <v>4</v>
      </c>
      <c r="F6007" s="4" t="str">
        <f>HYPERLINK("http://141.218.60.56/~jnz1568/getInfo.php?workbook=14_09.xlsx&amp;sheet=U0&amp;row=6007&amp;col=6&amp;number=3.3&amp;sourceID=14","3.3")</f>
        <v>3.3</v>
      </c>
      <c r="G6007" s="4" t="str">
        <f>HYPERLINK("http://141.218.60.56/~jnz1568/getInfo.php?workbook=14_09.xlsx&amp;sheet=U0&amp;row=6007&amp;col=7&amp;number=0.00407&amp;sourceID=14","0.00407")</f>
        <v>0.00407</v>
      </c>
    </row>
    <row r="6008" spans="1:7">
      <c r="A6008" s="3"/>
      <c r="B6008" s="3"/>
      <c r="C6008" s="3"/>
      <c r="D6008" s="3"/>
      <c r="E6008" s="3">
        <v>5</v>
      </c>
      <c r="F6008" s="4" t="str">
        <f>HYPERLINK("http://141.218.60.56/~jnz1568/getInfo.php?workbook=14_09.xlsx&amp;sheet=U0&amp;row=6008&amp;col=6&amp;number=3.4&amp;sourceID=14","3.4")</f>
        <v>3.4</v>
      </c>
      <c r="G6008" s="4" t="str">
        <f>HYPERLINK("http://141.218.60.56/~jnz1568/getInfo.php?workbook=14_09.xlsx&amp;sheet=U0&amp;row=6008&amp;col=7&amp;number=0.00407&amp;sourceID=14","0.00407")</f>
        <v>0.00407</v>
      </c>
    </row>
    <row r="6009" spans="1:7">
      <c r="A6009" s="3"/>
      <c r="B6009" s="3"/>
      <c r="C6009" s="3"/>
      <c r="D6009" s="3"/>
      <c r="E6009" s="3">
        <v>6</v>
      </c>
      <c r="F6009" s="4" t="str">
        <f>HYPERLINK("http://141.218.60.56/~jnz1568/getInfo.php?workbook=14_09.xlsx&amp;sheet=U0&amp;row=6009&amp;col=6&amp;number=3.5&amp;sourceID=14","3.5")</f>
        <v>3.5</v>
      </c>
      <c r="G6009" s="4" t="str">
        <f>HYPERLINK("http://141.218.60.56/~jnz1568/getInfo.php?workbook=14_09.xlsx&amp;sheet=U0&amp;row=6009&amp;col=7&amp;number=0.00406&amp;sourceID=14","0.00406")</f>
        <v>0.00406</v>
      </c>
    </row>
    <row r="6010" spans="1:7">
      <c r="A6010" s="3"/>
      <c r="B6010" s="3"/>
      <c r="C6010" s="3"/>
      <c r="D6010" s="3"/>
      <c r="E6010" s="3">
        <v>7</v>
      </c>
      <c r="F6010" s="4" t="str">
        <f>HYPERLINK("http://141.218.60.56/~jnz1568/getInfo.php?workbook=14_09.xlsx&amp;sheet=U0&amp;row=6010&amp;col=6&amp;number=3.6&amp;sourceID=14","3.6")</f>
        <v>3.6</v>
      </c>
      <c r="G6010" s="4" t="str">
        <f>HYPERLINK("http://141.218.60.56/~jnz1568/getInfo.php?workbook=14_09.xlsx&amp;sheet=U0&amp;row=6010&amp;col=7&amp;number=0.00405&amp;sourceID=14","0.00405")</f>
        <v>0.00405</v>
      </c>
    </row>
    <row r="6011" spans="1:7">
      <c r="A6011" s="3"/>
      <c r="B6011" s="3"/>
      <c r="C6011" s="3"/>
      <c r="D6011" s="3"/>
      <c r="E6011" s="3">
        <v>8</v>
      </c>
      <c r="F6011" s="4" t="str">
        <f>HYPERLINK("http://141.218.60.56/~jnz1568/getInfo.php?workbook=14_09.xlsx&amp;sheet=U0&amp;row=6011&amp;col=6&amp;number=3.7&amp;sourceID=14","3.7")</f>
        <v>3.7</v>
      </c>
      <c r="G6011" s="4" t="str">
        <f>HYPERLINK("http://141.218.60.56/~jnz1568/getInfo.php?workbook=14_09.xlsx&amp;sheet=U0&amp;row=6011&amp;col=7&amp;number=0.00404&amp;sourceID=14","0.00404")</f>
        <v>0.00404</v>
      </c>
    </row>
    <row r="6012" spans="1:7">
      <c r="A6012" s="3"/>
      <c r="B6012" s="3"/>
      <c r="C6012" s="3"/>
      <c r="D6012" s="3"/>
      <c r="E6012" s="3">
        <v>9</v>
      </c>
      <c r="F6012" s="4" t="str">
        <f>HYPERLINK("http://141.218.60.56/~jnz1568/getInfo.php?workbook=14_09.xlsx&amp;sheet=U0&amp;row=6012&amp;col=6&amp;number=3.8&amp;sourceID=14","3.8")</f>
        <v>3.8</v>
      </c>
      <c r="G6012" s="4" t="str">
        <f>HYPERLINK("http://141.218.60.56/~jnz1568/getInfo.php?workbook=14_09.xlsx&amp;sheet=U0&amp;row=6012&amp;col=7&amp;number=0.00403&amp;sourceID=14","0.00403")</f>
        <v>0.00403</v>
      </c>
    </row>
    <row r="6013" spans="1:7">
      <c r="A6013" s="3"/>
      <c r="B6013" s="3"/>
      <c r="C6013" s="3"/>
      <c r="D6013" s="3"/>
      <c r="E6013" s="3">
        <v>10</v>
      </c>
      <c r="F6013" s="4" t="str">
        <f>HYPERLINK("http://141.218.60.56/~jnz1568/getInfo.php?workbook=14_09.xlsx&amp;sheet=U0&amp;row=6013&amp;col=6&amp;number=3.9&amp;sourceID=14","3.9")</f>
        <v>3.9</v>
      </c>
      <c r="G6013" s="4" t="str">
        <f>HYPERLINK("http://141.218.60.56/~jnz1568/getInfo.php?workbook=14_09.xlsx&amp;sheet=U0&amp;row=6013&amp;col=7&amp;number=0.00401&amp;sourceID=14","0.00401")</f>
        <v>0.00401</v>
      </c>
    </row>
    <row r="6014" spans="1:7">
      <c r="A6014" s="3"/>
      <c r="B6014" s="3"/>
      <c r="C6014" s="3"/>
      <c r="D6014" s="3"/>
      <c r="E6014" s="3">
        <v>11</v>
      </c>
      <c r="F6014" s="4" t="str">
        <f>HYPERLINK("http://141.218.60.56/~jnz1568/getInfo.php?workbook=14_09.xlsx&amp;sheet=U0&amp;row=6014&amp;col=6&amp;number=4&amp;sourceID=14","4")</f>
        <v>4</v>
      </c>
      <c r="G6014" s="4" t="str">
        <f>HYPERLINK("http://141.218.60.56/~jnz1568/getInfo.php?workbook=14_09.xlsx&amp;sheet=U0&amp;row=6014&amp;col=7&amp;number=0.00399&amp;sourceID=14","0.00399")</f>
        <v>0.00399</v>
      </c>
    </row>
    <row r="6015" spans="1:7">
      <c r="A6015" s="3"/>
      <c r="B6015" s="3"/>
      <c r="C6015" s="3"/>
      <c r="D6015" s="3"/>
      <c r="E6015" s="3">
        <v>12</v>
      </c>
      <c r="F6015" s="4" t="str">
        <f>HYPERLINK("http://141.218.60.56/~jnz1568/getInfo.php?workbook=14_09.xlsx&amp;sheet=U0&amp;row=6015&amp;col=6&amp;number=4.1&amp;sourceID=14","4.1")</f>
        <v>4.1</v>
      </c>
      <c r="G6015" s="4" t="str">
        <f>HYPERLINK("http://141.218.60.56/~jnz1568/getInfo.php?workbook=14_09.xlsx&amp;sheet=U0&amp;row=6015&amp;col=7&amp;number=0.00397&amp;sourceID=14","0.00397")</f>
        <v>0.00397</v>
      </c>
    </row>
    <row r="6016" spans="1:7">
      <c r="A6016" s="3"/>
      <c r="B6016" s="3"/>
      <c r="C6016" s="3"/>
      <c r="D6016" s="3"/>
      <c r="E6016" s="3">
        <v>13</v>
      </c>
      <c r="F6016" s="4" t="str">
        <f>HYPERLINK("http://141.218.60.56/~jnz1568/getInfo.php?workbook=14_09.xlsx&amp;sheet=U0&amp;row=6016&amp;col=6&amp;number=4.2&amp;sourceID=14","4.2")</f>
        <v>4.2</v>
      </c>
      <c r="G6016" s="4" t="str">
        <f>HYPERLINK("http://141.218.60.56/~jnz1568/getInfo.php?workbook=14_09.xlsx&amp;sheet=U0&amp;row=6016&amp;col=7&amp;number=0.00394&amp;sourceID=14","0.00394")</f>
        <v>0.00394</v>
      </c>
    </row>
    <row r="6017" spans="1:7">
      <c r="A6017" s="3"/>
      <c r="B6017" s="3"/>
      <c r="C6017" s="3"/>
      <c r="D6017" s="3"/>
      <c r="E6017" s="3">
        <v>14</v>
      </c>
      <c r="F6017" s="4" t="str">
        <f>HYPERLINK("http://141.218.60.56/~jnz1568/getInfo.php?workbook=14_09.xlsx&amp;sheet=U0&amp;row=6017&amp;col=6&amp;number=4.3&amp;sourceID=14","4.3")</f>
        <v>4.3</v>
      </c>
      <c r="G6017" s="4" t="str">
        <f>HYPERLINK("http://141.218.60.56/~jnz1568/getInfo.php?workbook=14_09.xlsx&amp;sheet=U0&amp;row=6017&amp;col=7&amp;number=0.0039&amp;sourceID=14","0.0039")</f>
        <v>0.0039</v>
      </c>
    </row>
    <row r="6018" spans="1:7">
      <c r="A6018" s="3"/>
      <c r="B6018" s="3"/>
      <c r="C6018" s="3"/>
      <c r="D6018" s="3"/>
      <c r="E6018" s="3">
        <v>15</v>
      </c>
      <c r="F6018" s="4" t="str">
        <f>HYPERLINK("http://141.218.60.56/~jnz1568/getInfo.php?workbook=14_09.xlsx&amp;sheet=U0&amp;row=6018&amp;col=6&amp;number=4.4&amp;sourceID=14","4.4")</f>
        <v>4.4</v>
      </c>
      <c r="G6018" s="4" t="str">
        <f>HYPERLINK("http://141.218.60.56/~jnz1568/getInfo.php?workbook=14_09.xlsx&amp;sheet=U0&amp;row=6018&amp;col=7&amp;number=0.00385&amp;sourceID=14","0.00385")</f>
        <v>0.00385</v>
      </c>
    </row>
    <row r="6019" spans="1:7">
      <c r="A6019" s="3"/>
      <c r="B6019" s="3"/>
      <c r="C6019" s="3"/>
      <c r="D6019" s="3"/>
      <c r="E6019" s="3">
        <v>16</v>
      </c>
      <c r="F6019" s="4" t="str">
        <f>HYPERLINK("http://141.218.60.56/~jnz1568/getInfo.php?workbook=14_09.xlsx&amp;sheet=U0&amp;row=6019&amp;col=6&amp;number=4.5&amp;sourceID=14","4.5")</f>
        <v>4.5</v>
      </c>
      <c r="G6019" s="4" t="str">
        <f>HYPERLINK("http://141.218.60.56/~jnz1568/getInfo.php?workbook=14_09.xlsx&amp;sheet=U0&amp;row=6019&amp;col=7&amp;number=0.00379&amp;sourceID=14","0.00379")</f>
        <v>0.00379</v>
      </c>
    </row>
    <row r="6020" spans="1:7">
      <c r="A6020" s="3"/>
      <c r="B6020" s="3"/>
      <c r="C6020" s="3"/>
      <c r="D6020" s="3"/>
      <c r="E6020" s="3">
        <v>17</v>
      </c>
      <c r="F6020" s="4" t="str">
        <f>HYPERLINK("http://141.218.60.56/~jnz1568/getInfo.php?workbook=14_09.xlsx&amp;sheet=U0&amp;row=6020&amp;col=6&amp;number=4.6&amp;sourceID=14","4.6")</f>
        <v>4.6</v>
      </c>
      <c r="G6020" s="4" t="str">
        <f>HYPERLINK("http://141.218.60.56/~jnz1568/getInfo.php?workbook=14_09.xlsx&amp;sheet=U0&amp;row=6020&amp;col=7&amp;number=0.00372&amp;sourceID=14","0.00372")</f>
        <v>0.00372</v>
      </c>
    </row>
    <row r="6021" spans="1:7">
      <c r="A6021" s="3"/>
      <c r="B6021" s="3"/>
      <c r="C6021" s="3"/>
      <c r="D6021" s="3"/>
      <c r="E6021" s="3">
        <v>18</v>
      </c>
      <c r="F6021" s="4" t="str">
        <f>HYPERLINK("http://141.218.60.56/~jnz1568/getInfo.php?workbook=14_09.xlsx&amp;sheet=U0&amp;row=6021&amp;col=6&amp;number=4.7&amp;sourceID=14","4.7")</f>
        <v>4.7</v>
      </c>
      <c r="G6021" s="4" t="str">
        <f>HYPERLINK("http://141.218.60.56/~jnz1568/getInfo.php?workbook=14_09.xlsx&amp;sheet=U0&amp;row=6021&amp;col=7&amp;number=0.00364&amp;sourceID=14","0.00364")</f>
        <v>0.00364</v>
      </c>
    </row>
    <row r="6022" spans="1:7">
      <c r="A6022" s="3"/>
      <c r="B6022" s="3"/>
      <c r="C6022" s="3"/>
      <c r="D6022" s="3"/>
      <c r="E6022" s="3">
        <v>19</v>
      </c>
      <c r="F6022" s="4" t="str">
        <f>HYPERLINK("http://141.218.60.56/~jnz1568/getInfo.php?workbook=14_09.xlsx&amp;sheet=U0&amp;row=6022&amp;col=6&amp;number=4.8&amp;sourceID=14","4.8")</f>
        <v>4.8</v>
      </c>
      <c r="G6022" s="4" t="str">
        <f>HYPERLINK("http://141.218.60.56/~jnz1568/getInfo.php?workbook=14_09.xlsx&amp;sheet=U0&amp;row=6022&amp;col=7&amp;number=0.00354&amp;sourceID=14","0.00354")</f>
        <v>0.00354</v>
      </c>
    </row>
    <row r="6023" spans="1:7">
      <c r="A6023" s="3"/>
      <c r="B6023" s="3"/>
      <c r="C6023" s="3"/>
      <c r="D6023" s="3"/>
      <c r="E6023" s="3">
        <v>20</v>
      </c>
      <c r="F6023" s="4" t="str">
        <f>HYPERLINK("http://141.218.60.56/~jnz1568/getInfo.php?workbook=14_09.xlsx&amp;sheet=U0&amp;row=6023&amp;col=6&amp;number=4.9&amp;sourceID=14","4.9")</f>
        <v>4.9</v>
      </c>
      <c r="G6023" s="4" t="str">
        <f>HYPERLINK("http://141.218.60.56/~jnz1568/getInfo.php?workbook=14_09.xlsx&amp;sheet=U0&amp;row=6023&amp;col=7&amp;number=0.00342&amp;sourceID=14","0.00342")</f>
        <v>0.00342</v>
      </c>
    </row>
    <row r="6024" spans="1:7">
      <c r="A6024" s="3">
        <v>14</v>
      </c>
      <c r="B6024" s="3">
        <v>9</v>
      </c>
      <c r="C6024" s="3">
        <v>2</v>
      </c>
      <c r="D6024" s="3">
        <v>110</v>
      </c>
      <c r="E6024" s="3">
        <v>1</v>
      </c>
      <c r="F6024" s="4" t="str">
        <f>HYPERLINK("http://141.218.60.56/~jnz1568/getInfo.php?workbook=14_09.xlsx&amp;sheet=U0&amp;row=6024&amp;col=6&amp;number=3&amp;sourceID=14","3")</f>
        <v>3</v>
      </c>
      <c r="G6024" s="4" t="str">
        <f>HYPERLINK("http://141.218.60.56/~jnz1568/getInfo.php?workbook=14_09.xlsx&amp;sheet=U0&amp;row=6024&amp;col=7&amp;number=0.0555&amp;sourceID=14","0.0555")</f>
        <v>0.0555</v>
      </c>
    </row>
    <row r="6025" spans="1:7">
      <c r="A6025" s="3"/>
      <c r="B6025" s="3"/>
      <c r="C6025" s="3"/>
      <c r="D6025" s="3"/>
      <c r="E6025" s="3">
        <v>2</v>
      </c>
      <c r="F6025" s="4" t="str">
        <f>HYPERLINK("http://141.218.60.56/~jnz1568/getInfo.php?workbook=14_09.xlsx&amp;sheet=U0&amp;row=6025&amp;col=6&amp;number=3.1&amp;sourceID=14","3.1")</f>
        <v>3.1</v>
      </c>
      <c r="G6025" s="4" t="str">
        <f>HYPERLINK("http://141.218.60.56/~jnz1568/getInfo.php?workbook=14_09.xlsx&amp;sheet=U0&amp;row=6025&amp;col=7&amp;number=0.0555&amp;sourceID=14","0.0555")</f>
        <v>0.0555</v>
      </c>
    </row>
    <row r="6026" spans="1:7">
      <c r="A6026" s="3"/>
      <c r="B6026" s="3"/>
      <c r="C6026" s="3"/>
      <c r="D6026" s="3"/>
      <c r="E6026" s="3">
        <v>3</v>
      </c>
      <c r="F6026" s="4" t="str">
        <f>HYPERLINK("http://141.218.60.56/~jnz1568/getInfo.php?workbook=14_09.xlsx&amp;sheet=U0&amp;row=6026&amp;col=6&amp;number=3.2&amp;sourceID=14","3.2")</f>
        <v>3.2</v>
      </c>
      <c r="G6026" s="4" t="str">
        <f>HYPERLINK("http://141.218.60.56/~jnz1568/getInfo.php?workbook=14_09.xlsx&amp;sheet=U0&amp;row=6026&amp;col=7&amp;number=0.0555&amp;sourceID=14","0.0555")</f>
        <v>0.0555</v>
      </c>
    </row>
    <row r="6027" spans="1:7">
      <c r="A6027" s="3"/>
      <c r="B6027" s="3"/>
      <c r="C6027" s="3"/>
      <c r="D6027" s="3"/>
      <c r="E6027" s="3">
        <v>4</v>
      </c>
      <c r="F6027" s="4" t="str">
        <f>HYPERLINK("http://141.218.60.56/~jnz1568/getInfo.php?workbook=14_09.xlsx&amp;sheet=U0&amp;row=6027&amp;col=6&amp;number=3.3&amp;sourceID=14","3.3")</f>
        <v>3.3</v>
      </c>
      <c r="G6027" s="4" t="str">
        <f>HYPERLINK("http://141.218.60.56/~jnz1568/getInfo.php?workbook=14_09.xlsx&amp;sheet=U0&amp;row=6027&amp;col=7&amp;number=0.0555&amp;sourceID=14","0.0555")</f>
        <v>0.0555</v>
      </c>
    </row>
    <row r="6028" spans="1:7">
      <c r="A6028" s="3"/>
      <c r="B6028" s="3"/>
      <c r="C6028" s="3"/>
      <c r="D6028" s="3"/>
      <c r="E6028" s="3">
        <v>5</v>
      </c>
      <c r="F6028" s="4" t="str">
        <f>HYPERLINK("http://141.218.60.56/~jnz1568/getInfo.php?workbook=14_09.xlsx&amp;sheet=U0&amp;row=6028&amp;col=6&amp;number=3.4&amp;sourceID=14","3.4")</f>
        <v>3.4</v>
      </c>
      <c r="G6028" s="4" t="str">
        <f>HYPERLINK("http://141.218.60.56/~jnz1568/getInfo.php?workbook=14_09.xlsx&amp;sheet=U0&amp;row=6028&amp;col=7&amp;number=0.0556&amp;sourceID=14","0.0556")</f>
        <v>0.0556</v>
      </c>
    </row>
    <row r="6029" spans="1:7">
      <c r="A6029" s="3"/>
      <c r="B6029" s="3"/>
      <c r="C6029" s="3"/>
      <c r="D6029" s="3"/>
      <c r="E6029" s="3">
        <v>6</v>
      </c>
      <c r="F6029" s="4" t="str">
        <f>HYPERLINK("http://141.218.60.56/~jnz1568/getInfo.php?workbook=14_09.xlsx&amp;sheet=U0&amp;row=6029&amp;col=6&amp;number=3.5&amp;sourceID=14","3.5")</f>
        <v>3.5</v>
      </c>
      <c r="G6029" s="4" t="str">
        <f>HYPERLINK("http://141.218.60.56/~jnz1568/getInfo.php?workbook=14_09.xlsx&amp;sheet=U0&amp;row=6029&amp;col=7&amp;number=0.0556&amp;sourceID=14","0.0556")</f>
        <v>0.0556</v>
      </c>
    </row>
    <row r="6030" spans="1:7">
      <c r="A6030" s="3"/>
      <c r="B6030" s="3"/>
      <c r="C6030" s="3"/>
      <c r="D6030" s="3"/>
      <c r="E6030" s="3">
        <v>7</v>
      </c>
      <c r="F6030" s="4" t="str">
        <f>HYPERLINK("http://141.218.60.56/~jnz1568/getInfo.php?workbook=14_09.xlsx&amp;sheet=U0&amp;row=6030&amp;col=6&amp;number=3.6&amp;sourceID=14","3.6")</f>
        <v>3.6</v>
      </c>
      <c r="G6030" s="4" t="str">
        <f>HYPERLINK("http://141.218.60.56/~jnz1568/getInfo.php?workbook=14_09.xlsx&amp;sheet=U0&amp;row=6030&amp;col=7&amp;number=0.0556&amp;sourceID=14","0.0556")</f>
        <v>0.0556</v>
      </c>
    </row>
    <row r="6031" spans="1:7">
      <c r="A6031" s="3"/>
      <c r="B6031" s="3"/>
      <c r="C6031" s="3"/>
      <c r="D6031" s="3"/>
      <c r="E6031" s="3">
        <v>8</v>
      </c>
      <c r="F6031" s="4" t="str">
        <f>HYPERLINK("http://141.218.60.56/~jnz1568/getInfo.php?workbook=14_09.xlsx&amp;sheet=U0&amp;row=6031&amp;col=6&amp;number=3.7&amp;sourceID=14","3.7")</f>
        <v>3.7</v>
      </c>
      <c r="G6031" s="4" t="str">
        <f>HYPERLINK("http://141.218.60.56/~jnz1568/getInfo.php?workbook=14_09.xlsx&amp;sheet=U0&amp;row=6031&amp;col=7&amp;number=0.0557&amp;sourceID=14","0.0557")</f>
        <v>0.0557</v>
      </c>
    </row>
    <row r="6032" spans="1:7">
      <c r="A6032" s="3"/>
      <c r="B6032" s="3"/>
      <c r="C6032" s="3"/>
      <c r="D6032" s="3"/>
      <c r="E6032" s="3">
        <v>9</v>
      </c>
      <c r="F6032" s="4" t="str">
        <f>HYPERLINK("http://141.218.60.56/~jnz1568/getInfo.php?workbook=14_09.xlsx&amp;sheet=U0&amp;row=6032&amp;col=6&amp;number=3.8&amp;sourceID=14","3.8")</f>
        <v>3.8</v>
      </c>
      <c r="G6032" s="4" t="str">
        <f>HYPERLINK("http://141.218.60.56/~jnz1568/getInfo.php?workbook=14_09.xlsx&amp;sheet=U0&amp;row=6032&amp;col=7&amp;number=0.0557&amp;sourceID=14","0.0557")</f>
        <v>0.0557</v>
      </c>
    </row>
    <row r="6033" spans="1:7">
      <c r="A6033" s="3"/>
      <c r="B6033" s="3"/>
      <c r="C6033" s="3"/>
      <c r="D6033" s="3"/>
      <c r="E6033" s="3">
        <v>10</v>
      </c>
      <c r="F6033" s="4" t="str">
        <f>HYPERLINK("http://141.218.60.56/~jnz1568/getInfo.php?workbook=14_09.xlsx&amp;sheet=U0&amp;row=6033&amp;col=6&amp;number=3.9&amp;sourceID=14","3.9")</f>
        <v>3.9</v>
      </c>
      <c r="G6033" s="4" t="str">
        <f>HYPERLINK("http://141.218.60.56/~jnz1568/getInfo.php?workbook=14_09.xlsx&amp;sheet=U0&amp;row=6033&amp;col=7&amp;number=0.0558&amp;sourceID=14","0.0558")</f>
        <v>0.0558</v>
      </c>
    </row>
    <row r="6034" spans="1:7">
      <c r="A6034" s="3"/>
      <c r="B6034" s="3"/>
      <c r="C6034" s="3"/>
      <c r="D6034" s="3"/>
      <c r="E6034" s="3">
        <v>11</v>
      </c>
      <c r="F6034" s="4" t="str">
        <f>HYPERLINK("http://141.218.60.56/~jnz1568/getInfo.php?workbook=14_09.xlsx&amp;sheet=U0&amp;row=6034&amp;col=6&amp;number=4&amp;sourceID=14","4")</f>
        <v>4</v>
      </c>
      <c r="G6034" s="4" t="str">
        <f>HYPERLINK("http://141.218.60.56/~jnz1568/getInfo.php?workbook=14_09.xlsx&amp;sheet=U0&amp;row=6034&amp;col=7&amp;number=0.0559&amp;sourceID=14","0.0559")</f>
        <v>0.0559</v>
      </c>
    </row>
    <row r="6035" spans="1:7">
      <c r="A6035" s="3"/>
      <c r="B6035" s="3"/>
      <c r="C6035" s="3"/>
      <c r="D6035" s="3"/>
      <c r="E6035" s="3">
        <v>12</v>
      </c>
      <c r="F6035" s="4" t="str">
        <f>HYPERLINK("http://141.218.60.56/~jnz1568/getInfo.php?workbook=14_09.xlsx&amp;sheet=U0&amp;row=6035&amp;col=6&amp;number=4.1&amp;sourceID=14","4.1")</f>
        <v>4.1</v>
      </c>
      <c r="G6035" s="4" t="str">
        <f>HYPERLINK("http://141.218.60.56/~jnz1568/getInfo.php?workbook=14_09.xlsx&amp;sheet=U0&amp;row=6035&amp;col=7&amp;number=0.056&amp;sourceID=14","0.056")</f>
        <v>0.056</v>
      </c>
    </row>
    <row r="6036" spans="1:7">
      <c r="A6036" s="3"/>
      <c r="B6036" s="3"/>
      <c r="C6036" s="3"/>
      <c r="D6036" s="3"/>
      <c r="E6036" s="3">
        <v>13</v>
      </c>
      <c r="F6036" s="4" t="str">
        <f>HYPERLINK("http://141.218.60.56/~jnz1568/getInfo.php?workbook=14_09.xlsx&amp;sheet=U0&amp;row=6036&amp;col=6&amp;number=4.2&amp;sourceID=14","4.2")</f>
        <v>4.2</v>
      </c>
      <c r="G6036" s="4" t="str">
        <f>HYPERLINK("http://141.218.60.56/~jnz1568/getInfo.php?workbook=14_09.xlsx&amp;sheet=U0&amp;row=6036&amp;col=7&amp;number=0.0561&amp;sourceID=14","0.0561")</f>
        <v>0.0561</v>
      </c>
    </row>
    <row r="6037" spans="1:7">
      <c r="A6037" s="3"/>
      <c r="B6037" s="3"/>
      <c r="C6037" s="3"/>
      <c r="D6037" s="3"/>
      <c r="E6037" s="3">
        <v>14</v>
      </c>
      <c r="F6037" s="4" t="str">
        <f>HYPERLINK("http://141.218.60.56/~jnz1568/getInfo.php?workbook=14_09.xlsx&amp;sheet=U0&amp;row=6037&amp;col=6&amp;number=4.3&amp;sourceID=14","4.3")</f>
        <v>4.3</v>
      </c>
      <c r="G6037" s="4" t="str">
        <f>HYPERLINK("http://141.218.60.56/~jnz1568/getInfo.php?workbook=14_09.xlsx&amp;sheet=U0&amp;row=6037&amp;col=7&amp;number=0.0563&amp;sourceID=14","0.0563")</f>
        <v>0.0563</v>
      </c>
    </row>
    <row r="6038" spans="1:7">
      <c r="A6038" s="3"/>
      <c r="B6038" s="3"/>
      <c r="C6038" s="3"/>
      <c r="D6038" s="3"/>
      <c r="E6038" s="3">
        <v>15</v>
      </c>
      <c r="F6038" s="4" t="str">
        <f>HYPERLINK("http://141.218.60.56/~jnz1568/getInfo.php?workbook=14_09.xlsx&amp;sheet=U0&amp;row=6038&amp;col=6&amp;number=4.4&amp;sourceID=14","4.4")</f>
        <v>4.4</v>
      </c>
      <c r="G6038" s="4" t="str">
        <f>HYPERLINK("http://141.218.60.56/~jnz1568/getInfo.php?workbook=14_09.xlsx&amp;sheet=U0&amp;row=6038&amp;col=7&amp;number=0.0565&amp;sourceID=14","0.0565")</f>
        <v>0.0565</v>
      </c>
    </row>
    <row r="6039" spans="1:7">
      <c r="A6039" s="3"/>
      <c r="B6039" s="3"/>
      <c r="C6039" s="3"/>
      <c r="D6039" s="3"/>
      <c r="E6039" s="3">
        <v>16</v>
      </c>
      <c r="F6039" s="4" t="str">
        <f>HYPERLINK("http://141.218.60.56/~jnz1568/getInfo.php?workbook=14_09.xlsx&amp;sheet=U0&amp;row=6039&amp;col=6&amp;number=4.5&amp;sourceID=14","4.5")</f>
        <v>4.5</v>
      </c>
      <c r="G6039" s="4" t="str">
        <f>HYPERLINK("http://141.218.60.56/~jnz1568/getInfo.php?workbook=14_09.xlsx&amp;sheet=U0&amp;row=6039&amp;col=7&amp;number=0.0567&amp;sourceID=14","0.0567")</f>
        <v>0.0567</v>
      </c>
    </row>
    <row r="6040" spans="1:7">
      <c r="A6040" s="3"/>
      <c r="B6040" s="3"/>
      <c r="C6040" s="3"/>
      <c r="D6040" s="3"/>
      <c r="E6040" s="3">
        <v>17</v>
      </c>
      <c r="F6040" s="4" t="str">
        <f>HYPERLINK("http://141.218.60.56/~jnz1568/getInfo.php?workbook=14_09.xlsx&amp;sheet=U0&amp;row=6040&amp;col=6&amp;number=4.6&amp;sourceID=14","4.6")</f>
        <v>4.6</v>
      </c>
      <c r="G6040" s="4" t="str">
        <f>HYPERLINK("http://141.218.60.56/~jnz1568/getInfo.php?workbook=14_09.xlsx&amp;sheet=U0&amp;row=6040&amp;col=7&amp;number=0.0571&amp;sourceID=14","0.0571")</f>
        <v>0.0571</v>
      </c>
    </row>
    <row r="6041" spans="1:7">
      <c r="A6041" s="3"/>
      <c r="B6041" s="3"/>
      <c r="C6041" s="3"/>
      <c r="D6041" s="3"/>
      <c r="E6041" s="3">
        <v>18</v>
      </c>
      <c r="F6041" s="4" t="str">
        <f>HYPERLINK("http://141.218.60.56/~jnz1568/getInfo.php?workbook=14_09.xlsx&amp;sheet=U0&amp;row=6041&amp;col=6&amp;number=4.7&amp;sourceID=14","4.7")</f>
        <v>4.7</v>
      </c>
      <c r="G6041" s="4" t="str">
        <f>HYPERLINK("http://141.218.60.56/~jnz1568/getInfo.php?workbook=14_09.xlsx&amp;sheet=U0&amp;row=6041&amp;col=7&amp;number=0.0575&amp;sourceID=14","0.0575")</f>
        <v>0.0575</v>
      </c>
    </row>
    <row r="6042" spans="1:7">
      <c r="A6042" s="3"/>
      <c r="B6042" s="3"/>
      <c r="C6042" s="3"/>
      <c r="D6042" s="3"/>
      <c r="E6042" s="3">
        <v>19</v>
      </c>
      <c r="F6042" s="4" t="str">
        <f>HYPERLINK("http://141.218.60.56/~jnz1568/getInfo.php?workbook=14_09.xlsx&amp;sheet=U0&amp;row=6042&amp;col=6&amp;number=4.8&amp;sourceID=14","4.8")</f>
        <v>4.8</v>
      </c>
      <c r="G6042" s="4" t="str">
        <f>HYPERLINK("http://141.218.60.56/~jnz1568/getInfo.php?workbook=14_09.xlsx&amp;sheet=U0&amp;row=6042&amp;col=7&amp;number=0.058&amp;sourceID=14","0.058")</f>
        <v>0.058</v>
      </c>
    </row>
    <row r="6043" spans="1:7">
      <c r="A6043" s="3"/>
      <c r="B6043" s="3"/>
      <c r="C6043" s="3"/>
      <c r="D6043" s="3"/>
      <c r="E6043" s="3">
        <v>20</v>
      </c>
      <c r="F6043" s="4" t="str">
        <f>HYPERLINK("http://141.218.60.56/~jnz1568/getInfo.php?workbook=14_09.xlsx&amp;sheet=U0&amp;row=6043&amp;col=6&amp;number=4.9&amp;sourceID=14","4.9")</f>
        <v>4.9</v>
      </c>
      <c r="G6043" s="4" t="str">
        <f>HYPERLINK("http://141.218.60.56/~jnz1568/getInfo.php?workbook=14_09.xlsx&amp;sheet=U0&amp;row=6043&amp;col=7&amp;number=0.0587&amp;sourceID=14","0.0587")</f>
        <v>0.0587</v>
      </c>
    </row>
    <row r="6044" spans="1:7">
      <c r="A6044" s="3">
        <v>14</v>
      </c>
      <c r="B6044" s="3">
        <v>9</v>
      </c>
      <c r="C6044" s="3">
        <v>2</v>
      </c>
      <c r="D6044" s="3">
        <v>111</v>
      </c>
      <c r="E6044" s="3">
        <v>1</v>
      </c>
      <c r="F6044" s="4" t="str">
        <f>HYPERLINK("http://141.218.60.56/~jnz1568/getInfo.php?workbook=14_09.xlsx&amp;sheet=U0&amp;row=6044&amp;col=6&amp;number=3&amp;sourceID=14","3")</f>
        <v>3</v>
      </c>
      <c r="G6044" s="4" t="str">
        <f>HYPERLINK("http://141.218.60.56/~jnz1568/getInfo.php?workbook=14_09.xlsx&amp;sheet=U0&amp;row=6044&amp;col=7&amp;number=0.00148&amp;sourceID=14","0.00148")</f>
        <v>0.00148</v>
      </c>
    </row>
    <row r="6045" spans="1:7">
      <c r="A6045" s="3"/>
      <c r="B6045" s="3"/>
      <c r="C6045" s="3"/>
      <c r="D6045" s="3"/>
      <c r="E6045" s="3">
        <v>2</v>
      </c>
      <c r="F6045" s="4" t="str">
        <f>HYPERLINK("http://141.218.60.56/~jnz1568/getInfo.php?workbook=14_09.xlsx&amp;sheet=U0&amp;row=6045&amp;col=6&amp;number=3.1&amp;sourceID=14","3.1")</f>
        <v>3.1</v>
      </c>
      <c r="G6045" s="4" t="str">
        <f>HYPERLINK("http://141.218.60.56/~jnz1568/getInfo.php?workbook=14_09.xlsx&amp;sheet=U0&amp;row=6045&amp;col=7&amp;number=0.00148&amp;sourceID=14","0.00148")</f>
        <v>0.00148</v>
      </c>
    </row>
    <row r="6046" spans="1:7">
      <c r="A6046" s="3"/>
      <c r="B6046" s="3"/>
      <c r="C6046" s="3"/>
      <c r="D6046" s="3"/>
      <c r="E6046" s="3">
        <v>3</v>
      </c>
      <c r="F6046" s="4" t="str">
        <f>HYPERLINK("http://141.218.60.56/~jnz1568/getInfo.php?workbook=14_09.xlsx&amp;sheet=U0&amp;row=6046&amp;col=6&amp;number=3.2&amp;sourceID=14","3.2")</f>
        <v>3.2</v>
      </c>
      <c r="G6046" s="4" t="str">
        <f>HYPERLINK("http://141.218.60.56/~jnz1568/getInfo.php?workbook=14_09.xlsx&amp;sheet=U0&amp;row=6046&amp;col=7&amp;number=0.00148&amp;sourceID=14","0.00148")</f>
        <v>0.00148</v>
      </c>
    </row>
    <row r="6047" spans="1:7">
      <c r="A6047" s="3"/>
      <c r="B6047" s="3"/>
      <c r="C6047" s="3"/>
      <c r="D6047" s="3"/>
      <c r="E6047" s="3">
        <v>4</v>
      </c>
      <c r="F6047" s="4" t="str">
        <f>HYPERLINK("http://141.218.60.56/~jnz1568/getInfo.php?workbook=14_09.xlsx&amp;sheet=U0&amp;row=6047&amp;col=6&amp;number=3.3&amp;sourceID=14","3.3")</f>
        <v>3.3</v>
      </c>
      <c r="G6047" s="4" t="str">
        <f>HYPERLINK("http://141.218.60.56/~jnz1568/getInfo.php?workbook=14_09.xlsx&amp;sheet=U0&amp;row=6047&amp;col=7&amp;number=0.00148&amp;sourceID=14","0.00148")</f>
        <v>0.00148</v>
      </c>
    </row>
    <row r="6048" spans="1:7">
      <c r="A6048" s="3"/>
      <c r="B6048" s="3"/>
      <c r="C6048" s="3"/>
      <c r="D6048" s="3"/>
      <c r="E6048" s="3">
        <v>5</v>
      </c>
      <c r="F6048" s="4" t="str">
        <f>HYPERLINK("http://141.218.60.56/~jnz1568/getInfo.php?workbook=14_09.xlsx&amp;sheet=U0&amp;row=6048&amp;col=6&amp;number=3.4&amp;sourceID=14","3.4")</f>
        <v>3.4</v>
      </c>
      <c r="G6048" s="4" t="str">
        <f>HYPERLINK("http://141.218.60.56/~jnz1568/getInfo.php?workbook=14_09.xlsx&amp;sheet=U0&amp;row=6048&amp;col=7&amp;number=0.00147&amp;sourceID=14","0.00147")</f>
        <v>0.00147</v>
      </c>
    </row>
    <row r="6049" spans="1:7">
      <c r="A6049" s="3"/>
      <c r="B6049" s="3"/>
      <c r="C6049" s="3"/>
      <c r="D6049" s="3"/>
      <c r="E6049" s="3">
        <v>6</v>
      </c>
      <c r="F6049" s="4" t="str">
        <f>HYPERLINK("http://141.218.60.56/~jnz1568/getInfo.php?workbook=14_09.xlsx&amp;sheet=U0&amp;row=6049&amp;col=6&amp;number=3.5&amp;sourceID=14","3.5")</f>
        <v>3.5</v>
      </c>
      <c r="G6049" s="4" t="str">
        <f>HYPERLINK("http://141.218.60.56/~jnz1568/getInfo.php?workbook=14_09.xlsx&amp;sheet=U0&amp;row=6049&amp;col=7&amp;number=0.00147&amp;sourceID=14","0.00147")</f>
        <v>0.00147</v>
      </c>
    </row>
    <row r="6050" spans="1:7">
      <c r="A6050" s="3"/>
      <c r="B6050" s="3"/>
      <c r="C6050" s="3"/>
      <c r="D6050" s="3"/>
      <c r="E6050" s="3">
        <v>7</v>
      </c>
      <c r="F6050" s="4" t="str">
        <f>HYPERLINK("http://141.218.60.56/~jnz1568/getInfo.php?workbook=14_09.xlsx&amp;sheet=U0&amp;row=6050&amp;col=6&amp;number=3.6&amp;sourceID=14","3.6")</f>
        <v>3.6</v>
      </c>
      <c r="G6050" s="4" t="str">
        <f>HYPERLINK("http://141.218.60.56/~jnz1568/getInfo.php?workbook=14_09.xlsx&amp;sheet=U0&amp;row=6050&amp;col=7&amp;number=0.00146&amp;sourceID=14","0.00146")</f>
        <v>0.00146</v>
      </c>
    </row>
    <row r="6051" spans="1:7">
      <c r="A6051" s="3"/>
      <c r="B6051" s="3"/>
      <c r="C6051" s="3"/>
      <c r="D6051" s="3"/>
      <c r="E6051" s="3">
        <v>8</v>
      </c>
      <c r="F6051" s="4" t="str">
        <f>HYPERLINK("http://141.218.60.56/~jnz1568/getInfo.php?workbook=14_09.xlsx&amp;sheet=U0&amp;row=6051&amp;col=6&amp;number=3.7&amp;sourceID=14","3.7")</f>
        <v>3.7</v>
      </c>
      <c r="G6051" s="4" t="str">
        <f>HYPERLINK("http://141.218.60.56/~jnz1568/getInfo.php?workbook=14_09.xlsx&amp;sheet=U0&amp;row=6051&amp;col=7&amp;number=0.00145&amp;sourceID=14","0.00145")</f>
        <v>0.00145</v>
      </c>
    </row>
    <row r="6052" spans="1:7">
      <c r="A6052" s="3"/>
      <c r="B6052" s="3"/>
      <c r="C6052" s="3"/>
      <c r="D6052" s="3"/>
      <c r="E6052" s="3">
        <v>9</v>
      </c>
      <c r="F6052" s="4" t="str">
        <f>HYPERLINK("http://141.218.60.56/~jnz1568/getInfo.php?workbook=14_09.xlsx&amp;sheet=U0&amp;row=6052&amp;col=6&amp;number=3.8&amp;sourceID=14","3.8")</f>
        <v>3.8</v>
      </c>
      <c r="G6052" s="4" t="str">
        <f>HYPERLINK("http://141.218.60.56/~jnz1568/getInfo.php?workbook=14_09.xlsx&amp;sheet=U0&amp;row=6052&amp;col=7&amp;number=0.00145&amp;sourceID=14","0.00145")</f>
        <v>0.00145</v>
      </c>
    </row>
    <row r="6053" spans="1:7">
      <c r="A6053" s="3"/>
      <c r="B6053" s="3"/>
      <c r="C6053" s="3"/>
      <c r="D6053" s="3"/>
      <c r="E6053" s="3">
        <v>10</v>
      </c>
      <c r="F6053" s="4" t="str">
        <f>HYPERLINK("http://141.218.60.56/~jnz1568/getInfo.php?workbook=14_09.xlsx&amp;sheet=U0&amp;row=6053&amp;col=6&amp;number=3.9&amp;sourceID=14","3.9")</f>
        <v>3.9</v>
      </c>
      <c r="G6053" s="4" t="str">
        <f>HYPERLINK("http://141.218.60.56/~jnz1568/getInfo.php?workbook=14_09.xlsx&amp;sheet=U0&amp;row=6053&amp;col=7&amp;number=0.00143&amp;sourceID=14","0.00143")</f>
        <v>0.00143</v>
      </c>
    </row>
    <row r="6054" spans="1:7">
      <c r="A6054" s="3"/>
      <c r="B6054" s="3"/>
      <c r="C6054" s="3"/>
      <c r="D6054" s="3"/>
      <c r="E6054" s="3">
        <v>11</v>
      </c>
      <c r="F6054" s="4" t="str">
        <f>HYPERLINK("http://141.218.60.56/~jnz1568/getInfo.php?workbook=14_09.xlsx&amp;sheet=U0&amp;row=6054&amp;col=6&amp;number=4&amp;sourceID=14","4")</f>
        <v>4</v>
      </c>
      <c r="G6054" s="4" t="str">
        <f>HYPERLINK("http://141.218.60.56/~jnz1568/getInfo.php?workbook=14_09.xlsx&amp;sheet=U0&amp;row=6054&amp;col=7&amp;number=0.00142&amp;sourceID=14","0.00142")</f>
        <v>0.00142</v>
      </c>
    </row>
    <row r="6055" spans="1:7">
      <c r="A6055" s="3"/>
      <c r="B6055" s="3"/>
      <c r="C6055" s="3"/>
      <c r="D6055" s="3"/>
      <c r="E6055" s="3">
        <v>12</v>
      </c>
      <c r="F6055" s="4" t="str">
        <f>HYPERLINK("http://141.218.60.56/~jnz1568/getInfo.php?workbook=14_09.xlsx&amp;sheet=U0&amp;row=6055&amp;col=6&amp;number=4.1&amp;sourceID=14","4.1")</f>
        <v>4.1</v>
      </c>
      <c r="G6055" s="4" t="str">
        <f>HYPERLINK("http://141.218.60.56/~jnz1568/getInfo.php?workbook=14_09.xlsx&amp;sheet=U0&amp;row=6055&amp;col=7&amp;number=0.0014&amp;sourceID=14","0.0014")</f>
        <v>0.0014</v>
      </c>
    </row>
    <row r="6056" spans="1:7">
      <c r="A6056" s="3"/>
      <c r="B6056" s="3"/>
      <c r="C6056" s="3"/>
      <c r="D6056" s="3"/>
      <c r="E6056" s="3">
        <v>13</v>
      </c>
      <c r="F6056" s="4" t="str">
        <f>HYPERLINK("http://141.218.60.56/~jnz1568/getInfo.php?workbook=14_09.xlsx&amp;sheet=U0&amp;row=6056&amp;col=6&amp;number=4.2&amp;sourceID=14","4.2")</f>
        <v>4.2</v>
      </c>
      <c r="G6056" s="4" t="str">
        <f>HYPERLINK("http://141.218.60.56/~jnz1568/getInfo.php?workbook=14_09.xlsx&amp;sheet=U0&amp;row=6056&amp;col=7&amp;number=0.00138&amp;sourceID=14","0.00138")</f>
        <v>0.00138</v>
      </c>
    </row>
    <row r="6057" spans="1:7">
      <c r="A6057" s="3"/>
      <c r="B6057" s="3"/>
      <c r="C6057" s="3"/>
      <c r="D6057" s="3"/>
      <c r="E6057" s="3">
        <v>14</v>
      </c>
      <c r="F6057" s="4" t="str">
        <f>HYPERLINK("http://141.218.60.56/~jnz1568/getInfo.php?workbook=14_09.xlsx&amp;sheet=U0&amp;row=6057&amp;col=6&amp;number=4.3&amp;sourceID=14","4.3")</f>
        <v>4.3</v>
      </c>
      <c r="G6057" s="4" t="str">
        <f>HYPERLINK("http://141.218.60.56/~jnz1568/getInfo.php?workbook=14_09.xlsx&amp;sheet=U0&amp;row=6057&amp;col=7&amp;number=0.00135&amp;sourceID=14","0.00135")</f>
        <v>0.00135</v>
      </c>
    </row>
    <row r="6058" spans="1:7">
      <c r="A6058" s="3"/>
      <c r="B6058" s="3"/>
      <c r="C6058" s="3"/>
      <c r="D6058" s="3"/>
      <c r="E6058" s="3">
        <v>15</v>
      </c>
      <c r="F6058" s="4" t="str">
        <f>HYPERLINK("http://141.218.60.56/~jnz1568/getInfo.php?workbook=14_09.xlsx&amp;sheet=U0&amp;row=6058&amp;col=6&amp;number=4.4&amp;sourceID=14","4.4")</f>
        <v>4.4</v>
      </c>
      <c r="G6058" s="4" t="str">
        <f>HYPERLINK("http://141.218.60.56/~jnz1568/getInfo.php?workbook=14_09.xlsx&amp;sheet=U0&amp;row=6058&amp;col=7&amp;number=0.00132&amp;sourceID=14","0.00132")</f>
        <v>0.00132</v>
      </c>
    </row>
    <row r="6059" spans="1:7">
      <c r="A6059" s="3"/>
      <c r="B6059" s="3"/>
      <c r="C6059" s="3"/>
      <c r="D6059" s="3"/>
      <c r="E6059" s="3">
        <v>16</v>
      </c>
      <c r="F6059" s="4" t="str">
        <f>HYPERLINK("http://141.218.60.56/~jnz1568/getInfo.php?workbook=14_09.xlsx&amp;sheet=U0&amp;row=6059&amp;col=6&amp;number=4.5&amp;sourceID=14","4.5")</f>
        <v>4.5</v>
      </c>
      <c r="G6059" s="4" t="str">
        <f>HYPERLINK("http://141.218.60.56/~jnz1568/getInfo.php?workbook=14_09.xlsx&amp;sheet=U0&amp;row=6059&amp;col=7&amp;number=0.00127&amp;sourceID=14","0.00127")</f>
        <v>0.00127</v>
      </c>
    </row>
    <row r="6060" spans="1:7">
      <c r="A6060" s="3"/>
      <c r="B6060" s="3"/>
      <c r="C6060" s="3"/>
      <c r="D6060" s="3"/>
      <c r="E6060" s="3">
        <v>17</v>
      </c>
      <c r="F6060" s="4" t="str">
        <f>HYPERLINK("http://141.218.60.56/~jnz1568/getInfo.php?workbook=14_09.xlsx&amp;sheet=U0&amp;row=6060&amp;col=6&amp;number=4.6&amp;sourceID=14","4.6")</f>
        <v>4.6</v>
      </c>
      <c r="G6060" s="4" t="str">
        <f>HYPERLINK("http://141.218.60.56/~jnz1568/getInfo.php?workbook=14_09.xlsx&amp;sheet=U0&amp;row=6060&amp;col=7&amp;number=0.00122&amp;sourceID=14","0.00122")</f>
        <v>0.00122</v>
      </c>
    </row>
    <row r="6061" spans="1:7">
      <c r="A6061" s="3"/>
      <c r="B6061" s="3"/>
      <c r="C6061" s="3"/>
      <c r="D6061" s="3"/>
      <c r="E6061" s="3">
        <v>18</v>
      </c>
      <c r="F6061" s="4" t="str">
        <f>HYPERLINK("http://141.218.60.56/~jnz1568/getInfo.php?workbook=14_09.xlsx&amp;sheet=U0&amp;row=6061&amp;col=6&amp;number=4.7&amp;sourceID=14","4.7")</f>
        <v>4.7</v>
      </c>
      <c r="G6061" s="4" t="str">
        <f>HYPERLINK("http://141.218.60.56/~jnz1568/getInfo.php?workbook=14_09.xlsx&amp;sheet=U0&amp;row=6061&amp;col=7&amp;number=0.00116&amp;sourceID=14","0.00116")</f>
        <v>0.00116</v>
      </c>
    </row>
    <row r="6062" spans="1:7">
      <c r="A6062" s="3"/>
      <c r="B6062" s="3"/>
      <c r="C6062" s="3"/>
      <c r="D6062" s="3"/>
      <c r="E6062" s="3">
        <v>19</v>
      </c>
      <c r="F6062" s="4" t="str">
        <f>HYPERLINK("http://141.218.60.56/~jnz1568/getInfo.php?workbook=14_09.xlsx&amp;sheet=U0&amp;row=6062&amp;col=6&amp;number=4.8&amp;sourceID=14","4.8")</f>
        <v>4.8</v>
      </c>
      <c r="G6062" s="4" t="str">
        <f>HYPERLINK("http://141.218.60.56/~jnz1568/getInfo.php?workbook=14_09.xlsx&amp;sheet=U0&amp;row=6062&amp;col=7&amp;number=0.00109&amp;sourceID=14","0.00109")</f>
        <v>0.00109</v>
      </c>
    </row>
    <row r="6063" spans="1:7">
      <c r="A6063" s="3"/>
      <c r="B6063" s="3"/>
      <c r="C6063" s="3"/>
      <c r="D6063" s="3"/>
      <c r="E6063" s="3">
        <v>20</v>
      </c>
      <c r="F6063" s="4" t="str">
        <f>HYPERLINK("http://141.218.60.56/~jnz1568/getInfo.php?workbook=14_09.xlsx&amp;sheet=U0&amp;row=6063&amp;col=6&amp;number=4.9&amp;sourceID=14","4.9")</f>
        <v>4.9</v>
      </c>
      <c r="G6063" s="4" t="str">
        <f>HYPERLINK("http://141.218.60.56/~jnz1568/getInfo.php?workbook=14_09.xlsx&amp;sheet=U0&amp;row=6063&amp;col=7&amp;number=0.00101&amp;sourceID=14","0.00101")</f>
        <v>0.00101</v>
      </c>
    </row>
    <row r="6064" spans="1:7">
      <c r="A6064" s="3">
        <v>14</v>
      </c>
      <c r="B6064" s="3">
        <v>9</v>
      </c>
      <c r="C6064" s="3">
        <v>2</v>
      </c>
      <c r="D6064" s="3">
        <v>112</v>
      </c>
      <c r="E6064" s="3">
        <v>1</v>
      </c>
      <c r="F6064" s="4" t="str">
        <f>HYPERLINK("http://141.218.60.56/~jnz1568/getInfo.php?workbook=14_09.xlsx&amp;sheet=U0&amp;row=6064&amp;col=6&amp;number=3&amp;sourceID=14","3")</f>
        <v>3</v>
      </c>
      <c r="G6064" s="4" t="str">
        <f>HYPERLINK("http://141.218.60.56/~jnz1568/getInfo.php?workbook=14_09.xlsx&amp;sheet=U0&amp;row=6064&amp;col=7&amp;number=0.000515&amp;sourceID=14","0.000515")</f>
        <v>0.000515</v>
      </c>
    </row>
    <row r="6065" spans="1:7">
      <c r="A6065" s="3"/>
      <c r="B6065" s="3"/>
      <c r="C6065" s="3"/>
      <c r="D6065" s="3"/>
      <c r="E6065" s="3">
        <v>2</v>
      </c>
      <c r="F6065" s="4" t="str">
        <f>HYPERLINK("http://141.218.60.56/~jnz1568/getInfo.php?workbook=14_09.xlsx&amp;sheet=U0&amp;row=6065&amp;col=6&amp;number=3.1&amp;sourceID=14","3.1")</f>
        <v>3.1</v>
      </c>
      <c r="G6065" s="4" t="str">
        <f>HYPERLINK("http://141.218.60.56/~jnz1568/getInfo.php?workbook=14_09.xlsx&amp;sheet=U0&amp;row=6065&amp;col=7&amp;number=0.000514&amp;sourceID=14","0.000514")</f>
        <v>0.000514</v>
      </c>
    </row>
    <row r="6066" spans="1:7">
      <c r="A6066" s="3"/>
      <c r="B6066" s="3"/>
      <c r="C6066" s="3"/>
      <c r="D6066" s="3"/>
      <c r="E6066" s="3">
        <v>3</v>
      </c>
      <c r="F6066" s="4" t="str">
        <f>HYPERLINK("http://141.218.60.56/~jnz1568/getInfo.php?workbook=14_09.xlsx&amp;sheet=U0&amp;row=6066&amp;col=6&amp;number=3.2&amp;sourceID=14","3.2")</f>
        <v>3.2</v>
      </c>
      <c r="G6066" s="4" t="str">
        <f>HYPERLINK("http://141.218.60.56/~jnz1568/getInfo.php?workbook=14_09.xlsx&amp;sheet=U0&amp;row=6066&amp;col=7&amp;number=0.000513&amp;sourceID=14","0.000513")</f>
        <v>0.000513</v>
      </c>
    </row>
    <row r="6067" spans="1:7">
      <c r="A6067" s="3"/>
      <c r="B6067" s="3"/>
      <c r="C6067" s="3"/>
      <c r="D6067" s="3"/>
      <c r="E6067" s="3">
        <v>4</v>
      </c>
      <c r="F6067" s="4" t="str">
        <f>HYPERLINK("http://141.218.60.56/~jnz1568/getInfo.php?workbook=14_09.xlsx&amp;sheet=U0&amp;row=6067&amp;col=6&amp;number=3.3&amp;sourceID=14","3.3")</f>
        <v>3.3</v>
      </c>
      <c r="G6067" s="4" t="str">
        <f>HYPERLINK("http://141.218.60.56/~jnz1568/getInfo.php?workbook=14_09.xlsx&amp;sheet=U0&amp;row=6067&amp;col=7&amp;number=0.000511&amp;sourceID=14","0.000511")</f>
        <v>0.000511</v>
      </c>
    </row>
    <row r="6068" spans="1:7">
      <c r="A6068" s="3"/>
      <c r="B6068" s="3"/>
      <c r="C6068" s="3"/>
      <c r="D6068" s="3"/>
      <c r="E6068" s="3">
        <v>5</v>
      </c>
      <c r="F6068" s="4" t="str">
        <f>HYPERLINK("http://141.218.60.56/~jnz1568/getInfo.php?workbook=14_09.xlsx&amp;sheet=U0&amp;row=6068&amp;col=6&amp;number=3.4&amp;sourceID=14","3.4")</f>
        <v>3.4</v>
      </c>
      <c r="G6068" s="4" t="str">
        <f>HYPERLINK("http://141.218.60.56/~jnz1568/getInfo.php?workbook=14_09.xlsx&amp;sheet=U0&amp;row=6068&amp;col=7&amp;number=0.00051&amp;sourceID=14","0.00051")</f>
        <v>0.00051</v>
      </c>
    </row>
    <row r="6069" spans="1:7">
      <c r="A6069" s="3"/>
      <c r="B6069" s="3"/>
      <c r="C6069" s="3"/>
      <c r="D6069" s="3"/>
      <c r="E6069" s="3">
        <v>6</v>
      </c>
      <c r="F6069" s="4" t="str">
        <f>HYPERLINK("http://141.218.60.56/~jnz1568/getInfo.php?workbook=14_09.xlsx&amp;sheet=U0&amp;row=6069&amp;col=6&amp;number=3.5&amp;sourceID=14","3.5")</f>
        <v>3.5</v>
      </c>
      <c r="G6069" s="4" t="str">
        <f>HYPERLINK("http://141.218.60.56/~jnz1568/getInfo.php?workbook=14_09.xlsx&amp;sheet=U0&amp;row=6069&amp;col=7&amp;number=0.000508&amp;sourceID=14","0.000508")</f>
        <v>0.000508</v>
      </c>
    </row>
    <row r="6070" spans="1:7">
      <c r="A6070" s="3"/>
      <c r="B6070" s="3"/>
      <c r="C6070" s="3"/>
      <c r="D6070" s="3"/>
      <c r="E6070" s="3">
        <v>7</v>
      </c>
      <c r="F6070" s="4" t="str">
        <f>HYPERLINK("http://141.218.60.56/~jnz1568/getInfo.php?workbook=14_09.xlsx&amp;sheet=U0&amp;row=6070&amp;col=6&amp;number=3.6&amp;sourceID=14","3.6")</f>
        <v>3.6</v>
      </c>
      <c r="G6070" s="4" t="str">
        <f>HYPERLINK("http://141.218.60.56/~jnz1568/getInfo.php?workbook=14_09.xlsx&amp;sheet=U0&amp;row=6070&amp;col=7&amp;number=0.000505&amp;sourceID=14","0.000505")</f>
        <v>0.000505</v>
      </c>
    </row>
    <row r="6071" spans="1:7">
      <c r="A6071" s="3"/>
      <c r="B6071" s="3"/>
      <c r="C6071" s="3"/>
      <c r="D6071" s="3"/>
      <c r="E6071" s="3">
        <v>8</v>
      </c>
      <c r="F6071" s="4" t="str">
        <f>HYPERLINK("http://141.218.60.56/~jnz1568/getInfo.php?workbook=14_09.xlsx&amp;sheet=U0&amp;row=6071&amp;col=6&amp;number=3.7&amp;sourceID=14","3.7")</f>
        <v>3.7</v>
      </c>
      <c r="G6071" s="4" t="str">
        <f>HYPERLINK("http://141.218.60.56/~jnz1568/getInfo.php?workbook=14_09.xlsx&amp;sheet=U0&amp;row=6071&amp;col=7&amp;number=0.000502&amp;sourceID=14","0.000502")</f>
        <v>0.000502</v>
      </c>
    </row>
    <row r="6072" spans="1:7">
      <c r="A6072" s="3"/>
      <c r="B6072" s="3"/>
      <c r="C6072" s="3"/>
      <c r="D6072" s="3"/>
      <c r="E6072" s="3">
        <v>9</v>
      </c>
      <c r="F6072" s="4" t="str">
        <f>HYPERLINK("http://141.218.60.56/~jnz1568/getInfo.php?workbook=14_09.xlsx&amp;sheet=U0&amp;row=6072&amp;col=6&amp;number=3.8&amp;sourceID=14","3.8")</f>
        <v>3.8</v>
      </c>
      <c r="G6072" s="4" t="str">
        <f>HYPERLINK("http://141.218.60.56/~jnz1568/getInfo.php?workbook=14_09.xlsx&amp;sheet=U0&amp;row=6072&amp;col=7&amp;number=0.000498&amp;sourceID=14","0.000498")</f>
        <v>0.000498</v>
      </c>
    </row>
    <row r="6073" spans="1:7">
      <c r="A6073" s="3"/>
      <c r="B6073" s="3"/>
      <c r="C6073" s="3"/>
      <c r="D6073" s="3"/>
      <c r="E6073" s="3">
        <v>10</v>
      </c>
      <c r="F6073" s="4" t="str">
        <f>HYPERLINK("http://141.218.60.56/~jnz1568/getInfo.php?workbook=14_09.xlsx&amp;sheet=U0&amp;row=6073&amp;col=6&amp;number=3.9&amp;sourceID=14","3.9")</f>
        <v>3.9</v>
      </c>
      <c r="G6073" s="4" t="str">
        <f>HYPERLINK("http://141.218.60.56/~jnz1568/getInfo.php?workbook=14_09.xlsx&amp;sheet=U0&amp;row=6073&amp;col=7&amp;number=0.000493&amp;sourceID=14","0.000493")</f>
        <v>0.000493</v>
      </c>
    </row>
    <row r="6074" spans="1:7">
      <c r="A6074" s="3"/>
      <c r="B6074" s="3"/>
      <c r="C6074" s="3"/>
      <c r="D6074" s="3"/>
      <c r="E6074" s="3">
        <v>11</v>
      </c>
      <c r="F6074" s="4" t="str">
        <f>HYPERLINK("http://141.218.60.56/~jnz1568/getInfo.php?workbook=14_09.xlsx&amp;sheet=U0&amp;row=6074&amp;col=6&amp;number=4&amp;sourceID=14","4")</f>
        <v>4</v>
      </c>
      <c r="G6074" s="4" t="str">
        <f>HYPERLINK("http://141.218.60.56/~jnz1568/getInfo.php?workbook=14_09.xlsx&amp;sheet=U0&amp;row=6074&amp;col=7&amp;number=0.000487&amp;sourceID=14","0.000487")</f>
        <v>0.000487</v>
      </c>
    </row>
    <row r="6075" spans="1:7">
      <c r="A6075" s="3"/>
      <c r="B6075" s="3"/>
      <c r="C6075" s="3"/>
      <c r="D6075" s="3"/>
      <c r="E6075" s="3">
        <v>12</v>
      </c>
      <c r="F6075" s="4" t="str">
        <f>HYPERLINK("http://141.218.60.56/~jnz1568/getInfo.php?workbook=14_09.xlsx&amp;sheet=U0&amp;row=6075&amp;col=6&amp;number=4.1&amp;sourceID=14","4.1")</f>
        <v>4.1</v>
      </c>
      <c r="G6075" s="4" t="str">
        <f>HYPERLINK("http://141.218.60.56/~jnz1568/getInfo.php?workbook=14_09.xlsx&amp;sheet=U0&amp;row=6075&amp;col=7&amp;number=0.000479&amp;sourceID=14","0.000479")</f>
        <v>0.000479</v>
      </c>
    </row>
    <row r="6076" spans="1:7">
      <c r="A6076" s="3"/>
      <c r="B6076" s="3"/>
      <c r="C6076" s="3"/>
      <c r="D6076" s="3"/>
      <c r="E6076" s="3">
        <v>13</v>
      </c>
      <c r="F6076" s="4" t="str">
        <f>HYPERLINK("http://141.218.60.56/~jnz1568/getInfo.php?workbook=14_09.xlsx&amp;sheet=U0&amp;row=6076&amp;col=6&amp;number=4.2&amp;sourceID=14","4.2")</f>
        <v>4.2</v>
      </c>
      <c r="G6076" s="4" t="str">
        <f>HYPERLINK("http://141.218.60.56/~jnz1568/getInfo.php?workbook=14_09.xlsx&amp;sheet=U0&amp;row=6076&amp;col=7&amp;number=0.00047&amp;sourceID=14","0.00047")</f>
        <v>0.00047</v>
      </c>
    </row>
    <row r="6077" spans="1:7">
      <c r="A6077" s="3"/>
      <c r="B6077" s="3"/>
      <c r="C6077" s="3"/>
      <c r="D6077" s="3"/>
      <c r="E6077" s="3">
        <v>14</v>
      </c>
      <c r="F6077" s="4" t="str">
        <f>HYPERLINK("http://141.218.60.56/~jnz1568/getInfo.php?workbook=14_09.xlsx&amp;sheet=U0&amp;row=6077&amp;col=6&amp;number=4.3&amp;sourceID=14","4.3")</f>
        <v>4.3</v>
      </c>
      <c r="G6077" s="4" t="str">
        <f>HYPERLINK("http://141.218.60.56/~jnz1568/getInfo.php?workbook=14_09.xlsx&amp;sheet=U0&amp;row=6077&amp;col=7&amp;number=0.000459&amp;sourceID=14","0.000459")</f>
        <v>0.000459</v>
      </c>
    </row>
    <row r="6078" spans="1:7">
      <c r="A6078" s="3"/>
      <c r="B6078" s="3"/>
      <c r="C6078" s="3"/>
      <c r="D6078" s="3"/>
      <c r="E6078" s="3">
        <v>15</v>
      </c>
      <c r="F6078" s="4" t="str">
        <f>HYPERLINK("http://141.218.60.56/~jnz1568/getInfo.php?workbook=14_09.xlsx&amp;sheet=U0&amp;row=6078&amp;col=6&amp;number=4.4&amp;sourceID=14","4.4")</f>
        <v>4.4</v>
      </c>
      <c r="G6078" s="4" t="str">
        <f>HYPERLINK("http://141.218.60.56/~jnz1568/getInfo.php?workbook=14_09.xlsx&amp;sheet=U0&amp;row=6078&amp;col=7&amp;number=0.000445&amp;sourceID=14","0.000445")</f>
        <v>0.000445</v>
      </c>
    </row>
    <row r="6079" spans="1:7">
      <c r="A6079" s="3"/>
      <c r="B6079" s="3"/>
      <c r="C6079" s="3"/>
      <c r="D6079" s="3"/>
      <c r="E6079" s="3">
        <v>16</v>
      </c>
      <c r="F6079" s="4" t="str">
        <f>HYPERLINK("http://141.218.60.56/~jnz1568/getInfo.php?workbook=14_09.xlsx&amp;sheet=U0&amp;row=6079&amp;col=6&amp;number=4.5&amp;sourceID=14","4.5")</f>
        <v>4.5</v>
      </c>
      <c r="G6079" s="4" t="str">
        <f>HYPERLINK("http://141.218.60.56/~jnz1568/getInfo.php?workbook=14_09.xlsx&amp;sheet=U0&amp;row=6079&amp;col=7&amp;number=0.000429&amp;sourceID=14","0.000429")</f>
        <v>0.000429</v>
      </c>
    </row>
    <row r="6080" spans="1:7">
      <c r="A6080" s="3"/>
      <c r="B6080" s="3"/>
      <c r="C6080" s="3"/>
      <c r="D6080" s="3"/>
      <c r="E6080" s="3">
        <v>17</v>
      </c>
      <c r="F6080" s="4" t="str">
        <f>HYPERLINK("http://141.218.60.56/~jnz1568/getInfo.php?workbook=14_09.xlsx&amp;sheet=U0&amp;row=6080&amp;col=6&amp;number=4.6&amp;sourceID=14","4.6")</f>
        <v>4.6</v>
      </c>
      <c r="G6080" s="4" t="str">
        <f>HYPERLINK("http://141.218.60.56/~jnz1568/getInfo.php?workbook=14_09.xlsx&amp;sheet=U0&amp;row=6080&amp;col=7&amp;number=0.000412&amp;sourceID=14","0.000412")</f>
        <v>0.000412</v>
      </c>
    </row>
    <row r="6081" spans="1:7">
      <c r="A6081" s="3"/>
      <c r="B6081" s="3"/>
      <c r="C6081" s="3"/>
      <c r="D6081" s="3"/>
      <c r="E6081" s="3">
        <v>18</v>
      </c>
      <c r="F6081" s="4" t="str">
        <f>HYPERLINK("http://141.218.60.56/~jnz1568/getInfo.php?workbook=14_09.xlsx&amp;sheet=U0&amp;row=6081&amp;col=6&amp;number=4.7&amp;sourceID=14","4.7")</f>
        <v>4.7</v>
      </c>
      <c r="G6081" s="4" t="str">
        <f>HYPERLINK("http://141.218.60.56/~jnz1568/getInfo.php?workbook=14_09.xlsx&amp;sheet=U0&amp;row=6081&amp;col=7&amp;number=0.000393&amp;sourceID=14","0.000393")</f>
        <v>0.000393</v>
      </c>
    </row>
    <row r="6082" spans="1:7">
      <c r="A6082" s="3"/>
      <c r="B6082" s="3"/>
      <c r="C6082" s="3"/>
      <c r="D6082" s="3"/>
      <c r="E6082" s="3">
        <v>19</v>
      </c>
      <c r="F6082" s="4" t="str">
        <f>HYPERLINK("http://141.218.60.56/~jnz1568/getInfo.php?workbook=14_09.xlsx&amp;sheet=U0&amp;row=6082&amp;col=6&amp;number=4.8&amp;sourceID=14","4.8")</f>
        <v>4.8</v>
      </c>
      <c r="G6082" s="4" t="str">
        <f>HYPERLINK("http://141.218.60.56/~jnz1568/getInfo.php?workbook=14_09.xlsx&amp;sheet=U0&amp;row=6082&amp;col=7&amp;number=0.000375&amp;sourceID=14","0.000375")</f>
        <v>0.000375</v>
      </c>
    </row>
    <row r="6083" spans="1:7">
      <c r="A6083" s="3"/>
      <c r="B6083" s="3"/>
      <c r="C6083" s="3"/>
      <c r="D6083" s="3"/>
      <c r="E6083" s="3">
        <v>20</v>
      </c>
      <c r="F6083" s="4" t="str">
        <f>HYPERLINK("http://141.218.60.56/~jnz1568/getInfo.php?workbook=14_09.xlsx&amp;sheet=U0&amp;row=6083&amp;col=6&amp;number=4.9&amp;sourceID=14","4.9")</f>
        <v>4.9</v>
      </c>
      <c r="G6083" s="4" t="str">
        <f>HYPERLINK("http://141.218.60.56/~jnz1568/getInfo.php?workbook=14_09.xlsx&amp;sheet=U0&amp;row=6083&amp;col=7&amp;number=0.000359&amp;sourceID=14","0.000359")</f>
        <v>0.000359</v>
      </c>
    </row>
    <row r="6084" spans="1:7">
      <c r="A6084" s="3">
        <v>14</v>
      </c>
      <c r="B6084" s="3">
        <v>9</v>
      </c>
      <c r="C6084" s="3">
        <v>2</v>
      </c>
      <c r="D6084" s="3">
        <v>113</v>
      </c>
      <c r="E6084" s="3">
        <v>1</v>
      </c>
      <c r="F6084" s="4" t="str">
        <f>HYPERLINK("http://141.218.60.56/~jnz1568/getInfo.php?workbook=14_09.xlsx&amp;sheet=U0&amp;row=6084&amp;col=6&amp;number=3&amp;sourceID=14","3")</f>
        <v>3</v>
      </c>
      <c r="G6084" s="4" t="str">
        <f>HYPERLINK("http://141.218.60.56/~jnz1568/getInfo.php?workbook=14_09.xlsx&amp;sheet=U0&amp;row=6084&amp;col=7&amp;number=0.0143&amp;sourceID=14","0.0143")</f>
        <v>0.0143</v>
      </c>
    </row>
    <row r="6085" spans="1:7">
      <c r="A6085" s="3"/>
      <c r="B6085" s="3"/>
      <c r="C6085" s="3"/>
      <c r="D6085" s="3"/>
      <c r="E6085" s="3">
        <v>2</v>
      </c>
      <c r="F6085" s="4" t="str">
        <f>HYPERLINK("http://141.218.60.56/~jnz1568/getInfo.php?workbook=14_09.xlsx&amp;sheet=U0&amp;row=6085&amp;col=6&amp;number=3.1&amp;sourceID=14","3.1")</f>
        <v>3.1</v>
      </c>
      <c r="G6085" s="4" t="str">
        <f>HYPERLINK("http://141.218.60.56/~jnz1568/getInfo.php?workbook=14_09.xlsx&amp;sheet=U0&amp;row=6085&amp;col=7&amp;number=0.0143&amp;sourceID=14","0.0143")</f>
        <v>0.0143</v>
      </c>
    </row>
    <row r="6086" spans="1:7">
      <c r="A6086" s="3"/>
      <c r="B6086" s="3"/>
      <c r="C6086" s="3"/>
      <c r="D6086" s="3"/>
      <c r="E6086" s="3">
        <v>3</v>
      </c>
      <c r="F6086" s="4" t="str">
        <f>HYPERLINK("http://141.218.60.56/~jnz1568/getInfo.php?workbook=14_09.xlsx&amp;sheet=U0&amp;row=6086&amp;col=6&amp;number=3.2&amp;sourceID=14","3.2")</f>
        <v>3.2</v>
      </c>
      <c r="G6086" s="4" t="str">
        <f>HYPERLINK("http://141.218.60.56/~jnz1568/getInfo.php?workbook=14_09.xlsx&amp;sheet=U0&amp;row=6086&amp;col=7&amp;number=0.0143&amp;sourceID=14","0.0143")</f>
        <v>0.0143</v>
      </c>
    </row>
    <row r="6087" spans="1:7">
      <c r="A6087" s="3"/>
      <c r="B6087" s="3"/>
      <c r="C6087" s="3"/>
      <c r="D6087" s="3"/>
      <c r="E6087" s="3">
        <v>4</v>
      </c>
      <c r="F6087" s="4" t="str">
        <f>HYPERLINK("http://141.218.60.56/~jnz1568/getInfo.php?workbook=14_09.xlsx&amp;sheet=U0&amp;row=6087&amp;col=6&amp;number=3.3&amp;sourceID=14","3.3")</f>
        <v>3.3</v>
      </c>
      <c r="G6087" s="4" t="str">
        <f>HYPERLINK("http://141.218.60.56/~jnz1568/getInfo.php?workbook=14_09.xlsx&amp;sheet=U0&amp;row=6087&amp;col=7&amp;number=0.0143&amp;sourceID=14","0.0143")</f>
        <v>0.0143</v>
      </c>
    </row>
    <row r="6088" spans="1:7">
      <c r="A6088" s="3"/>
      <c r="B6088" s="3"/>
      <c r="C6088" s="3"/>
      <c r="D6088" s="3"/>
      <c r="E6088" s="3">
        <v>5</v>
      </c>
      <c r="F6088" s="4" t="str">
        <f>HYPERLINK("http://141.218.60.56/~jnz1568/getInfo.php?workbook=14_09.xlsx&amp;sheet=U0&amp;row=6088&amp;col=6&amp;number=3.4&amp;sourceID=14","3.4")</f>
        <v>3.4</v>
      </c>
      <c r="G6088" s="4" t="str">
        <f>HYPERLINK("http://141.218.60.56/~jnz1568/getInfo.php?workbook=14_09.xlsx&amp;sheet=U0&amp;row=6088&amp;col=7&amp;number=0.0142&amp;sourceID=14","0.0142")</f>
        <v>0.0142</v>
      </c>
    </row>
    <row r="6089" spans="1:7">
      <c r="A6089" s="3"/>
      <c r="B6089" s="3"/>
      <c r="C6089" s="3"/>
      <c r="D6089" s="3"/>
      <c r="E6089" s="3">
        <v>6</v>
      </c>
      <c r="F6089" s="4" t="str">
        <f>HYPERLINK("http://141.218.60.56/~jnz1568/getInfo.php?workbook=14_09.xlsx&amp;sheet=U0&amp;row=6089&amp;col=6&amp;number=3.5&amp;sourceID=14","3.5")</f>
        <v>3.5</v>
      </c>
      <c r="G6089" s="4" t="str">
        <f>HYPERLINK("http://141.218.60.56/~jnz1568/getInfo.php?workbook=14_09.xlsx&amp;sheet=U0&amp;row=6089&amp;col=7&amp;number=0.0142&amp;sourceID=14","0.0142")</f>
        <v>0.0142</v>
      </c>
    </row>
    <row r="6090" spans="1:7">
      <c r="A6090" s="3"/>
      <c r="B6090" s="3"/>
      <c r="C6090" s="3"/>
      <c r="D6090" s="3"/>
      <c r="E6090" s="3">
        <v>7</v>
      </c>
      <c r="F6090" s="4" t="str">
        <f>HYPERLINK("http://141.218.60.56/~jnz1568/getInfo.php?workbook=14_09.xlsx&amp;sheet=U0&amp;row=6090&amp;col=6&amp;number=3.6&amp;sourceID=14","3.6")</f>
        <v>3.6</v>
      </c>
      <c r="G6090" s="4" t="str">
        <f>HYPERLINK("http://141.218.60.56/~jnz1568/getInfo.php?workbook=14_09.xlsx&amp;sheet=U0&amp;row=6090&amp;col=7&amp;number=0.0141&amp;sourceID=14","0.0141")</f>
        <v>0.0141</v>
      </c>
    </row>
    <row r="6091" spans="1:7">
      <c r="A6091" s="3"/>
      <c r="B6091" s="3"/>
      <c r="C6091" s="3"/>
      <c r="D6091" s="3"/>
      <c r="E6091" s="3">
        <v>8</v>
      </c>
      <c r="F6091" s="4" t="str">
        <f>HYPERLINK("http://141.218.60.56/~jnz1568/getInfo.php?workbook=14_09.xlsx&amp;sheet=U0&amp;row=6091&amp;col=6&amp;number=3.7&amp;sourceID=14","3.7")</f>
        <v>3.7</v>
      </c>
      <c r="G6091" s="4" t="str">
        <f>HYPERLINK("http://141.218.60.56/~jnz1568/getInfo.php?workbook=14_09.xlsx&amp;sheet=U0&amp;row=6091&amp;col=7&amp;number=0.014&amp;sourceID=14","0.014")</f>
        <v>0.014</v>
      </c>
    </row>
    <row r="6092" spans="1:7">
      <c r="A6092" s="3"/>
      <c r="B6092" s="3"/>
      <c r="C6092" s="3"/>
      <c r="D6092" s="3"/>
      <c r="E6092" s="3">
        <v>9</v>
      </c>
      <c r="F6092" s="4" t="str">
        <f>HYPERLINK("http://141.218.60.56/~jnz1568/getInfo.php?workbook=14_09.xlsx&amp;sheet=U0&amp;row=6092&amp;col=6&amp;number=3.8&amp;sourceID=14","3.8")</f>
        <v>3.8</v>
      </c>
      <c r="G6092" s="4" t="str">
        <f>HYPERLINK("http://141.218.60.56/~jnz1568/getInfo.php?workbook=14_09.xlsx&amp;sheet=U0&amp;row=6092&amp;col=7&amp;number=0.0139&amp;sourceID=14","0.0139")</f>
        <v>0.0139</v>
      </c>
    </row>
    <row r="6093" spans="1:7">
      <c r="A6093" s="3"/>
      <c r="B6093" s="3"/>
      <c r="C6093" s="3"/>
      <c r="D6093" s="3"/>
      <c r="E6093" s="3">
        <v>10</v>
      </c>
      <c r="F6093" s="4" t="str">
        <f>HYPERLINK("http://141.218.60.56/~jnz1568/getInfo.php?workbook=14_09.xlsx&amp;sheet=U0&amp;row=6093&amp;col=6&amp;number=3.9&amp;sourceID=14","3.9")</f>
        <v>3.9</v>
      </c>
      <c r="G6093" s="4" t="str">
        <f>HYPERLINK("http://141.218.60.56/~jnz1568/getInfo.php?workbook=14_09.xlsx&amp;sheet=U0&amp;row=6093&amp;col=7&amp;number=0.0138&amp;sourceID=14","0.0138")</f>
        <v>0.0138</v>
      </c>
    </row>
    <row r="6094" spans="1:7">
      <c r="A6094" s="3"/>
      <c r="B6094" s="3"/>
      <c r="C6094" s="3"/>
      <c r="D6094" s="3"/>
      <c r="E6094" s="3">
        <v>11</v>
      </c>
      <c r="F6094" s="4" t="str">
        <f>HYPERLINK("http://141.218.60.56/~jnz1568/getInfo.php?workbook=14_09.xlsx&amp;sheet=U0&amp;row=6094&amp;col=6&amp;number=4&amp;sourceID=14","4")</f>
        <v>4</v>
      </c>
      <c r="G6094" s="4" t="str">
        <f>HYPERLINK("http://141.218.60.56/~jnz1568/getInfo.php?workbook=14_09.xlsx&amp;sheet=U0&amp;row=6094&amp;col=7&amp;number=0.0136&amp;sourceID=14","0.0136")</f>
        <v>0.0136</v>
      </c>
    </row>
    <row r="6095" spans="1:7">
      <c r="A6095" s="3"/>
      <c r="B6095" s="3"/>
      <c r="C6095" s="3"/>
      <c r="D6095" s="3"/>
      <c r="E6095" s="3">
        <v>12</v>
      </c>
      <c r="F6095" s="4" t="str">
        <f>HYPERLINK("http://141.218.60.56/~jnz1568/getInfo.php?workbook=14_09.xlsx&amp;sheet=U0&amp;row=6095&amp;col=6&amp;number=4.1&amp;sourceID=14","4.1")</f>
        <v>4.1</v>
      </c>
      <c r="G6095" s="4" t="str">
        <f>HYPERLINK("http://141.218.60.56/~jnz1568/getInfo.php?workbook=14_09.xlsx&amp;sheet=U0&amp;row=6095&amp;col=7&amp;number=0.0134&amp;sourceID=14","0.0134")</f>
        <v>0.0134</v>
      </c>
    </row>
    <row r="6096" spans="1:7">
      <c r="A6096" s="3"/>
      <c r="B6096" s="3"/>
      <c r="C6096" s="3"/>
      <c r="D6096" s="3"/>
      <c r="E6096" s="3">
        <v>13</v>
      </c>
      <c r="F6096" s="4" t="str">
        <f>HYPERLINK("http://141.218.60.56/~jnz1568/getInfo.php?workbook=14_09.xlsx&amp;sheet=U0&amp;row=6096&amp;col=6&amp;number=4.2&amp;sourceID=14","4.2")</f>
        <v>4.2</v>
      </c>
      <c r="G6096" s="4" t="str">
        <f>HYPERLINK("http://141.218.60.56/~jnz1568/getInfo.php?workbook=14_09.xlsx&amp;sheet=U0&amp;row=6096&amp;col=7&amp;number=0.0131&amp;sourceID=14","0.0131")</f>
        <v>0.0131</v>
      </c>
    </row>
    <row r="6097" spans="1:7">
      <c r="A6097" s="3"/>
      <c r="B6097" s="3"/>
      <c r="C6097" s="3"/>
      <c r="D6097" s="3"/>
      <c r="E6097" s="3">
        <v>14</v>
      </c>
      <c r="F6097" s="4" t="str">
        <f>HYPERLINK("http://141.218.60.56/~jnz1568/getInfo.php?workbook=14_09.xlsx&amp;sheet=U0&amp;row=6097&amp;col=6&amp;number=4.3&amp;sourceID=14","4.3")</f>
        <v>4.3</v>
      </c>
      <c r="G6097" s="4" t="str">
        <f>HYPERLINK("http://141.218.60.56/~jnz1568/getInfo.php?workbook=14_09.xlsx&amp;sheet=U0&amp;row=6097&amp;col=7&amp;number=0.0128&amp;sourceID=14","0.0128")</f>
        <v>0.0128</v>
      </c>
    </row>
    <row r="6098" spans="1:7">
      <c r="A6098" s="3"/>
      <c r="B6098" s="3"/>
      <c r="C6098" s="3"/>
      <c r="D6098" s="3"/>
      <c r="E6098" s="3">
        <v>15</v>
      </c>
      <c r="F6098" s="4" t="str">
        <f>HYPERLINK("http://141.218.60.56/~jnz1568/getInfo.php?workbook=14_09.xlsx&amp;sheet=U0&amp;row=6098&amp;col=6&amp;number=4.4&amp;sourceID=14","4.4")</f>
        <v>4.4</v>
      </c>
      <c r="G6098" s="4" t="str">
        <f>HYPERLINK("http://141.218.60.56/~jnz1568/getInfo.php?workbook=14_09.xlsx&amp;sheet=U0&amp;row=6098&amp;col=7&amp;number=0.0124&amp;sourceID=14","0.0124")</f>
        <v>0.0124</v>
      </c>
    </row>
    <row r="6099" spans="1:7">
      <c r="A6099" s="3"/>
      <c r="B6099" s="3"/>
      <c r="C6099" s="3"/>
      <c r="D6099" s="3"/>
      <c r="E6099" s="3">
        <v>16</v>
      </c>
      <c r="F6099" s="4" t="str">
        <f>HYPERLINK("http://141.218.60.56/~jnz1568/getInfo.php?workbook=14_09.xlsx&amp;sheet=U0&amp;row=6099&amp;col=6&amp;number=4.5&amp;sourceID=14","4.5")</f>
        <v>4.5</v>
      </c>
      <c r="G6099" s="4" t="str">
        <f>HYPERLINK("http://141.218.60.56/~jnz1568/getInfo.php?workbook=14_09.xlsx&amp;sheet=U0&amp;row=6099&amp;col=7&amp;number=0.012&amp;sourceID=14","0.012")</f>
        <v>0.012</v>
      </c>
    </row>
    <row r="6100" spans="1:7">
      <c r="A6100" s="3"/>
      <c r="B6100" s="3"/>
      <c r="C6100" s="3"/>
      <c r="D6100" s="3"/>
      <c r="E6100" s="3">
        <v>17</v>
      </c>
      <c r="F6100" s="4" t="str">
        <f>HYPERLINK("http://141.218.60.56/~jnz1568/getInfo.php?workbook=14_09.xlsx&amp;sheet=U0&amp;row=6100&amp;col=6&amp;number=4.6&amp;sourceID=14","4.6")</f>
        <v>4.6</v>
      </c>
      <c r="G6100" s="4" t="str">
        <f>HYPERLINK("http://141.218.60.56/~jnz1568/getInfo.php?workbook=14_09.xlsx&amp;sheet=U0&amp;row=6100&amp;col=7&amp;number=0.0114&amp;sourceID=14","0.0114")</f>
        <v>0.0114</v>
      </c>
    </row>
    <row r="6101" spans="1:7">
      <c r="A6101" s="3"/>
      <c r="B6101" s="3"/>
      <c r="C6101" s="3"/>
      <c r="D6101" s="3"/>
      <c r="E6101" s="3">
        <v>18</v>
      </c>
      <c r="F6101" s="4" t="str">
        <f>HYPERLINK("http://141.218.60.56/~jnz1568/getInfo.php?workbook=14_09.xlsx&amp;sheet=U0&amp;row=6101&amp;col=6&amp;number=4.7&amp;sourceID=14","4.7")</f>
        <v>4.7</v>
      </c>
      <c r="G6101" s="4" t="str">
        <f>HYPERLINK("http://141.218.60.56/~jnz1568/getInfo.php?workbook=14_09.xlsx&amp;sheet=U0&amp;row=6101&amp;col=7&amp;number=0.0107&amp;sourceID=14","0.0107")</f>
        <v>0.0107</v>
      </c>
    </row>
    <row r="6102" spans="1:7">
      <c r="A6102" s="3"/>
      <c r="B6102" s="3"/>
      <c r="C6102" s="3"/>
      <c r="D6102" s="3"/>
      <c r="E6102" s="3">
        <v>19</v>
      </c>
      <c r="F6102" s="4" t="str">
        <f>HYPERLINK("http://141.218.60.56/~jnz1568/getInfo.php?workbook=14_09.xlsx&amp;sheet=U0&amp;row=6102&amp;col=6&amp;number=4.8&amp;sourceID=14","4.8")</f>
        <v>4.8</v>
      </c>
      <c r="G6102" s="4" t="str">
        <f>HYPERLINK("http://141.218.60.56/~jnz1568/getInfo.php?workbook=14_09.xlsx&amp;sheet=U0&amp;row=6102&amp;col=7&amp;number=0.00987&amp;sourceID=14","0.00987")</f>
        <v>0.00987</v>
      </c>
    </row>
    <row r="6103" spans="1:7">
      <c r="A6103" s="3"/>
      <c r="B6103" s="3"/>
      <c r="C6103" s="3"/>
      <c r="D6103" s="3"/>
      <c r="E6103" s="3">
        <v>20</v>
      </c>
      <c r="F6103" s="4" t="str">
        <f>HYPERLINK("http://141.218.60.56/~jnz1568/getInfo.php?workbook=14_09.xlsx&amp;sheet=U0&amp;row=6103&amp;col=6&amp;number=4.9&amp;sourceID=14","4.9")</f>
        <v>4.9</v>
      </c>
      <c r="G6103" s="4" t="str">
        <f>HYPERLINK("http://141.218.60.56/~jnz1568/getInfo.php?workbook=14_09.xlsx&amp;sheet=U0&amp;row=6103&amp;col=7&amp;number=0.00896&amp;sourceID=14","0.00896")</f>
        <v>0.00896</v>
      </c>
    </row>
    <row r="6104" spans="1:7">
      <c r="A6104" s="3">
        <v>14</v>
      </c>
      <c r="B6104" s="3">
        <v>9</v>
      </c>
      <c r="C6104" s="3">
        <v>2</v>
      </c>
      <c r="D6104" s="3">
        <v>114</v>
      </c>
      <c r="E6104" s="3">
        <v>1</v>
      </c>
      <c r="F6104" s="4" t="str">
        <f>HYPERLINK("http://141.218.60.56/~jnz1568/getInfo.php?workbook=14_09.xlsx&amp;sheet=U0&amp;row=6104&amp;col=6&amp;number=3&amp;sourceID=14","3")</f>
        <v>3</v>
      </c>
      <c r="G6104" s="4" t="str">
        <f>HYPERLINK("http://141.218.60.56/~jnz1568/getInfo.php?workbook=14_09.xlsx&amp;sheet=U0&amp;row=6104&amp;col=7&amp;number=0.00178&amp;sourceID=14","0.00178")</f>
        <v>0.00178</v>
      </c>
    </row>
    <row r="6105" spans="1:7">
      <c r="A6105" s="3"/>
      <c r="B6105" s="3"/>
      <c r="C6105" s="3"/>
      <c r="D6105" s="3"/>
      <c r="E6105" s="3">
        <v>2</v>
      </c>
      <c r="F6105" s="4" t="str">
        <f>HYPERLINK("http://141.218.60.56/~jnz1568/getInfo.php?workbook=14_09.xlsx&amp;sheet=U0&amp;row=6105&amp;col=6&amp;number=3.1&amp;sourceID=14","3.1")</f>
        <v>3.1</v>
      </c>
      <c r="G6105" s="4" t="str">
        <f>HYPERLINK("http://141.218.60.56/~jnz1568/getInfo.php?workbook=14_09.xlsx&amp;sheet=U0&amp;row=6105&amp;col=7&amp;number=0.00177&amp;sourceID=14","0.00177")</f>
        <v>0.00177</v>
      </c>
    </row>
    <row r="6106" spans="1:7">
      <c r="A6106" s="3"/>
      <c r="B6106" s="3"/>
      <c r="C6106" s="3"/>
      <c r="D6106" s="3"/>
      <c r="E6106" s="3">
        <v>3</v>
      </c>
      <c r="F6106" s="4" t="str">
        <f>HYPERLINK("http://141.218.60.56/~jnz1568/getInfo.php?workbook=14_09.xlsx&amp;sheet=U0&amp;row=6106&amp;col=6&amp;number=3.2&amp;sourceID=14","3.2")</f>
        <v>3.2</v>
      </c>
      <c r="G6106" s="4" t="str">
        <f>HYPERLINK("http://141.218.60.56/~jnz1568/getInfo.php?workbook=14_09.xlsx&amp;sheet=U0&amp;row=6106&amp;col=7&amp;number=0.00177&amp;sourceID=14","0.00177")</f>
        <v>0.00177</v>
      </c>
    </row>
    <row r="6107" spans="1:7">
      <c r="A6107" s="3"/>
      <c r="B6107" s="3"/>
      <c r="C6107" s="3"/>
      <c r="D6107" s="3"/>
      <c r="E6107" s="3">
        <v>4</v>
      </c>
      <c r="F6107" s="4" t="str">
        <f>HYPERLINK("http://141.218.60.56/~jnz1568/getInfo.php?workbook=14_09.xlsx&amp;sheet=U0&amp;row=6107&amp;col=6&amp;number=3.3&amp;sourceID=14","3.3")</f>
        <v>3.3</v>
      </c>
      <c r="G6107" s="4" t="str">
        <f>HYPERLINK("http://141.218.60.56/~jnz1568/getInfo.php?workbook=14_09.xlsx&amp;sheet=U0&amp;row=6107&amp;col=7&amp;number=0.00176&amp;sourceID=14","0.00176")</f>
        <v>0.00176</v>
      </c>
    </row>
    <row r="6108" spans="1:7">
      <c r="A6108" s="3"/>
      <c r="B6108" s="3"/>
      <c r="C6108" s="3"/>
      <c r="D6108" s="3"/>
      <c r="E6108" s="3">
        <v>5</v>
      </c>
      <c r="F6108" s="4" t="str">
        <f>HYPERLINK("http://141.218.60.56/~jnz1568/getInfo.php?workbook=14_09.xlsx&amp;sheet=U0&amp;row=6108&amp;col=6&amp;number=3.4&amp;sourceID=14","3.4")</f>
        <v>3.4</v>
      </c>
      <c r="G6108" s="4" t="str">
        <f>HYPERLINK("http://141.218.60.56/~jnz1568/getInfo.php?workbook=14_09.xlsx&amp;sheet=U0&amp;row=6108&amp;col=7&amp;number=0.00176&amp;sourceID=14","0.00176")</f>
        <v>0.00176</v>
      </c>
    </row>
    <row r="6109" spans="1:7">
      <c r="A6109" s="3"/>
      <c r="B6109" s="3"/>
      <c r="C6109" s="3"/>
      <c r="D6109" s="3"/>
      <c r="E6109" s="3">
        <v>6</v>
      </c>
      <c r="F6109" s="4" t="str">
        <f>HYPERLINK("http://141.218.60.56/~jnz1568/getInfo.php?workbook=14_09.xlsx&amp;sheet=U0&amp;row=6109&amp;col=6&amp;number=3.5&amp;sourceID=14","3.5")</f>
        <v>3.5</v>
      </c>
      <c r="G6109" s="4" t="str">
        <f>HYPERLINK("http://141.218.60.56/~jnz1568/getInfo.php?workbook=14_09.xlsx&amp;sheet=U0&amp;row=6109&amp;col=7&amp;number=0.00175&amp;sourceID=14","0.00175")</f>
        <v>0.00175</v>
      </c>
    </row>
    <row r="6110" spans="1:7">
      <c r="A6110" s="3"/>
      <c r="B6110" s="3"/>
      <c r="C6110" s="3"/>
      <c r="D6110" s="3"/>
      <c r="E6110" s="3">
        <v>7</v>
      </c>
      <c r="F6110" s="4" t="str">
        <f>HYPERLINK("http://141.218.60.56/~jnz1568/getInfo.php?workbook=14_09.xlsx&amp;sheet=U0&amp;row=6110&amp;col=6&amp;number=3.6&amp;sourceID=14","3.6")</f>
        <v>3.6</v>
      </c>
      <c r="G6110" s="4" t="str">
        <f>HYPERLINK("http://141.218.60.56/~jnz1568/getInfo.php?workbook=14_09.xlsx&amp;sheet=U0&amp;row=6110&amp;col=7&amp;number=0.00174&amp;sourceID=14","0.00174")</f>
        <v>0.00174</v>
      </c>
    </row>
    <row r="6111" spans="1:7">
      <c r="A6111" s="3"/>
      <c r="B6111" s="3"/>
      <c r="C6111" s="3"/>
      <c r="D6111" s="3"/>
      <c r="E6111" s="3">
        <v>8</v>
      </c>
      <c r="F6111" s="4" t="str">
        <f>HYPERLINK("http://141.218.60.56/~jnz1568/getInfo.php?workbook=14_09.xlsx&amp;sheet=U0&amp;row=6111&amp;col=6&amp;number=3.7&amp;sourceID=14","3.7")</f>
        <v>3.7</v>
      </c>
      <c r="G6111" s="4" t="str">
        <f>HYPERLINK("http://141.218.60.56/~jnz1568/getInfo.php?workbook=14_09.xlsx&amp;sheet=U0&amp;row=6111&amp;col=7&amp;number=0.00173&amp;sourceID=14","0.00173")</f>
        <v>0.00173</v>
      </c>
    </row>
    <row r="6112" spans="1:7">
      <c r="A6112" s="3"/>
      <c r="B6112" s="3"/>
      <c r="C6112" s="3"/>
      <c r="D6112" s="3"/>
      <c r="E6112" s="3">
        <v>9</v>
      </c>
      <c r="F6112" s="4" t="str">
        <f>HYPERLINK("http://141.218.60.56/~jnz1568/getInfo.php?workbook=14_09.xlsx&amp;sheet=U0&amp;row=6112&amp;col=6&amp;number=3.8&amp;sourceID=14","3.8")</f>
        <v>3.8</v>
      </c>
      <c r="G6112" s="4" t="str">
        <f>HYPERLINK("http://141.218.60.56/~jnz1568/getInfo.php?workbook=14_09.xlsx&amp;sheet=U0&amp;row=6112&amp;col=7&amp;number=0.00172&amp;sourceID=14","0.00172")</f>
        <v>0.00172</v>
      </c>
    </row>
    <row r="6113" spans="1:7">
      <c r="A6113" s="3"/>
      <c r="B6113" s="3"/>
      <c r="C6113" s="3"/>
      <c r="D6113" s="3"/>
      <c r="E6113" s="3">
        <v>10</v>
      </c>
      <c r="F6113" s="4" t="str">
        <f>HYPERLINK("http://141.218.60.56/~jnz1568/getInfo.php?workbook=14_09.xlsx&amp;sheet=U0&amp;row=6113&amp;col=6&amp;number=3.9&amp;sourceID=14","3.9")</f>
        <v>3.9</v>
      </c>
      <c r="G6113" s="4" t="str">
        <f>HYPERLINK("http://141.218.60.56/~jnz1568/getInfo.php?workbook=14_09.xlsx&amp;sheet=U0&amp;row=6113&amp;col=7&amp;number=0.0017&amp;sourceID=14","0.0017")</f>
        <v>0.0017</v>
      </c>
    </row>
    <row r="6114" spans="1:7">
      <c r="A6114" s="3"/>
      <c r="B6114" s="3"/>
      <c r="C6114" s="3"/>
      <c r="D6114" s="3"/>
      <c r="E6114" s="3">
        <v>11</v>
      </c>
      <c r="F6114" s="4" t="str">
        <f>HYPERLINK("http://141.218.60.56/~jnz1568/getInfo.php?workbook=14_09.xlsx&amp;sheet=U0&amp;row=6114&amp;col=6&amp;number=4&amp;sourceID=14","4")</f>
        <v>4</v>
      </c>
      <c r="G6114" s="4" t="str">
        <f>HYPERLINK("http://141.218.60.56/~jnz1568/getInfo.php?workbook=14_09.xlsx&amp;sheet=U0&amp;row=6114&amp;col=7&amp;number=0.00168&amp;sourceID=14","0.00168")</f>
        <v>0.00168</v>
      </c>
    </row>
    <row r="6115" spans="1:7">
      <c r="A6115" s="3"/>
      <c r="B6115" s="3"/>
      <c r="C6115" s="3"/>
      <c r="D6115" s="3"/>
      <c r="E6115" s="3">
        <v>12</v>
      </c>
      <c r="F6115" s="4" t="str">
        <f>HYPERLINK("http://141.218.60.56/~jnz1568/getInfo.php?workbook=14_09.xlsx&amp;sheet=U0&amp;row=6115&amp;col=6&amp;number=4.1&amp;sourceID=14","4.1")</f>
        <v>4.1</v>
      </c>
      <c r="G6115" s="4" t="str">
        <f>HYPERLINK("http://141.218.60.56/~jnz1568/getInfo.php?workbook=14_09.xlsx&amp;sheet=U0&amp;row=6115&amp;col=7&amp;number=0.00165&amp;sourceID=14","0.00165")</f>
        <v>0.00165</v>
      </c>
    </row>
    <row r="6116" spans="1:7">
      <c r="A6116" s="3"/>
      <c r="B6116" s="3"/>
      <c r="C6116" s="3"/>
      <c r="D6116" s="3"/>
      <c r="E6116" s="3">
        <v>13</v>
      </c>
      <c r="F6116" s="4" t="str">
        <f>HYPERLINK("http://141.218.60.56/~jnz1568/getInfo.php?workbook=14_09.xlsx&amp;sheet=U0&amp;row=6116&amp;col=6&amp;number=4.2&amp;sourceID=14","4.2")</f>
        <v>4.2</v>
      </c>
      <c r="G6116" s="4" t="str">
        <f>HYPERLINK("http://141.218.60.56/~jnz1568/getInfo.php?workbook=14_09.xlsx&amp;sheet=U0&amp;row=6116&amp;col=7&amp;number=0.00161&amp;sourceID=14","0.00161")</f>
        <v>0.00161</v>
      </c>
    </row>
    <row r="6117" spans="1:7">
      <c r="A6117" s="3"/>
      <c r="B6117" s="3"/>
      <c r="C6117" s="3"/>
      <c r="D6117" s="3"/>
      <c r="E6117" s="3">
        <v>14</v>
      </c>
      <c r="F6117" s="4" t="str">
        <f>HYPERLINK("http://141.218.60.56/~jnz1568/getInfo.php?workbook=14_09.xlsx&amp;sheet=U0&amp;row=6117&amp;col=6&amp;number=4.3&amp;sourceID=14","4.3")</f>
        <v>4.3</v>
      </c>
      <c r="G6117" s="4" t="str">
        <f>HYPERLINK("http://141.218.60.56/~jnz1568/getInfo.php?workbook=14_09.xlsx&amp;sheet=U0&amp;row=6117&amp;col=7&amp;number=0.00157&amp;sourceID=14","0.00157")</f>
        <v>0.00157</v>
      </c>
    </row>
    <row r="6118" spans="1:7">
      <c r="A6118" s="3"/>
      <c r="B6118" s="3"/>
      <c r="C6118" s="3"/>
      <c r="D6118" s="3"/>
      <c r="E6118" s="3">
        <v>15</v>
      </c>
      <c r="F6118" s="4" t="str">
        <f>HYPERLINK("http://141.218.60.56/~jnz1568/getInfo.php?workbook=14_09.xlsx&amp;sheet=U0&amp;row=6118&amp;col=6&amp;number=4.4&amp;sourceID=14","4.4")</f>
        <v>4.4</v>
      </c>
      <c r="G6118" s="4" t="str">
        <f>HYPERLINK("http://141.218.60.56/~jnz1568/getInfo.php?workbook=14_09.xlsx&amp;sheet=U0&amp;row=6118&amp;col=7&amp;number=0.00152&amp;sourceID=14","0.00152")</f>
        <v>0.00152</v>
      </c>
    </row>
    <row r="6119" spans="1:7">
      <c r="A6119" s="3"/>
      <c r="B6119" s="3"/>
      <c r="C6119" s="3"/>
      <c r="D6119" s="3"/>
      <c r="E6119" s="3">
        <v>16</v>
      </c>
      <c r="F6119" s="4" t="str">
        <f>HYPERLINK("http://141.218.60.56/~jnz1568/getInfo.php?workbook=14_09.xlsx&amp;sheet=U0&amp;row=6119&amp;col=6&amp;number=4.5&amp;sourceID=14","4.5")</f>
        <v>4.5</v>
      </c>
      <c r="G6119" s="4" t="str">
        <f>HYPERLINK("http://141.218.60.56/~jnz1568/getInfo.php?workbook=14_09.xlsx&amp;sheet=U0&amp;row=6119&amp;col=7&amp;number=0.00145&amp;sourceID=14","0.00145")</f>
        <v>0.00145</v>
      </c>
    </row>
    <row r="6120" spans="1:7">
      <c r="A6120" s="3"/>
      <c r="B6120" s="3"/>
      <c r="C6120" s="3"/>
      <c r="D6120" s="3"/>
      <c r="E6120" s="3">
        <v>17</v>
      </c>
      <c r="F6120" s="4" t="str">
        <f>HYPERLINK("http://141.218.60.56/~jnz1568/getInfo.php?workbook=14_09.xlsx&amp;sheet=U0&amp;row=6120&amp;col=6&amp;number=4.6&amp;sourceID=14","4.6")</f>
        <v>4.6</v>
      </c>
      <c r="G6120" s="4" t="str">
        <f>HYPERLINK("http://141.218.60.56/~jnz1568/getInfo.php?workbook=14_09.xlsx&amp;sheet=U0&amp;row=6120&amp;col=7&amp;number=0.00138&amp;sourceID=14","0.00138")</f>
        <v>0.00138</v>
      </c>
    </row>
    <row r="6121" spans="1:7">
      <c r="A6121" s="3"/>
      <c r="B6121" s="3"/>
      <c r="C6121" s="3"/>
      <c r="D6121" s="3"/>
      <c r="E6121" s="3">
        <v>18</v>
      </c>
      <c r="F6121" s="4" t="str">
        <f>HYPERLINK("http://141.218.60.56/~jnz1568/getInfo.php?workbook=14_09.xlsx&amp;sheet=U0&amp;row=6121&amp;col=6&amp;number=4.7&amp;sourceID=14","4.7")</f>
        <v>4.7</v>
      </c>
      <c r="G6121" s="4" t="str">
        <f>HYPERLINK("http://141.218.60.56/~jnz1568/getInfo.php?workbook=14_09.xlsx&amp;sheet=U0&amp;row=6121&amp;col=7&amp;number=0.00129&amp;sourceID=14","0.00129")</f>
        <v>0.00129</v>
      </c>
    </row>
    <row r="6122" spans="1:7">
      <c r="A6122" s="3"/>
      <c r="B6122" s="3"/>
      <c r="C6122" s="3"/>
      <c r="D6122" s="3"/>
      <c r="E6122" s="3">
        <v>19</v>
      </c>
      <c r="F6122" s="4" t="str">
        <f>HYPERLINK("http://141.218.60.56/~jnz1568/getInfo.php?workbook=14_09.xlsx&amp;sheet=U0&amp;row=6122&amp;col=6&amp;number=4.8&amp;sourceID=14","4.8")</f>
        <v>4.8</v>
      </c>
      <c r="G6122" s="4" t="str">
        <f>HYPERLINK("http://141.218.60.56/~jnz1568/getInfo.php?workbook=14_09.xlsx&amp;sheet=U0&amp;row=6122&amp;col=7&amp;number=0.00119&amp;sourceID=14","0.00119")</f>
        <v>0.00119</v>
      </c>
    </row>
    <row r="6123" spans="1:7">
      <c r="A6123" s="3"/>
      <c r="B6123" s="3"/>
      <c r="C6123" s="3"/>
      <c r="D6123" s="3"/>
      <c r="E6123" s="3">
        <v>20</v>
      </c>
      <c r="F6123" s="4" t="str">
        <f>HYPERLINK("http://141.218.60.56/~jnz1568/getInfo.php?workbook=14_09.xlsx&amp;sheet=U0&amp;row=6123&amp;col=6&amp;number=4.9&amp;sourceID=14","4.9")</f>
        <v>4.9</v>
      </c>
      <c r="G6123" s="4" t="str">
        <f>HYPERLINK("http://141.218.60.56/~jnz1568/getInfo.php?workbook=14_09.xlsx&amp;sheet=U0&amp;row=6123&amp;col=7&amp;number=0.00108&amp;sourceID=14","0.00108")</f>
        <v>0.00108</v>
      </c>
    </row>
    <row r="6124" spans="1:7">
      <c r="A6124" s="3">
        <v>14</v>
      </c>
      <c r="B6124" s="3">
        <v>9</v>
      </c>
      <c r="C6124" s="3">
        <v>2</v>
      </c>
      <c r="D6124" s="3">
        <v>115</v>
      </c>
      <c r="E6124" s="3">
        <v>1</v>
      </c>
      <c r="F6124" s="4" t="str">
        <f>HYPERLINK("http://141.218.60.56/~jnz1568/getInfo.php?workbook=14_09.xlsx&amp;sheet=U0&amp;row=6124&amp;col=6&amp;number=3&amp;sourceID=14","3")</f>
        <v>3</v>
      </c>
      <c r="G6124" s="4" t="str">
        <f>HYPERLINK("http://141.218.60.56/~jnz1568/getInfo.php?workbook=14_09.xlsx&amp;sheet=U0&amp;row=6124&amp;col=7&amp;number=0.019&amp;sourceID=14","0.019")</f>
        <v>0.019</v>
      </c>
    </row>
    <row r="6125" spans="1:7">
      <c r="A6125" s="3"/>
      <c r="B6125" s="3"/>
      <c r="C6125" s="3"/>
      <c r="D6125" s="3"/>
      <c r="E6125" s="3">
        <v>2</v>
      </c>
      <c r="F6125" s="4" t="str">
        <f>HYPERLINK("http://141.218.60.56/~jnz1568/getInfo.php?workbook=14_09.xlsx&amp;sheet=U0&amp;row=6125&amp;col=6&amp;number=3.1&amp;sourceID=14","3.1")</f>
        <v>3.1</v>
      </c>
      <c r="G6125" s="4" t="str">
        <f>HYPERLINK("http://141.218.60.56/~jnz1568/getInfo.php?workbook=14_09.xlsx&amp;sheet=U0&amp;row=6125&amp;col=7&amp;number=0.019&amp;sourceID=14","0.019")</f>
        <v>0.019</v>
      </c>
    </row>
    <row r="6126" spans="1:7">
      <c r="A6126" s="3"/>
      <c r="B6126" s="3"/>
      <c r="C6126" s="3"/>
      <c r="D6126" s="3"/>
      <c r="E6126" s="3">
        <v>3</v>
      </c>
      <c r="F6126" s="4" t="str">
        <f>HYPERLINK("http://141.218.60.56/~jnz1568/getInfo.php?workbook=14_09.xlsx&amp;sheet=U0&amp;row=6126&amp;col=6&amp;number=3.2&amp;sourceID=14","3.2")</f>
        <v>3.2</v>
      </c>
      <c r="G6126" s="4" t="str">
        <f>HYPERLINK("http://141.218.60.56/~jnz1568/getInfo.php?workbook=14_09.xlsx&amp;sheet=U0&amp;row=6126&amp;col=7&amp;number=0.0189&amp;sourceID=14","0.0189")</f>
        <v>0.0189</v>
      </c>
    </row>
    <row r="6127" spans="1:7">
      <c r="A6127" s="3"/>
      <c r="B6127" s="3"/>
      <c r="C6127" s="3"/>
      <c r="D6127" s="3"/>
      <c r="E6127" s="3">
        <v>4</v>
      </c>
      <c r="F6127" s="4" t="str">
        <f>HYPERLINK("http://141.218.60.56/~jnz1568/getInfo.php?workbook=14_09.xlsx&amp;sheet=U0&amp;row=6127&amp;col=6&amp;number=3.3&amp;sourceID=14","3.3")</f>
        <v>3.3</v>
      </c>
      <c r="G6127" s="4" t="str">
        <f>HYPERLINK("http://141.218.60.56/~jnz1568/getInfo.php?workbook=14_09.xlsx&amp;sheet=U0&amp;row=6127&amp;col=7&amp;number=0.0189&amp;sourceID=14","0.0189")</f>
        <v>0.0189</v>
      </c>
    </row>
    <row r="6128" spans="1:7">
      <c r="A6128" s="3"/>
      <c r="B6128" s="3"/>
      <c r="C6128" s="3"/>
      <c r="D6128" s="3"/>
      <c r="E6128" s="3">
        <v>5</v>
      </c>
      <c r="F6128" s="4" t="str">
        <f>HYPERLINK("http://141.218.60.56/~jnz1568/getInfo.php?workbook=14_09.xlsx&amp;sheet=U0&amp;row=6128&amp;col=6&amp;number=3.4&amp;sourceID=14","3.4")</f>
        <v>3.4</v>
      </c>
      <c r="G6128" s="4" t="str">
        <f>HYPERLINK("http://141.218.60.56/~jnz1568/getInfo.php?workbook=14_09.xlsx&amp;sheet=U0&amp;row=6128&amp;col=7&amp;number=0.0188&amp;sourceID=14","0.0188")</f>
        <v>0.0188</v>
      </c>
    </row>
    <row r="6129" spans="1:7">
      <c r="A6129" s="3"/>
      <c r="B6129" s="3"/>
      <c r="C6129" s="3"/>
      <c r="D6129" s="3"/>
      <c r="E6129" s="3">
        <v>6</v>
      </c>
      <c r="F6129" s="4" t="str">
        <f>HYPERLINK("http://141.218.60.56/~jnz1568/getInfo.php?workbook=14_09.xlsx&amp;sheet=U0&amp;row=6129&amp;col=6&amp;number=3.5&amp;sourceID=14","3.5")</f>
        <v>3.5</v>
      </c>
      <c r="G6129" s="4" t="str">
        <f>HYPERLINK("http://141.218.60.56/~jnz1568/getInfo.php?workbook=14_09.xlsx&amp;sheet=U0&amp;row=6129&amp;col=7&amp;number=0.0187&amp;sourceID=14","0.0187")</f>
        <v>0.0187</v>
      </c>
    </row>
    <row r="6130" spans="1:7">
      <c r="A6130" s="3"/>
      <c r="B6130" s="3"/>
      <c r="C6130" s="3"/>
      <c r="D6130" s="3"/>
      <c r="E6130" s="3">
        <v>7</v>
      </c>
      <c r="F6130" s="4" t="str">
        <f>HYPERLINK("http://141.218.60.56/~jnz1568/getInfo.php?workbook=14_09.xlsx&amp;sheet=U0&amp;row=6130&amp;col=6&amp;number=3.6&amp;sourceID=14","3.6")</f>
        <v>3.6</v>
      </c>
      <c r="G6130" s="4" t="str">
        <f>HYPERLINK("http://141.218.60.56/~jnz1568/getInfo.php?workbook=14_09.xlsx&amp;sheet=U0&amp;row=6130&amp;col=7&amp;number=0.0186&amp;sourceID=14","0.0186")</f>
        <v>0.0186</v>
      </c>
    </row>
    <row r="6131" spans="1:7">
      <c r="A6131" s="3"/>
      <c r="B6131" s="3"/>
      <c r="C6131" s="3"/>
      <c r="D6131" s="3"/>
      <c r="E6131" s="3">
        <v>8</v>
      </c>
      <c r="F6131" s="4" t="str">
        <f>HYPERLINK("http://141.218.60.56/~jnz1568/getInfo.php?workbook=14_09.xlsx&amp;sheet=U0&amp;row=6131&amp;col=6&amp;number=3.7&amp;sourceID=14","3.7")</f>
        <v>3.7</v>
      </c>
      <c r="G6131" s="4" t="str">
        <f>HYPERLINK("http://141.218.60.56/~jnz1568/getInfo.php?workbook=14_09.xlsx&amp;sheet=U0&amp;row=6131&amp;col=7&amp;number=0.0184&amp;sourceID=14","0.0184")</f>
        <v>0.0184</v>
      </c>
    </row>
    <row r="6132" spans="1:7">
      <c r="A6132" s="3"/>
      <c r="B6132" s="3"/>
      <c r="C6132" s="3"/>
      <c r="D6132" s="3"/>
      <c r="E6132" s="3">
        <v>9</v>
      </c>
      <c r="F6132" s="4" t="str">
        <f>HYPERLINK("http://141.218.60.56/~jnz1568/getInfo.php?workbook=14_09.xlsx&amp;sheet=U0&amp;row=6132&amp;col=6&amp;number=3.8&amp;sourceID=14","3.8")</f>
        <v>3.8</v>
      </c>
      <c r="G6132" s="4" t="str">
        <f>HYPERLINK("http://141.218.60.56/~jnz1568/getInfo.php?workbook=14_09.xlsx&amp;sheet=U0&amp;row=6132&amp;col=7&amp;number=0.0182&amp;sourceID=14","0.0182")</f>
        <v>0.0182</v>
      </c>
    </row>
    <row r="6133" spans="1:7">
      <c r="A6133" s="3"/>
      <c r="B6133" s="3"/>
      <c r="C6133" s="3"/>
      <c r="D6133" s="3"/>
      <c r="E6133" s="3">
        <v>10</v>
      </c>
      <c r="F6133" s="4" t="str">
        <f>HYPERLINK("http://141.218.60.56/~jnz1568/getInfo.php?workbook=14_09.xlsx&amp;sheet=U0&amp;row=6133&amp;col=6&amp;number=3.9&amp;sourceID=14","3.9")</f>
        <v>3.9</v>
      </c>
      <c r="G6133" s="4" t="str">
        <f>HYPERLINK("http://141.218.60.56/~jnz1568/getInfo.php?workbook=14_09.xlsx&amp;sheet=U0&amp;row=6133&amp;col=7&amp;number=0.0179&amp;sourceID=14","0.0179")</f>
        <v>0.0179</v>
      </c>
    </row>
    <row r="6134" spans="1:7">
      <c r="A6134" s="3"/>
      <c r="B6134" s="3"/>
      <c r="C6134" s="3"/>
      <c r="D6134" s="3"/>
      <c r="E6134" s="3">
        <v>11</v>
      </c>
      <c r="F6134" s="4" t="str">
        <f>HYPERLINK("http://141.218.60.56/~jnz1568/getInfo.php?workbook=14_09.xlsx&amp;sheet=U0&amp;row=6134&amp;col=6&amp;number=4&amp;sourceID=14","4")</f>
        <v>4</v>
      </c>
      <c r="G6134" s="4" t="str">
        <f>HYPERLINK("http://141.218.60.56/~jnz1568/getInfo.php?workbook=14_09.xlsx&amp;sheet=U0&amp;row=6134&amp;col=7&amp;number=0.0176&amp;sourceID=14","0.0176")</f>
        <v>0.0176</v>
      </c>
    </row>
    <row r="6135" spans="1:7">
      <c r="A6135" s="3"/>
      <c r="B6135" s="3"/>
      <c r="C6135" s="3"/>
      <c r="D6135" s="3"/>
      <c r="E6135" s="3">
        <v>12</v>
      </c>
      <c r="F6135" s="4" t="str">
        <f>HYPERLINK("http://141.218.60.56/~jnz1568/getInfo.php?workbook=14_09.xlsx&amp;sheet=U0&amp;row=6135&amp;col=6&amp;number=4.1&amp;sourceID=14","4.1")</f>
        <v>4.1</v>
      </c>
      <c r="G6135" s="4" t="str">
        <f>HYPERLINK("http://141.218.60.56/~jnz1568/getInfo.php?workbook=14_09.xlsx&amp;sheet=U0&amp;row=6135&amp;col=7&amp;number=0.0172&amp;sourceID=14","0.0172")</f>
        <v>0.0172</v>
      </c>
    </row>
    <row r="6136" spans="1:7">
      <c r="A6136" s="3"/>
      <c r="B6136" s="3"/>
      <c r="C6136" s="3"/>
      <c r="D6136" s="3"/>
      <c r="E6136" s="3">
        <v>13</v>
      </c>
      <c r="F6136" s="4" t="str">
        <f>HYPERLINK("http://141.218.60.56/~jnz1568/getInfo.php?workbook=14_09.xlsx&amp;sheet=U0&amp;row=6136&amp;col=6&amp;number=4.2&amp;sourceID=14","4.2")</f>
        <v>4.2</v>
      </c>
      <c r="G6136" s="4" t="str">
        <f>HYPERLINK("http://141.218.60.56/~jnz1568/getInfo.php?workbook=14_09.xlsx&amp;sheet=U0&amp;row=6136&amp;col=7&amp;number=0.0168&amp;sourceID=14","0.0168")</f>
        <v>0.0168</v>
      </c>
    </row>
    <row r="6137" spans="1:7">
      <c r="A6137" s="3"/>
      <c r="B6137" s="3"/>
      <c r="C6137" s="3"/>
      <c r="D6137" s="3"/>
      <c r="E6137" s="3">
        <v>14</v>
      </c>
      <c r="F6137" s="4" t="str">
        <f>HYPERLINK("http://141.218.60.56/~jnz1568/getInfo.php?workbook=14_09.xlsx&amp;sheet=U0&amp;row=6137&amp;col=6&amp;number=4.3&amp;sourceID=14","4.3")</f>
        <v>4.3</v>
      </c>
      <c r="G6137" s="4" t="str">
        <f>HYPERLINK("http://141.218.60.56/~jnz1568/getInfo.php?workbook=14_09.xlsx&amp;sheet=U0&amp;row=6137&amp;col=7&amp;number=0.0162&amp;sourceID=14","0.0162")</f>
        <v>0.0162</v>
      </c>
    </row>
    <row r="6138" spans="1:7">
      <c r="A6138" s="3"/>
      <c r="B6138" s="3"/>
      <c r="C6138" s="3"/>
      <c r="D6138" s="3"/>
      <c r="E6138" s="3">
        <v>15</v>
      </c>
      <c r="F6138" s="4" t="str">
        <f>HYPERLINK("http://141.218.60.56/~jnz1568/getInfo.php?workbook=14_09.xlsx&amp;sheet=U0&amp;row=6138&amp;col=6&amp;number=4.4&amp;sourceID=14","4.4")</f>
        <v>4.4</v>
      </c>
      <c r="G6138" s="4" t="str">
        <f>HYPERLINK("http://141.218.60.56/~jnz1568/getInfo.php?workbook=14_09.xlsx&amp;sheet=U0&amp;row=6138&amp;col=7&amp;number=0.0155&amp;sourceID=14","0.0155")</f>
        <v>0.0155</v>
      </c>
    </row>
    <row r="6139" spans="1:7">
      <c r="A6139" s="3"/>
      <c r="B6139" s="3"/>
      <c r="C6139" s="3"/>
      <c r="D6139" s="3"/>
      <c r="E6139" s="3">
        <v>16</v>
      </c>
      <c r="F6139" s="4" t="str">
        <f>HYPERLINK("http://141.218.60.56/~jnz1568/getInfo.php?workbook=14_09.xlsx&amp;sheet=U0&amp;row=6139&amp;col=6&amp;number=4.5&amp;sourceID=14","4.5")</f>
        <v>4.5</v>
      </c>
      <c r="G6139" s="4" t="str">
        <f>HYPERLINK("http://141.218.60.56/~jnz1568/getInfo.php?workbook=14_09.xlsx&amp;sheet=U0&amp;row=6139&amp;col=7&amp;number=0.0147&amp;sourceID=14","0.0147")</f>
        <v>0.0147</v>
      </c>
    </row>
    <row r="6140" spans="1:7">
      <c r="A6140" s="3"/>
      <c r="B6140" s="3"/>
      <c r="C6140" s="3"/>
      <c r="D6140" s="3"/>
      <c r="E6140" s="3">
        <v>17</v>
      </c>
      <c r="F6140" s="4" t="str">
        <f>HYPERLINK("http://141.218.60.56/~jnz1568/getInfo.php?workbook=14_09.xlsx&amp;sheet=U0&amp;row=6140&amp;col=6&amp;number=4.6&amp;sourceID=14","4.6")</f>
        <v>4.6</v>
      </c>
      <c r="G6140" s="4" t="str">
        <f>HYPERLINK("http://141.218.60.56/~jnz1568/getInfo.php?workbook=14_09.xlsx&amp;sheet=U0&amp;row=6140&amp;col=7&amp;number=0.0137&amp;sourceID=14","0.0137")</f>
        <v>0.0137</v>
      </c>
    </row>
    <row r="6141" spans="1:7">
      <c r="A6141" s="3"/>
      <c r="B6141" s="3"/>
      <c r="C6141" s="3"/>
      <c r="D6141" s="3"/>
      <c r="E6141" s="3">
        <v>18</v>
      </c>
      <c r="F6141" s="4" t="str">
        <f>HYPERLINK("http://141.218.60.56/~jnz1568/getInfo.php?workbook=14_09.xlsx&amp;sheet=U0&amp;row=6141&amp;col=6&amp;number=4.7&amp;sourceID=14","4.7")</f>
        <v>4.7</v>
      </c>
      <c r="G6141" s="4" t="str">
        <f>HYPERLINK("http://141.218.60.56/~jnz1568/getInfo.php?workbook=14_09.xlsx&amp;sheet=U0&amp;row=6141&amp;col=7&amp;number=0.0127&amp;sourceID=14","0.0127")</f>
        <v>0.0127</v>
      </c>
    </row>
    <row r="6142" spans="1:7">
      <c r="A6142" s="3"/>
      <c r="B6142" s="3"/>
      <c r="C6142" s="3"/>
      <c r="D6142" s="3"/>
      <c r="E6142" s="3">
        <v>19</v>
      </c>
      <c r="F6142" s="4" t="str">
        <f>HYPERLINK("http://141.218.60.56/~jnz1568/getInfo.php?workbook=14_09.xlsx&amp;sheet=U0&amp;row=6142&amp;col=6&amp;number=4.8&amp;sourceID=14","4.8")</f>
        <v>4.8</v>
      </c>
      <c r="G6142" s="4" t="str">
        <f>HYPERLINK("http://141.218.60.56/~jnz1568/getInfo.php?workbook=14_09.xlsx&amp;sheet=U0&amp;row=6142&amp;col=7&amp;number=0.0116&amp;sourceID=14","0.0116")</f>
        <v>0.0116</v>
      </c>
    </row>
    <row r="6143" spans="1:7">
      <c r="A6143" s="3"/>
      <c r="B6143" s="3"/>
      <c r="C6143" s="3"/>
      <c r="D6143" s="3"/>
      <c r="E6143" s="3">
        <v>20</v>
      </c>
      <c r="F6143" s="4" t="str">
        <f>HYPERLINK("http://141.218.60.56/~jnz1568/getInfo.php?workbook=14_09.xlsx&amp;sheet=U0&amp;row=6143&amp;col=6&amp;number=4.9&amp;sourceID=14","4.9")</f>
        <v>4.9</v>
      </c>
      <c r="G6143" s="4" t="str">
        <f>HYPERLINK("http://141.218.60.56/~jnz1568/getInfo.php?workbook=14_09.xlsx&amp;sheet=U0&amp;row=6143&amp;col=7&amp;number=0.0106&amp;sourceID=14","0.0106")</f>
        <v>0.0106</v>
      </c>
    </row>
    <row r="6144" spans="1:7">
      <c r="A6144" s="3">
        <v>14</v>
      </c>
      <c r="B6144" s="3">
        <v>9</v>
      </c>
      <c r="C6144" s="3">
        <v>2</v>
      </c>
      <c r="D6144" s="3">
        <v>116</v>
      </c>
      <c r="E6144" s="3">
        <v>1</v>
      </c>
      <c r="F6144" s="4" t="str">
        <f>HYPERLINK("http://141.218.60.56/~jnz1568/getInfo.php?workbook=14_09.xlsx&amp;sheet=U0&amp;row=6144&amp;col=6&amp;number=3&amp;sourceID=14","3")</f>
        <v>3</v>
      </c>
      <c r="G6144" s="4" t="str">
        <f>HYPERLINK("http://141.218.60.56/~jnz1568/getInfo.php?workbook=14_09.xlsx&amp;sheet=U0&amp;row=6144&amp;col=7&amp;number=0.00289&amp;sourceID=14","0.00289")</f>
        <v>0.00289</v>
      </c>
    </row>
    <row r="6145" spans="1:7">
      <c r="A6145" s="3"/>
      <c r="B6145" s="3"/>
      <c r="C6145" s="3"/>
      <c r="D6145" s="3"/>
      <c r="E6145" s="3">
        <v>2</v>
      </c>
      <c r="F6145" s="4" t="str">
        <f>HYPERLINK("http://141.218.60.56/~jnz1568/getInfo.php?workbook=14_09.xlsx&amp;sheet=U0&amp;row=6145&amp;col=6&amp;number=3.1&amp;sourceID=14","3.1")</f>
        <v>3.1</v>
      </c>
      <c r="G6145" s="4" t="str">
        <f>HYPERLINK("http://141.218.60.56/~jnz1568/getInfo.php?workbook=14_09.xlsx&amp;sheet=U0&amp;row=6145&amp;col=7&amp;number=0.00289&amp;sourceID=14","0.00289")</f>
        <v>0.00289</v>
      </c>
    </row>
    <row r="6146" spans="1:7">
      <c r="A6146" s="3"/>
      <c r="B6146" s="3"/>
      <c r="C6146" s="3"/>
      <c r="D6146" s="3"/>
      <c r="E6146" s="3">
        <v>3</v>
      </c>
      <c r="F6146" s="4" t="str">
        <f>HYPERLINK("http://141.218.60.56/~jnz1568/getInfo.php?workbook=14_09.xlsx&amp;sheet=U0&amp;row=6146&amp;col=6&amp;number=3.2&amp;sourceID=14","3.2")</f>
        <v>3.2</v>
      </c>
      <c r="G6146" s="4" t="str">
        <f>HYPERLINK("http://141.218.60.56/~jnz1568/getInfo.php?workbook=14_09.xlsx&amp;sheet=U0&amp;row=6146&amp;col=7&amp;number=0.00289&amp;sourceID=14","0.00289")</f>
        <v>0.00289</v>
      </c>
    </row>
    <row r="6147" spans="1:7">
      <c r="A6147" s="3"/>
      <c r="B6147" s="3"/>
      <c r="C6147" s="3"/>
      <c r="D6147" s="3"/>
      <c r="E6147" s="3">
        <v>4</v>
      </c>
      <c r="F6147" s="4" t="str">
        <f>HYPERLINK("http://141.218.60.56/~jnz1568/getInfo.php?workbook=14_09.xlsx&amp;sheet=U0&amp;row=6147&amp;col=6&amp;number=3.3&amp;sourceID=14","3.3")</f>
        <v>3.3</v>
      </c>
      <c r="G6147" s="4" t="str">
        <f>HYPERLINK("http://141.218.60.56/~jnz1568/getInfo.php?workbook=14_09.xlsx&amp;sheet=U0&amp;row=6147&amp;col=7&amp;number=0.00288&amp;sourceID=14","0.00288")</f>
        <v>0.00288</v>
      </c>
    </row>
    <row r="6148" spans="1:7">
      <c r="A6148" s="3"/>
      <c r="B6148" s="3"/>
      <c r="C6148" s="3"/>
      <c r="D6148" s="3"/>
      <c r="E6148" s="3">
        <v>5</v>
      </c>
      <c r="F6148" s="4" t="str">
        <f>HYPERLINK("http://141.218.60.56/~jnz1568/getInfo.php?workbook=14_09.xlsx&amp;sheet=U0&amp;row=6148&amp;col=6&amp;number=3.4&amp;sourceID=14","3.4")</f>
        <v>3.4</v>
      </c>
      <c r="G6148" s="4" t="str">
        <f>HYPERLINK("http://141.218.60.56/~jnz1568/getInfo.php?workbook=14_09.xlsx&amp;sheet=U0&amp;row=6148&amp;col=7&amp;number=0.00288&amp;sourceID=14","0.00288")</f>
        <v>0.00288</v>
      </c>
    </row>
    <row r="6149" spans="1:7">
      <c r="A6149" s="3"/>
      <c r="B6149" s="3"/>
      <c r="C6149" s="3"/>
      <c r="D6149" s="3"/>
      <c r="E6149" s="3">
        <v>6</v>
      </c>
      <c r="F6149" s="4" t="str">
        <f>HYPERLINK("http://141.218.60.56/~jnz1568/getInfo.php?workbook=14_09.xlsx&amp;sheet=U0&amp;row=6149&amp;col=6&amp;number=3.5&amp;sourceID=14","3.5")</f>
        <v>3.5</v>
      </c>
      <c r="G6149" s="4" t="str">
        <f>HYPERLINK("http://141.218.60.56/~jnz1568/getInfo.php?workbook=14_09.xlsx&amp;sheet=U0&amp;row=6149&amp;col=7&amp;number=0.00287&amp;sourceID=14","0.00287")</f>
        <v>0.00287</v>
      </c>
    </row>
    <row r="6150" spans="1:7">
      <c r="A6150" s="3"/>
      <c r="B6150" s="3"/>
      <c r="C6150" s="3"/>
      <c r="D6150" s="3"/>
      <c r="E6150" s="3">
        <v>7</v>
      </c>
      <c r="F6150" s="4" t="str">
        <f>HYPERLINK("http://141.218.60.56/~jnz1568/getInfo.php?workbook=14_09.xlsx&amp;sheet=U0&amp;row=6150&amp;col=6&amp;number=3.6&amp;sourceID=14","3.6")</f>
        <v>3.6</v>
      </c>
      <c r="G6150" s="4" t="str">
        <f>HYPERLINK("http://141.218.60.56/~jnz1568/getInfo.php?workbook=14_09.xlsx&amp;sheet=U0&amp;row=6150&amp;col=7&amp;number=0.00286&amp;sourceID=14","0.00286")</f>
        <v>0.00286</v>
      </c>
    </row>
    <row r="6151" spans="1:7">
      <c r="A6151" s="3"/>
      <c r="B6151" s="3"/>
      <c r="C6151" s="3"/>
      <c r="D6151" s="3"/>
      <c r="E6151" s="3">
        <v>8</v>
      </c>
      <c r="F6151" s="4" t="str">
        <f>HYPERLINK("http://141.218.60.56/~jnz1568/getInfo.php?workbook=14_09.xlsx&amp;sheet=U0&amp;row=6151&amp;col=6&amp;number=3.7&amp;sourceID=14","3.7")</f>
        <v>3.7</v>
      </c>
      <c r="G6151" s="4" t="str">
        <f>HYPERLINK("http://141.218.60.56/~jnz1568/getInfo.php?workbook=14_09.xlsx&amp;sheet=U0&amp;row=6151&amp;col=7&amp;number=0.00285&amp;sourceID=14","0.00285")</f>
        <v>0.00285</v>
      </c>
    </row>
    <row r="6152" spans="1:7">
      <c r="A6152" s="3"/>
      <c r="B6152" s="3"/>
      <c r="C6152" s="3"/>
      <c r="D6152" s="3"/>
      <c r="E6152" s="3">
        <v>9</v>
      </c>
      <c r="F6152" s="4" t="str">
        <f>HYPERLINK("http://141.218.60.56/~jnz1568/getInfo.php?workbook=14_09.xlsx&amp;sheet=U0&amp;row=6152&amp;col=6&amp;number=3.8&amp;sourceID=14","3.8")</f>
        <v>3.8</v>
      </c>
      <c r="G6152" s="4" t="str">
        <f>HYPERLINK("http://141.218.60.56/~jnz1568/getInfo.php?workbook=14_09.xlsx&amp;sheet=U0&amp;row=6152&amp;col=7&amp;number=0.00284&amp;sourceID=14","0.00284")</f>
        <v>0.00284</v>
      </c>
    </row>
    <row r="6153" spans="1:7">
      <c r="A6153" s="3"/>
      <c r="B6153" s="3"/>
      <c r="C6153" s="3"/>
      <c r="D6153" s="3"/>
      <c r="E6153" s="3">
        <v>10</v>
      </c>
      <c r="F6153" s="4" t="str">
        <f>HYPERLINK("http://141.218.60.56/~jnz1568/getInfo.php?workbook=14_09.xlsx&amp;sheet=U0&amp;row=6153&amp;col=6&amp;number=3.9&amp;sourceID=14","3.9")</f>
        <v>3.9</v>
      </c>
      <c r="G6153" s="4" t="str">
        <f>HYPERLINK("http://141.218.60.56/~jnz1568/getInfo.php?workbook=14_09.xlsx&amp;sheet=U0&amp;row=6153&amp;col=7&amp;number=0.00282&amp;sourceID=14","0.00282")</f>
        <v>0.00282</v>
      </c>
    </row>
    <row r="6154" spans="1:7">
      <c r="A6154" s="3"/>
      <c r="B6154" s="3"/>
      <c r="C6154" s="3"/>
      <c r="D6154" s="3"/>
      <c r="E6154" s="3">
        <v>11</v>
      </c>
      <c r="F6154" s="4" t="str">
        <f>HYPERLINK("http://141.218.60.56/~jnz1568/getInfo.php?workbook=14_09.xlsx&amp;sheet=U0&amp;row=6154&amp;col=6&amp;number=4&amp;sourceID=14","4")</f>
        <v>4</v>
      </c>
      <c r="G6154" s="4" t="str">
        <f>HYPERLINK("http://141.218.60.56/~jnz1568/getInfo.php?workbook=14_09.xlsx&amp;sheet=U0&amp;row=6154&amp;col=7&amp;number=0.0028&amp;sourceID=14","0.0028")</f>
        <v>0.0028</v>
      </c>
    </row>
    <row r="6155" spans="1:7">
      <c r="A6155" s="3"/>
      <c r="B6155" s="3"/>
      <c r="C6155" s="3"/>
      <c r="D6155" s="3"/>
      <c r="E6155" s="3">
        <v>12</v>
      </c>
      <c r="F6155" s="4" t="str">
        <f>HYPERLINK("http://141.218.60.56/~jnz1568/getInfo.php?workbook=14_09.xlsx&amp;sheet=U0&amp;row=6155&amp;col=6&amp;number=4.1&amp;sourceID=14","4.1")</f>
        <v>4.1</v>
      </c>
      <c r="G6155" s="4" t="str">
        <f>HYPERLINK("http://141.218.60.56/~jnz1568/getInfo.php?workbook=14_09.xlsx&amp;sheet=U0&amp;row=6155&amp;col=7&amp;number=0.00277&amp;sourceID=14","0.00277")</f>
        <v>0.00277</v>
      </c>
    </row>
    <row r="6156" spans="1:7">
      <c r="A6156" s="3"/>
      <c r="B6156" s="3"/>
      <c r="C6156" s="3"/>
      <c r="D6156" s="3"/>
      <c r="E6156" s="3">
        <v>13</v>
      </c>
      <c r="F6156" s="4" t="str">
        <f>HYPERLINK("http://141.218.60.56/~jnz1568/getInfo.php?workbook=14_09.xlsx&amp;sheet=U0&amp;row=6156&amp;col=6&amp;number=4.2&amp;sourceID=14","4.2")</f>
        <v>4.2</v>
      </c>
      <c r="G6156" s="4" t="str">
        <f>HYPERLINK("http://141.218.60.56/~jnz1568/getInfo.php?workbook=14_09.xlsx&amp;sheet=U0&amp;row=6156&amp;col=7&amp;number=0.00274&amp;sourceID=14","0.00274")</f>
        <v>0.00274</v>
      </c>
    </row>
    <row r="6157" spans="1:7">
      <c r="A6157" s="3"/>
      <c r="B6157" s="3"/>
      <c r="C6157" s="3"/>
      <c r="D6157" s="3"/>
      <c r="E6157" s="3">
        <v>14</v>
      </c>
      <c r="F6157" s="4" t="str">
        <f>HYPERLINK("http://141.218.60.56/~jnz1568/getInfo.php?workbook=14_09.xlsx&amp;sheet=U0&amp;row=6157&amp;col=6&amp;number=4.3&amp;sourceID=14","4.3")</f>
        <v>4.3</v>
      </c>
      <c r="G6157" s="4" t="str">
        <f>HYPERLINK("http://141.218.60.56/~jnz1568/getInfo.php?workbook=14_09.xlsx&amp;sheet=U0&amp;row=6157&amp;col=7&amp;number=0.0027&amp;sourceID=14","0.0027")</f>
        <v>0.0027</v>
      </c>
    </row>
    <row r="6158" spans="1:7">
      <c r="A6158" s="3"/>
      <c r="B6158" s="3"/>
      <c r="C6158" s="3"/>
      <c r="D6158" s="3"/>
      <c r="E6158" s="3">
        <v>15</v>
      </c>
      <c r="F6158" s="4" t="str">
        <f>HYPERLINK("http://141.218.60.56/~jnz1568/getInfo.php?workbook=14_09.xlsx&amp;sheet=U0&amp;row=6158&amp;col=6&amp;number=4.4&amp;sourceID=14","4.4")</f>
        <v>4.4</v>
      </c>
      <c r="G6158" s="4" t="str">
        <f>HYPERLINK("http://141.218.60.56/~jnz1568/getInfo.php?workbook=14_09.xlsx&amp;sheet=U0&amp;row=6158&amp;col=7&amp;number=0.00265&amp;sourceID=14","0.00265")</f>
        <v>0.00265</v>
      </c>
    </row>
    <row r="6159" spans="1:7">
      <c r="A6159" s="3"/>
      <c r="B6159" s="3"/>
      <c r="C6159" s="3"/>
      <c r="D6159" s="3"/>
      <c r="E6159" s="3">
        <v>16</v>
      </c>
      <c r="F6159" s="4" t="str">
        <f>HYPERLINK("http://141.218.60.56/~jnz1568/getInfo.php?workbook=14_09.xlsx&amp;sheet=U0&amp;row=6159&amp;col=6&amp;number=4.5&amp;sourceID=14","4.5")</f>
        <v>4.5</v>
      </c>
      <c r="G6159" s="4" t="str">
        <f>HYPERLINK("http://141.218.60.56/~jnz1568/getInfo.php?workbook=14_09.xlsx&amp;sheet=U0&amp;row=6159&amp;col=7&amp;number=0.00259&amp;sourceID=14","0.00259")</f>
        <v>0.00259</v>
      </c>
    </row>
    <row r="6160" spans="1:7">
      <c r="A6160" s="3"/>
      <c r="B6160" s="3"/>
      <c r="C6160" s="3"/>
      <c r="D6160" s="3"/>
      <c r="E6160" s="3">
        <v>17</v>
      </c>
      <c r="F6160" s="4" t="str">
        <f>HYPERLINK("http://141.218.60.56/~jnz1568/getInfo.php?workbook=14_09.xlsx&amp;sheet=U0&amp;row=6160&amp;col=6&amp;number=4.6&amp;sourceID=14","4.6")</f>
        <v>4.6</v>
      </c>
      <c r="G6160" s="4" t="str">
        <f>HYPERLINK("http://141.218.60.56/~jnz1568/getInfo.php?workbook=14_09.xlsx&amp;sheet=U0&amp;row=6160&amp;col=7&amp;number=0.00251&amp;sourceID=14","0.00251")</f>
        <v>0.00251</v>
      </c>
    </row>
    <row r="6161" spans="1:7">
      <c r="A6161" s="3"/>
      <c r="B6161" s="3"/>
      <c r="C6161" s="3"/>
      <c r="D6161" s="3"/>
      <c r="E6161" s="3">
        <v>18</v>
      </c>
      <c r="F6161" s="4" t="str">
        <f>HYPERLINK("http://141.218.60.56/~jnz1568/getInfo.php?workbook=14_09.xlsx&amp;sheet=U0&amp;row=6161&amp;col=6&amp;number=4.7&amp;sourceID=14","4.7")</f>
        <v>4.7</v>
      </c>
      <c r="G6161" s="4" t="str">
        <f>HYPERLINK("http://141.218.60.56/~jnz1568/getInfo.php?workbook=14_09.xlsx&amp;sheet=U0&amp;row=6161&amp;col=7&amp;number=0.00242&amp;sourceID=14","0.00242")</f>
        <v>0.00242</v>
      </c>
    </row>
    <row r="6162" spans="1:7">
      <c r="A6162" s="3"/>
      <c r="B6162" s="3"/>
      <c r="C6162" s="3"/>
      <c r="D6162" s="3"/>
      <c r="E6162" s="3">
        <v>19</v>
      </c>
      <c r="F6162" s="4" t="str">
        <f>HYPERLINK("http://141.218.60.56/~jnz1568/getInfo.php?workbook=14_09.xlsx&amp;sheet=U0&amp;row=6162&amp;col=6&amp;number=4.8&amp;sourceID=14","4.8")</f>
        <v>4.8</v>
      </c>
      <c r="G6162" s="4" t="str">
        <f>HYPERLINK("http://141.218.60.56/~jnz1568/getInfo.php?workbook=14_09.xlsx&amp;sheet=U0&amp;row=6162&amp;col=7&amp;number=0.00232&amp;sourceID=14","0.00232")</f>
        <v>0.00232</v>
      </c>
    </row>
    <row r="6163" spans="1:7">
      <c r="A6163" s="3"/>
      <c r="B6163" s="3"/>
      <c r="C6163" s="3"/>
      <c r="D6163" s="3"/>
      <c r="E6163" s="3">
        <v>20</v>
      </c>
      <c r="F6163" s="4" t="str">
        <f>HYPERLINK("http://141.218.60.56/~jnz1568/getInfo.php?workbook=14_09.xlsx&amp;sheet=U0&amp;row=6163&amp;col=6&amp;number=4.9&amp;sourceID=14","4.9")</f>
        <v>4.9</v>
      </c>
      <c r="G6163" s="4" t="str">
        <f>HYPERLINK("http://141.218.60.56/~jnz1568/getInfo.php?workbook=14_09.xlsx&amp;sheet=U0&amp;row=6163&amp;col=7&amp;number=0.0022&amp;sourceID=14","0.0022")</f>
        <v>0.0022</v>
      </c>
    </row>
    <row r="6164" spans="1:7">
      <c r="A6164" s="3">
        <v>14</v>
      </c>
      <c r="B6164" s="3">
        <v>9</v>
      </c>
      <c r="C6164" s="3">
        <v>2</v>
      </c>
      <c r="D6164" s="3">
        <v>117</v>
      </c>
      <c r="E6164" s="3">
        <v>1</v>
      </c>
      <c r="F6164" s="4" t="str">
        <f>HYPERLINK("http://141.218.60.56/~jnz1568/getInfo.php?workbook=14_09.xlsx&amp;sheet=U0&amp;row=6164&amp;col=6&amp;number=3&amp;sourceID=14","3")</f>
        <v>3</v>
      </c>
      <c r="G6164" s="4" t="str">
        <f>HYPERLINK("http://141.218.60.56/~jnz1568/getInfo.php?workbook=14_09.xlsx&amp;sheet=U0&amp;row=6164&amp;col=7&amp;number=0.00259&amp;sourceID=14","0.00259")</f>
        <v>0.00259</v>
      </c>
    </row>
    <row r="6165" spans="1:7">
      <c r="A6165" s="3"/>
      <c r="B6165" s="3"/>
      <c r="C6165" s="3"/>
      <c r="D6165" s="3"/>
      <c r="E6165" s="3">
        <v>2</v>
      </c>
      <c r="F6165" s="4" t="str">
        <f>HYPERLINK("http://141.218.60.56/~jnz1568/getInfo.php?workbook=14_09.xlsx&amp;sheet=U0&amp;row=6165&amp;col=6&amp;number=3.1&amp;sourceID=14","3.1")</f>
        <v>3.1</v>
      </c>
      <c r="G6165" s="4" t="str">
        <f>HYPERLINK("http://141.218.60.56/~jnz1568/getInfo.php?workbook=14_09.xlsx&amp;sheet=U0&amp;row=6165&amp;col=7&amp;number=0.00259&amp;sourceID=14","0.00259")</f>
        <v>0.00259</v>
      </c>
    </row>
    <row r="6166" spans="1:7">
      <c r="A6166" s="3"/>
      <c r="B6166" s="3"/>
      <c r="C6166" s="3"/>
      <c r="D6166" s="3"/>
      <c r="E6166" s="3">
        <v>3</v>
      </c>
      <c r="F6166" s="4" t="str">
        <f>HYPERLINK("http://141.218.60.56/~jnz1568/getInfo.php?workbook=14_09.xlsx&amp;sheet=U0&amp;row=6166&amp;col=6&amp;number=3.2&amp;sourceID=14","3.2")</f>
        <v>3.2</v>
      </c>
      <c r="G6166" s="4" t="str">
        <f>HYPERLINK("http://141.218.60.56/~jnz1568/getInfo.php?workbook=14_09.xlsx&amp;sheet=U0&amp;row=6166&amp;col=7&amp;number=0.00258&amp;sourceID=14","0.00258")</f>
        <v>0.00258</v>
      </c>
    </row>
    <row r="6167" spans="1:7">
      <c r="A6167" s="3"/>
      <c r="B6167" s="3"/>
      <c r="C6167" s="3"/>
      <c r="D6167" s="3"/>
      <c r="E6167" s="3">
        <v>4</v>
      </c>
      <c r="F6167" s="4" t="str">
        <f>HYPERLINK("http://141.218.60.56/~jnz1568/getInfo.php?workbook=14_09.xlsx&amp;sheet=U0&amp;row=6167&amp;col=6&amp;number=3.3&amp;sourceID=14","3.3")</f>
        <v>3.3</v>
      </c>
      <c r="G6167" s="4" t="str">
        <f>HYPERLINK("http://141.218.60.56/~jnz1568/getInfo.php?workbook=14_09.xlsx&amp;sheet=U0&amp;row=6167&amp;col=7&amp;number=0.00258&amp;sourceID=14","0.00258")</f>
        <v>0.00258</v>
      </c>
    </row>
    <row r="6168" spans="1:7">
      <c r="A6168" s="3"/>
      <c r="B6168" s="3"/>
      <c r="C6168" s="3"/>
      <c r="D6168" s="3"/>
      <c r="E6168" s="3">
        <v>5</v>
      </c>
      <c r="F6168" s="4" t="str">
        <f>HYPERLINK("http://141.218.60.56/~jnz1568/getInfo.php?workbook=14_09.xlsx&amp;sheet=U0&amp;row=6168&amp;col=6&amp;number=3.4&amp;sourceID=14","3.4")</f>
        <v>3.4</v>
      </c>
      <c r="G6168" s="4" t="str">
        <f>HYPERLINK("http://141.218.60.56/~jnz1568/getInfo.php?workbook=14_09.xlsx&amp;sheet=U0&amp;row=6168&amp;col=7&amp;number=0.00258&amp;sourceID=14","0.00258")</f>
        <v>0.00258</v>
      </c>
    </row>
    <row r="6169" spans="1:7">
      <c r="A6169" s="3"/>
      <c r="B6169" s="3"/>
      <c r="C6169" s="3"/>
      <c r="D6169" s="3"/>
      <c r="E6169" s="3">
        <v>6</v>
      </c>
      <c r="F6169" s="4" t="str">
        <f>HYPERLINK("http://141.218.60.56/~jnz1568/getInfo.php?workbook=14_09.xlsx&amp;sheet=U0&amp;row=6169&amp;col=6&amp;number=3.5&amp;sourceID=14","3.5")</f>
        <v>3.5</v>
      </c>
      <c r="G6169" s="4" t="str">
        <f>HYPERLINK("http://141.218.60.56/~jnz1568/getInfo.php?workbook=14_09.xlsx&amp;sheet=U0&amp;row=6169&amp;col=7&amp;number=0.00258&amp;sourceID=14","0.00258")</f>
        <v>0.00258</v>
      </c>
    </row>
    <row r="6170" spans="1:7">
      <c r="A6170" s="3"/>
      <c r="B6170" s="3"/>
      <c r="C6170" s="3"/>
      <c r="D6170" s="3"/>
      <c r="E6170" s="3">
        <v>7</v>
      </c>
      <c r="F6170" s="4" t="str">
        <f>HYPERLINK("http://141.218.60.56/~jnz1568/getInfo.php?workbook=14_09.xlsx&amp;sheet=U0&amp;row=6170&amp;col=6&amp;number=3.6&amp;sourceID=14","3.6")</f>
        <v>3.6</v>
      </c>
      <c r="G6170" s="4" t="str">
        <f>HYPERLINK("http://141.218.60.56/~jnz1568/getInfo.php?workbook=14_09.xlsx&amp;sheet=U0&amp;row=6170&amp;col=7&amp;number=0.00257&amp;sourceID=14","0.00257")</f>
        <v>0.00257</v>
      </c>
    </row>
    <row r="6171" spans="1:7">
      <c r="A6171" s="3"/>
      <c r="B6171" s="3"/>
      <c r="C6171" s="3"/>
      <c r="D6171" s="3"/>
      <c r="E6171" s="3">
        <v>8</v>
      </c>
      <c r="F6171" s="4" t="str">
        <f>HYPERLINK("http://141.218.60.56/~jnz1568/getInfo.php?workbook=14_09.xlsx&amp;sheet=U0&amp;row=6171&amp;col=6&amp;number=3.7&amp;sourceID=14","3.7")</f>
        <v>3.7</v>
      </c>
      <c r="G6171" s="4" t="str">
        <f>HYPERLINK("http://141.218.60.56/~jnz1568/getInfo.php?workbook=14_09.xlsx&amp;sheet=U0&amp;row=6171&amp;col=7&amp;number=0.00256&amp;sourceID=14","0.00256")</f>
        <v>0.00256</v>
      </c>
    </row>
    <row r="6172" spans="1:7">
      <c r="A6172" s="3"/>
      <c r="B6172" s="3"/>
      <c r="C6172" s="3"/>
      <c r="D6172" s="3"/>
      <c r="E6172" s="3">
        <v>9</v>
      </c>
      <c r="F6172" s="4" t="str">
        <f>HYPERLINK("http://141.218.60.56/~jnz1568/getInfo.php?workbook=14_09.xlsx&amp;sheet=U0&amp;row=6172&amp;col=6&amp;number=3.8&amp;sourceID=14","3.8")</f>
        <v>3.8</v>
      </c>
      <c r="G6172" s="4" t="str">
        <f>HYPERLINK("http://141.218.60.56/~jnz1568/getInfo.php?workbook=14_09.xlsx&amp;sheet=U0&amp;row=6172&amp;col=7&amp;number=0.00256&amp;sourceID=14","0.00256")</f>
        <v>0.00256</v>
      </c>
    </row>
    <row r="6173" spans="1:7">
      <c r="A6173" s="3"/>
      <c r="B6173" s="3"/>
      <c r="C6173" s="3"/>
      <c r="D6173" s="3"/>
      <c r="E6173" s="3">
        <v>10</v>
      </c>
      <c r="F6173" s="4" t="str">
        <f>HYPERLINK("http://141.218.60.56/~jnz1568/getInfo.php?workbook=14_09.xlsx&amp;sheet=U0&amp;row=6173&amp;col=6&amp;number=3.9&amp;sourceID=14","3.9")</f>
        <v>3.9</v>
      </c>
      <c r="G6173" s="4" t="str">
        <f>HYPERLINK("http://141.218.60.56/~jnz1568/getInfo.php?workbook=14_09.xlsx&amp;sheet=U0&amp;row=6173&amp;col=7&amp;number=0.00255&amp;sourceID=14","0.00255")</f>
        <v>0.00255</v>
      </c>
    </row>
    <row r="6174" spans="1:7">
      <c r="A6174" s="3"/>
      <c r="B6174" s="3"/>
      <c r="C6174" s="3"/>
      <c r="D6174" s="3"/>
      <c r="E6174" s="3">
        <v>11</v>
      </c>
      <c r="F6174" s="4" t="str">
        <f>HYPERLINK("http://141.218.60.56/~jnz1568/getInfo.php?workbook=14_09.xlsx&amp;sheet=U0&amp;row=6174&amp;col=6&amp;number=4&amp;sourceID=14","4")</f>
        <v>4</v>
      </c>
      <c r="G6174" s="4" t="str">
        <f>HYPERLINK("http://141.218.60.56/~jnz1568/getInfo.php?workbook=14_09.xlsx&amp;sheet=U0&amp;row=6174&amp;col=7&amp;number=0.00254&amp;sourceID=14","0.00254")</f>
        <v>0.00254</v>
      </c>
    </row>
    <row r="6175" spans="1:7">
      <c r="A6175" s="3"/>
      <c r="B6175" s="3"/>
      <c r="C6175" s="3"/>
      <c r="D6175" s="3"/>
      <c r="E6175" s="3">
        <v>12</v>
      </c>
      <c r="F6175" s="4" t="str">
        <f>HYPERLINK("http://141.218.60.56/~jnz1568/getInfo.php?workbook=14_09.xlsx&amp;sheet=U0&amp;row=6175&amp;col=6&amp;number=4.1&amp;sourceID=14","4.1")</f>
        <v>4.1</v>
      </c>
      <c r="G6175" s="4" t="str">
        <f>HYPERLINK("http://141.218.60.56/~jnz1568/getInfo.php?workbook=14_09.xlsx&amp;sheet=U0&amp;row=6175&amp;col=7&amp;number=0.00252&amp;sourceID=14","0.00252")</f>
        <v>0.00252</v>
      </c>
    </row>
    <row r="6176" spans="1:7">
      <c r="A6176" s="3"/>
      <c r="B6176" s="3"/>
      <c r="C6176" s="3"/>
      <c r="D6176" s="3"/>
      <c r="E6176" s="3">
        <v>13</v>
      </c>
      <c r="F6176" s="4" t="str">
        <f>HYPERLINK("http://141.218.60.56/~jnz1568/getInfo.php?workbook=14_09.xlsx&amp;sheet=U0&amp;row=6176&amp;col=6&amp;number=4.2&amp;sourceID=14","4.2")</f>
        <v>4.2</v>
      </c>
      <c r="G6176" s="4" t="str">
        <f>HYPERLINK("http://141.218.60.56/~jnz1568/getInfo.php?workbook=14_09.xlsx&amp;sheet=U0&amp;row=6176&amp;col=7&amp;number=0.0025&amp;sourceID=14","0.0025")</f>
        <v>0.0025</v>
      </c>
    </row>
    <row r="6177" spans="1:7">
      <c r="A6177" s="3"/>
      <c r="B6177" s="3"/>
      <c r="C6177" s="3"/>
      <c r="D6177" s="3"/>
      <c r="E6177" s="3">
        <v>14</v>
      </c>
      <c r="F6177" s="4" t="str">
        <f>HYPERLINK("http://141.218.60.56/~jnz1568/getInfo.php?workbook=14_09.xlsx&amp;sheet=U0&amp;row=6177&amp;col=6&amp;number=4.3&amp;sourceID=14","4.3")</f>
        <v>4.3</v>
      </c>
      <c r="G6177" s="4" t="str">
        <f>HYPERLINK("http://141.218.60.56/~jnz1568/getInfo.php?workbook=14_09.xlsx&amp;sheet=U0&amp;row=6177&amp;col=7&amp;number=0.00248&amp;sourceID=14","0.00248")</f>
        <v>0.00248</v>
      </c>
    </row>
    <row r="6178" spans="1:7">
      <c r="A6178" s="3"/>
      <c r="B6178" s="3"/>
      <c r="C6178" s="3"/>
      <c r="D6178" s="3"/>
      <c r="E6178" s="3">
        <v>15</v>
      </c>
      <c r="F6178" s="4" t="str">
        <f>HYPERLINK("http://141.218.60.56/~jnz1568/getInfo.php?workbook=14_09.xlsx&amp;sheet=U0&amp;row=6178&amp;col=6&amp;number=4.4&amp;sourceID=14","4.4")</f>
        <v>4.4</v>
      </c>
      <c r="G6178" s="4" t="str">
        <f>HYPERLINK("http://141.218.60.56/~jnz1568/getInfo.php?workbook=14_09.xlsx&amp;sheet=U0&amp;row=6178&amp;col=7&amp;number=0.00245&amp;sourceID=14","0.00245")</f>
        <v>0.00245</v>
      </c>
    </row>
    <row r="6179" spans="1:7">
      <c r="A6179" s="3"/>
      <c r="B6179" s="3"/>
      <c r="C6179" s="3"/>
      <c r="D6179" s="3"/>
      <c r="E6179" s="3">
        <v>16</v>
      </c>
      <c r="F6179" s="4" t="str">
        <f>HYPERLINK("http://141.218.60.56/~jnz1568/getInfo.php?workbook=14_09.xlsx&amp;sheet=U0&amp;row=6179&amp;col=6&amp;number=4.5&amp;sourceID=14","4.5")</f>
        <v>4.5</v>
      </c>
      <c r="G6179" s="4" t="str">
        <f>HYPERLINK("http://141.218.60.56/~jnz1568/getInfo.php?workbook=14_09.xlsx&amp;sheet=U0&amp;row=6179&amp;col=7&amp;number=0.00242&amp;sourceID=14","0.00242")</f>
        <v>0.00242</v>
      </c>
    </row>
    <row r="6180" spans="1:7">
      <c r="A6180" s="3"/>
      <c r="B6180" s="3"/>
      <c r="C6180" s="3"/>
      <c r="D6180" s="3"/>
      <c r="E6180" s="3">
        <v>17</v>
      </c>
      <c r="F6180" s="4" t="str">
        <f>HYPERLINK("http://141.218.60.56/~jnz1568/getInfo.php?workbook=14_09.xlsx&amp;sheet=U0&amp;row=6180&amp;col=6&amp;number=4.6&amp;sourceID=14","4.6")</f>
        <v>4.6</v>
      </c>
      <c r="G6180" s="4" t="str">
        <f>HYPERLINK("http://141.218.60.56/~jnz1568/getInfo.php?workbook=14_09.xlsx&amp;sheet=U0&amp;row=6180&amp;col=7&amp;number=0.00238&amp;sourceID=14","0.00238")</f>
        <v>0.00238</v>
      </c>
    </row>
    <row r="6181" spans="1:7">
      <c r="A6181" s="3"/>
      <c r="B6181" s="3"/>
      <c r="C6181" s="3"/>
      <c r="D6181" s="3"/>
      <c r="E6181" s="3">
        <v>18</v>
      </c>
      <c r="F6181" s="4" t="str">
        <f>HYPERLINK("http://141.218.60.56/~jnz1568/getInfo.php?workbook=14_09.xlsx&amp;sheet=U0&amp;row=6181&amp;col=6&amp;number=4.7&amp;sourceID=14","4.7")</f>
        <v>4.7</v>
      </c>
      <c r="G6181" s="4" t="str">
        <f>HYPERLINK("http://141.218.60.56/~jnz1568/getInfo.php?workbook=14_09.xlsx&amp;sheet=U0&amp;row=6181&amp;col=7&amp;number=0.00233&amp;sourceID=14","0.00233")</f>
        <v>0.00233</v>
      </c>
    </row>
    <row r="6182" spans="1:7">
      <c r="A6182" s="3"/>
      <c r="B6182" s="3"/>
      <c r="C6182" s="3"/>
      <c r="D6182" s="3"/>
      <c r="E6182" s="3">
        <v>19</v>
      </c>
      <c r="F6182" s="4" t="str">
        <f>HYPERLINK("http://141.218.60.56/~jnz1568/getInfo.php?workbook=14_09.xlsx&amp;sheet=U0&amp;row=6182&amp;col=6&amp;number=4.8&amp;sourceID=14","4.8")</f>
        <v>4.8</v>
      </c>
      <c r="G6182" s="4" t="str">
        <f>HYPERLINK("http://141.218.60.56/~jnz1568/getInfo.php?workbook=14_09.xlsx&amp;sheet=U0&amp;row=6182&amp;col=7&amp;number=0.00227&amp;sourceID=14","0.00227")</f>
        <v>0.00227</v>
      </c>
    </row>
    <row r="6183" spans="1:7">
      <c r="A6183" s="3"/>
      <c r="B6183" s="3"/>
      <c r="C6183" s="3"/>
      <c r="D6183" s="3"/>
      <c r="E6183" s="3">
        <v>20</v>
      </c>
      <c r="F6183" s="4" t="str">
        <f>HYPERLINK("http://141.218.60.56/~jnz1568/getInfo.php?workbook=14_09.xlsx&amp;sheet=U0&amp;row=6183&amp;col=6&amp;number=4.9&amp;sourceID=14","4.9")</f>
        <v>4.9</v>
      </c>
      <c r="G6183" s="4" t="str">
        <f>HYPERLINK("http://141.218.60.56/~jnz1568/getInfo.php?workbook=14_09.xlsx&amp;sheet=U0&amp;row=6183&amp;col=7&amp;number=0.00221&amp;sourceID=14","0.00221")</f>
        <v>0.00221</v>
      </c>
    </row>
    <row r="6184" spans="1:7">
      <c r="A6184" s="3">
        <v>14</v>
      </c>
      <c r="B6184" s="3">
        <v>9</v>
      </c>
      <c r="C6184" s="3">
        <v>2</v>
      </c>
      <c r="D6184" s="3">
        <v>118</v>
      </c>
      <c r="E6184" s="3">
        <v>1</v>
      </c>
      <c r="F6184" s="4" t="str">
        <f>HYPERLINK("http://141.218.60.56/~jnz1568/getInfo.php?workbook=14_09.xlsx&amp;sheet=U0&amp;row=6184&amp;col=6&amp;number=3&amp;sourceID=14","3")</f>
        <v>3</v>
      </c>
      <c r="G6184" s="4" t="str">
        <f>HYPERLINK("http://141.218.60.56/~jnz1568/getInfo.php?workbook=14_09.xlsx&amp;sheet=U0&amp;row=6184&amp;col=7&amp;number=0.00575&amp;sourceID=14","0.00575")</f>
        <v>0.00575</v>
      </c>
    </row>
    <row r="6185" spans="1:7">
      <c r="A6185" s="3"/>
      <c r="B6185" s="3"/>
      <c r="C6185" s="3"/>
      <c r="D6185" s="3"/>
      <c r="E6185" s="3">
        <v>2</v>
      </c>
      <c r="F6185" s="4" t="str">
        <f>HYPERLINK("http://141.218.60.56/~jnz1568/getInfo.php?workbook=14_09.xlsx&amp;sheet=U0&amp;row=6185&amp;col=6&amp;number=3.1&amp;sourceID=14","3.1")</f>
        <v>3.1</v>
      </c>
      <c r="G6185" s="4" t="str">
        <f>HYPERLINK("http://141.218.60.56/~jnz1568/getInfo.php?workbook=14_09.xlsx&amp;sheet=U0&amp;row=6185&amp;col=7&amp;number=0.00574&amp;sourceID=14","0.00574")</f>
        <v>0.00574</v>
      </c>
    </row>
    <row r="6186" spans="1:7">
      <c r="A6186" s="3"/>
      <c r="B6186" s="3"/>
      <c r="C6186" s="3"/>
      <c r="D6186" s="3"/>
      <c r="E6186" s="3">
        <v>3</v>
      </c>
      <c r="F6186" s="4" t="str">
        <f>HYPERLINK("http://141.218.60.56/~jnz1568/getInfo.php?workbook=14_09.xlsx&amp;sheet=U0&amp;row=6186&amp;col=6&amp;number=3.2&amp;sourceID=14","3.2")</f>
        <v>3.2</v>
      </c>
      <c r="G6186" s="4" t="str">
        <f>HYPERLINK("http://141.218.60.56/~jnz1568/getInfo.php?workbook=14_09.xlsx&amp;sheet=U0&amp;row=6186&amp;col=7&amp;number=0.00574&amp;sourceID=14","0.00574")</f>
        <v>0.00574</v>
      </c>
    </row>
    <row r="6187" spans="1:7">
      <c r="A6187" s="3"/>
      <c r="B6187" s="3"/>
      <c r="C6187" s="3"/>
      <c r="D6187" s="3"/>
      <c r="E6187" s="3">
        <v>4</v>
      </c>
      <c r="F6187" s="4" t="str">
        <f>HYPERLINK("http://141.218.60.56/~jnz1568/getInfo.php?workbook=14_09.xlsx&amp;sheet=U0&amp;row=6187&amp;col=6&amp;number=3.3&amp;sourceID=14","3.3")</f>
        <v>3.3</v>
      </c>
      <c r="G6187" s="4" t="str">
        <f>HYPERLINK("http://141.218.60.56/~jnz1568/getInfo.php?workbook=14_09.xlsx&amp;sheet=U0&amp;row=6187&amp;col=7&amp;number=0.00573&amp;sourceID=14","0.00573")</f>
        <v>0.00573</v>
      </c>
    </row>
    <row r="6188" spans="1:7">
      <c r="A6188" s="3"/>
      <c r="B6188" s="3"/>
      <c r="C6188" s="3"/>
      <c r="D6188" s="3"/>
      <c r="E6188" s="3">
        <v>5</v>
      </c>
      <c r="F6188" s="4" t="str">
        <f>HYPERLINK("http://141.218.60.56/~jnz1568/getInfo.php?workbook=14_09.xlsx&amp;sheet=U0&amp;row=6188&amp;col=6&amp;number=3.4&amp;sourceID=14","3.4")</f>
        <v>3.4</v>
      </c>
      <c r="G6188" s="4" t="str">
        <f>HYPERLINK("http://141.218.60.56/~jnz1568/getInfo.php?workbook=14_09.xlsx&amp;sheet=U0&amp;row=6188&amp;col=7&amp;number=0.00572&amp;sourceID=14","0.00572")</f>
        <v>0.00572</v>
      </c>
    </row>
    <row r="6189" spans="1:7">
      <c r="A6189" s="3"/>
      <c r="B6189" s="3"/>
      <c r="C6189" s="3"/>
      <c r="D6189" s="3"/>
      <c r="E6189" s="3">
        <v>6</v>
      </c>
      <c r="F6189" s="4" t="str">
        <f>HYPERLINK("http://141.218.60.56/~jnz1568/getInfo.php?workbook=14_09.xlsx&amp;sheet=U0&amp;row=6189&amp;col=6&amp;number=3.5&amp;sourceID=14","3.5")</f>
        <v>3.5</v>
      </c>
      <c r="G6189" s="4" t="str">
        <f>HYPERLINK("http://141.218.60.56/~jnz1568/getInfo.php?workbook=14_09.xlsx&amp;sheet=U0&amp;row=6189&amp;col=7&amp;number=0.00571&amp;sourceID=14","0.00571")</f>
        <v>0.00571</v>
      </c>
    </row>
    <row r="6190" spans="1:7">
      <c r="A6190" s="3"/>
      <c r="B6190" s="3"/>
      <c r="C6190" s="3"/>
      <c r="D6190" s="3"/>
      <c r="E6190" s="3">
        <v>7</v>
      </c>
      <c r="F6190" s="4" t="str">
        <f>HYPERLINK("http://141.218.60.56/~jnz1568/getInfo.php?workbook=14_09.xlsx&amp;sheet=U0&amp;row=6190&amp;col=6&amp;number=3.6&amp;sourceID=14","3.6")</f>
        <v>3.6</v>
      </c>
      <c r="G6190" s="4" t="str">
        <f>HYPERLINK("http://141.218.60.56/~jnz1568/getInfo.php?workbook=14_09.xlsx&amp;sheet=U0&amp;row=6190&amp;col=7&amp;number=0.0057&amp;sourceID=14","0.0057")</f>
        <v>0.0057</v>
      </c>
    </row>
    <row r="6191" spans="1:7">
      <c r="A6191" s="3"/>
      <c r="B6191" s="3"/>
      <c r="C6191" s="3"/>
      <c r="D6191" s="3"/>
      <c r="E6191" s="3">
        <v>8</v>
      </c>
      <c r="F6191" s="4" t="str">
        <f>HYPERLINK("http://141.218.60.56/~jnz1568/getInfo.php?workbook=14_09.xlsx&amp;sheet=U0&amp;row=6191&amp;col=6&amp;number=3.7&amp;sourceID=14","3.7")</f>
        <v>3.7</v>
      </c>
      <c r="G6191" s="4" t="str">
        <f>HYPERLINK("http://141.218.60.56/~jnz1568/getInfo.php?workbook=14_09.xlsx&amp;sheet=U0&amp;row=6191&amp;col=7&amp;number=0.00569&amp;sourceID=14","0.00569")</f>
        <v>0.00569</v>
      </c>
    </row>
    <row r="6192" spans="1:7">
      <c r="A6192" s="3"/>
      <c r="B6192" s="3"/>
      <c r="C6192" s="3"/>
      <c r="D6192" s="3"/>
      <c r="E6192" s="3">
        <v>9</v>
      </c>
      <c r="F6192" s="4" t="str">
        <f>HYPERLINK("http://141.218.60.56/~jnz1568/getInfo.php?workbook=14_09.xlsx&amp;sheet=U0&amp;row=6192&amp;col=6&amp;number=3.8&amp;sourceID=14","3.8")</f>
        <v>3.8</v>
      </c>
      <c r="G6192" s="4" t="str">
        <f>HYPERLINK("http://141.218.60.56/~jnz1568/getInfo.php?workbook=14_09.xlsx&amp;sheet=U0&amp;row=6192&amp;col=7&amp;number=0.00567&amp;sourceID=14","0.00567")</f>
        <v>0.00567</v>
      </c>
    </row>
    <row r="6193" spans="1:7">
      <c r="A6193" s="3"/>
      <c r="B6193" s="3"/>
      <c r="C6193" s="3"/>
      <c r="D6193" s="3"/>
      <c r="E6193" s="3">
        <v>10</v>
      </c>
      <c r="F6193" s="4" t="str">
        <f>HYPERLINK("http://141.218.60.56/~jnz1568/getInfo.php?workbook=14_09.xlsx&amp;sheet=U0&amp;row=6193&amp;col=6&amp;number=3.9&amp;sourceID=14","3.9")</f>
        <v>3.9</v>
      </c>
      <c r="G6193" s="4" t="str">
        <f>HYPERLINK("http://141.218.60.56/~jnz1568/getInfo.php?workbook=14_09.xlsx&amp;sheet=U0&amp;row=6193&amp;col=7&amp;number=0.00564&amp;sourceID=14","0.00564")</f>
        <v>0.00564</v>
      </c>
    </row>
    <row r="6194" spans="1:7">
      <c r="A6194" s="3"/>
      <c r="B6194" s="3"/>
      <c r="C6194" s="3"/>
      <c r="D6194" s="3"/>
      <c r="E6194" s="3">
        <v>11</v>
      </c>
      <c r="F6194" s="4" t="str">
        <f>HYPERLINK("http://141.218.60.56/~jnz1568/getInfo.php?workbook=14_09.xlsx&amp;sheet=U0&amp;row=6194&amp;col=6&amp;number=4&amp;sourceID=14","4")</f>
        <v>4</v>
      </c>
      <c r="G6194" s="4" t="str">
        <f>HYPERLINK("http://141.218.60.56/~jnz1568/getInfo.php?workbook=14_09.xlsx&amp;sheet=U0&amp;row=6194&amp;col=7&amp;number=0.00561&amp;sourceID=14","0.00561")</f>
        <v>0.00561</v>
      </c>
    </row>
    <row r="6195" spans="1:7">
      <c r="A6195" s="3"/>
      <c r="B6195" s="3"/>
      <c r="C6195" s="3"/>
      <c r="D6195" s="3"/>
      <c r="E6195" s="3">
        <v>12</v>
      </c>
      <c r="F6195" s="4" t="str">
        <f>HYPERLINK("http://141.218.60.56/~jnz1568/getInfo.php?workbook=14_09.xlsx&amp;sheet=U0&amp;row=6195&amp;col=6&amp;number=4.1&amp;sourceID=14","4.1")</f>
        <v>4.1</v>
      </c>
      <c r="G6195" s="4" t="str">
        <f>HYPERLINK("http://141.218.60.56/~jnz1568/getInfo.php?workbook=14_09.xlsx&amp;sheet=U0&amp;row=6195&amp;col=7&amp;number=0.00558&amp;sourceID=14","0.00558")</f>
        <v>0.00558</v>
      </c>
    </row>
    <row r="6196" spans="1:7">
      <c r="A6196" s="3"/>
      <c r="B6196" s="3"/>
      <c r="C6196" s="3"/>
      <c r="D6196" s="3"/>
      <c r="E6196" s="3">
        <v>13</v>
      </c>
      <c r="F6196" s="4" t="str">
        <f>HYPERLINK("http://141.218.60.56/~jnz1568/getInfo.php?workbook=14_09.xlsx&amp;sheet=U0&amp;row=6196&amp;col=6&amp;number=4.2&amp;sourceID=14","4.2")</f>
        <v>4.2</v>
      </c>
      <c r="G6196" s="4" t="str">
        <f>HYPERLINK("http://141.218.60.56/~jnz1568/getInfo.php?workbook=14_09.xlsx&amp;sheet=U0&amp;row=6196&amp;col=7&amp;number=0.00553&amp;sourceID=14","0.00553")</f>
        <v>0.00553</v>
      </c>
    </row>
    <row r="6197" spans="1:7">
      <c r="A6197" s="3"/>
      <c r="B6197" s="3"/>
      <c r="C6197" s="3"/>
      <c r="D6197" s="3"/>
      <c r="E6197" s="3">
        <v>14</v>
      </c>
      <c r="F6197" s="4" t="str">
        <f>HYPERLINK("http://141.218.60.56/~jnz1568/getInfo.php?workbook=14_09.xlsx&amp;sheet=U0&amp;row=6197&amp;col=6&amp;number=4.3&amp;sourceID=14","4.3")</f>
        <v>4.3</v>
      </c>
      <c r="G6197" s="4" t="str">
        <f>HYPERLINK("http://141.218.60.56/~jnz1568/getInfo.php?workbook=14_09.xlsx&amp;sheet=U0&amp;row=6197&amp;col=7&amp;number=0.00548&amp;sourceID=14","0.00548")</f>
        <v>0.00548</v>
      </c>
    </row>
    <row r="6198" spans="1:7">
      <c r="A6198" s="3"/>
      <c r="B6198" s="3"/>
      <c r="C6198" s="3"/>
      <c r="D6198" s="3"/>
      <c r="E6198" s="3">
        <v>15</v>
      </c>
      <c r="F6198" s="4" t="str">
        <f>HYPERLINK("http://141.218.60.56/~jnz1568/getInfo.php?workbook=14_09.xlsx&amp;sheet=U0&amp;row=6198&amp;col=6&amp;number=4.4&amp;sourceID=14","4.4")</f>
        <v>4.4</v>
      </c>
      <c r="G6198" s="4" t="str">
        <f>HYPERLINK("http://141.218.60.56/~jnz1568/getInfo.php?workbook=14_09.xlsx&amp;sheet=U0&amp;row=6198&amp;col=7&amp;number=0.00541&amp;sourceID=14","0.00541")</f>
        <v>0.00541</v>
      </c>
    </row>
    <row r="6199" spans="1:7">
      <c r="A6199" s="3"/>
      <c r="B6199" s="3"/>
      <c r="C6199" s="3"/>
      <c r="D6199" s="3"/>
      <c r="E6199" s="3">
        <v>16</v>
      </c>
      <c r="F6199" s="4" t="str">
        <f>HYPERLINK("http://141.218.60.56/~jnz1568/getInfo.php?workbook=14_09.xlsx&amp;sheet=U0&amp;row=6199&amp;col=6&amp;number=4.5&amp;sourceID=14","4.5")</f>
        <v>4.5</v>
      </c>
      <c r="G6199" s="4" t="str">
        <f>HYPERLINK("http://141.218.60.56/~jnz1568/getInfo.php?workbook=14_09.xlsx&amp;sheet=U0&amp;row=6199&amp;col=7&amp;number=0.00532&amp;sourceID=14","0.00532")</f>
        <v>0.00532</v>
      </c>
    </row>
    <row r="6200" spans="1:7">
      <c r="A6200" s="3"/>
      <c r="B6200" s="3"/>
      <c r="C6200" s="3"/>
      <c r="D6200" s="3"/>
      <c r="E6200" s="3">
        <v>17</v>
      </c>
      <c r="F6200" s="4" t="str">
        <f>HYPERLINK("http://141.218.60.56/~jnz1568/getInfo.php?workbook=14_09.xlsx&amp;sheet=U0&amp;row=6200&amp;col=6&amp;number=4.6&amp;sourceID=14","4.6")</f>
        <v>4.6</v>
      </c>
      <c r="G6200" s="4" t="str">
        <f>HYPERLINK("http://141.218.60.56/~jnz1568/getInfo.php?workbook=14_09.xlsx&amp;sheet=U0&amp;row=6200&amp;col=7&amp;number=0.00522&amp;sourceID=14","0.00522")</f>
        <v>0.00522</v>
      </c>
    </row>
    <row r="6201" spans="1:7">
      <c r="A6201" s="3"/>
      <c r="B6201" s="3"/>
      <c r="C6201" s="3"/>
      <c r="D6201" s="3"/>
      <c r="E6201" s="3">
        <v>18</v>
      </c>
      <c r="F6201" s="4" t="str">
        <f>HYPERLINK("http://141.218.60.56/~jnz1568/getInfo.php?workbook=14_09.xlsx&amp;sheet=U0&amp;row=6201&amp;col=6&amp;number=4.7&amp;sourceID=14","4.7")</f>
        <v>4.7</v>
      </c>
      <c r="G6201" s="4" t="str">
        <f>HYPERLINK("http://141.218.60.56/~jnz1568/getInfo.php?workbook=14_09.xlsx&amp;sheet=U0&amp;row=6201&amp;col=7&amp;number=0.0051&amp;sourceID=14","0.0051")</f>
        <v>0.0051</v>
      </c>
    </row>
    <row r="6202" spans="1:7">
      <c r="A6202" s="3"/>
      <c r="B6202" s="3"/>
      <c r="C6202" s="3"/>
      <c r="D6202" s="3"/>
      <c r="E6202" s="3">
        <v>19</v>
      </c>
      <c r="F6202" s="4" t="str">
        <f>HYPERLINK("http://141.218.60.56/~jnz1568/getInfo.php?workbook=14_09.xlsx&amp;sheet=U0&amp;row=6202&amp;col=6&amp;number=4.8&amp;sourceID=14","4.8")</f>
        <v>4.8</v>
      </c>
      <c r="G6202" s="4" t="str">
        <f>HYPERLINK("http://141.218.60.56/~jnz1568/getInfo.php?workbook=14_09.xlsx&amp;sheet=U0&amp;row=6202&amp;col=7&amp;number=0.00497&amp;sourceID=14","0.00497")</f>
        <v>0.00497</v>
      </c>
    </row>
    <row r="6203" spans="1:7">
      <c r="A6203" s="3"/>
      <c r="B6203" s="3"/>
      <c r="C6203" s="3"/>
      <c r="D6203" s="3"/>
      <c r="E6203" s="3">
        <v>20</v>
      </c>
      <c r="F6203" s="4" t="str">
        <f>HYPERLINK("http://141.218.60.56/~jnz1568/getInfo.php?workbook=14_09.xlsx&amp;sheet=U0&amp;row=6203&amp;col=6&amp;number=4.9&amp;sourceID=14","4.9")</f>
        <v>4.9</v>
      </c>
      <c r="G6203" s="4" t="str">
        <f>HYPERLINK("http://141.218.60.56/~jnz1568/getInfo.php?workbook=14_09.xlsx&amp;sheet=U0&amp;row=6203&amp;col=7&amp;number=0.00483&amp;sourceID=14","0.00483")</f>
        <v>0.00483</v>
      </c>
    </row>
    <row r="6204" spans="1:7">
      <c r="A6204" s="3">
        <v>14</v>
      </c>
      <c r="B6204" s="3">
        <v>9</v>
      </c>
      <c r="C6204" s="3">
        <v>2</v>
      </c>
      <c r="D6204" s="3">
        <v>119</v>
      </c>
      <c r="E6204" s="3">
        <v>1</v>
      </c>
      <c r="F6204" s="4" t="str">
        <f>HYPERLINK("http://141.218.60.56/~jnz1568/getInfo.php?workbook=14_09.xlsx&amp;sheet=U0&amp;row=6204&amp;col=6&amp;number=3&amp;sourceID=14","3")</f>
        <v>3</v>
      </c>
      <c r="G6204" s="4" t="str">
        <f>HYPERLINK("http://141.218.60.56/~jnz1568/getInfo.php?workbook=14_09.xlsx&amp;sheet=U0&amp;row=6204&amp;col=7&amp;number=0.00267&amp;sourceID=14","0.00267")</f>
        <v>0.00267</v>
      </c>
    </row>
    <row r="6205" spans="1:7">
      <c r="A6205" s="3"/>
      <c r="B6205" s="3"/>
      <c r="C6205" s="3"/>
      <c r="D6205" s="3"/>
      <c r="E6205" s="3">
        <v>2</v>
      </c>
      <c r="F6205" s="4" t="str">
        <f>HYPERLINK("http://141.218.60.56/~jnz1568/getInfo.php?workbook=14_09.xlsx&amp;sheet=U0&amp;row=6205&amp;col=6&amp;number=3.1&amp;sourceID=14","3.1")</f>
        <v>3.1</v>
      </c>
      <c r="G6205" s="4" t="str">
        <f>HYPERLINK("http://141.218.60.56/~jnz1568/getInfo.php?workbook=14_09.xlsx&amp;sheet=U0&amp;row=6205&amp;col=7&amp;number=0.00267&amp;sourceID=14","0.00267")</f>
        <v>0.00267</v>
      </c>
    </row>
    <row r="6206" spans="1:7">
      <c r="A6206" s="3"/>
      <c r="B6206" s="3"/>
      <c r="C6206" s="3"/>
      <c r="D6206" s="3"/>
      <c r="E6206" s="3">
        <v>3</v>
      </c>
      <c r="F6206" s="4" t="str">
        <f>HYPERLINK("http://141.218.60.56/~jnz1568/getInfo.php?workbook=14_09.xlsx&amp;sheet=U0&amp;row=6206&amp;col=6&amp;number=3.2&amp;sourceID=14","3.2")</f>
        <v>3.2</v>
      </c>
      <c r="G6206" s="4" t="str">
        <f>HYPERLINK("http://141.218.60.56/~jnz1568/getInfo.php?workbook=14_09.xlsx&amp;sheet=U0&amp;row=6206&amp;col=7&amp;number=0.00266&amp;sourceID=14","0.00266")</f>
        <v>0.00266</v>
      </c>
    </row>
    <row r="6207" spans="1:7">
      <c r="A6207" s="3"/>
      <c r="B6207" s="3"/>
      <c r="C6207" s="3"/>
      <c r="D6207" s="3"/>
      <c r="E6207" s="3">
        <v>4</v>
      </c>
      <c r="F6207" s="4" t="str">
        <f>HYPERLINK("http://141.218.60.56/~jnz1568/getInfo.php?workbook=14_09.xlsx&amp;sheet=U0&amp;row=6207&amp;col=6&amp;number=3.3&amp;sourceID=14","3.3")</f>
        <v>3.3</v>
      </c>
      <c r="G6207" s="4" t="str">
        <f>HYPERLINK("http://141.218.60.56/~jnz1568/getInfo.php?workbook=14_09.xlsx&amp;sheet=U0&amp;row=6207&amp;col=7&amp;number=0.00266&amp;sourceID=14","0.00266")</f>
        <v>0.00266</v>
      </c>
    </row>
    <row r="6208" spans="1:7">
      <c r="A6208" s="3"/>
      <c r="B6208" s="3"/>
      <c r="C6208" s="3"/>
      <c r="D6208" s="3"/>
      <c r="E6208" s="3">
        <v>5</v>
      </c>
      <c r="F6208" s="4" t="str">
        <f>HYPERLINK("http://141.218.60.56/~jnz1568/getInfo.php?workbook=14_09.xlsx&amp;sheet=U0&amp;row=6208&amp;col=6&amp;number=3.4&amp;sourceID=14","3.4")</f>
        <v>3.4</v>
      </c>
      <c r="G6208" s="4" t="str">
        <f>HYPERLINK("http://141.218.60.56/~jnz1568/getInfo.php?workbook=14_09.xlsx&amp;sheet=U0&amp;row=6208&amp;col=7&amp;number=0.00265&amp;sourceID=14","0.00265")</f>
        <v>0.00265</v>
      </c>
    </row>
    <row r="6209" spans="1:7">
      <c r="A6209" s="3"/>
      <c r="B6209" s="3"/>
      <c r="C6209" s="3"/>
      <c r="D6209" s="3"/>
      <c r="E6209" s="3">
        <v>6</v>
      </c>
      <c r="F6209" s="4" t="str">
        <f>HYPERLINK("http://141.218.60.56/~jnz1568/getInfo.php?workbook=14_09.xlsx&amp;sheet=U0&amp;row=6209&amp;col=6&amp;number=3.5&amp;sourceID=14","3.5")</f>
        <v>3.5</v>
      </c>
      <c r="G6209" s="4" t="str">
        <f>HYPERLINK("http://141.218.60.56/~jnz1568/getInfo.php?workbook=14_09.xlsx&amp;sheet=U0&amp;row=6209&amp;col=7&amp;number=0.00264&amp;sourceID=14","0.00264")</f>
        <v>0.00264</v>
      </c>
    </row>
    <row r="6210" spans="1:7">
      <c r="A6210" s="3"/>
      <c r="B6210" s="3"/>
      <c r="C6210" s="3"/>
      <c r="D6210" s="3"/>
      <c r="E6210" s="3">
        <v>7</v>
      </c>
      <c r="F6210" s="4" t="str">
        <f>HYPERLINK("http://141.218.60.56/~jnz1568/getInfo.php?workbook=14_09.xlsx&amp;sheet=U0&amp;row=6210&amp;col=6&amp;number=3.6&amp;sourceID=14","3.6")</f>
        <v>3.6</v>
      </c>
      <c r="G6210" s="4" t="str">
        <f>HYPERLINK("http://141.218.60.56/~jnz1568/getInfo.php?workbook=14_09.xlsx&amp;sheet=U0&amp;row=6210&amp;col=7&amp;number=0.00264&amp;sourceID=14","0.00264")</f>
        <v>0.00264</v>
      </c>
    </row>
    <row r="6211" spans="1:7">
      <c r="A6211" s="3"/>
      <c r="B6211" s="3"/>
      <c r="C6211" s="3"/>
      <c r="D6211" s="3"/>
      <c r="E6211" s="3">
        <v>8</v>
      </c>
      <c r="F6211" s="4" t="str">
        <f>HYPERLINK("http://141.218.60.56/~jnz1568/getInfo.php?workbook=14_09.xlsx&amp;sheet=U0&amp;row=6211&amp;col=6&amp;number=3.7&amp;sourceID=14","3.7")</f>
        <v>3.7</v>
      </c>
      <c r="G6211" s="4" t="str">
        <f>HYPERLINK("http://141.218.60.56/~jnz1568/getInfo.php?workbook=14_09.xlsx&amp;sheet=U0&amp;row=6211&amp;col=7&amp;number=0.00262&amp;sourceID=14","0.00262")</f>
        <v>0.00262</v>
      </c>
    </row>
    <row r="6212" spans="1:7">
      <c r="A6212" s="3"/>
      <c r="B6212" s="3"/>
      <c r="C6212" s="3"/>
      <c r="D6212" s="3"/>
      <c r="E6212" s="3">
        <v>9</v>
      </c>
      <c r="F6212" s="4" t="str">
        <f>HYPERLINK("http://141.218.60.56/~jnz1568/getInfo.php?workbook=14_09.xlsx&amp;sheet=U0&amp;row=6212&amp;col=6&amp;number=3.8&amp;sourceID=14","3.8")</f>
        <v>3.8</v>
      </c>
      <c r="G6212" s="4" t="str">
        <f>HYPERLINK("http://141.218.60.56/~jnz1568/getInfo.php?workbook=14_09.xlsx&amp;sheet=U0&amp;row=6212&amp;col=7&amp;number=0.00261&amp;sourceID=14","0.00261")</f>
        <v>0.00261</v>
      </c>
    </row>
    <row r="6213" spans="1:7">
      <c r="A6213" s="3"/>
      <c r="B6213" s="3"/>
      <c r="C6213" s="3"/>
      <c r="D6213" s="3"/>
      <c r="E6213" s="3">
        <v>10</v>
      </c>
      <c r="F6213" s="4" t="str">
        <f>HYPERLINK("http://141.218.60.56/~jnz1568/getInfo.php?workbook=14_09.xlsx&amp;sheet=U0&amp;row=6213&amp;col=6&amp;number=3.9&amp;sourceID=14","3.9")</f>
        <v>3.9</v>
      </c>
      <c r="G6213" s="4" t="str">
        <f>HYPERLINK("http://141.218.60.56/~jnz1568/getInfo.php?workbook=14_09.xlsx&amp;sheet=U0&amp;row=6213&amp;col=7&amp;number=0.00259&amp;sourceID=14","0.00259")</f>
        <v>0.00259</v>
      </c>
    </row>
    <row r="6214" spans="1:7">
      <c r="A6214" s="3"/>
      <c r="B6214" s="3"/>
      <c r="C6214" s="3"/>
      <c r="D6214" s="3"/>
      <c r="E6214" s="3">
        <v>11</v>
      </c>
      <c r="F6214" s="4" t="str">
        <f>HYPERLINK("http://141.218.60.56/~jnz1568/getInfo.php?workbook=14_09.xlsx&amp;sheet=U0&amp;row=6214&amp;col=6&amp;number=4&amp;sourceID=14","4")</f>
        <v>4</v>
      </c>
      <c r="G6214" s="4" t="str">
        <f>HYPERLINK("http://141.218.60.56/~jnz1568/getInfo.php?workbook=14_09.xlsx&amp;sheet=U0&amp;row=6214&amp;col=7&amp;number=0.00256&amp;sourceID=14","0.00256")</f>
        <v>0.00256</v>
      </c>
    </row>
    <row r="6215" spans="1:7">
      <c r="A6215" s="3"/>
      <c r="B6215" s="3"/>
      <c r="C6215" s="3"/>
      <c r="D6215" s="3"/>
      <c r="E6215" s="3">
        <v>12</v>
      </c>
      <c r="F6215" s="4" t="str">
        <f>HYPERLINK("http://141.218.60.56/~jnz1568/getInfo.php?workbook=14_09.xlsx&amp;sheet=U0&amp;row=6215&amp;col=6&amp;number=4.1&amp;sourceID=14","4.1")</f>
        <v>4.1</v>
      </c>
      <c r="G6215" s="4" t="str">
        <f>HYPERLINK("http://141.218.60.56/~jnz1568/getInfo.php?workbook=14_09.xlsx&amp;sheet=U0&amp;row=6215&amp;col=7&amp;number=0.00253&amp;sourceID=14","0.00253")</f>
        <v>0.00253</v>
      </c>
    </row>
    <row r="6216" spans="1:7">
      <c r="A6216" s="3"/>
      <c r="B6216" s="3"/>
      <c r="C6216" s="3"/>
      <c r="D6216" s="3"/>
      <c r="E6216" s="3">
        <v>13</v>
      </c>
      <c r="F6216" s="4" t="str">
        <f>HYPERLINK("http://141.218.60.56/~jnz1568/getInfo.php?workbook=14_09.xlsx&amp;sheet=U0&amp;row=6216&amp;col=6&amp;number=4.2&amp;sourceID=14","4.2")</f>
        <v>4.2</v>
      </c>
      <c r="G6216" s="4" t="str">
        <f>HYPERLINK("http://141.218.60.56/~jnz1568/getInfo.php?workbook=14_09.xlsx&amp;sheet=U0&amp;row=6216&amp;col=7&amp;number=0.0025&amp;sourceID=14","0.0025")</f>
        <v>0.0025</v>
      </c>
    </row>
    <row r="6217" spans="1:7">
      <c r="A6217" s="3"/>
      <c r="B6217" s="3"/>
      <c r="C6217" s="3"/>
      <c r="D6217" s="3"/>
      <c r="E6217" s="3">
        <v>14</v>
      </c>
      <c r="F6217" s="4" t="str">
        <f>HYPERLINK("http://141.218.60.56/~jnz1568/getInfo.php?workbook=14_09.xlsx&amp;sheet=U0&amp;row=6217&amp;col=6&amp;number=4.3&amp;sourceID=14","4.3")</f>
        <v>4.3</v>
      </c>
      <c r="G6217" s="4" t="str">
        <f>HYPERLINK("http://141.218.60.56/~jnz1568/getInfo.php?workbook=14_09.xlsx&amp;sheet=U0&amp;row=6217&amp;col=7&amp;number=0.00245&amp;sourceID=14","0.00245")</f>
        <v>0.00245</v>
      </c>
    </row>
    <row r="6218" spans="1:7">
      <c r="A6218" s="3"/>
      <c r="B6218" s="3"/>
      <c r="C6218" s="3"/>
      <c r="D6218" s="3"/>
      <c r="E6218" s="3">
        <v>15</v>
      </c>
      <c r="F6218" s="4" t="str">
        <f>HYPERLINK("http://141.218.60.56/~jnz1568/getInfo.php?workbook=14_09.xlsx&amp;sheet=U0&amp;row=6218&amp;col=6&amp;number=4.4&amp;sourceID=14","4.4")</f>
        <v>4.4</v>
      </c>
      <c r="G6218" s="4" t="str">
        <f>HYPERLINK("http://141.218.60.56/~jnz1568/getInfo.php?workbook=14_09.xlsx&amp;sheet=U0&amp;row=6218&amp;col=7&amp;number=0.00239&amp;sourceID=14","0.00239")</f>
        <v>0.00239</v>
      </c>
    </row>
    <row r="6219" spans="1:7">
      <c r="A6219" s="3"/>
      <c r="B6219" s="3"/>
      <c r="C6219" s="3"/>
      <c r="D6219" s="3"/>
      <c r="E6219" s="3">
        <v>16</v>
      </c>
      <c r="F6219" s="4" t="str">
        <f>HYPERLINK("http://141.218.60.56/~jnz1568/getInfo.php?workbook=14_09.xlsx&amp;sheet=U0&amp;row=6219&amp;col=6&amp;number=4.5&amp;sourceID=14","4.5")</f>
        <v>4.5</v>
      </c>
      <c r="G6219" s="4" t="str">
        <f>HYPERLINK("http://141.218.60.56/~jnz1568/getInfo.php?workbook=14_09.xlsx&amp;sheet=U0&amp;row=6219&amp;col=7&amp;number=0.00233&amp;sourceID=14","0.00233")</f>
        <v>0.00233</v>
      </c>
    </row>
    <row r="6220" spans="1:7">
      <c r="A6220" s="3"/>
      <c r="B6220" s="3"/>
      <c r="C6220" s="3"/>
      <c r="D6220" s="3"/>
      <c r="E6220" s="3">
        <v>17</v>
      </c>
      <c r="F6220" s="4" t="str">
        <f>HYPERLINK("http://141.218.60.56/~jnz1568/getInfo.php?workbook=14_09.xlsx&amp;sheet=U0&amp;row=6220&amp;col=6&amp;number=4.6&amp;sourceID=14","4.6")</f>
        <v>4.6</v>
      </c>
      <c r="G6220" s="4" t="str">
        <f>HYPERLINK("http://141.218.60.56/~jnz1568/getInfo.php?workbook=14_09.xlsx&amp;sheet=U0&amp;row=6220&amp;col=7&amp;number=0.00225&amp;sourceID=14","0.00225")</f>
        <v>0.00225</v>
      </c>
    </row>
    <row r="6221" spans="1:7">
      <c r="A6221" s="3"/>
      <c r="B6221" s="3"/>
      <c r="C6221" s="3"/>
      <c r="D6221" s="3"/>
      <c r="E6221" s="3">
        <v>18</v>
      </c>
      <c r="F6221" s="4" t="str">
        <f>HYPERLINK("http://141.218.60.56/~jnz1568/getInfo.php?workbook=14_09.xlsx&amp;sheet=U0&amp;row=6221&amp;col=6&amp;number=4.7&amp;sourceID=14","4.7")</f>
        <v>4.7</v>
      </c>
      <c r="G6221" s="4" t="str">
        <f>HYPERLINK("http://141.218.60.56/~jnz1568/getInfo.php?workbook=14_09.xlsx&amp;sheet=U0&amp;row=6221&amp;col=7&amp;number=0.00215&amp;sourceID=14","0.00215")</f>
        <v>0.00215</v>
      </c>
    </row>
    <row r="6222" spans="1:7">
      <c r="A6222" s="3"/>
      <c r="B6222" s="3"/>
      <c r="C6222" s="3"/>
      <c r="D6222" s="3"/>
      <c r="E6222" s="3">
        <v>19</v>
      </c>
      <c r="F6222" s="4" t="str">
        <f>HYPERLINK("http://141.218.60.56/~jnz1568/getInfo.php?workbook=14_09.xlsx&amp;sheet=U0&amp;row=6222&amp;col=6&amp;number=4.8&amp;sourceID=14","4.8")</f>
        <v>4.8</v>
      </c>
      <c r="G6222" s="4" t="str">
        <f>HYPERLINK("http://141.218.60.56/~jnz1568/getInfo.php?workbook=14_09.xlsx&amp;sheet=U0&amp;row=6222&amp;col=7&amp;number=0.00204&amp;sourceID=14","0.00204")</f>
        <v>0.00204</v>
      </c>
    </row>
    <row r="6223" spans="1:7">
      <c r="A6223" s="3"/>
      <c r="B6223" s="3"/>
      <c r="C6223" s="3"/>
      <c r="D6223" s="3"/>
      <c r="E6223" s="3">
        <v>20</v>
      </c>
      <c r="F6223" s="4" t="str">
        <f>HYPERLINK("http://141.218.60.56/~jnz1568/getInfo.php?workbook=14_09.xlsx&amp;sheet=U0&amp;row=6223&amp;col=6&amp;number=4.9&amp;sourceID=14","4.9")</f>
        <v>4.9</v>
      </c>
      <c r="G6223" s="4" t="str">
        <f>HYPERLINK("http://141.218.60.56/~jnz1568/getInfo.php?workbook=14_09.xlsx&amp;sheet=U0&amp;row=6223&amp;col=7&amp;number=0.00193&amp;sourceID=14","0.00193")</f>
        <v>0.00193</v>
      </c>
    </row>
    <row r="6224" spans="1:7">
      <c r="A6224" s="3">
        <v>14</v>
      </c>
      <c r="B6224" s="3">
        <v>9</v>
      </c>
      <c r="C6224" s="3">
        <v>2</v>
      </c>
      <c r="D6224" s="3">
        <v>120</v>
      </c>
      <c r="E6224" s="3">
        <v>1</v>
      </c>
      <c r="F6224" s="4" t="str">
        <f>HYPERLINK("http://141.218.60.56/~jnz1568/getInfo.php?workbook=14_09.xlsx&amp;sheet=U0&amp;row=6224&amp;col=6&amp;number=3&amp;sourceID=14","3")</f>
        <v>3</v>
      </c>
      <c r="G6224" s="4" t="str">
        <f>HYPERLINK("http://141.218.60.56/~jnz1568/getInfo.php?workbook=14_09.xlsx&amp;sheet=U0&amp;row=6224&amp;col=7&amp;number=0.00257&amp;sourceID=14","0.00257")</f>
        <v>0.00257</v>
      </c>
    </row>
    <row r="6225" spans="1:7">
      <c r="A6225" s="3"/>
      <c r="B6225" s="3"/>
      <c r="C6225" s="3"/>
      <c r="D6225" s="3"/>
      <c r="E6225" s="3">
        <v>2</v>
      </c>
      <c r="F6225" s="4" t="str">
        <f>HYPERLINK("http://141.218.60.56/~jnz1568/getInfo.php?workbook=14_09.xlsx&amp;sheet=U0&amp;row=6225&amp;col=6&amp;number=3.1&amp;sourceID=14","3.1")</f>
        <v>3.1</v>
      </c>
      <c r="G6225" s="4" t="str">
        <f>HYPERLINK("http://141.218.60.56/~jnz1568/getInfo.php?workbook=14_09.xlsx&amp;sheet=U0&amp;row=6225&amp;col=7&amp;number=0.00256&amp;sourceID=14","0.00256")</f>
        <v>0.00256</v>
      </c>
    </row>
    <row r="6226" spans="1:7">
      <c r="A6226" s="3"/>
      <c r="B6226" s="3"/>
      <c r="C6226" s="3"/>
      <c r="D6226" s="3"/>
      <c r="E6226" s="3">
        <v>3</v>
      </c>
      <c r="F6226" s="4" t="str">
        <f>HYPERLINK("http://141.218.60.56/~jnz1568/getInfo.php?workbook=14_09.xlsx&amp;sheet=U0&amp;row=6226&amp;col=6&amp;number=3.2&amp;sourceID=14","3.2")</f>
        <v>3.2</v>
      </c>
      <c r="G6226" s="4" t="str">
        <f>HYPERLINK("http://141.218.60.56/~jnz1568/getInfo.php?workbook=14_09.xlsx&amp;sheet=U0&amp;row=6226&amp;col=7&amp;number=0.00256&amp;sourceID=14","0.00256")</f>
        <v>0.00256</v>
      </c>
    </row>
    <row r="6227" spans="1:7">
      <c r="A6227" s="3"/>
      <c r="B6227" s="3"/>
      <c r="C6227" s="3"/>
      <c r="D6227" s="3"/>
      <c r="E6227" s="3">
        <v>4</v>
      </c>
      <c r="F6227" s="4" t="str">
        <f>HYPERLINK("http://141.218.60.56/~jnz1568/getInfo.php?workbook=14_09.xlsx&amp;sheet=U0&amp;row=6227&amp;col=6&amp;number=3.3&amp;sourceID=14","3.3")</f>
        <v>3.3</v>
      </c>
      <c r="G6227" s="4" t="str">
        <f>HYPERLINK("http://141.218.60.56/~jnz1568/getInfo.php?workbook=14_09.xlsx&amp;sheet=U0&amp;row=6227&amp;col=7&amp;number=0.00255&amp;sourceID=14","0.00255")</f>
        <v>0.00255</v>
      </c>
    </row>
    <row r="6228" spans="1:7">
      <c r="A6228" s="3"/>
      <c r="B6228" s="3"/>
      <c r="C6228" s="3"/>
      <c r="D6228" s="3"/>
      <c r="E6228" s="3">
        <v>5</v>
      </c>
      <c r="F6228" s="4" t="str">
        <f>HYPERLINK("http://141.218.60.56/~jnz1568/getInfo.php?workbook=14_09.xlsx&amp;sheet=U0&amp;row=6228&amp;col=6&amp;number=3.4&amp;sourceID=14","3.4")</f>
        <v>3.4</v>
      </c>
      <c r="G6228" s="4" t="str">
        <f>HYPERLINK("http://141.218.60.56/~jnz1568/getInfo.php?workbook=14_09.xlsx&amp;sheet=U0&amp;row=6228&amp;col=7&amp;number=0.00254&amp;sourceID=14","0.00254")</f>
        <v>0.00254</v>
      </c>
    </row>
    <row r="6229" spans="1:7">
      <c r="A6229" s="3"/>
      <c r="B6229" s="3"/>
      <c r="C6229" s="3"/>
      <c r="D6229" s="3"/>
      <c r="E6229" s="3">
        <v>6</v>
      </c>
      <c r="F6229" s="4" t="str">
        <f>HYPERLINK("http://141.218.60.56/~jnz1568/getInfo.php?workbook=14_09.xlsx&amp;sheet=U0&amp;row=6229&amp;col=6&amp;number=3.5&amp;sourceID=14","3.5")</f>
        <v>3.5</v>
      </c>
      <c r="G6229" s="4" t="str">
        <f>HYPERLINK("http://141.218.60.56/~jnz1568/getInfo.php?workbook=14_09.xlsx&amp;sheet=U0&amp;row=6229&amp;col=7&amp;number=0.00253&amp;sourceID=14","0.00253")</f>
        <v>0.00253</v>
      </c>
    </row>
    <row r="6230" spans="1:7">
      <c r="A6230" s="3"/>
      <c r="B6230" s="3"/>
      <c r="C6230" s="3"/>
      <c r="D6230" s="3"/>
      <c r="E6230" s="3">
        <v>7</v>
      </c>
      <c r="F6230" s="4" t="str">
        <f>HYPERLINK("http://141.218.60.56/~jnz1568/getInfo.php?workbook=14_09.xlsx&amp;sheet=U0&amp;row=6230&amp;col=6&amp;number=3.6&amp;sourceID=14","3.6")</f>
        <v>3.6</v>
      </c>
      <c r="G6230" s="4" t="str">
        <f>HYPERLINK("http://141.218.60.56/~jnz1568/getInfo.php?workbook=14_09.xlsx&amp;sheet=U0&amp;row=6230&amp;col=7&amp;number=0.00251&amp;sourceID=14","0.00251")</f>
        <v>0.00251</v>
      </c>
    </row>
    <row r="6231" spans="1:7">
      <c r="A6231" s="3"/>
      <c r="B6231" s="3"/>
      <c r="C6231" s="3"/>
      <c r="D6231" s="3"/>
      <c r="E6231" s="3">
        <v>8</v>
      </c>
      <c r="F6231" s="4" t="str">
        <f>HYPERLINK("http://141.218.60.56/~jnz1568/getInfo.php?workbook=14_09.xlsx&amp;sheet=U0&amp;row=6231&amp;col=6&amp;number=3.7&amp;sourceID=14","3.7")</f>
        <v>3.7</v>
      </c>
      <c r="G6231" s="4" t="str">
        <f>HYPERLINK("http://141.218.60.56/~jnz1568/getInfo.php?workbook=14_09.xlsx&amp;sheet=U0&amp;row=6231&amp;col=7&amp;number=0.0025&amp;sourceID=14","0.0025")</f>
        <v>0.0025</v>
      </c>
    </row>
    <row r="6232" spans="1:7">
      <c r="A6232" s="3"/>
      <c r="B6232" s="3"/>
      <c r="C6232" s="3"/>
      <c r="D6232" s="3"/>
      <c r="E6232" s="3">
        <v>9</v>
      </c>
      <c r="F6232" s="4" t="str">
        <f>HYPERLINK("http://141.218.60.56/~jnz1568/getInfo.php?workbook=14_09.xlsx&amp;sheet=U0&amp;row=6232&amp;col=6&amp;number=3.8&amp;sourceID=14","3.8")</f>
        <v>3.8</v>
      </c>
      <c r="G6232" s="4" t="str">
        <f>HYPERLINK("http://141.218.60.56/~jnz1568/getInfo.php?workbook=14_09.xlsx&amp;sheet=U0&amp;row=6232&amp;col=7&amp;number=0.00247&amp;sourceID=14","0.00247")</f>
        <v>0.00247</v>
      </c>
    </row>
    <row r="6233" spans="1:7">
      <c r="A6233" s="3"/>
      <c r="B6233" s="3"/>
      <c r="C6233" s="3"/>
      <c r="D6233" s="3"/>
      <c r="E6233" s="3">
        <v>10</v>
      </c>
      <c r="F6233" s="4" t="str">
        <f>HYPERLINK("http://141.218.60.56/~jnz1568/getInfo.php?workbook=14_09.xlsx&amp;sheet=U0&amp;row=6233&amp;col=6&amp;number=3.9&amp;sourceID=14","3.9")</f>
        <v>3.9</v>
      </c>
      <c r="G6233" s="4" t="str">
        <f>HYPERLINK("http://141.218.60.56/~jnz1568/getInfo.php?workbook=14_09.xlsx&amp;sheet=U0&amp;row=6233&amp;col=7&amp;number=0.00244&amp;sourceID=14","0.00244")</f>
        <v>0.00244</v>
      </c>
    </row>
    <row r="6234" spans="1:7">
      <c r="A6234" s="3"/>
      <c r="B6234" s="3"/>
      <c r="C6234" s="3"/>
      <c r="D6234" s="3"/>
      <c r="E6234" s="3">
        <v>11</v>
      </c>
      <c r="F6234" s="4" t="str">
        <f>HYPERLINK("http://141.218.60.56/~jnz1568/getInfo.php?workbook=14_09.xlsx&amp;sheet=U0&amp;row=6234&amp;col=6&amp;number=4&amp;sourceID=14","4")</f>
        <v>4</v>
      </c>
      <c r="G6234" s="4" t="str">
        <f>HYPERLINK("http://141.218.60.56/~jnz1568/getInfo.php?workbook=14_09.xlsx&amp;sheet=U0&amp;row=6234&amp;col=7&amp;number=0.00241&amp;sourceID=14","0.00241")</f>
        <v>0.00241</v>
      </c>
    </row>
    <row r="6235" spans="1:7">
      <c r="A6235" s="3"/>
      <c r="B6235" s="3"/>
      <c r="C6235" s="3"/>
      <c r="D6235" s="3"/>
      <c r="E6235" s="3">
        <v>12</v>
      </c>
      <c r="F6235" s="4" t="str">
        <f>HYPERLINK("http://141.218.60.56/~jnz1568/getInfo.php?workbook=14_09.xlsx&amp;sheet=U0&amp;row=6235&amp;col=6&amp;number=4.1&amp;sourceID=14","4.1")</f>
        <v>4.1</v>
      </c>
      <c r="G6235" s="4" t="str">
        <f>HYPERLINK("http://141.218.60.56/~jnz1568/getInfo.php?workbook=14_09.xlsx&amp;sheet=U0&amp;row=6235&amp;col=7&amp;number=0.00237&amp;sourceID=14","0.00237")</f>
        <v>0.00237</v>
      </c>
    </row>
    <row r="6236" spans="1:7">
      <c r="A6236" s="3"/>
      <c r="B6236" s="3"/>
      <c r="C6236" s="3"/>
      <c r="D6236" s="3"/>
      <c r="E6236" s="3">
        <v>13</v>
      </c>
      <c r="F6236" s="4" t="str">
        <f>HYPERLINK("http://141.218.60.56/~jnz1568/getInfo.php?workbook=14_09.xlsx&amp;sheet=U0&amp;row=6236&amp;col=6&amp;number=4.2&amp;sourceID=14","4.2")</f>
        <v>4.2</v>
      </c>
      <c r="G6236" s="4" t="str">
        <f>HYPERLINK("http://141.218.60.56/~jnz1568/getInfo.php?workbook=14_09.xlsx&amp;sheet=U0&amp;row=6236&amp;col=7&amp;number=0.00231&amp;sourceID=14","0.00231")</f>
        <v>0.00231</v>
      </c>
    </row>
    <row r="6237" spans="1:7">
      <c r="A6237" s="3"/>
      <c r="B6237" s="3"/>
      <c r="C6237" s="3"/>
      <c r="D6237" s="3"/>
      <c r="E6237" s="3">
        <v>14</v>
      </c>
      <c r="F6237" s="4" t="str">
        <f>HYPERLINK("http://141.218.60.56/~jnz1568/getInfo.php?workbook=14_09.xlsx&amp;sheet=U0&amp;row=6237&amp;col=6&amp;number=4.3&amp;sourceID=14","4.3")</f>
        <v>4.3</v>
      </c>
      <c r="G6237" s="4" t="str">
        <f>HYPERLINK("http://141.218.60.56/~jnz1568/getInfo.php?workbook=14_09.xlsx&amp;sheet=U0&amp;row=6237&amp;col=7&amp;number=0.00225&amp;sourceID=14","0.00225")</f>
        <v>0.00225</v>
      </c>
    </row>
    <row r="6238" spans="1:7">
      <c r="A6238" s="3"/>
      <c r="B6238" s="3"/>
      <c r="C6238" s="3"/>
      <c r="D6238" s="3"/>
      <c r="E6238" s="3">
        <v>15</v>
      </c>
      <c r="F6238" s="4" t="str">
        <f>HYPERLINK("http://141.218.60.56/~jnz1568/getInfo.php?workbook=14_09.xlsx&amp;sheet=U0&amp;row=6238&amp;col=6&amp;number=4.4&amp;sourceID=14","4.4")</f>
        <v>4.4</v>
      </c>
      <c r="G6238" s="4" t="str">
        <f>HYPERLINK("http://141.218.60.56/~jnz1568/getInfo.php?workbook=14_09.xlsx&amp;sheet=U0&amp;row=6238&amp;col=7&amp;number=0.00217&amp;sourceID=14","0.00217")</f>
        <v>0.00217</v>
      </c>
    </row>
    <row r="6239" spans="1:7">
      <c r="A6239" s="3"/>
      <c r="B6239" s="3"/>
      <c r="C6239" s="3"/>
      <c r="D6239" s="3"/>
      <c r="E6239" s="3">
        <v>16</v>
      </c>
      <c r="F6239" s="4" t="str">
        <f>HYPERLINK("http://141.218.60.56/~jnz1568/getInfo.php?workbook=14_09.xlsx&amp;sheet=U0&amp;row=6239&amp;col=6&amp;number=4.5&amp;sourceID=14","4.5")</f>
        <v>4.5</v>
      </c>
      <c r="G6239" s="4" t="str">
        <f>HYPERLINK("http://141.218.60.56/~jnz1568/getInfo.php?workbook=14_09.xlsx&amp;sheet=U0&amp;row=6239&amp;col=7&amp;number=0.00208&amp;sourceID=14","0.00208")</f>
        <v>0.00208</v>
      </c>
    </row>
    <row r="6240" spans="1:7">
      <c r="A6240" s="3"/>
      <c r="B6240" s="3"/>
      <c r="C6240" s="3"/>
      <c r="D6240" s="3"/>
      <c r="E6240" s="3">
        <v>17</v>
      </c>
      <c r="F6240" s="4" t="str">
        <f>HYPERLINK("http://141.218.60.56/~jnz1568/getInfo.php?workbook=14_09.xlsx&amp;sheet=U0&amp;row=6240&amp;col=6&amp;number=4.6&amp;sourceID=14","4.6")</f>
        <v>4.6</v>
      </c>
      <c r="G6240" s="4" t="str">
        <f>HYPERLINK("http://141.218.60.56/~jnz1568/getInfo.php?workbook=14_09.xlsx&amp;sheet=U0&amp;row=6240&amp;col=7&amp;number=0.00198&amp;sourceID=14","0.00198")</f>
        <v>0.00198</v>
      </c>
    </row>
    <row r="6241" spans="1:7">
      <c r="A6241" s="3"/>
      <c r="B6241" s="3"/>
      <c r="C6241" s="3"/>
      <c r="D6241" s="3"/>
      <c r="E6241" s="3">
        <v>18</v>
      </c>
      <c r="F6241" s="4" t="str">
        <f>HYPERLINK("http://141.218.60.56/~jnz1568/getInfo.php?workbook=14_09.xlsx&amp;sheet=U0&amp;row=6241&amp;col=6&amp;number=4.7&amp;sourceID=14","4.7")</f>
        <v>4.7</v>
      </c>
      <c r="G6241" s="4" t="str">
        <f>HYPERLINK("http://141.218.60.56/~jnz1568/getInfo.php?workbook=14_09.xlsx&amp;sheet=U0&amp;row=6241&amp;col=7&amp;number=0.00187&amp;sourceID=14","0.00187")</f>
        <v>0.00187</v>
      </c>
    </row>
    <row r="6242" spans="1:7">
      <c r="A6242" s="3"/>
      <c r="B6242" s="3"/>
      <c r="C6242" s="3"/>
      <c r="D6242" s="3"/>
      <c r="E6242" s="3">
        <v>19</v>
      </c>
      <c r="F6242" s="4" t="str">
        <f>HYPERLINK("http://141.218.60.56/~jnz1568/getInfo.php?workbook=14_09.xlsx&amp;sheet=U0&amp;row=6242&amp;col=6&amp;number=4.8&amp;sourceID=14","4.8")</f>
        <v>4.8</v>
      </c>
      <c r="G6242" s="4" t="str">
        <f>HYPERLINK("http://141.218.60.56/~jnz1568/getInfo.php?workbook=14_09.xlsx&amp;sheet=U0&amp;row=6242&amp;col=7&amp;number=0.00176&amp;sourceID=14","0.00176")</f>
        <v>0.00176</v>
      </c>
    </row>
    <row r="6243" spans="1:7">
      <c r="A6243" s="3"/>
      <c r="B6243" s="3"/>
      <c r="C6243" s="3"/>
      <c r="D6243" s="3"/>
      <c r="E6243" s="3">
        <v>20</v>
      </c>
      <c r="F6243" s="4" t="str">
        <f>HYPERLINK("http://141.218.60.56/~jnz1568/getInfo.php?workbook=14_09.xlsx&amp;sheet=U0&amp;row=6243&amp;col=6&amp;number=4.9&amp;sourceID=14","4.9")</f>
        <v>4.9</v>
      </c>
      <c r="G6243" s="4" t="str">
        <f>HYPERLINK("http://141.218.60.56/~jnz1568/getInfo.php?workbook=14_09.xlsx&amp;sheet=U0&amp;row=6243&amp;col=7&amp;number=0.00168&amp;sourceID=14","0.00168")</f>
        <v>0.00168</v>
      </c>
    </row>
    <row r="6244" spans="1:7">
      <c r="A6244" s="3">
        <v>14</v>
      </c>
      <c r="B6244" s="3">
        <v>9</v>
      </c>
      <c r="C6244" s="3">
        <v>2</v>
      </c>
      <c r="D6244" s="3">
        <v>121</v>
      </c>
      <c r="E6244" s="3">
        <v>1</v>
      </c>
      <c r="F6244" s="4" t="str">
        <f>HYPERLINK("http://141.218.60.56/~jnz1568/getInfo.php?workbook=14_09.xlsx&amp;sheet=U0&amp;row=6244&amp;col=6&amp;number=3&amp;sourceID=14","3")</f>
        <v>3</v>
      </c>
      <c r="G6244" s="4" t="str">
        <f>HYPERLINK("http://141.218.60.56/~jnz1568/getInfo.php?workbook=14_09.xlsx&amp;sheet=U0&amp;row=6244&amp;col=7&amp;number=0.00219&amp;sourceID=14","0.00219")</f>
        <v>0.00219</v>
      </c>
    </row>
    <row r="6245" spans="1:7">
      <c r="A6245" s="3"/>
      <c r="B6245" s="3"/>
      <c r="C6245" s="3"/>
      <c r="D6245" s="3"/>
      <c r="E6245" s="3">
        <v>2</v>
      </c>
      <c r="F6245" s="4" t="str">
        <f>HYPERLINK("http://141.218.60.56/~jnz1568/getInfo.php?workbook=14_09.xlsx&amp;sheet=U0&amp;row=6245&amp;col=6&amp;number=3.1&amp;sourceID=14","3.1")</f>
        <v>3.1</v>
      </c>
      <c r="G6245" s="4" t="str">
        <f>HYPERLINK("http://141.218.60.56/~jnz1568/getInfo.php?workbook=14_09.xlsx&amp;sheet=U0&amp;row=6245&amp;col=7&amp;number=0.00219&amp;sourceID=14","0.00219")</f>
        <v>0.00219</v>
      </c>
    </row>
    <row r="6246" spans="1:7">
      <c r="A6246" s="3"/>
      <c r="B6246" s="3"/>
      <c r="C6246" s="3"/>
      <c r="D6246" s="3"/>
      <c r="E6246" s="3">
        <v>3</v>
      </c>
      <c r="F6246" s="4" t="str">
        <f>HYPERLINK("http://141.218.60.56/~jnz1568/getInfo.php?workbook=14_09.xlsx&amp;sheet=U0&amp;row=6246&amp;col=6&amp;number=3.2&amp;sourceID=14","3.2")</f>
        <v>3.2</v>
      </c>
      <c r="G6246" s="4" t="str">
        <f>HYPERLINK("http://141.218.60.56/~jnz1568/getInfo.php?workbook=14_09.xlsx&amp;sheet=U0&amp;row=6246&amp;col=7&amp;number=0.00218&amp;sourceID=14","0.00218")</f>
        <v>0.00218</v>
      </c>
    </row>
    <row r="6247" spans="1:7">
      <c r="A6247" s="3"/>
      <c r="B6247" s="3"/>
      <c r="C6247" s="3"/>
      <c r="D6247" s="3"/>
      <c r="E6247" s="3">
        <v>4</v>
      </c>
      <c r="F6247" s="4" t="str">
        <f>HYPERLINK("http://141.218.60.56/~jnz1568/getInfo.php?workbook=14_09.xlsx&amp;sheet=U0&amp;row=6247&amp;col=6&amp;number=3.3&amp;sourceID=14","3.3")</f>
        <v>3.3</v>
      </c>
      <c r="G6247" s="4" t="str">
        <f>HYPERLINK("http://141.218.60.56/~jnz1568/getInfo.php?workbook=14_09.xlsx&amp;sheet=U0&amp;row=6247&amp;col=7&amp;number=0.00218&amp;sourceID=14","0.00218")</f>
        <v>0.00218</v>
      </c>
    </row>
    <row r="6248" spans="1:7">
      <c r="A6248" s="3"/>
      <c r="B6248" s="3"/>
      <c r="C6248" s="3"/>
      <c r="D6248" s="3"/>
      <c r="E6248" s="3">
        <v>5</v>
      </c>
      <c r="F6248" s="4" t="str">
        <f>HYPERLINK("http://141.218.60.56/~jnz1568/getInfo.php?workbook=14_09.xlsx&amp;sheet=U0&amp;row=6248&amp;col=6&amp;number=3.4&amp;sourceID=14","3.4")</f>
        <v>3.4</v>
      </c>
      <c r="G6248" s="4" t="str">
        <f>HYPERLINK("http://141.218.60.56/~jnz1568/getInfo.php?workbook=14_09.xlsx&amp;sheet=U0&amp;row=6248&amp;col=7&amp;number=0.00218&amp;sourceID=14","0.00218")</f>
        <v>0.00218</v>
      </c>
    </row>
    <row r="6249" spans="1:7">
      <c r="A6249" s="3"/>
      <c r="B6249" s="3"/>
      <c r="C6249" s="3"/>
      <c r="D6249" s="3"/>
      <c r="E6249" s="3">
        <v>6</v>
      </c>
      <c r="F6249" s="4" t="str">
        <f>HYPERLINK("http://141.218.60.56/~jnz1568/getInfo.php?workbook=14_09.xlsx&amp;sheet=U0&amp;row=6249&amp;col=6&amp;number=3.5&amp;sourceID=14","3.5")</f>
        <v>3.5</v>
      </c>
      <c r="G6249" s="4" t="str">
        <f>HYPERLINK("http://141.218.60.56/~jnz1568/getInfo.php?workbook=14_09.xlsx&amp;sheet=U0&amp;row=6249&amp;col=7&amp;number=0.00217&amp;sourceID=14","0.00217")</f>
        <v>0.00217</v>
      </c>
    </row>
    <row r="6250" spans="1:7">
      <c r="A6250" s="3"/>
      <c r="B6250" s="3"/>
      <c r="C6250" s="3"/>
      <c r="D6250" s="3"/>
      <c r="E6250" s="3">
        <v>7</v>
      </c>
      <c r="F6250" s="4" t="str">
        <f>HYPERLINK("http://141.218.60.56/~jnz1568/getInfo.php?workbook=14_09.xlsx&amp;sheet=U0&amp;row=6250&amp;col=6&amp;number=3.6&amp;sourceID=14","3.6")</f>
        <v>3.6</v>
      </c>
      <c r="G6250" s="4" t="str">
        <f>HYPERLINK("http://141.218.60.56/~jnz1568/getInfo.php?workbook=14_09.xlsx&amp;sheet=U0&amp;row=6250&amp;col=7&amp;number=0.00216&amp;sourceID=14","0.00216")</f>
        <v>0.00216</v>
      </c>
    </row>
    <row r="6251" spans="1:7">
      <c r="A6251" s="3"/>
      <c r="B6251" s="3"/>
      <c r="C6251" s="3"/>
      <c r="D6251" s="3"/>
      <c r="E6251" s="3">
        <v>8</v>
      </c>
      <c r="F6251" s="4" t="str">
        <f>HYPERLINK("http://141.218.60.56/~jnz1568/getInfo.php?workbook=14_09.xlsx&amp;sheet=U0&amp;row=6251&amp;col=6&amp;number=3.7&amp;sourceID=14","3.7")</f>
        <v>3.7</v>
      </c>
      <c r="G6251" s="4" t="str">
        <f>HYPERLINK("http://141.218.60.56/~jnz1568/getInfo.php?workbook=14_09.xlsx&amp;sheet=U0&amp;row=6251&amp;col=7&amp;number=0.00215&amp;sourceID=14","0.00215")</f>
        <v>0.00215</v>
      </c>
    </row>
    <row r="6252" spans="1:7">
      <c r="A6252" s="3"/>
      <c r="B6252" s="3"/>
      <c r="C6252" s="3"/>
      <c r="D6252" s="3"/>
      <c r="E6252" s="3">
        <v>9</v>
      </c>
      <c r="F6252" s="4" t="str">
        <f>HYPERLINK("http://141.218.60.56/~jnz1568/getInfo.php?workbook=14_09.xlsx&amp;sheet=U0&amp;row=6252&amp;col=6&amp;number=3.8&amp;sourceID=14","3.8")</f>
        <v>3.8</v>
      </c>
      <c r="G6252" s="4" t="str">
        <f>HYPERLINK("http://141.218.60.56/~jnz1568/getInfo.php?workbook=14_09.xlsx&amp;sheet=U0&amp;row=6252&amp;col=7&amp;number=0.00214&amp;sourceID=14","0.00214")</f>
        <v>0.00214</v>
      </c>
    </row>
    <row r="6253" spans="1:7">
      <c r="A6253" s="3"/>
      <c r="B6253" s="3"/>
      <c r="C6253" s="3"/>
      <c r="D6253" s="3"/>
      <c r="E6253" s="3">
        <v>10</v>
      </c>
      <c r="F6253" s="4" t="str">
        <f>HYPERLINK("http://141.218.60.56/~jnz1568/getInfo.php?workbook=14_09.xlsx&amp;sheet=U0&amp;row=6253&amp;col=6&amp;number=3.9&amp;sourceID=14","3.9")</f>
        <v>3.9</v>
      </c>
      <c r="G6253" s="4" t="str">
        <f>HYPERLINK("http://141.218.60.56/~jnz1568/getInfo.php?workbook=14_09.xlsx&amp;sheet=U0&amp;row=6253&amp;col=7&amp;number=0.00213&amp;sourceID=14","0.00213")</f>
        <v>0.00213</v>
      </c>
    </row>
    <row r="6254" spans="1:7">
      <c r="A6254" s="3"/>
      <c r="B6254" s="3"/>
      <c r="C6254" s="3"/>
      <c r="D6254" s="3"/>
      <c r="E6254" s="3">
        <v>11</v>
      </c>
      <c r="F6254" s="4" t="str">
        <f>HYPERLINK("http://141.218.60.56/~jnz1568/getInfo.php?workbook=14_09.xlsx&amp;sheet=U0&amp;row=6254&amp;col=6&amp;number=4&amp;sourceID=14","4")</f>
        <v>4</v>
      </c>
      <c r="G6254" s="4" t="str">
        <f>HYPERLINK("http://141.218.60.56/~jnz1568/getInfo.php?workbook=14_09.xlsx&amp;sheet=U0&amp;row=6254&amp;col=7&amp;number=0.00212&amp;sourceID=14","0.00212")</f>
        <v>0.00212</v>
      </c>
    </row>
    <row r="6255" spans="1:7">
      <c r="A6255" s="3"/>
      <c r="B6255" s="3"/>
      <c r="C6255" s="3"/>
      <c r="D6255" s="3"/>
      <c r="E6255" s="3">
        <v>12</v>
      </c>
      <c r="F6255" s="4" t="str">
        <f>HYPERLINK("http://141.218.60.56/~jnz1568/getInfo.php?workbook=14_09.xlsx&amp;sheet=U0&amp;row=6255&amp;col=6&amp;number=4.1&amp;sourceID=14","4.1")</f>
        <v>4.1</v>
      </c>
      <c r="G6255" s="4" t="str">
        <f>HYPERLINK("http://141.218.60.56/~jnz1568/getInfo.php?workbook=14_09.xlsx&amp;sheet=U0&amp;row=6255&amp;col=7&amp;number=0.0021&amp;sourceID=14","0.0021")</f>
        <v>0.0021</v>
      </c>
    </row>
    <row r="6256" spans="1:7">
      <c r="A6256" s="3"/>
      <c r="B6256" s="3"/>
      <c r="C6256" s="3"/>
      <c r="D6256" s="3"/>
      <c r="E6256" s="3">
        <v>13</v>
      </c>
      <c r="F6256" s="4" t="str">
        <f>HYPERLINK("http://141.218.60.56/~jnz1568/getInfo.php?workbook=14_09.xlsx&amp;sheet=U0&amp;row=6256&amp;col=6&amp;number=4.2&amp;sourceID=14","4.2")</f>
        <v>4.2</v>
      </c>
      <c r="G6256" s="4" t="str">
        <f>HYPERLINK("http://141.218.60.56/~jnz1568/getInfo.php?workbook=14_09.xlsx&amp;sheet=U0&amp;row=6256&amp;col=7&amp;number=0.00207&amp;sourceID=14","0.00207")</f>
        <v>0.00207</v>
      </c>
    </row>
    <row r="6257" spans="1:7">
      <c r="A6257" s="3"/>
      <c r="B6257" s="3"/>
      <c r="C6257" s="3"/>
      <c r="D6257" s="3"/>
      <c r="E6257" s="3">
        <v>14</v>
      </c>
      <c r="F6257" s="4" t="str">
        <f>HYPERLINK("http://141.218.60.56/~jnz1568/getInfo.php?workbook=14_09.xlsx&amp;sheet=U0&amp;row=6257&amp;col=6&amp;number=4.3&amp;sourceID=14","4.3")</f>
        <v>4.3</v>
      </c>
      <c r="G6257" s="4" t="str">
        <f>HYPERLINK("http://141.218.60.56/~jnz1568/getInfo.php?workbook=14_09.xlsx&amp;sheet=U0&amp;row=6257&amp;col=7&amp;number=0.00204&amp;sourceID=14","0.00204")</f>
        <v>0.00204</v>
      </c>
    </row>
    <row r="6258" spans="1:7">
      <c r="A6258" s="3"/>
      <c r="B6258" s="3"/>
      <c r="C6258" s="3"/>
      <c r="D6258" s="3"/>
      <c r="E6258" s="3">
        <v>15</v>
      </c>
      <c r="F6258" s="4" t="str">
        <f>HYPERLINK("http://141.218.60.56/~jnz1568/getInfo.php?workbook=14_09.xlsx&amp;sheet=U0&amp;row=6258&amp;col=6&amp;number=4.4&amp;sourceID=14","4.4")</f>
        <v>4.4</v>
      </c>
      <c r="G6258" s="4" t="str">
        <f>HYPERLINK("http://141.218.60.56/~jnz1568/getInfo.php?workbook=14_09.xlsx&amp;sheet=U0&amp;row=6258&amp;col=7&amp;number=0.002&amp;sourceID=14","0.002")</f>
        <v>0.002</v>
      </c>
    </row>
    <row r="6259" spans="1:7">
      <c r="A6259" s="3"/>
      <c r="B6259" s="3"/>
      <c r="C6259" s="3"/>
      <c r="D6259" s="3"/>
      <c r="E6259" s="3">
        <v>16</v>
      </c>
      <c r="F6259" s="4" t="str">
        <f>HYPERLINK("http://141.218.60.56/~jnz1568/getInfo.php?workbook=14_09.xlsx&amp;sheet=U0&amp;row=6259&amp;col=6&amp;number=4.5&amp;sourceID=14","4.5")</f>
        <v>4.5</v>
      </c>
      <c r="G6259" s="4" t="str">
        <f>HYPERLINK("http://141.218.60.56/~jnz1568/getInfo.php?workbook=14_09.xlsx&amp;sheet=U0&amp;row=6259&amp;col=7&amp;number=0.00196&amp;sourceID=14","0.00196")</f>
        <v>0.00196</v>
      </c>
    </row>
    <row r="6260" spans="1:7">
      <c r="A6260" s="3"/>
      <c r="B6260" s="3"/>
      <c r="C6260" s="3"/>
      <c r="D6260" s="3"/>
      <c r="E6260" s="3">
        <v>17</v>
      </c>
      <c r="F6260" s="4" t="str">
        <f>HYPERLINK("http://141.218.60.56/~jnz1568/getInfo.php?workbook=14_09.xlsx&amp;sheet=U0&amp;row=6260&amp;col=6&amp;number=4.6&amp;sourceID=14","4.6")</f>
        <v>4.6</v>
      </c>
      <c r="G6260" s="4" t="str">
        <f>HYPERLINK("http://141.218.60.56/~jnz1568/getInfo.php?workbook=14_09.xlsx&amp;sheet=U0&amp;row=6260&amp;col=7&amp;number=0.00191&amp;sourceID=14","0.00191")</f>
        <v>0.00191</v>
      </c>
    </row>
    <row r="6261" spans="1:7">
      <c r="A6261" s="3"/>
      <c r="B6261" s="3"/>
      <c r="C6261" s="3"/>
      <c r="D6261" s="3"/>
      <c r="E6261" s="3">
        <v>18</v>
      </c>
      <c r="F6261" s="4" t="str">
        <f>HYPERLINK("http://141.218.60.56/~jnz1568/getInfo.php?workbook=14_09.xlsx&amp;sheet=U0&amp;row=6261&amp;col=6&amp;number=4.7&amp;sourceID=14","4.7")</f>
        <v>4.7</v>
      </c>
      <c r="G6261" s="4" t="str">
        <f>HYPERLINK("http://141.218.60.56/~jnz1568/getInfo.php?workbook=14_09.xlsx&amp;sheet=U0&amp;row=6261&amp;col=7&amp;number=0.00185&amp;sourceID=14","0.00185")</f>
        <v>0.00185</v>
      </c>
    </row>
    <row r="6262" spans="1:7">
      <c r="A6262" s="3"/>
      <c r="B6262" s="3"/>
      <c r="C6262" s="3"/>
      <c r="D6262" s="3"/>
      <c r="E6262" s="3">
        <v>19</v>
      </c>
      <c r="F6262" s="4" t="str">
        <f>HYPERLINK("http://141.218.60.56/~jnz1568/getInfo.php?workbook=14_09.xlsx&amp;sheet=U0&amp;row=6262&amp;col=6&amp;number=4.8&amp;sourceID=14","4.8")</f>
        <v>4.8</v>
      </c>
      <c r="G6262" s="4" t="str">
        <f>HYPERLINK("http://141.218.60.56/~jnz1568/getInfo.php?workbook=14_09.xlsx&amp;sheet=U0&amp;row=6262&amp;col=7&amp;number=0.00179&amp;sourceID=14","0.00179")</f>
        <v>0.00179</v>
      </c>
    </row>
    <row r="6263" spans="1:7">
      <c r="A6263" s="3"/>
      <c r="B6263" s="3"/>
      <c r="C6263" s="3"/>
      <c r="D6263" s="3"/>
      <c r="E6263" s="3">
        <v>20</v>
      </c>
      <c r="F6263" s="4" t="str">
        <f>HYPERLINK("http://141.218.60.56/~jnz1568/getInfo.php?workbook=14_09.xlsx&amp;sheet=U0&amp;row=6263&amp;col=6&amp;number=4.9&amp;sourceID=14","4.9")</f>
        <v>4.9</v>
      </c>
      <c r="G6263" s="4" t="str">
        <f>HYPERLINK("http://141.218.60.56/~jnz1568/getInfo.php?workbook=14_09.xlsx&amp;sheet=U0&amp;row=6263&amp;col=7&amp;number=0.00172&amp;sourceID=14","0.00172")</f>
        <v>0.00172</v>
      </c>
    </row>
    <row r="6264" spans="1:7">
      <c r="A6264" s="3">
        <v>14</v>
      </c>
      <c r="B6264" s="3">
        <v>9</v>
      </c>
      <c r="C6264" s="3">
        <v>2</v>
      </c>
      <c r="D6264" s="3">
        <v>122</v>
      </c>
      <c r="E6264" s="3">
        <v>1</v>
      </c>
      <c r="F6264" s="4" t="str">
        <f>HYPERLINK("http://141.218.60.56/~jnz1568/getInfo.php?workbook=14_09.xlsx&amp;sheet=U0&amp;row=6264&amp;col=6&amp;number=3&amp;sourceID=14","3")</f>
        <v>3</v>
      </c>
      <c r="G6264" s="4" t="str">
        <f>HYPERLINK("http://141.218.60.56/~jnz1568/getInfo.php?workbook=14_09.xlsx&amp;sheet=U0&amp;row=6264&amp;col=7&amp;number=0.00356&amp;sourceID=14","0.00356")</f>
        <v>0.00356</v>
      </c>
    </row>
    <row r="6265" spans="1:7">
      <c r="A6265" s="3"/>
      <c r="B6265" s="3"/>
      <c r="C6265" s="3"/>
      <c r="D6265" s="3"/>
      <c r="E6265" s="3">
        <v>2</v>
      </c>
      <c r="F6265" s="4" t="str">
        <f>HYPERLINK("http://141.218.60.56/~jnz1568/getInfo.php?workbook=14_09.xlsx&amp;sheet=U0&amp;row=6265&amp;col=6&amp;number=3.1&amp;sourceID=14","3.1")</f>
        <v>3.1</v>
      </c>
      <c r="G6265" s="4" t="str">
        <f>HYPERLINK("http://141.218.60.56/~jnz1568/getInfo.php?workbook=14_09.xlsx&amp;sheet=U0&amp;row=6265&amp;col=7&amp;number=0.00356&amp;sourceID=14","0.00356")</f>
        <v>0.00356</v>
      </c>
    </row>
    <row r="6266" spans="1:7">
      <c r="A6266" s="3"/>
      <c r="B6266" s="3"/>
      <c r="C6266" s="3"/>
      <c r="D6266" s="3"/>
      <c r="E6266" s="3">
        <v>3</v>
      </c>
      <c r="F6266" s="4" t="str">
        <f>HYPERLINK("http://141.218.60.56/~jnz1568/getInfo.php?workbook=14_09.xlsx&amp;sheet=U0&amp;row=6266&amp;col=6&amp;number=3.2&amp;sourceID=14","3.2")</f>
        <v>3.2</v>
      </c>
      <c r="G6266" s="4" t="str">
        <f>HYPERLINK("http://141.218.60.56/~jnz1568/getInfo.php?workbook=14_09.xlsx&amp;sheet=U0&amp;row=6266&amp;col=7&amp;number=0.00355&amp;sourceID=14","0.00355")</f>
        <v>0.00355</v>
      </c>
    </row>
    <row r="6267" spans="1:7">
      <c r="A6267" s="3"/>
      <c r="B6267" s="3"/>
      <c r="C6267" s="3"/>
      <c r="D6267" s="3"/>
      <c r="E6267" s="3">
        <v>4</v>
      </c>
      <c r="F6267" s="4" t="str">
        <f>HYPERLINK("http://141.218.60.56/~jnz1568/getInfo.php?workbook=14_09.xlsx&amp;sheet=U0&amp;row=6267&amp;col=6&amp;number=3.3&amp;sourceID=14","3.3")</f>
        <v>3.3</v>
      </c>
      <c r="G6267" s="4" t="str">
        <f>HYPERLINK("http://141.218.60.56/~jnz1568/getInfo.php?workbook=14_09.xlsx&amp;sheet=U0&amp;row=6267&amp;col=7&amp;number=0.00355&amp;sourceID=14","0.00355")</f>
        <v>0.00355</v>
      </c>
    </row>
    <row r="6268" spans="1:7">
      <c r="A6268" s="3"/>
      <c r="B6268" s="3"/>
      <c r="C6268" s="3"/>
      <c r="D6268" s="3"/>
      <c r="E6268" s="3">
        <v>5</v>
      </c>
      <c r="F6268" s="4" t="str">
        <f>HYPERLINK("http://141.218.60.56/~jnz1568/getInfo.php?workbook=14_09.xlsx&amp;sheet=U0&amp;row=6268&amp;col=6&amp;number=3.4&amp;sourceID=14","3.4")</f>
        <v>3.4</v>
      </c>
      <c r="G6268" s="4" t="str">
        <f>HYPERLINK("http://141.218.60.56/~jnz1568/getInfo.php?workbook=14_09.xlsx&amp;sheet=U0&amp;row=6268&amp;col=7&amp;number=0.00354&amp;sourceID=14","0.00354")</f>
        <v>0.00354</v>
      </c>
    </row>
    <row r="6269" spans="1:7">
      <c r="A6269" s="3"/>
      <c r="B6269" s="3"/>
      <c r="C6269" s="3"/>
      <c r="D6269" s="3"/>
      <c r="E6269" s="3">
        <v>6</v>
      </c>
      <c r="F6269" s="4" t="str">
        <f>HYPERLINK("http://141.218.60.56/~jnz1568/getInfo.php?workbook=14_09.xlsx&amp;sheet=U0&amp;row=6269&amp;col=6&amp;number=3.5&amp;sourceID=14","3.5")</f>
        <v>3.5</v>
      </c>
      <c r="G6269" s="4" t="str">
        <f>HYPERLINK("http://141.218.60.56/~jnz1568/getInfo.php?workbook=14_09.xlsx&amp;sheet=U0&amp;row=6269&amp;col=7&amp;number=0.00353&amp;sourceID=14","0.00353")</f>
        <v>0.00353</v>
      </c>
    </row>
    <row r="6270" spans="1:7">
      <c r="A6270" s="3"/>
      <c r="B6270" s="3"/>
      <c r="C6270" s="3"/>
      <c r="D6270" s="3"/>
      <c r="E6270" s="3">
        <v>7</v>
      </c>
      <c r="F6270" s="4" t="str">
        <f>HYPERLINK("http://141.218.60.56/~jnz1568/getInfo.php?workbook=14_09.xlsx&amp;sheet=U0&amp;row=6270&amp;col=6&amp;number=3.6&amp;sourceID=14","3.6")</f>
        <v>3.6</v>
      </c>
      <c r="G6270" s="4" t="str">
        <f>HYPERLINK("http://141.218.60.56/~jnz1568/getInfo.php?workbook=14_09.xlsx&amp;sheet=U0&amp;row=6270&amp;col=7&amp;number=0.00352&amp;sourceID=14","0.00352")</f>
        <v>0.00352</v>
      </c>
    </row>
    <row r="6271" spans="1:7">
      <c r="A6271" s="3"/>
      <c r="B6271" s="3"/>
      <c r="C6271" s="3"/>
      <c r="D6271" s="3"/>
      <c r="E6271" s="3">
        <v>8</v>
      </c>
      <c r="F6271" s="4" t="str">
        <f>HYPERLINK("http://141.218.60.56/~jnz1568/getInfo.php?workbook=14_09.xlsx&amp;sheet=U0&amp;row=6271&amp;col=6&amp;number=3.7&amp;sourceID=14","3.7")</f>
        <v>3.7</v>
      </c>
      <c r="G6271" s="4" t="str">
        <f>HYPERLINK("http://141.218.60.56/~jnz1568/getInfo.php?workbook=14_09.xlsx&amp;sheet=U0&amp;row=6271&amp;col=7&amp;number=0.00351&amp;sourceID=14","0.00351")</f>
        <v>0.00351</v>
      </c>
    </row>
    <row r="6272" spans="1:7">
      <c r="A6272" s="3"/>
      <c r="B6272" s="3"/>
      <c r="C6272" s="3"/>
      <c r="D6272" s="3"/>
      <c r="E6272" s="3">
        <v>9</v>
      </c>
      <c r="F6272" s="4" t="str">
        <f>HYPERLINK("http://141.218.60.56/~jnz1568/getInfo.php?workbook=14_09.xlsx&amp;sheet=U0&amp;row=6272&amp;col=6&amp;number=3.8&amp;sourceID=14","3.8")</f>
        <v>3.8</v>
      </c>
      <c r="G6272" s="4" t="str">
        <f>HYPERLINK("http://141.218.60.56/~jnz1568/getInfo.php?workbook=14_09.xlsx&amp;sheet=U0&amp;row=6272&amp;col=7&amp;number=0.0035&amp;sourceID=14","0.0035")</f>
        <v>0.0035</v>
      </c>
    </row>
    <row r="6273" spans="1:7">
      <c r="A6273" s="3"/>
      <c r="B6273" s="3"/>
      <c r="C6273" s="3"/>
      <c r="D6273" s="3"/>
      <c r="E6273" s="3">
        <v>10</v>
      </c>
      <c r="F6273" s="4" t="str">
        <f>HYPERLINK("http://141.218.60.56/~jnz1568/getInfo.php?workbook=14_09.xlsx&amp;sheet=U0&amp;row=6273&amp;col=6&amp;number=3.9&amp;sourceID=14","3.9")</f>
        <v>3.9</v>
      </c>
      <c r="G6273" s="4" t="str">
        <f>HYPERLINK("http://141.218.60.56/~jnz1568/getInfo.php?workbook=14_09.xlsx&amp;sheet=U0&amp;row=6273&amp;col=7&amp;number=0.00348&amp;sourceID=14","0.00348")</f>
        <v>0.00348</v>
      </c>
    </row>
    <row r="6274" spans="1:7">
      <c r="A6274" s="3"/>
      <c r="B6274" s="3"/>
      <c r="C6274" s="3"/>
      <c r="D6274" s="3"/>
      <c r="E6274" s="3">
        <v>11</v>
      </c>
      <c r="F6274" s="4" t="str">
        <f>HYPERLINK("http://141.218.60.56/~jnz1568/getInfo.php?workbook=14_09.xlsx&amp;sheet=U0&amp;row=6274&amp;col=6&amp;number=4&amp;sourceID=14","4")</f>
        <v>4</v>
      </c>
      <c r="G6274" s="4" t="str">
        <f>HYPERLINK("http://141.218.60.56/~jnz1568/getInfo.php?workbook=14_09.xlsx&amp;sheet=U0&amp;row=6274&amp;col=7&amp;number=0.00345&amp;sourceID=14","0.00345")</f>
        <v>0.00345</v>
      </c>
    </row>
    <row r="6275" spans="1:7">
      <c r="A6275" s="3"/>
      <c r="B6275" s="3"/>
      <c r="C6275" s="3"/>
      <c r="D6275" s="3"/>
      <c r="E6275" s="3">
        <v>12</v>
      </c>
      <c r="F6275" s="4" t="str">
        <f>HYPERLINK("http://141.218.60.56/~jnz1568/getInfo.php?workbook=14_09.xlsx&amp;sheet=U0&amp;row=6275&amp;col=6&amp;number=4.1&amp;sourceID=14","4.1")</f>
        <v>4.1</v>
      </c>
      <c r="G6275" s="4" t="str">
        <f>HYPERLINK("http://141.218.60.56/~jnz1568/getInfo.php?workbook=14_09.xlsx&amp;sheet=U0&amp;row=6275&amp;col=7&amp;number=0.00342&amp;sourceID=14","0.00342")</f>
        <v>0.00342</v>
      </c>
    </row>
    <row r="6276" spans="1:7">
      <c r="A6276" s="3"/>
      <c r="B6276" s="3"/>
      <c r="C6276" s="3"/>
      <c r="D6276" s="3"/>
      <c r="E6276" s="3">
        <v>13</v>
      </c>
      <c r="F6276" s="4" t="str">
        <f>HYPERLINK("http://141.218.60.56/~jnz1568/getInfo.php?workbook=14_09.xlsx&amp;sheet=U0&amp;row=6276&amp;col=6&amp;number=4.2&amp;sourceID=14","4.2")</f>
        <v>4.2</v>
      </c>
      <c r="G6276" s="4" t="str">
        <f>HYPERLINK("http://141.218.60.56/~jnz1568/getInfo.php?workbook=14_09.xlsx&amp;sheet=U0&amp;row=6276&amp;col=7&amp;number=0.00338&amp;sourceID=14","0.00338")</f>
        <v>0.00338</v>
      </c>
    </row>
    <row r="6277" spans="1:7">
      <c r="A6277" s="3"/>
      <c r="B6277" s="3"/>
      <c r="C6277" s="3"/>
      <c r="D6277" s="3"/>
      <c r="E6277" s="3">
        <v>14</v>
      </c>
      <c r="F6277" s="4" t="str">
        <f>HYPERLINK("http://141.218.60.56/~jnz1568/getInfo.php?workbook=14_09.xlsx&amp;sheet=U0&amp;row=6277&amp;col=6&amp;number=4.3&amp;sourceID=14","4.3")</f>
        <v>4.3</v>
      </c>
      <c r="G6277" s="4" t="str">
        <f>HYPERLINK("http://141.218.60.56/~jnz1568/getInfo.php?workbook=14_09.xlsx&amp;sheet=U0&amp;row=6277&amp;col=7&amp;number=0.00334&amp;sourceID=14","0.00334")</f>
        <v>0.00334</v>
      </c>
    </row>
    <row r="6278" spans="1:7">
      <c r="A6278" s="3"/>
      <c r="B6278" s="3"/>
      <c r="C6278" s="3"/>
      <c r="D6278" s="3"/>
      <c r="E6278" s="3">
        <v>15</v>
      </c>
      <c r="F6278" s="4" t="str">
        <f>HYPERLINK("http://141.218.60.56/~jnz1568/getInfo.php?workbook=14_09.xlsx&amp;sheet=U0&amp;row=6278&amp;col=6&amp;number=4.4&amp;sourceID=14","4.4")</f>
        <v>4.4</v>
      </c>
      <c r="G6278" s="4" t="str">
        <f>HYPERLINK("http://141.218.60.56/~jnz1568/getInfo.php?workbook=14_09.xlsx&amp;sheet=U0&amp;row=6278&amp;col=7&amp;number=0.00328&amp;sourceID=14","0.00328")</f>
        <v>0.00328</v>
      </c>
    </row>
    <row r="6279" spans="1:7">
      <c r="A6279" s="3"/>
      <c r="B6279" s="3"/>
      <c r="C6279" s="3"/>
      <c r="D6279" s="3"/>
      <c r="E6279" s="3">
        <v>16</v>
      </c>
      <c r="F6279" s="4" t="str">
        <f>HYPERLINK("http://141.218.60.56/~jnz1568/getInfo.php?workbook=14_09.xlsx&amp;sheet=U0&amp;row=6279&amp;col=6&amp;number=4.5&amp;sourceID=14","4.5")</f>
        <v>4.5</v>
      </c>
      <c r="G6279" s="4" t="str">
        <f>HYPERLINK("http://141.218.60.56/~jnz1568/getInfo.php?workbook=14_09.xlsx&amp;sheet=U0&amp;row=6279&amp;col=7&amp;number=0.00321&amp;sourceID=14","0.00321")</f>
        <v>0.00321</v>
      </c>
    </row>
    <row r="6280" spans="1:7">
      <c r="A6280" s="3"/>
      <c r="B6280" s="3"/>
      <c r="C6280" s="3"/>
      <c r="D6280" s="3"/>
      <c r="E6280" s="3">
        <v>17</v>
      </c>
      <c r="F6280" s="4" t="str">
        <f>HYPERLINK("http://141.218.60.56/~jnz1568/getInfo.php?workbook=14_09.xlsx&amp;sheet=U0&amp;row=6280&amp;col=6&amp;number=4.6&amp;sourceID=14","4.6")</f>
        <v>4.6</v>
      </c>
      <c r="G6280" s="4" t="str">
        <f>HYPERLINK("http://141.218.60.56/~jnz1568/getInfo.php?workbook=14_09.xlsx&amp;sheet=U0&amp;row=6280&amp;col=7&amp;number=0.00313&amp;sourceID=14","0.00313")</f>
        <v>0.00313</v>
      </c>
    </row>
    <row r="6281" spans="1:7">
      <c r="A6281" s="3"/>
      <c r="B6281" s="3"/>
      <c r="C6281" s="3"/>
      <c r="D6281" s="3"/>
      <c r="E6281" s="3">
        <v>18</v>
      </c>
      <c r="F6281" s="4" t="str">
        <f>HYPERLINK("http://141.218.60.56/~jnz1568/getInfo.php?workbook=14_09.xlsx&amp;sheet=U0&amp;row=6281&amp;col=6&amp;number=4.7&amp;sourceID=14","4.7")</f>
        <v>4.7</v>
      </c>
      <c r="G6281" s="4" t="str">
        <f>HYPERLINK("http://141.218.60.56/~jnz1568/getInfo.php?workbook=14_09.xlsx&amp;sheet=U0&amp;row=6281&amp;col=7&amp;number=0.00303&amp;sourceID=14","0.00303")</f>
        <v>0.00303</v>
      </c>
    </row>
    <row r="6282" spans="1:7">
      <c r="A6282" s="3"/>
      <c r="B6282" s="3"/>
      <c r="C6282" s="3"/>
      <c r="D6282" s="3"/>
      <c r="E6282" s="3">
        <v>19</v>
      </c>
      <c r="F6282" s="4" t="str">
        <f>HYPERLINK("http://141.218.60.56/~jnz1568/getInfo.php?workbook=14_09.xlsx&amp;sheet=U0&amp;row=6282&amp;col=6&amp;number=4.8&amp;sourceID=14","4.8")</f>
        <v>4.8</v>
      </c>
      <c r="G6282" s="4" t="str">
        <f>HYPERLINK("http://141.218.60.56/~jnz1568/getInfo.php?workbook=14_09.xlsx&amp;sheet=U0&amp;row=6282&amp;col=7&amp;number=0.00293&amp;sourceID=14","0.00293")</f>
        <v>0.00293</v>
      </c>
    </row>
    <row r="6283" spans="1:7">
      <c r="A6283" s="3"/>
      <c r="B6283" s="3"/>
      <c r="C6283" s="3"/>
      <c r="D6283" s="3"/>
      <c r="E6283" s="3">
        <v>20</v>
      </c>
      <c r="F6283" s="4" t="str">
        <f>HYPERLINK("http://141.218.60.56/~jnz1568/getInfo.php?workbook=14_09.xlsx&amp;sheet=U0&amp;row=6283&amp;col=6&amp;number=4.9&amp;sourceID=14","4.9")</f>
        <v>4.9</v>
      </c>
      <c r="G6283" s="4" t="str">
        <f>HYPERLINK("http://141.218.60.56/~jnz1568/getInfo.php?workbook=14_09.xlsx&amp;sheet=U0&amp;row=6283&amp;col=7&amp;number=0.00281&amp;sourceID=14","0.00281")</f>
        <v>0.00281</v>
      </c>
    </row>
    <row r="6284" spans="1:7">
      <c r="A6284" s="3">
        <v>14</v>
      </c>
      <c r="B6284" s="3">
        <v>9</v>
      </c>
      <c r="C6284" s="3">
        <v>2</v>
      </c>
      <c r="D6284" s="3">
        <v>123</v>
      </c>
      <c r="E6284" s="3">
        <v>1</v>
      </c>
      <c r="F6284" s="4" t="str">
        <f>HYPERLINK("http://141.218.60.56/~jnz1568/getInfo.php?workbook=14_09.xlsx&amp;sheet=U0&amp;row=6284&amp;col=6&amp;number=3&amp;sourceID=14","3")</f>
        <v>3</v>
      </c>
      <c r="G6284" s="4" t="str">
        <f>HYPERLINK("http://141.218.60.56/~jnz1568/getInfo.php?workbook=14_09.xlsx&amp;sheet=U0&amp;row=6284&amp;col=7&amp;number=0.00275&amp;sourceID=14","0.00275")</f>
        <v>0.00275</v>
      </c>
    </row>
    <row r="6285" spans="1:7">
      <c r="A6285" s="3"/>
      <c r="B6285" s="3"/>
      <c r="C6285" s="3"/>
      <c r="D6285" s="3"/>
      <c r="E6285" s="3">
        <v>2</v>
      </c>
      <c r="F6285" s="4" t="str">
        <f>HYPERLINK("http://141.218.60.56/~jnz1568/getInfo.php?workbook=14_09.xlsx&amp;sheet=U0&amp;row=6285&amp;col=6&amp;number=3.1&amp;sourceID=14","3.1")</f>
        <v>3.1</v>
      </c>
      <c r="G6285" s="4" t="str">
        <f>HYPERLINK("http://141.218.60.56/~jnz1568/getInfo.php?workbook=14_09.xlsx&amp;sheet=U0&amp;row=6285&amp;col=7&amp;number=0.00275&amp;sourceID=14","0.00275")</f>
        <v>0.00275</v>
      </c>
    </row>
    <row r="6286" spans="1:7">
      <c r="A6286" s="3"/>
      <c r="B6286" s="3"/>
      <c r="C6286" s="3"/>
      <c r="D6286" s="3"/>
      <c r="E6286" s="3">
        <v>3</v>
      </c>
      <c r="F6286" s="4" t="str">
        <f>HYPERLINK("http://141.218.60.56/~jnz1568/getInfo.php?workbook=14_09.xlsx&amp;sheet=U0&amp;row=6286&amp;col=6&amp;number=3.2&amp;sourceID=14","3.2")</f>
        <v>3.2</v>
      </c>
      <c r="G6286" s="4" t="str">
        <f>HYPERLINK("http://141.218.60.56/~jnz1568/getInfo.php?workbook=14_09.xlsx&amp;sheet=U0&amp;row=6286&amp;col=7&amp;number=0.00275&amp;sourceID=14","0.00275")</f>
        <v>0.00275</v>
      </c>
    </row>
    <row r="6287" spans="1:7">
      <c r="A6287" s="3"/>
      <c r="B6287" s="3"/>
      <c r="C6287" s="3"/>
      <c r="D6287" s="3"/>
      <c r="E6287" s="3">
        <v>4</v>
      </c>
      <c r="F6287" s="4" t="str">
        <f>HYPERLINK("http://141.218.60.56/~jnz1568/getInfo.php?workbook=14_09.xlsx&amp;sheet=U0&amp;row=6287&amp;col=6&amp;number=3.3&amp;sourceID=14","3.3")</f>
        <v>3.3</v>
      </c>
      <c r="G6287" s="4" t="str">
        <f>HYPERLINK("http://141.218.60.56/~jnz1568/getInfo.php?workbook=14_09.xlsx&amp;sheet=U0&amp;row=6287&amp;col=7&amp;number=0.00275&amp;sourceID=14","0.00275")</f>
        <v>0.00275</v>
      </c>
    </row>
    <row r="6288" spans="1:7">
      <c r="A6288" s="3"/>
      <c r="B6288" s="3"/>
      <c r="C6288" s="3"/>
      <c r="D6288" s="3"/>
      <c r="E6288" s="3">
        <v>5</v>
      </c>
      <c r="F6288" s="4" t="str">
        <f>HYPERLINK("http://141.218.60.56/~jnz1568/getInfo.php?workbook=14_09.xlsx&amp;sheet=U0&amp;row=6288&amp;col=6&amp;number=3.4&amp;sourceID=14","3.4")</f>
        <v>3.4</v>
      </c>
      <c r="G6288" s="4" t="str">
        <f>HYPERLINK("http://141.218.60.56/~jnz1568/getInfo.php?workbook=14_09.xlsx&amp;sheet=U0&amp;row=6288&amp;col=7&amp;number=0.00274&amp;sourceID=14","0.00274")</f>
        <v>0.00274</v>
      </c>
    </row>
    <row r="6289" spans="1:7">
      <c r="A6289" s="3"/>
      <c r="B6289" s="3"/>
      <c r="C6289" s="3"/>
      <c r="D6289" s="3"/>
      <c r="E6289" s="3">
        <v>6</v>
      </c>
      <c r="F6289" s="4" t="str">
        <f>HYPERLINK("http://141.218.60.56/~jnz1568/getInfo.php?workbook=14_09.xlsx&amp;sheet=U0&amp;row=6289&amp;col=6&amp;number=3.5&amp;sourceID=14","3.5")</f>
        <v>3.5</v>
      </c>
      <c r="G6289" s="4" t="str">
        <f>HYPERLINK("http://141.218.60.56/~jnz1568/getInfo.php?workbook=14_09.xlsx&amp;sheet=U0&amp;row=6289&amp;col=7&amp;number=0.00274&amp;sourceID=14","0.00274")</f>
        <v>0.00274</v>
      </c>
    </row>
    <row r="6290" spans="1:7">
      <c r="A6290" s="3"/>
      <c r="B6290" s="3"/>
      <c r="C6290" s="3"/>
      <c r="D6290" s="3"/>
      <c r="E6290" s="3">
        <v>7</v>
      </c>
      <c r="F6290" s="4" t="str">
        <f>HYPERLINK("http://141.218.60.56/~jnz1568/getInfo.php?workbook=14_09.xlsx&amp;sheet=U0&amp;row=6290&amp;col=6&amp;number=3.6&amp;sourceID=14","3.6")</f>
        <v>3.6</v>
      </c>
      <c r="G6290" s="4" t="str">
        <f>HYPERLINK("http://141.218.60.56/~jnz1568/getInfo.php?workbook=14_09.xlsx&amp;sheet=U0&amp;row=6290&amp;col=7&amp;number=0.00273&amp;sourceID=14","0.00273")</f>
        <v>0.00273</v>
      </c>
    </row>
    <row r="6291" spans="1:7">
      <c r="A6291" s="3"/>
      <c r="B6291" s="3"/>
      <c r="C6291" s="3"/>
      <c r="D6291" s="3"/>
      <c r="E6291" s="3">
        <v>8</v>
      </c>
      <c r="F6291" s="4" t="str">
        <f>HYPERLINK("http://141.218.60.56/~jnz1568/getInfo.php?workbook=14_09.xlsx&amp;sheet=U0&amp;row=6291&amp;col=6&amp;number=3.7&amp;sourceID=14","3.7")</f>
        <v>3.7</v>
      </c>
      <c r="G6291" s="4" t="str">
        <f>HYPERLINK("http://141.218.60.56/~jnz1568/getInfo.php?workbook=14_09.xlsx&amp;sheet=U0&amp;row=6291&amp;col=7&amp;number=0.00272&amp;sourceID=14","0.00272")</f>
        <v>0.00272</v>
      </c>
    </row>
    <row r="6292" spans="1:7">
      <c r="A6292" s="3"/>
      <c r="B6292" s="3"/>
      <c r="C6292" s="3"/>
      <c r="D6292" s="3"/>
      <c r="E6292" s="3">
        <v>9</v>
      </c>
      <c r="F6292" s="4" t="str">
        <f>HYPERLINK("http://141.218.60.56/~jnz1568/getInfo.php?workbook=14_09.xlsx&amp;sheet=U0&amp;row=6292&amp;col=6&amp;number=3.8&amp;sourceID=14","3.8")</f>
        <v>3.8</v>
      </c>
      <c r="G6292" s="4" t="str">
        <f>HYPERLINK("http://141.218.60.56/~jnz1568/getInfo.php?workbook=14_09.xlsx&amp;sheet=U0&amp;row=6292&amp;col=7&amp;number=0.00271&amp;sourceID=14","0.00271")</f>
        <v>0.00271</v>
      </c>
    </row>
    <row r="6293" spans="1:7">
      <c r="A6293" s="3"/>
      <c r="B6293" s="3"/>
      <c r="C6293" s="3"/>
      <c r="D6293" s="3"/>
      <c r="E6293" s="3">
        <v>10</v>
      </c>
      <c r="F6293" s="4" t="str">
        <f>HYPERLINK("http://141.218.60.56/~jnz1568/getInfo.php?workbook=14_09.xlsx&amp;sheet=U0&amp;row=6293&amp;col=6&amp;number=3.9&amp;sourceID=14","3.9")</f>
        <v>3.9</v>
      </c>
      <c r="G6293" s="4" t="str">
        <f>HYPERLINK("http://141.218.60.56/~jnz1568/getInfo.php?workbook=14_09.xlsx&amp;sheet=U0&amp;row=6293&amp;col=7&amp;number=0.0027&amp;sourceID=14","0.0027")</f>
        <v>0.0027</v>
      </c>
    </row>
    <row r="6294" spans="1:7">
      <c r="A6294" s="3"/>
      <c r="B6294" s="3"/>
      <c r="C6294" s="3"/>
      <c r="D6294" s="3"/>
      <c r="E6294" s="3">
        <v>11</v>
      </c>
      <c r="F6294" s="4" t="str">
        <f>HYPERLINK("http://141.218.60.56/~jnz1568/getInfo.php?workbook=14_09.xlsx&amp;sheet=U0&amp;row=6294&amp;col=6&amp;number=4&amp;sourceID=14","4")</f>
        <v>4</v>
      </c>
      <c r="G6294" s="4" t="str">
        <f>HYPERLINK("http://141.218.60.56/~jnz1568/getInfo.php?workbook=14_09.xlsx&amp;sheet=U0&amp;row=6294&amp;col=7&amp;number=0.00268&amp;sourceID=14","0.00268")</f>
        <v>0.00268</v>
      </c>
    </row>
    <row r="6295" spans="1:7">
      <c r="A6295" s="3"/>
      <c r="B6295" s="3"/>
      <c r="C6295" s="3"/>
      <c r="D6295" s="3"/>
      <c r="E6295" s="3">
        <v>12</v>
      </c>
      <c r="F6295" s="4" t="str">
        <f>HYPERLINK("http://141.218.60.56/~jnz1568/getInfo.php?workbook=14_09.xlsx&amp;sheet=U0&amp;row=6295&amp;col=6&amp;number=4.1&amp;sourceID=14","4.1")</f>
        <v>4.1</v>
      </c>
      <c r="G6295" s="4" t="str">
        <f>HYPERLINK("http://141.218.60.56/~jnz1568/getInfo.php?workbook=14_09.xlsx&amp;sheet=U0&amp;row=6295&amp;col=7&amp;number=0.00266&amp;sourceID=14","0.00266")</f>
        <v>0.00266</v>
      </c>
    </row>
    <row r="6296" spans="1:7">
      <c r="A6296" s="3"/>
      <c r="B6296" s="3"/>
      <c r="C6296" s="3"/>
      <c r="D6296" s="3"/>
      <c r="E6296" s="3">
        <v>13</v>
      </c>
      <c r="F6296" s="4" t="str">
        <f>HYPERLINK("http://141.218.60.56/~jnz1568/getInfo.php?workbook=14_09.xlsx&amp;sheet=U0&amp;row=6296&amp;col=6&amp;number=4.2&amp;sourceID=14","4.2")</f>
        <v>4.2</v>
      </c>
      <c r="G6296" s="4" t="str">
        <f>HYPERLINK("http://141.218.60.56/~jnz1568/getInfo.php?workbook=14_09.xlsx&amp;sheet=U0&amp;row=6296&amp;col=7&amp;number=0.00264&amp;sourceID=14","0.00264")</f>
        <v>0.00264</v>
      </c>
    </row>
    <row r="6297" spans="1:7">
      <c r="A6297" s="3"/>
      <c r="B6297" s="3"/>
      <c r="C6297" s="3"/>
      <c r="D6297" s="3"/>
      <c r="E6297" s="3">
        <v>14</v>
      </c>
      <c r="F6297" s="4" t="str">
        <f>HYPERLINK("http://141.218.60.56/~jnz1568/getInfo.php?workbook=14_09.xlsx&amp;sheet=U0&amp;row=6297&amp;col=6&amp;number=4.3&amp;sourceID=14","4.3")</f>
        <v>4.3</v>
      </c>
      <c r="G6297" s="4" t="str">
        <f>HYPERLINK("http://141.218.60.56/~jnz1568/getInfo.php?workbook=14_09.xlsx&amp;sheet=U0&amp;row=6297&amp;col=7&amp;number=0.00261&amp;sourceID=14","0.00261")</f>
        <v>0.00261</v>
      </c>
    </row>
    <row r="6298" spans="1:7">
      <c r="A6298" s="3"/>
      <c r="B6298" s="3"/>
      <c r="C6298" s="3"/>
      <c r="D6298" s="3"/>
      <c r="E6298" s="3">
        <v>15</v>
      </c>
      <c r="F6298" s="4" t="str">
        <f>HYPERLINK("http://141.218.60.56/~jnz1568/getInfo.php?workbook=14_09.xlsx&amp;sheet=U0&amp;row=6298&amp;col=6&amp;number=4.4&amp;sourceID=14","4.4")</f>
        <v>4.4</v>
      </c>
      <c r="G6298" s="4" t="str">
        <f>HYPERLINK("http://141.218.60.56/~jnz1568/getInfo.php?workbook=14_09.xlsx&amp;sheet=U0&amp;row=6298&amp;col=7&amp;number=0.00257&amp;sourceID=14","0.00257")</f>
        <v>0.00257</v>
      </c>
    </row>
    <row r="6299" spans="1:7">
      <c r="A6299" s="3"/>
      <c r="B6299" s="3"/>
      <c r="C6299" s="3"/>
      <c r="D6299" s="3"/>
      <c r="E6299" s="3">
        <v>16</v>
      </c>
      <c r="F6299" s="4" t="str">
        <f>HYPERLINK("http://141.218.60.56/~jnz1568/getInfo.php?workbook=14_09.xlsx&amp;sheet=U0&amp;row=6299&amp;col=6&amp;number=4.5&amp;sourceID=14","4.5")</f>
        <v>4.5</v>
      </c>
      <c r="G6299" s="4" t="str">
        <f>HYPERLINK("http://141.218.60.56/~jnz1568/getInfo.php?workbook=14_09.xlsx&amp;sheet=U0&amp;row=6299&amp;col=7&amp;number=0.00252&amp;sourceID=14","0.00252")</f>
        <v>0.00252</v>
      </c>
    </row>
    <row r="6300" spans="1:7">
      <c r="A6300" s="3"/>
      <c r="B6300" s="3"/>
      <c r="C6300" s="3"/>
      <c r="D6300" s="3"/>
      <c r="E6300" s="3">
        <v>17</v>
      </c>
      <c r="F6300" s="4" t="str">
        <f>HYPERLINK("http://141.218.60.56/~jnz1568/getInfo.php?workbook=14_09.xlsx&amp;sheet=U0&amp;row=6300&amp;col=6&amp;number=4.6&amp;sourceID=14","4.6")</f>
        <v>4.6</v>
      </c>
      <c r="G6300" s="4" t="str">
        <f>HYPERLINK("http://141.218.60.56/~jnz1568/getInfo.php?workbook=14_09.xlsx&amp;sheet=U0&amp;row=6300&amp;col=7&amp;number=0.00246&amp;sourceID=14","0.00246")</f>
        <v>0.00246</v>
      </c>
    </row>
    <row r="6301" spans="1:7">
      <c r="A6301" s="3"/>
      <c r="B6301" s="3"/>
      <c r="C6301" s="3"/>
      <c r="D6301" s="3"/>
      <c r="E6301" s="3">
        <v>18</v>
      </c>
      <c r="F6301" s="4" t="str">
        <f>HYPERLINK("http://141.218.60.56/~jnz1568/getInfo.php?workbook=14_09.xlsx&amp;sheet=U0&amp;row=6301&amp;col=6&amp;number=4.7&amp;sourceID=14","4.7")</f>
        <v>4.7</v>
      </c>
      <c r="G6301" s="4" t="str">
        <f>HYPERLINK("http://141.218.60.56/~jnz1568/getInfo.php?workbook=14_09.xlsx&amp;sheet=U0&amp;row=6301&amp;col=7&amp;number=0.00239&amp;sourceID=14","0.00239")</f>
        <v>0.00239</v>
      </c>
    </row>
    <row r="6302" spans="1:7">
      <c r="A6302" s="3"/>
      <c r="B6302" s="3"/>
      <c r="C6302" s="3"/>
      <c r="D6302" s="3"/>
      <c r="E6302" s="3">
        <v>19</v>
      </c>
      <c r="F6302" s="4" t="str">
        <f>HYPERLINK("http://141.218.60.56/~jnz1568/getInfo.php?workbook=14_09.xlsx&amp;sheet=U0&amp;row=6302&amp;col=6&amp;number=4.8&amp;sourceID=14","4.8")</f>
        <v>4.8</v>
      </c>
      <c r="G6302" s="4" t="str">
        <f>HYPERLINK("http://141.218.60.56/~jnz1568/getInfo.php?workbook=14_09.xlsx&amp;sheet=U0&amp;row=6302&amp;col=7&amp;number=0.00231&amp;sourceID=14","0.00231")</f>
        <v>0.00231</v>
      </c>
    </row>
    <row r="6303" spans="1:7">
      <c r="A6303" s="3"/>
      <c r="B6303" s="3"/>
      <c r="C6303" s="3"/>
      <c r="D6303" s="3"/>
      <c r="E6303" s="3">
        <v>20</v>
      </c>
      <c r="F6303" s="4" t="str">
        <f>HYPERLINK("http://141.218.60.56/~jnz1568/getInfo.php?workbook=14_09.xlsx&amp;sheet=U0&amp;row=6303&amp;col=6&amp;number=4.9&amp;sourceID=14","4.9")</f>
        <v>4.9</v>
      </c>
      <c r="G6303" s="4" t="str">
        <f>HYPERLINK("http://141.218.60.56/~jnz1568/getInfo.php?workbook=14_09.xlsx&amp;sheet=U0&amp;row=6303&amp;col=7&amp;number=0.00222&amp;sourceID=14","0.00222")</f>
        <v>0.00222</v>
      </c>
    </row>
    <row r="6304" spans="1:7">
      <c r="A6304" s="3">
        <v>14</v>
      </c>
      <c r="B6304" s="3">
        <v>9</v>
      </c>
      <c r="C6304" s="3">
        <v>2</v>
      </c>
      <c r="D6304" s="3">
        <v>124</v>
      </c>
      <c r="E6304" s="3">
        <v>1</v>
      </c>
      <c r="F6304" s="4" t="str">
        <f>HYPERLINK("http://141.218.60.56/~jnz1568/getInfo.php?workbook=14_09.xlsx&amp;sheet=U0&amp;row=6304&amp;col=6&amp;number=3&amp;sourceID=14","3")</f>
        <v>3</v>
      </c>
      <c r="G6304" s="4" t="str">
        <f>HYPERLINK("http://141.218.60.56/~jnz1568/getInfo.php?workbook=14_09.xlsx&amp;sheet=U0&amp;row=6304&amp;col=7&amp;number=0.00439&amp;sourceID=14","0.00439")</f>
        <v>0.00439</v>
      </c>
    </row>
    <row r="6305" spans="1:7">
      <c r="A6305" s="3"/>
      <c r="B6305" s="3"/>
      <c r="C6305" s="3"/>
      <c r="D6305" s="3"/>
      <c r="E6305" s="3">
        <v>2</v>
      </c>
      <c r="F6305" s="4" t="str">
        <f>HYPERLINK("http://141.218.60.56/~jnz1568/getInfo.php?workbook=14_09.xlsx&amp;sheet=U0&amp;row=6305&amp;col=6&amp;number=3.1&amp;sourceID=14","3.1")</f>
        <v>3.1</v>
      </c>
      <c r="G6305" s="4" t="str">
        <f>HYPERLINK("http://141.218.60.56/~jnz1568/getInfo.php?workbook=14_09.xlsx&amp;sheet=U0&amp;row=6305&amp;col=7&amp;number=0.00438&amp;sourceID=14","0.00438")</f>
        <v>0.00438</v>
      </c>
    </row>
    <row r="6306" spans="1:7">
      <c r="A6306" s="3"/>
      <c r="B6306" s="3"/>
      <c r="C6306" s="3"/>
      <c r="D6306" s="3"/>
      <c r="E6306" s="3">
        <v>3</v>
      </c>
      <c r="F6306" s="4" t="str">
        <f>HYPERLINK("http://141.218.60.56/~jnz1568/getInfo.php?workbook=14_09.xlsx&amp;sheet=U0&amp;row=6306&amp;col=6&amp;number=3.2&amp;sourceID=14","3.2")</f>
        <v>3.2</v>
      </c>
      <c r="G6306" s="4" t="str">
        <f>HYPERLINK("http://141.218.60.56/~jnz1568/getInfo.php?workbook=14_09.xlsx&amp;sheet=U0&amp;row=6306&amp;col=7&amp;number=0.00438&amp;sourceID=14","0.00438")</f>
        <v>0.00438</v>
      </c>
    </row>
    <row r="6307" spans="1:7">
      <c r="A6307" s="3"/>
      <c r="B6307" s="3"/>
      <c r="C6307" s="3"/>
      <c r="D6307" s="3"/>
      <c r="E6307" s="3">
        <v>4</v>
      </c>
      <c r="F6307" s="4" t="str">
        <f>HYPERLINK("http://141.218.60.56/~jnz1568/getInfo.php?workbook=14_09.xlsx&amp;sheet=U0&amp;row=6307&amp;col=6&amp;number=3.3&amp;sourceID=14","3.3")</f>
        <v>3.3</v>
      </c>
      <c r="G6307" s="4" t="str">
        <f>HYPERLINK("http://141.218.60.56/~jnz1568/getInfo.php?workbook=14_09.xlsx&amp;sheet=U0&amp;row=6307&amp;col=7&amp;number=0.00438&amp;sourceID=14","0.00438")</f>
        <v>0.00438</v>
      </c>
    </row>
    <row r="6308" spans="1:7">
      <c r="A6308" s="3"/>
      <c r="B6308" s="3"/>
      <c r="C6308" s="3"/>
      <c r="D6308" s="3"/>
      <c r="E6308" s="3">
        <v>5</v>
      </c>
      <c r="F6308" s="4" t="str">
        <f>HYPERLINK("http://141.218.60.56/~jnz1568/getInfo.php?workbook=14_09.xlsx&amp;sheet=U0&amp;row=6308&amp;col=6&amp;number=3.4&amp;sourceID=14","3.4")</f>
        <v>3.4</v>
      </c>
      <c r="G6308" s="4" t="str">
        <f>HYPERLINK("http://141.218.60.56/~jnz1568/getInfo.php?workbook=14_09.xlsx&amp;sheet=U0&amp;row=6308&amp;col=7&amp;number=0.00437&amp;sourceID=14","0.00437")</f>
        <v>0.00437</v>
      </c>
    </row>
    <row r="6309" spans="1:7">
      <c r="A6309" s="3"/>
      <c r="B6309" s="3"/>
      <c r="C6309" s="3"/>
      <c r="D6309" s="3"/>
      <c r="E6309" s="3">
        <v>6</v>
      </c>
      <c r="F6309" s="4" t="str">
        <f>HYPERLINK("http://141.218.60.56/~jnz1568/getInfo.php?workbook=14_09.xlsx&amp;sheet=U0&amp;row=6309&amp;col=6&amp;number=3.5&amp;sourceID=14","3.5")</f>
        <v>3.5</v>
      </c>
      <c r="G6309" s="4" t="str">
        <f>HYPERLINK("http://141.218.60.56/~jnz1568/getInfo.php?workbook=14_09.xlsx&amp;sheet=U0&amp;row=6309&amp;col=7&amp;number=0.00436&amp;sourceID=14","0.00436")</f>
        <v>0.00436</v>
      </c>
    </row>
    <row r="6310" spans="1:7">
      <c r="A6310" s="3"/>
      <c r="B6310" s="3"/>
      <c r="C6310" s="3"/>
      <c r="D6310" s="3"/>
      <c r="E6310" s="3">
        <v>7</v>
      </c>
      <c r="F6310" s="4" t="str">
        <f>HYPERLINK("http://141.218.60.56/~jnz1568/getInfo.php?workbook=14_09.xlsx&amp;sheet=U0&amp;row=6310&amp;col=6&amp;number=3.6&amp;sourceID=14","3.6")</f>
        <v>3.6</v>
      </c>
      <c r="G6310" s="4" t="str">
        <f>HYPERLINK("http://141.218.60.56/~jnz1568/getInfo.php?workbook=14_09.xlsx&amp;sheet=U0&amp;row=6310&amp;col=7&amp;number=0.00436&amp;sourceID=14","0.00436")</f>
        <v>0.00436</v>
      </c>
    </row>
    <row r="6311" spans="1:7">
      <c r="A6311" s="3"/>
      <c r="B6311" s="3"/>
      <c r="C6311" s="3"/>
      <c r="D6311" s="3"/>
      <c r="E6311" s="3">
        <v>8</v>
      </c>
      <c r="F6311" s="4" t="str">
        <f>HYPERLINK("http://141.218.60.56/~jnz1568/getInfo.php?workbook=14_09.xlsx&amp;sheet=U0&amp;row=6311&amp;col=6&amp;number=3.7&amp;sourceID=14","3.7")</f>
        <v>3.7</v>
      </c>
      <c r="G6311" s="4" t="str">
        <f>HYPERLINK("http://141.218.60.56/~jnz1568/getInfo.php?workbook=14_09.xlsx&amp;sheet=U0&amp;row=6311&amp;col=7&amp;number=0.00435&amp;sourceID=14","0.00435")</f>
        <v>0.00435</v>
      </c>
    </row>
    <row r="6312" spans="1:7">
      <c r="A6312" s="3"/>
      <c r="B6312" s="3"/>
      <c r="C6312" s="3"/>
      <c r="D6312" s="3"/>
      <c r="E6312" s="3">
        <v>9</v>
      </c>
      <c r="F6312" s="4" t="str">
        <f>HYPERLINK("http://141.218.60.56/~jnz1568/getInfo.php?workbook=14_09.xlsx&amp;sheet=U0&amp;row=6312&amp;col=6&amp;number=3.8&amp;sourceID=14","3.8")</f>
        <v>3.8</v>
      </c>
      <c r="G6312" s="4" t="str">
        <f>HYPERLINK("http://141.218.60.56/~jnz1568/getInfo.php?workbook=14_09.xlsx&amp;sheet=U0&amp;row=6312&amp;col=7&amp;number=0.00433&amp;sourceID=14","0.00433")</f>
        <v>0.00433</v>
      </c>
    </row>
    <row r="6313" spans="1:7">
      <c r="A6313" s="3"/>
      <c r="B6313" s="3"/>
      <c r="C6313" s="3"/>
      <c r="D6313" s="3"/>
      <c r="E6313" s="3">
        <v>10</v>
      </c>
      <c r="F6313" s="4" t="str">
        <f>HYPERLINK("http://141.218.60.56/~jnz1568/getInfo.php?workbook=14_09.xlsx&amp;sheet=U0&amp;row=6313&amp;col=6&amp;number=3.9&amp;sourceID=14","3.9")</f>
        <v>3.9</v>
      </c>
      <c r="G6313" s="4" t="str">
        <f>HYPERLINK("http://141.218.60.56/~jnz1568/getInfo.php?workbook=14_09.xlsx&amp;sheet=U0&amp;row=6313&amp;col=7&amp;number=0.00431&amp;sourceID=14","0.00431")</f>
        <v>0.00431</v>
      </c>
    </row>
    <row r="6314" spans="1:7">
      <c r="A6314" s="3"/>
      <c r="B6314" s="3"/>
      <c r="C6314" s="3"/>
      <c r="D6314" s="3"/>
      <c r="E6314" s="3">
        <v>11</v>
      </c>
      <c r="F6314" s="4" t="str">
        <f>HYPERLINK("http://141.218.60.56/~jnz1568/getInfo.php?workbook=14_09.xlsx&amp;sheet=U0&amp;row=6314&amp;col=6&amp;number=4&amp;sourceID=14","4")</f>
        <v>4</v>
      </c>
      <c r="G6314" s="4" t="str">
        <f>HYPERLINK("http://141.218.60.56/~jnz1568/getInfo.php?workbook=14_09.xlsx&amp;sheet=U0&amp;row=6314&amp;col=7&amp;number=0.00429&amp;sourceID=14","0.00429")</f>
        <v>0.00429</v>
      </c>
    </row>
    <row r="6315" spans="1:7">
      <c r="A6315" s="3"/>
      <c r="B6315" s="3"/>
      <c r="C6315" s="3"/>
      <c r="D6315" s="3"/>
      <c r="E6315" s="3">
        <v>12</v>
      </c>
      <c r="F6315" s="4" t="str">
        <f>HYPERLINK("http://141.218.60.56/~jnz1568/getInfo.php?workbook=14_09.xlsx&amp;sheet=U0&amp;row=6315&amp;col=6&amp;number=4.1&amp;sourceID=14","4.1")</f>
        <v>4.1</v>
      </c>
      <c r="G6315" s="4" t="str">
        <f>HYPERLINK("http://141.218.60.56/~jnz1568/getInfo.php?workbook=14_09.xlsx&amp;sheet=U0&amp;row=6315&amp;col=7&amp;number=0.00427&amp;sourceID=14","0.00427")</f>
        <v>0.00427</v>
      </c>
    </row>
    <row r="6316" spans="1:7">
      <c r="A6316" s="3"/>
      <c r="B6316" s="3"/>
      <c r="C6316" s="3"/>
      <c r="D6316" s="3"/>
      <c r="E6316" s="3">
        <v>13</v>
      </c>
      <c r="F6316" s="4" t="str">
        <f>HYPERLINK("http://141.218.60.56/~jnz1568/getInfo.php?workbook=14_09.xlsx&amp;sheet=U0&amp;row=6316&amp;col=6&amp;number=4.2&amp;sourceID=14","4.2")</f>
        <v>4.2</v>
      </c>
      <c r="G6316" s="4" t="str">
        <f>HYPERLINK("http://141.218.60.56/~jnz1568/getInfo.php?workbook=14_09.xlsx&amp;sheet=U0&amp;row=6316&amp;col=7&amp;number=0.00423&amp;sourceID=14","0.00423")</f>
        <v>0.00423</v>
      </c>
    </row>
    <row r="6317" spans="1:7">
      <c r="A6317" s="3"/>
      <c r="B6317" s="3"/>
      <c r="C6317" s="3"/>
      <c r="D6317" s="3"/>
      <c r="E6317" s="3">
        <v>14</v>
      </c>
      <c r="F6317" s="4" t="str">
        <f>HYPERLINK("http://141.218.60.56/~jnz1568/getInfo.php?workbook=14_09.xlsx&amp;sheet=U0&amp;row=6317&amp;col=6&amp;number=4.3&amp;sourceID=14","4.3")</f>
        <v>4.3</v>
      </c>
      <c r="G6317" s="4" t="str">
        <f>HYPERLINK("http://141.218.60.56/~jnz1568/getInfo.php?workbook=14_09.xlsx&amp;sheet=U0&amp;row=6317&amp;col=7&amp;number=0.00419&amp;sourceID=14","0.00419")</f>
        <v>0.00419</v>
      </c>
    </row>
    <row r="6318" spans="1:7">
      <c r="A6318" s="3"/>
      <c r="B6318" s="3"/>
      <c r="C6318" s="3"/>
      <c r="D6318" s="3"/>
      <c r="E6318" s="3">
        <v>15</v>
      </c>
      <c r="F6318" s="4" t="str">
        <f>HYPERLINK("http://141.218.60.56/~jnz1568/getInfo.php?workbook=14_09.xlsx&amp;sheet=U0&amp;row=6318&amp;col=6&amp;number=4.4&amp;sourceID=14","4.4")</f>
        <v>4.4</v>
      </c>
      <c r="G6318" s="4" t="str">
        <f>HYPERLINK("http://141.218.60.56/~jnz1568/getInfo.php?workbook=14_09.xlsx&amp;sheet=U0&amp;row=6318&amp;col=7&amp;number=0.00414&amp;sourceID=14","0.00414")</f>
        <v>0.00414</v>
      </c>
    </row>
    <row r="6319" spans="1:7">
      <c r="A6319" s="3"/>
      <c r="B6319" s="3"/>
      <c r="C6319" s="3"/>
      <c r="D6319" s="3"/>
      <c r="E6319" s="3">
        <v>16</v>
      </c>
      <c r="F6319" s="4" t="str">
        <f>HYPERLINK("http://141.218.60.56/~jnz1568/getInfo.php?workbook=14_09.xlsx&amp;sheet=U0&amp;row=6319&amp;col=6&amp;number=4.5&amp;sourceID=14","4.5")</f>
        <v>4.5</v>
      </c>
      <c r="G6319" s="4" t="str">
        <f>HYPERLINK("http://141.218.60.56/~jnz1568/getInfo.php?workbook=14_09.xlsx&amp;sheet=U0&amp;row=6319&amp;col=7&amp;number=0.00408&amp;sourceID=14","0.00408")</f>
        <v>0.00408</v>
      </c>
    </row>
    <row r="6320" spans="1:7">
      <c r="A6320" s="3"/>
      <c r="B6320" s="3"/>
      <c r="C6320" s="3"/>
      <c r="D6320" s="3"/>
      <c r="E6320" s="3">
        <v>17</v>
      </c>
      <c r="F6320" s="4" t="str">
        <f>HYPERLINK("http://141.218.60.56/~jnz1568/getInfo.php?workbook=14_09.xlsx&amp;sheet=U0&amp;row=6320&amp;col=6&amp;number=4.6&amp;sourceID=14","4.6")</f>
        <v>4.6</v>
      </c>
      <c r="G6320" s="4" t="str">
        <f>HYPERLINK("http://141.218.60.56/~jnz1568/getInfo.php?workbook=14_09.xlsx&amp;sheet=U0&amp;row=6320&amp;col=7&amp;number=0.00401&amp;sourceID=14","0.00401")</f>
        <v>0.00401</v>
      </c>
    </row>
    <row r="6321" spans="1:7">
      <c r="A6321" s="3"/>
      <c r="B6321" s="3"/>
      <c r="C6321" s="3"/>
      <c r="D6321" s="3"/>
      <c r="E6321" s="3">
        <v>18</v>
      </c>
      <c r="F6321" s="4" t="str">
        <f>HYPERLINK("http://141.218.60.56/~jnz1568/getInfo.php?workbook=14_09.xlsx&amp;sheet=U0&amp;row=6321&amp;col=6&amp;number=4.7&amp;sourceID=14","4.7")</f>
        <v>4.7</v>
      </c>
      <c r="G6321" s="4" t="str">
        <f>HYPERLINK("http://141.218.60.56/~jnz1568/getInfo.php?workbook=14_09.xlsx&amp;sheet=U0&amp;row=6321&amp;col=7&amp;number=0.00391&amp;sourceID=14","0.00391")</f>
        <v>0.00391</v>
      </c>
    </row>
    <row r="6322" spans="1:7">
      <c r="A6322" s="3"/>
      <c r="B6322" s="3"/>
      <c r="C6322" s="3"/>
      <c r="D6322" s="3"/>
      <c r="E6322" s="3">
        <v>19</v>
      </c>
      <c r="F6322" s="4" t="str">
        <f>HYPERLINK("http://141.218.60.56/~jnz1568/getInfo.php?workbook=14_09.xlsx&amp;sheet=U0&amp;row=6322&amp;col=6&amp;number=4.8&amp;sourceID=14","4.8")</f>
        <v>4.8</v>
      </c>
      <c r="G6322" s="4" t="str">
        <f>HYPERLINK("http://141.218.60.56/~jnz1568/getInfo.php?workbook=14_09.xlsx&amp;sheet=U0&amp;row=6322&amp;col=7&amp;number=0.00381&amp;sourceID=14","0.00381")</f>
        <v>0.00381</v>
      </c>
    </row>
    <row r="6323" spans="1:7">
      <c r="A6323" s="3"/>
      <c r="B6323" s="3"/>
      <c r="C6323" s="3"/>
      <c r="D6323" s="3"/>
      <c r="E6323" s="3">
        <v>20</v>
      </c>
      <c r="F6323" s="4" t="str">
        <f>HYPERLINK("http://141.218.60.56/~jnz1568/getInfo.php?workbook=14_09.xlsx&amp;sheet=U0&amp;row=6323&amp;col=6&amp;number=4.9&amp;sourceID=14","4.9")</f>
        <v>4.9</v>
      </c>
      <c r="G6323" s="4" t="str">
        <f>HYPERLINK("http://141.218.60.56/~jnz1568/getInfo.php?workbook=14_09.xlsx&amp;sheet=U0&amp;row=6323&amp;col=7&amp;number=0.00369&amp;sourceID=14","0.00369")</f>
        <v>0.00369</v>
      </c>
    </row>
    <row r="6324" spans="1:7">
      <c r="A6324" s="3">
        <v>14</v>
      </c>
      <c r="B6324" s="3">
        <v>9</v>
      </c>
      <c r="C6324" s="3">
        <v>2</v>
      </c>
      <c r="D6324" s="3">
        <v>125</v>
      </c>
      <c r="E6324" s="3">
        <v>1</v>
      </c>
      <c r="F6324" s="4" t="str">
        <f>HYPERLINK("http://141.218.60.56/~jnz1568/getInfo.php?workbook=14_09.xlsx&amp;sheet=U0&amp;row=6324&amp;col=6&amp;number=3&amp;sourceID=14","3")</f>
        <v>3</v>
      </c>
      <c r="G6324" s="4" t="str">
        <f>HYPERLINK("http://141.218.60.56/~jnz1568/getInfo.php?workbook=14_09.xlsx&amp;sheet=U0&amp;row=6324&amp;col=7&amp;number=0.0186&amp;sourceID=14","0.0186")</f>
        <v>0.0186</v>
      </c>
    </row>
    <row r="6325" spans="1:7">
      <c r="A6325" s="3"/>
      <c r="B6325" s="3"/>
      <c r="C6325" s="3"/>
      <c r="D6325" s="3"/>
      <c r="E6325" s="3">
        <v>2</v>
      </c>
      <c r="F6325" s="4" t="str">
        <f>HYPERLINK("http://141.218.60.56/~jnz1568/getInfo.php?workbook=14_09.xlsx&amp;sheet=U0&amp;row=6325&amp;col=6&amp;number=3.1&amp;sourceID=14","3.1")</f>
        <v>3.1</v>
      </c>
      <c r="G6325" s="4" t="str">
        <f>HYPERLINK("http://141.218.60.56/~jnz1568/getInfo.php?workbook=14_09.xlsx&amp;sheet=U0&amp;row=6325&amp;col=7&amp;number=0.0185&amp;sourceID=14","0.0185")</f>
        <v>0.0185</v>
      </c>
    </row>
    <row r="6326" spans="1:7">
      <c r="A6326" s="3"/>
      <c r="B6326" s="3"/>
      <c r="C6326" s="3"/>
      <c r="D6326" s="3"/>
      <c r="E6326" s="3">
        <v>3</v>
      </c>
      <c r="F6326" s="4" t="str">
        <f>HYPERLINK("http://141.218.60.56/~jnz1568/getInfo.php?workbook=14_09.xlsx&amp;sheet=U0&amp;row=6326&amp;col=6&amp;number=3.2&amp;sourceID=14","3.2")</f>
        <v>3.2</v>
      </c>
      <c r="G6326" s="4" t="str">
        <f>HYPERLINK("http://141.218.60.56/~jnz1568/getInfo.php?workbook=14_09.xlsx&amp;sheet=U0&amp;row=6326&amp;col=7&amp;number=0.0185&amp;sourceID=14","0.0185")</f>
        <v>0.0185</v>
      </c>
    </row>
    <row r="6327" spans="1:7">
      <c r="A6327" s="3"/>
      <c r="B6327" s="3"/>
      <c r="C6327" s="3"/>
      <c r="D6327" s="3"/>
      <c r="E6327" s="3">
        <v>4</v>
      </c>
      <c r="F6327" s="4" t="str">
        <f>HYPERLINK("http://141.218.60.56/~jnz1568/getInfo.php?workbook=14_09.xlsx&amp;sheet=U0&amp;row=6327&amp;col=6&amp;number=3.3&amp;sourceID=14","3.3")</f>
        <v>3.3</v>
      </c>
      <c r="G6327" s="4" t="str">
        <f>HYPERLINK("http://141.218.60.56/~jnz1568/getInfo.php?workbook=14_09.xlsx&amp;sheet=U0&amp;row=6327&amp;col=7&amp;number=0.0185&amp;sourceID=14","0.0185")</f>
        <v>0.0185</v>
      </c>
    </row>
    <row r="6328" spans="1:7">
      <c r="A6328" s="3"/>
      <c r="B6328" s="3"/>
      <c r="C6328" s="3"/>
      <c r="D6328" s="3"/>
      <c r="E6328" s="3">
        <v>5</v>
      </c>
      <c r="F6328" s="4" t="str">
        <f>HYPERLINK("http://141.218.60.56/~jnz1568/getInfo.php?workbook=14_09.xlsx&amp;sheet=U0&amp;row=6328&amp;col=6&amp;number=3.4&amp;sourceID=14","3.4")</f>
        <v>3.4</v>
      </c>
      <c r="G6328" s="4" t="str">
        <f>HYPERLINK("http://141.218.60.56/~jnz1568/getInfo.php?workbook=14_09.xlsx&amp;sheet=U0&amp;row=6328&amp;col=7&amp;number=0.0184&amp;sourceID=14","0.0184")</f>
        <v>0.0184</v>
      </c>
    </row>
    <row r="6329" spans="1:7">
      <c r="A6329" s="3"/>
      <c r="B6329" s="3"/>
      <c r="C6329" s="3"/>
      <c r="D6329" s="3"/>
      <c r="E6329" s="3">
        <v>6</v>
      </c>
      <c r="F6329" s="4" t="str">
        <f>HYPERLINK("http://141.218.60.56/~jnz1568/getInfo.php?workbook=14_09.xlsx&amp;sheet=U0&amp;row=6329&amp;col=6&amp;number=3.5&amp;sourceID=14","3.5")</f>
        <v>3.5</v>
      </c>
      <c r="G6329" s="4" t="str">
        <f>HYPERLINK("http://141.218.60.56/~jnz1568/getInfo.php?workbook=14_09.xlsx&amp;sheet=U0&amp;row=6329&amp;col=7&amp;number=0.0183&amp;sourceID=14","0.0183")</f>
        <v>0.0183</v>
      </c>
    </row>
    <row r="6330" spans="1:7">
      <c r="A6330" s="3"/>
      <c r="B6330" s="3"/>
      <c r="C6330" s="3"/>
      <c r="D6330" s="3"/>
      <c r="E6330" s="3">
        <v>7</v>
      </c>
      <c r="F6330" s="4" t="str">
        <f>HYPERLINK("http://141.218.60.56/~jnz1568/getInfo.php?workbook=14_09.xlsx&amp;sheet=U0&amp;row=6330&amp;col=6&amp;number=3.6&amp;sourceID=14","3.6")</f>
        <v>3.6</v>
      </c>
      <c r="G6330" s="4" t="str">
        <f>HYPERLINK("http://141.218.60.56/~jnz1568/getInfo.php?workbook=14_09.xlsx&amp;sheet=U0&amp;row=6330&amp;col=7&amp;number=0.0182&amp;sourceID=14","0.0182")</f>
        <v>0.0182</v>
      </c>
    </row>
    <row r="6331" spans="1:7">
      <c r="A6331" s="3"/>
      <c r="B6331" s="3"/>
      <c r="C6331" s="3"/>
      <c r="D6331" s="3"/>
      <c r="E6331" s="3">
        <v>8</v>
      </c>
      <c r="F6331" s="4" t="str">
        <f>HYPERLINK("http://141.218.60.56/~jnz1568/getInfo.php?workbook=14_09.xlsx&amp;sheet=U0&amp;row=6331&amp;col=6&amp;number=3.7&amp;sourceID=14","3.7")</f>
        <v>3.7</v>
      </c>
      <c r="G6331" s="4" t="str">
        <f>HYPERLINK("http://141.218.60.56/~jnz1568/getInfo.php?workbook=14_09.xlsx&amp;sheet=U0&amp;row=6331&amp;col=7&amp;number=0.0181&amp;sourceID=14","0.0181")</f>
        <v>0.0181</v>
      </c>
    </row>
    <row r="6332" spans="1:7">
      <c r="A6332" s="3"/>
      <c r="B6332" s="3"/>
      <c r="C6332" s="3"/>
      <c r="D6332" s="3"/>
      <c r="E6332" s="3">
        <v>9</v>
      </c>
      <c r="F6332" s="4" t="str">
        <f>HYPERLINK("http://141.218.60.56/~jnz1568/getInfo.php?workbook=14_09.xlsx&amp;sheet=U0&amp;row=6332&amp;col=6&amp;number=3.8&amp;sourceID=14","3.8")</f>
        <v>3.8</v>
      </c>
      <c r="G6332" s="4" t="str">
        <f>HYPERLINK("http://141.218.60.56/~jnz1568/getInfo.php?workbook=14_09.xlsx&amp;sheet=U0&amp;row=6332&amp;col=7&amp;number=0.0179&amp;sourceID=14","0.0179")</f>
        <v>0.0179</v>
      </c>
    </row>
    <row r="6333" spans="1:7">
      <c r="A6333" s="3"/>
      <c r="B6333" s="3"/>
      <c r="C6333" s="3"/>
      <c r="D6333" s="3"/>
      <c r="E6333" s="3">
        <v>10</v>
      </c>
      <c r="F6333" s="4" t="str">
        <f>HYPERLINK("http://141.218.60.56/~jnz1568/getInfo.php?workbook=14_09.xlsx&amp;sheet=U0&amp;row=6333&amp;col=6&amp;number=3.9&amp;sourceID=14","3.9")</f>
        <v>3.9</v>
      </c>
      <c r="G6333" s="4" t="str">
        <f>HYPERLINK("http://141.218.60.56/~jnz1568/getInfo.php?workbook=14_09.xlsx&amp;sheet=U0&amp;row=6333&amp;col=7&amp;number=0.0177&amp;sourceID=14","0.0177")</f>
        <v>0.0177</v>
      </c>
    </row>
    <row r="6334" spans="1:7">
      <c r="A6334" s="3"/>
      <c r="B6334" s="3"/>
      <c r="C6334" s="3"/>
      <c r="D6334" s="3"/>
      <c r="E6334" s="3">
        <v>11</v>
      </c>
      <c r="F6334" s="4" t="str">
        <f>HYPERLINK("http://141.218.60.56/~jnz1568/getInfo.php?workbook=14_09.xlsx&amp;sheet=U0&amp;row=6334&amp;col=6&amp;number=4&amp;sourceID=14","4")</f>
        <v>4</v>
      </c>
      <c r="G6334" s="4" t="str">
        <f>HYPERLINK("http://141.218.60.56/~jnz1568/getInfo.php?workbook=14_09.xlsx&amp;sheet=U0&amp;row=6334&amp;col=7&amp;number=0.0175&amp;sourceID=14","0.0175")</f>
        <v>0.0175</v>
      </c>
    </row>
    <row r="6335" spans="1:7">
      <c r="A6335" s="3"/>
      <c r="B6335" s="3"/>
      <c r="C6335" s="3"/>
      <c r="D6335" s="3"/>
      <c r="E6335" s="3">
        <v>12</v>
      </c>
      <c r="F6335" s="4" t="str">
        <f>HYPERLINK("http://141.218.60.56/~jnz1568/getInfo.php?workbook=14_09.xlsx&amp;sheet=U0&amp;row=6335&amp;col=6&amp;number=4.1&amp;sourceID=14","4.1")</f>
        <v>4.1</v>
      </c>
      <c r="G6335" s="4" t="str">
        <f>HYPERLINK("http://141.218.60.56/~jnz1568/getInfo.php?workbook=14_09.xlsx&amp;sheet=U0&amp;row=6335&amp;col=7&amp;number=0.0172&amp;sourceID=14","0.0172")</f>
        <v>0.0172</v>
      </c>
    </row>
    <row r="6336" spans="1:7">
      <c r="A6336" s="3"/>
      <c r="B6336" s="3"/>
      <c r="C6336" s="3"/>
      <c r="D6336" s="3"/>
      <c r="E6336" s="3">
        <v>13</v>
      </c>
      <c r="F6336" s="4" t="str">
        <f>HYPERLINK("http://141.218.60.56/~jnz1568/getInfo.php?workbook=14_09.xlsx&amp;sheet=U0&amp;row=6336&amp;col=6&amp;number=4.2&amp;sourceID=14","4.2")</f>
        <v>4.2</v>
      </c>
      <c r="G6336" s="4" t="str">
        <f>HYPERLINK("http://141.218.60.56/~jnz1568/getInfo.php?workbook=14_09.xlsx&amp;sheet=U0&amp;row=6336&amp;col=7&amp;number=0.0168&amp;sourceID=14","0.0168")</f>
        <v>0.0168</v>
      </c>
    </row>
    <row r="6337" spans="1:7">
      <c r="A6337" s="3"/>
      <c r="B6337" s="3"/>
      <c r="C6337" s="3"/>
      <c r="D6337" s="3"/>
      <c r="E6337" s="3">
        <v>14</v>
      </c>
      <c r="F6337" s="4" t="str">
        <f>HYPERLINK("http://141.218.60.56/~jnz1568/getInfo.php?workbook=14_09.xlsx&amp;sheet=U0&amp;row=6337&amp;col=6&amp;number=4.3&amp;sourceID=14","4.3")</f>
        <v>4.3</v>
      </c>
      <c r="G6337" s="4" t="str">
        <f>HYPERLINK("http://141.218.60.56/~jnz1568/getInfo.php?workbook=14_09.xlsx&amp;sheet=U0&amp;row=6337&amp;col=7&amp;number=0.0164&amp;sourceID=14","0.0164")</f>
        <v>0.0164</v>
      </c>
    </row>
    <row r="6338" spans="1:7">
      <c r="A6338" s="3"/>
      <c r="B6338" s="3"/>
      <c r="C6338" s="3"/>
      <c r="D6338" s="3"/>
      <c r="E6338" s="3">
        <v>15</v>
      </c>
      <c r="F6338" s="4" t="str">
        <f>HYPERLINK("http://141.218.60.56/~jnz1568/getInfo.php?workbook=14_09.xlsx&amp;sheet=U0&amp;row=6338&amp;col=6&amp;number=4.4&amp;sourceID=14","4.4")</f>
        <v>4.4</v>
      </c>
      <c r="G6338" s="4" t="str">
        <f>HYPERLINK("http://141.218.60.56/~jnz1568/getInfo.php?workbook=14_09.xlsx&amp;sheet=U0&amp;row=6338&amp;col=7&amp;number=0.0158&amp;sourceID=14","0.0158")</f>
        <v>0.0158</v>
      </c>
    </row>
    <row r="6339" spans="1:7">
      <c r="A6339" s="3"/>
      <c r="B6339" s="3"/>
      <c r="C6339" s="3"/>
      <c r="D6339" s="3"/>
      <c r="E6339" s="3">
        <v>16</v>
      </c>
      <c r="F6339" s="4" t="str">
        <f>HYPERLINK("http://141.218.60.56/~jnz1568/getInfo.php?workbook=14_09.xlsx&amp;sheet=U0&amp;row=6339&amp;col=6&amp;number=4.5&amp;sourceID=14","4.5")</f>
        <v>4.5</v>
      </c>
      <c r="G6339" s="4" t="str">
        <f>HYPERLINK("http://141.218.60.56/~jnz1568/getInfo.php?workbook=14_09.xlsx&amp;sheet=U0&amp;row=6339&amp;col=7&amp;number=0.0151&amp;sourceID=14","0.0151")</f>
        <v>0.0151</v>
      </c>
    </row>
    <row r="6340" spans="1:7">
      <c r="A6340" s="3"/>
      <c r="B6340" s="3"/>
      <c r="C6340" s="3"/>
      <c r="D6340" s="3"/>
      <c r="E6340" s="3">
        <v>17</v>
      </c>
      <c r="F6340" s="4" t="str">
        <f>HYPERLINK("http://141.218.60.56/~jnz1568/getInfo.php?workbook=14_09.xlsx&amp;sheet=U0&amp;row=6340&amp;col=6&amp;number=4.6&amp;sourceID=14","4.6")</f>
        <v>4.6</v>
      </c>
      <c r="G6340" s="4" t="str">
        <f>HYPERLINK("http://141.218.60.56/~jnz1568/getInfo.php?workbook=14_09.xlsx&amp;sheet=U0&amp;row=6340&amp;col=7&amp;number=0.0143&amp;sourceID=14","0.0143")</f>
        <v>0.0143</v>
      </c>
    </row>
    <row r="6341" spans="1:7">
      <c r="A6341" s="3"/>
      <c r="B6341" s="3"/>
      <c r="C6341" s="3"/>
      <c r="D6341" s="3"/>
      <c r="E6341" s="3">
        <v>18</v>
      </c>
      <c r="F6341" s="4" t="str">
        <f>HYPERLINK("http://141.218.60.56/~jnz1568/getInfo.php?workbook=14_09.xlsx&amp;sheet=U0&amp;row=6341&amp;col=6&amp;number=4.7&amp;sourceID=14","4.7")</f>
        <v>4.7</v>
      </c>
      <c r="G6341" s="4" t="str">
        <f>HYPERLINK("http://141.218.60.56/~jnz1568/getInfo.php?workbook=14_09.xlsx&amp;sheet=U0&amp;row=6341&amp;col=7&amp;number=0.0134&amp;sourceID=14","0.0134")</f>
        <v>0.0134</v>
      </c>
    </row>
    <row r="6342" spans="1:7">
      <c r="A6342" s="3"/>
      <c r="B6342" s="3"/>
      <c r="C6342" s="3"/>
      <c r="D6342" s="3"/>
      <c r="E6342" s="3">
        <v>19</v>
      </c>
      <c r="F6342" s="4" t="str">
        <f>HYPERLINK("http://141.218.60.56/~jnz1568/getInfo.php?workbook=14_09.xlsx&amp;sheet=U0&amp;row=6342&amp;col=6&amp;number=4.8&amp;sourceID=14","4.8")</f>
        <v>4.8</v>
      </c>
      <c r="G6342" s="4" t="str">
        <f>HYPERLINK("http://141.218.60.56/~jnz1568/getInfo.php?workbook=14_09.xlsx&amp;sheet=U0&amp;row=6342&amp;col=7&amp;number=0.0124&amp;sourceID=14","0.0124")</f>
        <v>0.0124</v>
      </c>
    </row>
    <row r="6343" spans="1:7">
      <c r="A6343" s="3"/>
      <c r="B6343" s="3"/>
      <c r="C6343" s="3"/>
      <c r="D6343" s="3"/>
      <c r="E6343" s="3">
        <v>20</v>
      </c>
      <c r="F6343" s="4" t="str">
        <f>HYPERLINK("http://141.218.60.56/~jnz1568/getInfo.php?workbook=14_09.xlsx&amp;sheet=U0&amp;row=6343&amp;col=6&amp;number=4.9&amp;sourceID=14","4.9")</f>
        <v>4.9</v>
      </c>
      <c r="G6343" s="4" t="str">
        <f>HYPERLINK("http://141.218.60.56/~jnz1568/getInfo.php?workbook=14_09.xlsx&amp;sheet=U0&amp;row=6343&amp;col=7&amp;number=0.0113&amp;sourceID=14","0.0113")</f>
        <v>0.0113</v>
      </c>
    </row>
    <row r="6344" spans="1:7">
      <c r="A6344" s="3">
        <v>14</v>
      </c>
      <c r="B6344" s="3">
        <v>9</v>
      </c>
      <c r="C6344" s="3">
        <v>2</v>
      </c>
      <c r="D6344" s="3">
        <v>126</v>
      </c>
      <c r="E6344" s="3">
        <v>1</v>
      </c>
      <c r="F6344" s="4" t="str">
        <f>HYPERLINK("http://141.218.60.56/~jnz1568/getInfo.php?workbook=14_09.xlsx&amp;sheet=U0&amp;row=6344&amp;col=6&amp;number=3&amp;sourceID=14","3")</f>
        <v>3</v>
      </c>
      <c r="G6344" s="4" t="str">
        <f>HYPERLINK("http://141.218.60.56/~jnz1568/getInfo.php?workbook=14_09.xlsx&amp;sheet=U0&amp;row=6344&amp;col=7&amp;number=0.145&amp;sourceID=14","0.145")</f>
        <v>0.145</v>
      </c>
    </row>
    <row r="6345" spans="1:7">
      <c r="A6345" s="3"/>
      <c r="B6345" s="3"/>
      <c r="C6345" s="3"/>
      <c r="D6345" s="3"/>
      <c r="E6345" s="3">
        <v>2</v>
      </c>
      <c r="F6345" s="4" t="str">
        <f>HYPERLINK("http://141.218.60.56/~jnz1568/getInfo.php?workbook=14_09.xlsx&amp;sheet=U0&amp;row=6345&amp;col=6&amp;number=3.1&amp;sourceID=14","3.1")</f>
        <v>3.1</v>
      </c>
      <c r="G6345" s="4" t="str">
        <f>HYPERLINK("http://141.218.60.56/~jnz1568/getInfo.php?workbook=14_09.xlsx&amp;sheet=U0&amp;row=6345&amp;col=7&amp;number=0.145&amp;sourceID=14","0.145")</f>
        <v>0.145</v>
      </c>
    </row>
    <row r="6346" spans="1:7">
      <c r="A6346" s="3"/>
      <c r="B6346" s="3"/>
      <c r="C6346" s="3"/>
      <c r="D6346" s="3"/>
      <c r="E6346" s="3">
        <v>3</v>
      </c>
      <c r="F6346" s="4" t="str">
        <f>HYPERLINK("http://141.218.60.56/~jnz1568/getInfo.php?workbook=14_09.xlsx&amp;sheet=U0&amp;row=6346&amp;col=6&amp;number=3.2&amp;sourceID=14","3.2")</f>
        <v>3.2</v>
      </c>
      <c r="G6346" s="4" t="str">
        <f>HYPERLINK("http://141.218.60.56/~jnz1568/getInfo.php?workbook=14_09.xlsx&amp;sheet=U0&amp;row=6346&amp;col=7&amp;number=0.145&amp;sourceID=14","0.145")</f>
        <v>0.145</v>
      </c>
    </row>
    <row r="6347" spans="1:7">
      <c r="A6347" s="3"/>
      <c r="B6347" s="3"/>
      <c r="C6347" s="3"/>
      <c r="D6347" s="3"/>
      <c r="E6347" s="3">
        <v>4</v>
      </c>
      <c r="F6347" s="4" t="str">
        <f>HYPERLINK("http://141.218.60.56/~jnz1568/getInfo.php?workbook=14_09.xlsx&amp;sheet=U0&amp;row=6347&amp;col=6&amp;number=3.3&amp;sourceID=14","3.3")</f>
        <v>3.3</v>
      </c>
      <c r="G6347" s="4" t="str">
        <f>HYPERLINK("http://141.218.60.56/~jnz1568/getInfo.php?workbook=14_09.xlsx&amp;sheet=U0&amp;row=6347&amp;col=7&amp;number=0.145&amp;sourceID=14","0.145")</f>
        <v>0.145</v>
      </c>
    </row>
    <row r="6348" spans="1:7">
      <c r="A6348" s="3"/>
      <c r="B6348" s="3"/>
      <c r="C6348" s="3"/>
      <c r="D6348" s="3"/>
      <c r="E6348" s="3">
        <v>5</v>
      </c>
      <c r="F6348" s="4" t="str">
        <f>HYPERLINK("http://141.218.60.56/~jnz1568/getInfo.php?workbook=14_09.xlsx&amp;sheet=U0&amp;row=6348&amp;col=6&amp;number=3.4&amp;sourceID=14","3.4")</f>
        <v>3.4</v>
      </c>
      <c r="G6348" s="4" t="str">
        <f>HYPERLINK("http://141.218.60.56/~jnz1568/getInfo.php?workbook=14_09.xlsx&amp;sheet=U0&amp;row=6348&amp;col=7&amp;number=0.145&amp;sourceID=14","0.145")</f>
        <v>0.145</v>
      </c>
    </row>
    <row r="6349" spans="1:7">
      <c r="A6349" s="3"/>
      <c r="B6349" s="3"/>
      <c r="C6349" s="3"/>
      <c r="D6349" s="3"/>
      <c r="E6349" s="3">
        <v>6</v>
      </c>
      <c r="F6349" s="4" t="str">
        <f>HYPERLINK("http://141.218.60.56/~jnz1568/getInfo.php?workbook=14_09.xlsx&amp;sheet=U0&amp;row=6349&amp;col=6&amp;number=3.5&amp;sourceID=14","3.5")</f>
        <v>3.5</v>
      </c>
      <c r="G6349" s="4" t="str">
        <f>HYPERLINK("http://141.218.60.56/~jnz1568/getInfo.php?workbook=14_09.xlsx&amp;sheet=U0&amp;row=6349&amp;col=7&amp;number=0.145&amp;sourceID=14","0.145")</f>
        <v>0.145</v>
      </c>
    </row>
    <row r="6350" spans="1:7">
      <c r="A6350" s="3"/>
      <c r="B6350" s="3"/>
      <c r="C6350" s="3"/>
      <c r="D6350" s="3"/>
      <c r="E6350" s="3">
        <v>7</v>
      </c>
      <c r="F6350" s="4" t="str">
        <f>HYPERLINK("http://141.218.60.56/~jnz1568/getInfo.php?workbook=14_09.xlsx&amp;sheet=U0&amp;row=6350&amp;col=6&amp;number=3.6&amp;sourceID=14","3.6")</f>
        <v>3.6</v>
      </c>
      <c r="G6350" s="4" t="str">
        <f>HYPERLINK("http://141.218.60.56/~jnz1568/getInfo.php?workbook=14_09.xlsx&amp;sheet=U0&amp;row=6350&amp;col=7&amp;number=0.145&amp;sourceID=14","0.145")</f>
        <v>0.145</v>
      </c>
    </row>
    <row r="6351" spans="1:7">
      <c r="A6351" s="3"/>
      <c r="B6351" s="3"/>
      <c r="C6351" s="3"/>
      <c r="D6351" s="3"/>
      <c r="E6351" s="3">
        <v>8</v>
      </c>
      <c r="F6351" s="4" t="str">
        <f>HYPERLINK("http://141.218.60.56/~jnz1568/getInfo.php?workbook=14_09.xlsx&amp;sheet=U0&amp;row=6351&amp;col=6&amp;number=3.7&amp;sourceID=14","3.7")</f>
        <v>3.7</v>
      </c>
      <c r="G6351" s="4" t="str">
        <f>HYPERLINK("http://141.218.60.56/~jnz1568/getInfo.php?workbook=14_09.xlsx&amp;sheet=U0&amp;row=6351&amp;col=7&amp;number=0.145&amp;sourceID=14","0.145")</f>
        <v>0.145</v>
      </c>
    </row>
    <row r="6352" spans="1:7">
      <c r="A6352" s="3"/>
      <c r="B6352" s="3"/>
      <c r="C6352" s="3"/>
      <c r="D6352" s="3"/>
      <c r="E6352" s="3">
        <v>9</v>
      </c>
      <c r="F6352" s="4" t="str">
        <f>HYPERLINK("http://141.218.60.56/~jnz1568/getInfo.php?workbook=14_09.xlsx&amp;sheet=U0&amp;row=6352&amp;col=6&amp;number=3.8&amp;sourceID=14","3.8")</f>
        <v>3.8</v>
      </c>
      <c r="G6352" s="4" t="str">
        <f>HYPERLINK("http://141.218.60.56/~jnz1568/getInfo.php?workbook=14_09.xlsx&amp;sheet=U0&amp;row=6352&amp;col=7&amp;number=0.145&amp;sourceID=14","0.145")</f>
        <v>0.145</v>
      </c>
    </row>
    <row r="6353" spans="1:7">
      <c r="A6353" s="3"/>
      <c r="B6353" s="3"/>
      <c r="C6353" s="3"/>
      <c r="D6353" s="3"/>
      <c r="E6353" s="3">
        <v>10</v>
      </c>
      <c r="F6353" s="4" t="str">
        <f>HYPERLINK("http://141.218.60.56/~jnz1568/getInfo.php?workbook=14_09.xlsx&amp;sheet=U0&amp;row=6353&amp;col=6&amp;number=3.9&amp;sourceID=14","3.9")</f>
        <v>3.9</v>
      </c>
      <c r="G6353" s="4" t="str">
        <f>HYPERLINK("http://141.218.60.56/~jnz1568/getInfo.php?workbook=14_09.xlsx&amp;sheet=U0&amp;row=6353&amp;col=7&amp;number=0.145&amp;sourceID=14","0.145")</f>
        <v>0.145</v>
      </c>
    </row>
    <row r="6354" spans="1:7">
      <c r="A6354" s="3"/>
      <c r="B6354" s="3"/>
      <c r="C6354" s="3"/>
      <c r="D6354" s="3"/>
      <c r="E6354" s="3">
        <v>11</v>
      </c>
      <c r="F6354" s="4" t="str">
        <f>HYPERLINK("http://141.218.60.56/~jnz1568/getInfo.php?workbook=14_09.xlsx&amp;sheet=U0&amp;row=6354&amp;col=6&amp;number=4&amp;sourceID=14","4")</f>
        <v>4</v>
      </c>
      <c r="G6354" s="4" t="str">
        <f>HYPERLINK("http://141.218.60.56/~jnz1568/getInfo.php?workbook=14_09.xlsx&amp;sheet=U0&amp;row=6354&amp;col=7&amp;number=0.145&amp;sourceID=14","0.145")</f>
        <v>0.145</v>
      </c>
    </row>
    <row r="6355" spans="1:7">
      <c r="A6355" s="3"/>
      <c r="B6355" s="3"/>
      <c r="C6355" s="3"/>
      <c r="D6355" s="3"/>
      <c r="E6355" s="3">
        <v>12</v>
      </c>
      <c r="F6355" s="4" t="str">
        <f>HYPERLINK("http://141.218.60.56/~jnz1568/getInfo.php?workbook=14_09.xlsx&amp;sheet=U0&amp;row=6355&amp;col=6&amp;number=4.1&amp;sourceID=14","4.1")</f>
        <v>4.1</v>
      </c>
      <c r="G6355" s="4" t="str">
        <f>HYPERLINK("http://141.218.60.56/~jnz1568/getInfo.php?workbook=14_09.xlsx&amp;sheet=U0&amp;row=6355&amp;col=7&amp;number=0.145&amp;sourceID=14","0.145")</f>
        <v>0.145</v>
      </c>
    </row>
    <row r="6356" spans="1:7">
      <c r="A6356" s="3"/>
      <c r="B6356" s="3"/>
      <c r="C6356" s="3"/>
      <c r="D6356" s="3"/>
      <c r="E6356" s="3">
        <v>13</v>
      </c>
      <c r="F6356" s="4" t="str">
        <f>HYPERLINK("http://141.218.60.56/~jnz1568/getInfo.php?workbook=14_09.xlsx&amp;sheet=U0&amp;row=6356&amp;col=6&amp;number=4.2&amp;sourceID=14","4.2")</f>
        <v>4.2</v>
      </c>
      <c r="G6356" s="4" t="str">
        <f>HYPERLINK("http://141.218.60.56/~jnz1568/getInfo.php?workbook=14_09.xlsx&amp;sheet=U0&amp;row=6356&amp;col=7&amp;number=0.146&amp;sourceID=14","0.146")</f>
        <v>0.146</v>
      </c>
    </row>
    <row r="6357" spans="1:7">
      <c r="A6357" s="3"/>
      <c r="B6357" s="3"/>
      <c r="C6357" s="3"/>
      <c r="D6357" s="3"/>
      <c r="E6357" s="3">
        <v>14</v>
      </c>
      <c r="F6357" s="4" t="str">
        <f>HYPERLINK("http://141.218.60.56/~jnz1568/getInfo.php?workbook=14_09.xlsx&amp;sheet=U0&amp;row=6357&amp;col=6&amp;number=4.3&amp;sourceID=14","4.3")</f>
        <v>4.3</v>
      </c>
      <c r="G6357" s="4" t="str">
        <f>HYPERLINK("http://141.218.60.56/~jnz1568/getInfo.php?workbook=14_09.xlsx&amp;sheet=U0&amp;row=6357&amp;col=7&amp;number=0.146&amp;sourceID=14","0.146")</f>
        <v>0.146</v>
      </c>
    </row>
    <row r="6358" spans="1:7">
      <c r="A6358" s="3"/>
      <c r="B6358" s="3"/>
      <c r="C6358" s="3"/>
      <c r="D6358" s="3"/>
      <c r="E6358" s="3">
        <v>15</v>
      </c>
      <c r="F6358" s="4" t="str">
        <f>HYPERLINK("http://141.218.60.56/~jnz1568/getInfo.php?workbook=14_09.xlsx&amp;sheet=U0&amp;row=6358&amp;col=6&amp;number=4.4&amp;sourceID=14","4.4")</f>
        <v>4.4</v>
      </c>
      <c r="G6358" s="4" t="str">
        <f>HYPERLINK("http://141.218.60.56/~jnz1568/getInfo.php?workbook=14_09.xlsx&amp;sheet=U0&amp;row=6358&amp;col=7&amp;number=0.146&amp;sourceID=14","0.146")</f>
        <v>0.146</v>
      </c>
    </row>
    <row r="6359" spans="1:7">
      <c r="A6359" s="3"/>
      <c r="B6359" s="3"/>
      <c r="C6359" s="3"/>
      <c r="D6359" s="3"/>
      <c r="E6359" s="3">
        <v>16</v>
      </c>
      <c r="F6359" s="4" t="str">
        <f>HYPERLINK("http://141.218.60.56/~jnz1568/getInfo.php?workbook=14_09.xlsx&amp;sheet=U0&amp;row=6359&amp;col=6&amp;number=4.5&amp;sourceID=14","4.5")</f>
        <v>4.5</v>
      </c>
      <c r="G6359" s="4" t="str">
        <f>HYPERLINK("http://141.218.60.56/~jnz1568/getInfo.php?workbook=14_09.xlsx&amp;sheet=U0&amp;row=6359&amp;col=7&amp;number=0.146&amp;sourceID=14","0.146")</f>
        <v>0.146</v>
      </c>
    </row>
    <row r="6360" spans="1:7">
      <c r="A6360" s="3"/>
      <c r="B6360" s="3"/>
      <c r="C6360" s="3"/>
      <c r="D6360" s="3"/>
      <c r="E6360" s="3">
        <v>17</v>
      </c>
      <c r="F6360" s="4" t="str">
        <f>HYPERLINK("http://141.218.60.56/~jnz1568/getInfo.php?workbook=14_09.xlsx&amp;sheet=U0&amp;row=6360&amp;col=6&amp;number=4.6&amp;sourceID=14","4.6")</f>
        <v>4.6</v>
      </c>
      <c r="G6360" s="4" t="str">
        <f>HYPERLINK("http://141.218.60.56/~jnz1568/getInfo.php?workbook=14_09.xlsx&amp;sheet=U0&amp;row=6360&amp;col=7&amp;number=0.146&amp;sourceID=14","0.146")</f>
        <v>0.146</v>
      </c>
    </row>
    <row r="6361" spans="1:7">
      <c r="A6361" s="3"/>
      <c r="B6361" s="3"/>
      <c r="C6361" s="3"/>
      <c r="D6361" s="3"/>
      <c r="E6361" s="3">
        <v>18</v>
      </c>
      <c r="F6361" s="4" t="str">
        <f>HYPERLINK("http://141.218.60.56/~jnz1568/getInfo.php?workbook=14_09.xlsx&amp;sheet=U0&amp;row=6361&amp;col=6&amp;number=4.7&amp;sourceID=14","4.7")</f>
        <v>4.7</v>
      </c>
      <c r="G6361" s="4" t="str">
        <f>HYPERLINK("http://141.218.60.56/~jnz1568/getInfo.php?workbook=14_09.xlsx&amp;sheet=U0&amp;row=6361&amp;col=7&amp;number=0.146&amp;sourceID=14","0.146")</f>
        <v>0.146</v>
      </c>
    </row>
    <row r="6362" spans="1:7">
      <c r="A6362" s="3"/>
      <c r="B6362" s="3"/>
      <c r="C6362" s="3"/>
      <c r="D6362" s="3"/>
      <c r="E6362" s="3">
        <v>19</v>
      </c>
      <c r="F6362" s="4" t="str">
        <f>HYPERLINK("http://141.218.60.56/~jnz1568/getInfo.php?workbook=14_09.xlsx&amp;sheet=U0&amp;row=6362&amp;col=6&amp;number=4.8&amp;sourceID=14","4.8")</f>
        <v>4.8</v>
      </c>
      <c r="G6362" s="4" t="str">
        <f>HYPERLINK("http://141.218.60.56/~jnz1568/getInfo.php?workbook=14_09.xlsx&amp;sheet=U0&amp;row=6362&amp;col=7&amp;number=0.147&amp;sourceID=14","0.147")</f>
        <v>0.147</v>
      </c>
    </row>
    <row r="6363" spans="1:7">
      <c r="A6363" s="3"/>
      <c r="B6363" s="3"/>
      <c r="C6363" s="3"/>
      <c r="D6363" s="3"/>
      <c r="E6363" s="3">
        <v>20</v>
      </c>
      <c r="F6363" s="4" t="str">
        <f>HYPERLINK("http://141.218.60.56/~jnz1568/getInfo.php?workbook=14_09.xlsx&amp;sheet=U0&amp;row=6363&amp;col=6&amp;number=4.9&amp;sourceID=14","4.9")</f>
        <v>4.9</v>
      </c>
      <c r="G6363" s="4" t="str">
        <f>HYPERLINK("http://141.218.60.56/~jnz1568/getInfo.php?workbook=14_09.xlsx&amp;sheet=U0&amp;row=6363&amp;col=7&amp;number=0.147&amp;sourceID=14","0.147")</f>
        <v>0.147</v>
      </c>
    </row>
    <row r="6364" spans="1:7">
      <c r="A6364" s="3">
        <v>14</v>
      </c>
      <c r="B6364" s="3">
        <v>9</v>
      </c>
      <c r="C6364" s="3">
        <v>2</v>
      </c>
      <c r="D6364" s="3">
        <v>127</v>
      </c>
      <c r="E6364" s="3">
        <v>1</v>
      </c>
      <c r="F6364" s="4" t="str">
        <f>HYPERLINK("http://141.218.60.56/~jnz1568/getInfo.php?workbook=14_09.xlsx&amp;sheet=U0&amp;row=6364&amp;col=6&amp;number=3&amp;sourceID=14","3")</f>
        <v>3</v>
      </c>
      <c r="G6364" s="4" t="str">
        <f>HYPERLINK("http://141.218.60.56/~jnz1568/getInfo.php?workbook=14_09.xlsx&amp;sheet=U0&amp;row=6364&amp;col=7&amp;number=0.0166&amp;sourceID=14","0.0166")</f>
        <v>0.0166</v>
      </c>
    </row>
    <row r="6365" spans="1:7">
      <c r="A6365" s="3"/>
      <c r="B6365" s="3"/>
      <c r="C6365" s="3"/>
      <c r="D6365" s="3"/>
      <c r="E6365" s="3">
        <v>2</v>
      </c>
      <c r="F6365" s="4" t="str">
        <f>HYPERLINK("http://141.218.60.56/~jnz1568/getInfo.php?workbook=14_09.xlsx&amp;sheet=U0&amp;row=6365&amp;col=6&amp;number=3.1&amp;sourceID=14","3.1")</f>
        <v>3.1</v>
      </c>
      <c r="G6365" s="4" t="str">
        <f>HYPERLINK("http://141.218.60.56/~jnz1568/getInfo.php?workbook=14_09.xlsx&amp;sheet=U0&amp;row=6365&amp;col=7&amp;number=0.0166&amp;sourceID=14","0.0166")</f>
        <v>0.0166</v>
      </c>
    </row>
    <row r="6366" spans="1:7">
      <c r="A6366" s="3"/>
      <c r="B6366" s="3"/>
      <c r="C6366" s="3"/>
      <c r="D6366" s="3"/>
      <c r="E6366" s="3">
        <v>3</v>
      </c>
      <c r="F6366" s="4" t="str">
        <f>HYPERLINK("http://141.218.60.56/~jnz1568/getInfo.php?workbook=14_09.xlsx&amp;sheet=U0&amp;row=6366&amp;col=6&amp;number=3.2&amp;sourceID=14","3.2")</f>
        <v>3.2</v>
      </c>
      <c r="G6366" s="4" t="str">
        <f>HYPERLINK("http://141.218.60.56/~jnz1568/getInfo.php?workbook=14_09.xlsx&amp;sheet=U0&amp;row=6366&amp;col=7&amp;number=0.0166&amp;sourceID=14","0.0166")</f>
        <v>0.0166</v>
      </c>
    </row>
    <row r="6367" spans="1:7">
      <c r="A6367" s="3"/>
      <c r="B6367" s="3"/>
      <c r="C6367" s="3"/>
      <c r="D6367" s="3"/>
      <c r="E6367" s="3">
        <v>4</v>
      </c>
      <c r="F6367" s="4" t="str">
        <f>HYPERLINK("http://141.218.60.56/~jnz1568/getInfo.php?workbook=14_09.xlsx&amp;sheet=U0&amp;row=6367&amp;col=6&amp;number=3.3&amp;sourceID=14","3.3")</f>
        <v>3.3</v>
      </c>
      <c r="G6367" s="4" t="str">
        <f>HYPERLINK("http://141.218.60.56/~jnz1568/getInfo.php?workbook=14_09.xlsx&amp;sheet=U0&amp;row=6367&amp;col=7&amp;number=0.0165&amp;sourceID=14","0.0165")</f>
        <v>0.0165</v>
      </c>
    </row>
    <row r="6368" spans="1:7">
      <c r="A6368" s="3"/>
      <c r="B6368" s="3"/>
      <c r="C6368" s="3"/>
      <c r="D6368" s="3"/>
      <c r="E6368" s="3">
        <v>5</v>
      </c>
      <c r="F6368" s="4" t="str">
        <f>HYPERLINK("http://141.218.60.56/~jnz1568/getInfo.php?workbook=14_09.xlsx&amp;sheet=U0&amp;row=6368&amp;col=6&amp;number=3.4&amp;sourceID=14","3.4")</f>
        <v>3.4</v>
      </c>
      <c r="G6368" s="4" t="str">
        <f>HYPERLINK("http://141.218.60.56/~jnz1568/getInfo.php?workbook=14_09.xlsx&amp;sheet=U0&amp;row=6368&amp;col=7&amp;number=0.0165&amp;sourceID=14","0.0165")</f>
        <v>0.0165</v>
      </c>
    </row>
    <row r="6369" spans="1:7">
      <c r="A6369" s="3"/>
      <c r="B6369" s="3"/>
      <c r="C6369" s="3"/>
      <c r="D6369" s="3"/>
      <c r="E6369" s="3">
        <v>6</v>
      </c>
      <c r="F6369" s="4" t="str">
        <f>HYPERLINK("http://141.218.60.56/~jnz1568/getInfo.php?workbook=14_09.xlsx&amp;sheet=U0&amp;row=6369&amp;col=6&amp;number=3.5&amp;sourceID=14","3.5")</f>
        <v>3.5</v>
      </c>
      <c r="G6369" s="4" t="str">
        <f>HYPERLINK("http://141.218.60.56/~jnz1568/getInfo.php?workbook=14_09.xlsx&amp;sheet=U0&amp;row=6369&amp;col=7&amp;number=0.0165&amp;sourceID=14","0.0165")</f>
        <v>0.0165</v>
      </c>
    </row>
    <row r="6370" spans="1:7">
      <c r="A6370" s="3"/>
      <c r="B6370" s="3"/>
      <c r="C6370" s="3"/>
      <c r="D6370" s="3"/>
      <c r="E6370" s="3">
        <v>7</v>
      </c>
      <c r="F6370" s="4" t="str">
        <f>HYPERLINK("http://141.218.60.56/~jnz1568/getInfo.php?workbook=14_09.xlsx&amp;sheet=U0&amp;row=6370&amp;col=6&amp;number=3.6&amp;sourceID=14","3.6")</f>
        <v>3.6</v>
      </c>
      <c r="G6370" s="4" t="str">
        <f>HYPERLINK("http://141.218.60.56/~jnz1568/getInfo.php?workbook=14_09.xlsx&amp;sheet=U0&amp;row=6370&amp;col=7&amp;number=0.0164&amp;sourceID=14","0.0164")</f>
        <v>0.0164</v>
      </c>
    </row>
    <row r="6371" spans="1:7">
      <c r="A6371" s="3"/>
      <c r="B6371" s="3"/>
      <c r="C6371" s="3"/>
      <c r="D6371" s="3"/>
      <c r="E6371" s="3">
        <v>8</v>
      </c>
      <c r="F6371" s="4" t="str">
        <f>HYPERLINK("http://141.218.60.56/~jnz1568/getInfo.php?workbook=14_09.xlsx&amp;sheet=U0&amp;row=6371&amp;col=6&amp;number=3.7&amp;sourceID=14","3.7")</f>
        <v>3.7</v>
      </c>
      <c r="G6371" s="4" t="str">
        <f>HYPERLINK("http://141.218.60.56/~jnz1568/getInfo.php?workbook=14_09.xlsx&amp;sheet=U0&amp;row=6371&amp;col=7&amp;number=0.0163&amp;sourceID=14","0.0163")</f>
        <v>0.0163</v>
      </c>
    </row>
    <row r="6372" spans="1:7">
      <c r="A6372" s="3"/>
      <c r="B6372" s="3"/>
      <c r="C6372" s="3"/>
      <c r="D6372" s="3"/>
      <c r="E6372" s="3">
        <v>9</v>
      </c>
      <c r="F6372" s="4" t="str">
        <f>HYPERLINK("http://141.218.60.56/~jnz1568/getInfo.php?workbook=14_09.xlsx&amp;sheet=U0&amp;row=6372&amp;col=6&amp;number=3.8&amp;sourceID=14","3.8")</f>
        <v>3.8</v>
      </c>
      <c r="G6372" s="4" t="str">
        <f>HYPERLINK("http://141.218.60.56/~jnz1568/getInfo.php?workbook=14_09.xlsx&amp;sheet=U0&amp;row=6372&amp;col=7&amp;number=0.0162&amp;sourceID=14","0.0162")</f>
        <v>0.0162</v>
      </c>
    </row>
    <row r="6373" spans="1:7">
      <c r="A6373" s="3"/>
      <c r="B6373" s="3"/>
      <c r="C6373" s="3"/>
      <c r="D6373" s="3"/>
      <c r="E6373" s="3">
        <v>10</v>
      </c>
      <c r="F6373" s="4" t="str">
        <f>HYPERLINK("http://141.218.60.56/~jnz1568/getInfo.php?workbook=14_09.xlsx&amp;sheet=U0&amp;row=6373&amp;col=6&amp;number=3.9&amp;sourceID=14","3.9")</f>
        <v>3.9</v>
      </c>
      <c r="G6373" s="4" t="str">
        <f>HYPERLINK("http://141.218.60.56/~jnz1568/getInfo.php?workbook=14_09.xlsx&amp;sheet=U0&amp;row=6373&amp;col=7&amp;number=0.0161&amp;sourceID=14","0.0161")</f>
        <v>0.0161</v>
      </c>
    </row>
    <row r="6374" spans="1:7">
      <c r="A6374" s="3"/>
      <c r="B6374" s="3"/>
      <c r="C6374" s="3"/>
      <c r="D6374" s="3"/>
      <c r="E6374" s="3">
        <v>11</v>
      </c>
      <c r="F6374" s="4" t="str">
        <f>HYPERLINK("http://141.218.60.56/~jnz1568/getInfo.php?workbook=14_09.xlsx&amp;sheet=U0&amp;row=6374&amp;col=6&amp;number=4&amp;sourceID=14","4")</f>
        <v>4</v>
      </c>
      <c r="G6374" s="4" t="str">
        <f>HYPERLINK("http://141.218.60.56/~jnz1568/getInfo.php?workbook=14_09.xlsx&amp;sheet=U0&amp;row=6374&amp;col=7&amp;number=0.0159&amp;sourceID=14","0.0159")</f>
        <v>0.0159</v>
      </c>
    </row>
    <row r="6375" spans="1:7">
      <c r="A6375" s="3"/>
      <c r="B6375" s="3"/>
      <c r="C6375" s="3"/>
      <c r="D6375" s="3"/>
      <c r="E6375" s="3">
        <v>12</v>
      </c>
      <c r="F6375" s="4" t="str">
        <f>HYPERLINK("http://141.218.60.56/~jnz1568/getInfo.php?workbook=14_09.xlsx&amp;sheet=U0&amp;row=6375&amp;col=6&amp;number=4.1&amp;sourceID=14","4.1")</f>
        <v>4.1</v>
      </c>
      <c r="G6375" s="4" t="str">
        <f>HYPERLINK("http://141.218.60.56/~jnz1568/getInfo.php?workbook=14_09.xlsx&amp;sheet=U0&amp;row=6375&amp;col=7&amp;number=0.0157&amp;sourceID=14","0.0157")</f>
        <v>0.0157</v>
      </c>
    </row>
    <row r="6376" spans="1:7">
      <c r="A6376" s="3"/>
      <c r="B6376" s="3"/>
      <c r="C6376" s="3"/>
      <c r="D6376" s="3"/>
      <c r="E6376" s="3">
        <v>13</v>
      </c>
      <c r="F6376" s="4" t="str">
        <f>HYPERLINK("http://141.218.60.56/~jnz1568/getInfo.php?workbook=14_09.xlsx&amp;sheet=U0&amp;row=6376&amp;col=6&amp;number=4.2&amp;sourceID=14","4.2")</f>
        <v>4.2</v>
      </c>
      <c r="G6376" s="4" t="str">
        <f>HYPERLINK("http://141.218.60.56/~jnz1568/getInfo.php?workbook=14_09.xlsx&amp;sheet=U0&amp;row=6376&amp;col=7&amp;number=0.0155&amp;sourceID=14","0.0155")</f>
        <v>0.0155</v>
      </c>
    </row>
    <row r="6377" spans="1:7">
      <c r="A6377" s="3"/>
      <c r="B6377" s="3"/>
      <c r="C6377" s="3"/>
      <c r="D6377" s="3"/>
      <c r="E6377" s="3">
        <v>14</v>
      </c>
      <c r="F6377" s="4" t="str">
        <f>HYPERLINK("http://141.218.60.56/~jnz1568/getInfo.php?workbook=14_09.xlsx&amp;sheet=U0&amp;row=6377&amp;col=6&amp;number=4.3&amp;sourceID=14","4.3")</f>
        <v>4.3</v>
      </c>
      <c r="G6377" s="4" t="str">
        <f>HYPERLINK("http://141.218.60.56/~jnz1568/getInfo.php?workbook=14_09.xlsx&amp;sheet=U0&amp;row=6377&amp;col=7&amp;number=0.0152&amp;sourceID=14","0.0152")</f>
        <v>0.0152</v>
      </c>
    </row>
    <row r="6378" spans="1:7">
      <c r="A6378" s="3"/>
      <c r="B6378" s="3"/>
      <c r="C6378" s="3"/>
      <c r="D6378" s="3"/>
      <c r="E6378" s="3">
        <v>15</v>
      </c>
      <c r="F6378" s="4" t="str">
        <f>HYPERLINK("http://141.218.60.56/~jnz1568/getInfo.php?workbook=14_09.xlsx&amp;sheet=U0&amp;row=6378&amp;col=6&amp;number=4.4&amp;sourceID=14","4.4")</f>
        <v>4.4</v>
      </c>
      <c r="G6378" s="4" t="str">
        <f>HYPERLINK("http://141.218.60.56/~jnz1568/getInfo.php?workbook=14_09.xlsx&amp;sheet=U0&amp;row=6378&amp;col=7&amp;number=0.0148&amp;sourceID=14","0.0148")</f>
        <v>0.0148</v>
      </c>
    </row>
    <row r="6379" spans="1:7">
      <c r="A6379" s="3"/>
      <c r="B6379" s="3"/>
      <c r="C6379" s="3"/>
      <c r="D6379" s="3"/>
      <c r="E6379" s="3">
        <v>16</v>
      </c>
      <c r="F6379" s="4" t="str">
        <f>HYPERLINK("http://141.218.60.56/~jnz1568/getInfo.php?workbook=14_09.xlsx&amp;sheet=U0&amp;row=6379&amp;col=6&amp;number=4.5&amp;sourceID=14","4.5")</f>
        <v>4.5</v>
      </c>
      <c r="G6379" s="4" t="str">
        <f>HYPERLINK("http://141.218.60.56/~jnz1568/getInfo.php?workbook=14_09.xlsx&amp;sheet=U0&amp;row=6379&amp;col=7&amp;number=0.0144&amp;sourceID=14","0.0144")</f>
        <v>0.0144</v>
      </c>
    </row>
    <row r="6380" spans="1:7">
      <c r="A6380" s="3"/>
      <c r="B6380" s="3"/>
      <c r="C6380" s="3"/>
      <c r="D6380" s="3"/>
      <c r="E6380" s="3">
        <v>17</v>
      </c>
      <c r="F6380" s="4" t="str">
        <f>HYPERLINK("http://141.218.60.56/~jnz1568/getInfo.php?workbook=14_09.xlsx&amp;sheet=U0&amp;row=6380&amp;col=6&amp;number=4.6&amp;sourceID=14","4.6")</f>
        <v>4.6</v>
      </c>
      <c r="G6380" s="4" t="str">
        <f>HYPERLINK("http://141.218.60.56/~jnz1568/getInfo.php?workbook=14_09.xlsx&amp;sheet=U0&amp;row=6380&amp;col=7&amp;number=0.0139&amp;sourceID=14","0.0139")</f>
        <v>0.0139</v>
      </c>
    </row>
    <row r="6381" spans="1:7">
      <c r="A6381" s="3"/>
      <c r="B6381" s="3"/>
      <c r="C6381" s="3"/>
      <c r="D6381" s="3"/>
      <c r="E6381" s="3">
        <v>18</v>
      </c>
      <c r="F6381" s="4" t="str">
        <f>HYPERLINK("http://141.218.60.56/~jnz1568/getInfo.php?workbook=14_09.xlsx&amp;sheet=U0&amp;row=6381&amp;col=6&amp;number=4.7&amp;sourceID=14","4.7")</f>
        <v>4.7</v>
      </c>
      <c r="G6381" s="4" t="str">
        <f>HYPERLINK("http://141.218.60.56/~jnz1568/getInfo.php?workbook=14_09.xlsx&amp;sheet=U0&amp;row=6381&amp;col=7&amp;number=0.0133&amp;sourceID=14","0.0133")</f>
        <v>0.0133</v>
      </c>
    </row>
    <row r="6382" spans="1:7">
      <c r="A6382" s="3"/>
      <c r="B6382" s="3"/>
      <c r="C6382" s="3"/>
      <c r="D6382" s="3"/>
      <c r="E6382" s="3">
        <v>19</v>
      </c>
      <c r="F6382" s="4" t="str">
        <f>HYPERLINK("http://141.218.60.56/~jnz1568/getInfo.php?workbook=14_09.xlsx&amp;sheet=U0&amp;row=6382&amp;col=6&amp;number=4.8&amp;sourceID=14","4.8")</f>
        <v>4.8</v>
      </c>
      <c r="G6382" s="4" t="str">
        <f>HYPERLINK("http://141.218.60.56/~jnz1568/getInfo.php?workbook=14_09.xlsx&amp;sheet=U0&amp;row=6382&amp;col=7&amp;number=0.0125&amp;sourceID=14","0.0125")</f>
        <v>0.0125</v>
      </c>
    </row>
    <row r="6383" spans="1:7">
      <c r="A6383" s="3"/>
      <c r="B6383" s="3"/>
      <c r="C6383" s="3"/>
      <c r="D6383" s="3"/>
      <c r="E6383" s="3">
        <v>20</v>
      </c>
      <c r="F6383" s="4" t="str">
        <f>HYPERLINK("http://141.218.60.56/~jnz1568/getInfo.php?workbook=14_09.xlsx&amp;sheet=U0&amp;row=6383&amp;col=6&amp;number=4.9&amp;sourceID=14","4.9")</f>
        <v>4.9</v>
      </c>
      <c r="G6383" s="4" t="str">
        <f>HYPERLINK("http://141.218.60.56/~jnz1568/getInfo.php?workbook=14_09.xlsx&amp;sheet=U0&amp;row=6383&amp;col=7&amp;number=0.0118&amp;sourceID=14","0.0118")</f>
        <v>0.0118</v>
      </c>
    </row>
    <row r="6384" spans="1:7">
      <c r="A6384" s="3">
        <v>14</v>
      </c>
      <c r="B6384" s="3">
        <v>9</v>
      </c>
      <c r="C6384" s="3">
        <v>2</v>
      </c>
      <c r="D6384" s="3">
        <v>128</v>
      </c>
      <c r="E6384" s="3">
        <v>1</v>
      </c>
      <c r="F6384" s="4" t="str">
        <f>HYPERLINK("http://141.218.60.56/~jnz1568/getInfo.php?workbook=14_09.xlsx&amp;sheet=U0&amp;row=6384&amp;col=6&amp;number=3&amp;sourceID=14","3")</f>
        <v>3</v>
      </c>
      <c r="G6384" s="4" t="str">
        <f>HYPERLINK("http://141.218.60.56/~jnz1568/getInfo.php?workbook=14_09.xlsx&amp;sheet=U0&amp;row=6384&amp;col=7&amp;number=0.00489&amp;sourceID=14","0.00489")</f>
        <v>0.00489</v>
      </c>
    </row>
    <row r="6385" spans="1:7">
      <c r="A6385" s="3"/>
      <c r="B6385" s="3"/>
      <c r="C6385" s="3"/>
      <c r="D6385" s="3"/>
      <c r="E6385" s="3">
        <v>2</v>
      </c>
      <c r="F6385" s="4" t="str">
        <f>HYPERLINK("http://141.218.60.56/~jnz1568/getInfo.php?workbook=14_09.xlsx&amp;sheet=U0&amp;row=6385&amp;col=6&amp;number=3.1&amp;sourceID=14","3.1")</f>
        <v>3.1</v>
      </c>
      <c r="G6385" s="4" t="str">
        <f>HYPERLINK("http://141.218.60.56/~jnz1568/getInfo.php?workbook=14_09.xlsx&amp;sheet=U0&amp;row=6385&amp;col=7&amp;number=0.00488&amp;sourceID=14","0.00488")</f>
        <v>0.00488</v>
      </c>
    </row>
    <row r="6386" spans="1:7">
      <c r="A6386" s="3"/>
      <c r="B6386" s="3"/>
      <c r="C6386" s="3"/>
      <c r="D6386" s="3"/>
      <c r="E6386" s="3">
        <v>3</v>
      </c>
      <c r="F6386" s="4" t="str">
        <f>HYPERLINK("http://141.218.60.56/~jnz1568/getInfo.php?workbook=14_09.xlsx&amp;sheet=U0&amp;row=6386&amp;col=6&amp;number=3.2&amp;sourceID=14","3.2")</f>
        <v>3.2</v>
      </c>
      <c r="G6386" s="4" t="str">
        <f>HYPERLINK("http://141.218.60.56/~jnz1568/getInfo.php?workbook=14_09.xlsx&amp;sheet=U0&amp;row=6386&amp;col=7&amp;number=0.00487&amp;sourceID=14","0.00487")</f>
        <v>0.00487</v>
      </c>
    </row>
    <row r="6387" spans="1:7">
      <c r="A6387" s="3"/>
      <c r="B6387" s="3"/>
      <c r="C6387" s="3"/>
      <c r="D6387" s="3"/>
      <c r="E6387" s="3">
        <v>4</v>
      </c>
      <c r="F6387" s="4" t="str">
        <f>HYPERLINK("http://141.218.60.56/~jnz1568/getInfo.php?workbook=14_09.xlsx&amp;sheet=U0&amp;row=6387&amp;col=6&amp;number=3.3&amp;sourceID=14","3.3")</f>
        <v>3.3</v>
      </c>
      <c r="G6387" s="4" t="str">
        <f>HYPERLINK("http://141.218.60.56/~jnz1568/getInfo.php?workbook=14_09.xlsx&amp;sheet=U0&amp;row=6387&amp;col=7&amp;number=0.00487&amp;sourceID=14","0.00487")</f>
        <v>0.00487</v>
      </c>
    </row>
    <row r="6388" spans="1:7">
      <c r="A6388" s="3"/>
      <c r="B6388" s="3"/>
      <c r="C6388" s="3"/>
      <c r="D6388" s="3"/>
      <c r="E6388" s="3">
        <v>5</v>
      </c>
      <c r="F6388" s="4" t="str">
        <f>HYPERLINK("http://141.218.60.56/~jnz1568/getInfo.php?workbook=14_09.xlsx&amp;sheet=U0&amp;row=6388&amp;col=6&amp;number=3.4&amp;sourceID=14","3.4")</f>
        <v>3.4</v>
      </c>
      <c r="G6388" s="4" t="str">
        <f>HYPERLINK("http://141.218.60.56/~jnz1568/getInfo.php?workbook=14_09.xlsx&amp;sheet=U0&amp;row=6388&amp;col=7&amp;number=0.00486&amp;sourceID=14","0.00486")</f>
        <v>0.00486</v>
      </c>
    </row>
    <row r="6389" spans="1:7">
      <c r="A6389" s="3"/>
      <c r="B6389" s="3"/>
      <c r="C6389" s="3"/>
      <c r="D6389" s="3"/>
      <c r="E6389" s="3">
        <v>6</v>
      </c>
      <c r="F6389" s="4" t="str">
        <f>HYPERLINK("http://141.218.60.56/~jnz1568/getInfo.php?workbook=14_09.xlsx&amp;sheet=U0&amp;row=6389&amp;col=6&amp;number=3.5&amp;sourceID=14","3.5")</f>
        <v>3.5</v>
      </c>
      <c r="G6389" s="4" t="str">
        <f>HYPERLINK("http://141.218.60.56/~jnz1568/getInfo.php?workbook=14_09.xlsx&amp;sheet=U0&amp;row=6389&amp;col=7&amp;number=0.00485&amp;sourceID=14","0.00485")</f>
        <v>0.00485</v>
      </c>
    </row>
    <row r="6390" spans="1:7">
      <c r="A6390" s="3"/>
      <c r="B6390" s="3"/>
      <c r="C6390" s="3"/>
      <c r="D6390" s="3"/>
      <c r="E6390" s="3">
        <v>7</v>
      </c>
      <c r="F6390" s="4" t="str">
        <f>HYPERLINK("http://141.218.60.56/~jnz1568/getInfo.php?workbook=14_09.xlsx&amp;sheet=U0&amp;row=6390&amp;col=6&amp;number=3.6&amp;sourceID=14","3.6")</f>
        <v>3.6</v>
      </c>
      <c r="G6390" s="4" t="str">
        <f>HYPERLINK("http://141.218.60.56/~jnz1568/getInfo.php?workbook=14_09.xlsx&amp;sheet=U0&amp;row=6390&amp;col=7&amp;number=0.00483&amp;sourceID=14","0.00483")</f>
        <v>0.00483</v>
      </c>
    </row>
    <row r="6391" spans="1:7">
      <c r="A6391" s="3"/>
      <c r="B6391" s="3"/>
      <c r="C6391" s="3"/>
      <c r="D6391" s="3"/>
      <c r="E6391" s="3">
        <v>8</v>
      </c>
      <c r="F6391" s="4" t="str">
        <f>HYPERLINK("http://141.218.60.56/~jnz1568/getInfo.php?workbook=14_09.xlsx&amp;sheet=U0&amp;row=6391&amp;col=6&amp;number=3.7&amp;sourceID=14","3.7")</f>
        <v>3.7</v>
      </c>
      <c r="G6391" s="4" t="str">
        <f>HYPERLINK("http://141.218.60.56/~jnz1568/getInfo.php?workbook=14_09.xlsx&amp;sheet=U0&amp;row=6391&amp;col=7&amp;number=0.00481&amp;sourceID=14","0.00481")</f>
        <v>0.00481</v>
      </c>
    </row>
    <row r="6392" spans="1:7">
      <c r="A6392" s="3"/>
      <c r="B6392" s="3"/>
      <c r="C6392" s="3"/>
      <c r="D6392" s="3"/>
      <c r="E6392" s="3">
        <v>9</v>
      </c>
      <c r="F6392" s="4" t="str">
        <f>HYPERLINK("http://141.218.60.56/~jnz1568/getInfo.php?workbook=14_09.xlsx&amp;sheet=U0&amp;row=6392&amp;col=6&amp;number=3.8&amp;sourceID=14","3.8")</f>
        <v>3.8</v>
      </c>
      <c r="G6392" s="4" t="str">
        <f>HYPERLINK("http://141.218.60.56/~jnz1568/getInfo.php?workbook=14_09.xlsx&amp;sheet=U0&amp;row=6392&amp;col=7&amp;number=0.00479&amp;sourceID=14","0.00479")</f>
        <v>0.00479</v>
      </c>
    </row>
    <row r="6393" spans="1:7">
      <c r="A6393" s="3"/>
      <c r="B6393" s="3"/>
      <c r="C6393" s="3"/>
      <c r="D6393" s="3"/>
      <c r="E6393" s="3">
        <v>10</v>
      </c>
      <c r="F6393" s="4" t="str">
        <f>HYPERLINK("http://141.218.60.56/~jnz1568/getInfo.php?workbook=14_09.xlsx&amp;sheet=U0&amp;row=6393&amp;col=6&amp;number=3.9&amp;sourceID=14","3.9")</f>
        <v>3.9</v>
      </c>
      <c r="G6393" s="4" t="str">
        <f>HYPERLINK("http://141.218.60.56/~jnz1568/getInfo.php?workbook=14_09.xlsx&amp;sheet=U0&amp;row=6393&amp;col=7&amp;number=0.00476&amp;sourceID=14","0.00476")</f>
        <v>0.00476</v>
      </c>
    </row>
    <row r="6394" spans="1:7">
      <c r="A6394" s="3"/>
      <c r="B6394" s="3"/>
      <c r="C6394" s="3"/>
      <c r="D6394" s="3"/>
      <c r="E6394" s="3">
        <v>11</v>
      </c>
      <c r="F6394" s="4" t="str">
        <f>HYPERLINK("http://141.218.60.56/~jnz1568/getInfo.php?workbook=14_09.xlsx&amp;sheet=U0&amp;row=6394&amp;col=6&amp;number=4&amp;sourceID=14","4")</f>
        <v>4</v>
      </c>
      <c r="G6394" s="4" t="str">
        <f>HYPERLINK("http://141.218.60.56/~jnz1568/getInfo.php?workbook=14_09.xlsx&amp;sheet=U0&amp;row=6394&amp;col=7&amp;number=0.00472&amp;sourceID=14","0.00472")</f>
        <v>0.00472</v>
      </c>
    </row>
    <row r="6395" spans="1:7">
      <c r="A6395" s="3"/>
      <c r="B6395" s="3"/>
      <c r="C6395" s="3"/>
      <c r="D6395" s="3"/>
      <c r="E6395" s="3">
        <v>12</v>
      </c>
      <c r="F6395" s="4" t="str">
        <f>HYPERLINK("http://141.218.60.56/~jnz1568/getInfo.php?workbook=14_09.xlsx&amp;sheet=U0&amp;row=6395&amp;col=6&amp;number=4.1&amp;sourceID=14","4.1")</f>
        <v>4.1</v>
      </c>
      <c r="G6395" s="4" t="str">
        <f>HYPERLINK("http://141.218.60.56/~jnz1568/getInfo.php?workbook=14_09.xlsx&amp;sheet=U0&amp;row=6395&amp;col=7&amp;number=0.00468&amp;sourceID=14","0.00468")</f>
        <v>0.00468</v>
      </c>
    </row>
    <row r="6396" spans="1:7">
      <c r="A6396" s="3"/>
      <c r="B6396" s="3"/>
      <c r="C6396" s="3"/>
      <c r="D6396" s="3"/>
      <c r="E6396" s="3">
        <v>13</v>
      </c>
      <c r="F6396" s="4" t="str">
        <f>HYPERLINK("http://141.218.60.56/~jnz1568/getInfo.php?workbook=14_09.xlsx&amp;sheet=U0&amp;row=6396&amp;col=6&amp;number=4.2&amp;sourceID=14","4.2")</f>
        <v>4.2</v>
      </c>
      <c r="G6396" s="4" t="str">
        <f>HYPERLINK("http://141.218.60.56/~jnz1568/getInfo.php?workbook=14_09.xlsx&amp;sheet=U0&amp;row=6396&amp;col=7&amp;number=0.00462&amp;sourceID=14","0.00462")</f>
        <v>0.00462</v>
      </c>
    </row>
    <row r="6397" spans="1:7">
      <c r="A6397" s="3"/>
      <c r="B6397" s="3"/>
      <c r="C6397" s="3"/>
      <c r="D6397" s="3"/>
      <c r="E6397" s="3">
        <v>14</v>
      </c>
      <c r="F6397" s="4" t="str">
        <f>HYPERLINK("http://141.218.60.56/~jnz1568/getInfo.php?workbook=14_09.xlsx&amp;sheet=U0&amp;row=6397&amp;col=6&amp;number=4.3&amp;sourceID=14","4.3")</f>
        <v>4.3</v>
      </c>
      <c r="G6397" s="4" t="str">
        <f>HYPERLINK("http://141.218.60.56/~jnz1568/getInfo.php?workbook=14_09.xlsx&amp;sheet=U0&amp;row=6397&amp;col=7&amp;number=0.00456&amp;sourceID=14","0.00456")</f>
        <v>0.00456</v>
      </c>
    </row>
    <row r="6398" spans="1:7">
      <c r="A6398" s="3"/>
      <c r="B6398" s="3"/>
      <c r="C6398" s="3"/>
      <c r="D6398" s="3"/>
      <c r="E6398" s="3">
        <v>15</v>
      </c>
      <c r="F6398" s="4" t="str">
        <f>HYPERLINK("http://141.218.60.56/~jnz1568/getInfo.php?workbook=14_09.xlsx&amp;sheet=U0&amp;row=6398&amp;col=6&amp;number=4.4&amp;sourceID=14","4.4")</f>
        <v>4.4</v>
      </c>
      <c r="G6398" s="4" t="str">
        <f>HYPERLINK("http://141.218.60.56/~jnz1568/getInfo.php?workbook=14_09.xlsx&amp;sheet=U0&amp;row=6398&amp;col=7&amp;number=0.00447&amp;sourceID=14","0.00447")</f>
        <v>0.00447</v>
      </c>
    </row>
    <row r="6399" spans="1:7">
      <c r="A6399" s="3"/>
      <c r="B6399" s="3"/>
      <c r="C6399" s="3"/>
      <c r="D6399" s="3"/>
      <c r="E6399" s="3">
        <v>16</v>
      </c>
      <c r="F6399" s="4" t="str">
        <f>HYPERLINK("http://141.218.60.56/~jnz1568/getInfo.php?workbook=14_09.xlsx&amp;sheet=U0&amp;row=6399&amp;col=6&amp;number=4.5&amp;sourceID=14","4.5")</f>
        <v>4.5</v>
      </c>
      <c r="G6399" s="4" t="str">
        <f>HYPERLINK("http://141.218.60.56/~jnz1568/getInfo.php?workbook=14_09.xlsx&amp;sheet=U0&amp;row=6399&amp;col=7&amp;number=0.00437&amp;sourceID=14","0.00437")</f>
        <v>0.00437</v>
      </c>
    </row>
    <row r="6400" spans="1:7">
      <c r="A6400" s="3"/>
      <c r="B6400" s="3"/>
      <c r="C6400" s="3"/>
      <c r="D6400" s="3"/>
      <c r="E6400" s="3">
        <v>17</v>
      </c>
      <c r="F6400" s="4" t="str">
        <f>HYPERLINK("http://141.218.60.56/~jnz1568/getInfo.php?workbook=14_09.xlsx&amp;sheet=U0&amp;row=6400&amp;col=6&amp;number=4.6&amp;sourceID=14","4.6")</f>
        <v>4.6</v>
      </c>
      <c r="G6400" s="4" t="str">
        <f>HYPERLINK("http://141.218.60.56/~jnz1568/getInfo.php?workbook=14_09.xlsx&amp;sheet=U0&amp;row=6400&amp;col=7&amp;number=0.00425&amp;sourceID=14","0.00425")</f>
        <v>0.00425</v>
      </c>
    </row>
    <row r="6401" spans="1:7">
      <c r="A6401" s="3"/>
      <c r="B6401" s="3"/>
      <c r="C6401" s="3"/>
      <c r="D6401" s="3"/>
      <c r="E6401" s="3">
        <v>18</v>
      </c>
      <c r="F6401" s="4" t="str">
        <f>HYPERLINK("http://141.218.60.56/~jnz1568/getInfo.php?workbook=14_09.xlsx&amp;sheet=U0&amp;row=6401&amp;col=6&amp;number=4.7&amp;sourceID=14","4.7")</f>
        <v>4.7</v>
      </c>
      <c r="G6401" s="4" t="str">
        <f>HYPERLINK("http://141.218.60.56/~jnz1568/getInfo.php?workbook=14_09.xlsx&amp;sheet=U0&amp;row=6401&amp;col=7&amp;number=0.00412&amp;sourceID=14","0.00412")</f>
        <v>0.00412</v>
      </c>
    </row>
    <row r="6402" spans="1:7">
      <c r="A6402" s="3"/>
      <c r="B6402" s="3"/>
      <c r="C6402" s="3"/>
      <c r="D6402" s="3"/>
      <c r="E6402" s="3">
        <v>19</v>
      </c>
      <c r="F6402" s="4" t="str">
        <f>HYPERLINK("http://141.218.60.56/~jnz1568/getInfo.php?workbook=14_09.xlsx&amp;sheet=U0&amp;row=6402&amp;col=6&amp;number=4.8&amp;sourceID=14","4.8")</f>
        <v>4.8</v>
      </c>
      <c r="G6402" s="4" t="str">
        <f>HYPERLINK("http://141.218.60.56/~jnz1568/getInfo.php?workbook=14_09.xlsx&amp;sheet=U0&amp;row=6402&amp;col=7&amp;number=0.00396&amp;sourceID=14","0.00396")</f>
        <v>0.00396</v>
      </c>
    </row>
    <row r="6403" spans="1:7">
      <c r="A6403" s="3"/>
      <c r="B6403" s="3"/>
      <c r="C6403" s="3"/>
      <c r="D6403" s="3"/>
      <c r="E6403" s="3">
        <v>20</v>
      </c>
      <c r="F6403" s="4" t="str">
        <f>HYPERLINK("http://141.218.60.56/~jnz1568/getInfo.php?workbook=14_09.xlsx&amp;sheet=U0&amp;row=6403&amp;col=6&amp;number=4.9&amp;sourceID=14","4.9")</f>
        <v>4.9</v>
      </c>
      <c r="G6403" s="4" t="str">
        <f>HYPERLINK("http://141.218.60.56/~jnz1568/getInfo.php?workbook=14_09.xlsx&amp;sheet=U0&amp;row=6403&amp;col=7&amp;number=0.00379&amp;sourceID=14","0.00379")</f>
        <v>0.00379</v>
      </c>
    </row>
    <row r="6404" spans="1:7">
      <c r="A6404" s="3">
        <v>14</v>
      </c>
      <c r="B6404" s="3">
        <v>9</v>
      </c>
      <c r="C6404" s="3">
        <v>2</v>
      </c>
      <c r="D6404" s="3">
        <v>129</v>
      </c>
      <c r="E6404" s="3">
        <v>1</v>
      </c>
      <c r="F6404" s="4" t="str">
        <f>HYPERLINK("http://141.218.60.56/~jnz1568/getInfo.php?workbook=14_09.xlsx&amp;sheet=U0&amp;row=6404&amp;col=6&amp;number=3&amp;sourceID=14","3")</f>
        <v>3</v>
      </c>
      <c r="G6404" s="4" t="str">
        <f>HYPERLINK("http://141.218.60.56/~jnz1568/getInfo.php?workbook=14_09.xlsx&amp;sheet=U0&amp;row=6404&amp;col=7&amp;number=0.00845&amp;sourceID=14","0.00845")</f>
        <v>0.00845</v>
      </c>
    </row>
    <row r="6405" spans="1:7">
      <c r="A6405" s="3"/>
      <c r="B6405" s="3"/>
      <c r="C6405" s="3"/>
      <c r="D6405" s="3"/>
      <c r="E6405" s="3">
        <v>2</v>
      </c>
      <c r="F6405" s="4" t="str">
        <f>HYPERLINK("http://141.218.60.56/~jnz1568/getInfo.php?workbook=14_09.xlsx&amp;sheet=U0&amp;row=6405&amp;col=6&amp;number=3.1&amp;sourceID=14","3.1")</f>
        <v>3.1</v>
      </c>
      <c r="G6405" s="4" t="str">
        <f>HYPERLINK("http://141.218.60.56/~jnz1568/getInfo.php?workbook=14_09.xlsx&amp;sheet=U0&amp;row=6405&amp;col=7&amp;number=0.00844&amp;sourceID=14","0.00844")</f>
        <v>0.00844</v>
      </c>
    </row>
    <row r="6406" spans="1:7">
      <c r="A6406" s="3"/>
      <c r="B6406" s="3"/>
      <c r="C6406" s="3"/>
      <c r="D6406" s="3"/>
      <c r="E6406" s="3">
        <v>3</v>
      </c>
      <c r="F6406" s="4" t="str">
        <f>HYPERLINK("http://141.218.60.56/~jnz1568/getInfo.php?workbook=14_09.xlsx&amp;sheet=U0&amp;row=6406&amp;col=6&amp;number=3.2&amp;sourceID=14","3.2")</f>
        <v>3.2</v>
      </c>
      <c r="G6406" s="4" t="str">
        <f>HYPERLINK("http://141.218.60.56/~jnz1568/getInfo.php?workbook=14_09.xlsx&amp;sheet=U0&amp;row=6406&amp;col=7&amp;number=0.00843&amp;sourceID=14","0.00843")</f>
        <v>0.00843</v>
      </c>
    </row>
    <row r="6407" spans="1:7">
      <c r="A6407" s="3"/>
      <c r="B6407" s="3"/>
      <c r="C6407" s="3"/>
      <c r="D6407" s="3"/>
      <c r="E6407" s="3">
        <v>4</v>
      </c>
      <c r="F6407" s="4" t="str">
        <f>HYPERLINK("http://141.218.60.56/~jnz1568/getInfo.php?workbook=14_09.xlsx&amp;sheet=U0&amp;row=6407&amp;col=6&amp;number=3.3&amp;sourceID=14","3.3")</f>
        <v>3.3</v>
      </c>
      <c r="G6407" s="4" t="str">
        <f>HYPERLINK("http://141.218.60.56/~jnz1568/getInfo.php?workbook=14_09.xlsx&amp;sheet=U0&amp;row=6407&amp;col=7&amp;number=0.00843&amp;sourceID=14","0.00843")</f>
        <v>0.00843</v>
      </c>
    </row>
    <row r="6408" spans="1:7">
      <c r="A6408" s="3"/>
      <c r="B6408" s="3"/>
      <c r="C6408" s="3"/>
      <c r="D6408" s="3"/>
      <c r="E6408" s="3">
        <v>5</v>
      </c>
      <c r="F6408" s="4" t="str">
        <f>HYPERLINK("http://141.218.60.56/~jnz1568/getInfo.php?workbook=14_09.xlsx&amp;sheet=U0&amp;row=6408&amp;col=6&amp;number=3.4&amp;sourceID=14","3.4")</f>
        <v>3.4</v>
      </c>
      <c r="G6408" s="4" t="str">
        <f>HYPERLINK("http://141.218.60.56/~jnz1568/getInfo.php?workbook=14_09.xlsx&amp;sheet=U0&amp;row=6408&amp;col=7&amp;number=0.00842&amp;sourceID=14","0.00842")</f>
        <v>0.00842</v>
      </c>
    </row>
    <row r="6409" spans="1:7">
      <c r="A6409" s="3"/>
      <c r="B6409" s="3"/>
      <c r="C6409" s="3"/>
      <c r="D6409" s="3"/>
      <c r="E6409" s="3">
        <v>6</v>
      </c>
      <c r="F6409" s="4" t="str">
        <f>HYPERLINK("http://141.218.60.56/~jnz1568/getInfo.php?workbook=14_09.xlsx&amp;sheet=U0&amp;row=6409&amp;col=6&amp;number=3.5&amp;sourceID=14","3.5")</f>
        <v>3.5</v>
      </c>
      <c r="G6409" s="4" t="str">
        <f>HYPERLINK("http://141.218.60.56/~jnz1568/getInfo.php?workbook=14_09.xlsx&amp;sheet=U0&amp;row=6409&amp;col=7&amp;number=0.0084&amp;sourceID=14","0.0084")</f>
        <v>0.0084</v>
      </c>
    </row>
    <row r="6410" spans="1:7">
      <c r="A6410" s="3"/>
      <c r="B6410" s="3"/>
      <c r="C6410" s="3"/>
      <c r="D6410" s="3"/>
      <c r="E6410" s="3">
        <v>7</v>
      </c>
      <c r="F6410" s="4" t="str">
        <f>HYPERLINK("http://141.218.60.56/~jnz1568/getInfo.php?workbook=14_09.xlsx&amp;sheet=U0&amp;row=6410&amp;col=6&amp;number=3.6&amp;sourceID=14","3.6")</f>
        <v>3.6</v>
      </c>
      <c r="G6410" s="4" t="str">
        <f>HYPERLINK("http://141.218.60.56/~jnz1568/getInfo.php?workbook=14_09.xlsx&amp;sheet=U0&amp;row=6410&amp;col=7&amp;number=0.00839&amp;sourceID=14","0.00839")</f>
        <v>0.00839</v>
      </c>
    </row>
    <row r="6411" spans="1:7">
      <c r="A6411" s="3"/>
      <c r="B6411" s="3"/>
      <c r="C6411" s="3"/>
      <c r="D6411" s="3"/>
      <c r="E6411" s="3">
        <v>8</v>
      </c>
      <c r="F6411" s="4" t="str">
        <f>HYPERLINK("http://141.218.60.56/~jnz1568/getInfo.php?workbook=14_09.xlsx&amp;sheet=U0&amp;row=6411&amp;col=6&amp;number=3.7&amp;sourceID=14","3.7")</f>
        <v>3.7</v>
      </c>
      <c r="G6411" s="4" t="str">
        <f>HYPERLINK("http://141.218.60.56/~jnz1568/getInfo.php?workbook=14_09.xlsx&amp;sheet=U0&amp;row=6411&amp;col=7&amp;number=0.00837&amp;sourceID=14","0.00837")</f>
        <v>0.00837</v>
      </c>
    </row>
    <row r="6412" spans="1:7">
      <c r="A6412" s="3"/>
      <c r="B6412" s="3"/>
      <c r="C6412" s="3"/>
      <c r="D6412" s="3"/>
      <c r="E6412" s="3">
        <v>9</v>
      </c>
      <c r="F6412" s="4" t="str">
        <f>HYPERLINK("http://141.218.60.56/~jnz1568/getInfo.php?workbook=14_09.xlsx&amp;sheet=U0&amp;row=6412&amp;col=6&amp;number=3.8&amp;sourceID=14","3.8")</f>
        <v>3.8</v>
      </c>
      <c r="G6412" s="4" t="str">
        <f>HYPERLINK("http://141.218.60.56/~jnz1568/getInfo.php?workbook=14_09.xlsx&amp;sheet=U0&amp;row=6412&amp;col=7&amp;number=0.00834&amp;sourceID=14","0.00834")</f>
        <v>0.00834</v>
      </c>
    </row>
    <row r="6413" spans="1:7">
      <c r="A6413" s="3"/>
      <c r="B6413" s="3"/>
      <c r="C6413" s="3"/>
      <c r="D6413" s="3"/>
      <c r="E6413" s="3">
        <v>10</v>
      </c>
      <c r="F6413" s="4" t="str">
        <f>HYPERLINK("http://141.218.60.56/~jnz1568/getInfo.php?workbook=14_09.xlsx&amp;sheet=U0&amp;row=6413&amp;col=6&amp;number=3.9&amp;sourceID=14","3.9")</f>
        <v>3.9</v>
      </c>
      <c r="G6413" s="4" t="str">
        <f>HYPERLINK("http://141.218.60.56/~jnz1568/getInfo.php?workbook=14_09.xlsx&amp;sheet=U0&amp;row=6413&amp;col=7&amp;number=0.00831&amp;sourceID=14","0.00831")</f>
        <v>0.00831</v>
      </c>
    </row>
    <row r="6414" spans="1:7">
      <c r="A6414" s="3"/>
      <c r="B6414" s="3"/>
      <c r="C6414" s="3"/>
      <c r="D6414" s="3"/>
      <c r="E6414" s="3">
        <v>11</v>
      </c>
      <c r="F6414" s="4" t="str">
        <f>HYPERLINK("http://141.218.60.56/~jnz1568/getInfo.php?workbook=14_09.xlsx&amp;sheet=U0&amp;row=6414&amp;col=6&amp;number=4&amp;sourceID=14","4")</f>
        <v>4</v>
      </c>
      <c r="G6414" s="4" t="str">
        <f>HYPERLINK("http://141.218.60.56/~jnz1568/getInfo.php?workbook=14_09.xlsx&amp;sheet=U0&amp;row=6414&amp;col=7&amp;number=0.00827&amp;sourceID=14","0.00827")</f>
        <v>0.00827</v>
      </c>
    </row>
    <row r="6415" spans="1:7">
      <c r="A6415" s="3"/>
      <c r="B6415" s="3"/>
      <c r="C6415" s="3"/>
      <c r="D6415" s="3"/>
      <c r="E6415" s="3">
        <v>12</v>
      </c>
      <c r="F6415" s="4" t="str">
        <f>HYPERLINK("http://141.218.60.56/~jnz1568/getInfo.php?workbook=14_09.xlsx&amp;sheet=U0&amp;row=6415&amp;col=6&amp;number=4.1&amp;sourceID=14","4.1")</f>
        <v>4.1</v>
      </c>
      <c r="G6415" s="4" t="str">
        <f>HYPERLINK("http://141.218.60.56/~jnz1568/getInfo.php?workbook=14_09.xlsx&amp;sheet=U0&amp;row=6415&amp;col=7&amp;number=0.00822&amp;sourceID=14","0.00822")</f>
        <v>0.00822</v>
      </c>
    </row>
    <row r="6416" spans="1:7">
      <c r="A6416" s="3"/>
      <c r="B6416" s="3"/>
      <c r="C6416" s="3"/>
      <c r="D6416" s="3"/>
      <c r="E6416" s="3">
        <v>13</v>
      </c>
      <c r="F6416" s="4" t="str">
        <f>HYPERLINK("http://141.218.60.56/~jnz1568/getInfo.php?workbook=14_09.xlsx&amp;sheet=U0&amp;row=6416&amp;col=6&amp;number=4.2&amp;sourceID=14","4.2")</f>
        <v>4.2</v>
      </c>
      <c r="G6416" s="4" t="str">
        <f>HYPERLINK("http://141.218.60.56/~jnz1568/getInfo.php?workbook=14_09.xlsx&amp;sheet=U0&amp;row=6416&amp;col=7&amp;number=0.00816&amp;sourceID=14","0.00816")</f>
        <v>0.00816</v>
      </c>
    </row>
    <row r="6417" spans="1:7">
      <c r="A6417" s="3"/>
      <c r="B6417" s="3"/>
      <c r="C6417" s="3"/>
      <c r="D6417" s="3"/>
      <c r="E6417" s="3">
        <v>14</v>
      </c>
      <c r="F6417" s="4" t="str">
        <f>HYPERLINK("http://141.218.60.56/~jnz1568/getInfo.php?workbook=14_09.xlsx&amp;sheet=U0&amp;row=6417&amp;col=6&amp;number=4.3&amp;sourceID=14","4.3")</f>
        <v>4.3</v>
      </c>
      <c r="G6417" s="4" t="str">
        <f>HYPERLINK("http://141.218.60.56/~jnz1568/getInfo.php?workbook=14_09.xlsx&amp;sheet=U0&amp;row=6417&amp;col=7&amp;number=0.00808&amp;sourceID=14","0.00808")</f>
        <v>0.00808</v>
      </c>
    </row>
    <row r="6418" spans="1:7">
      <c r="A6418" s="3"/>
      <c r="B6418" s="3"/>
      <c r="C6418" s="3"/>
      <c r="D6418" s="3"/>
      <c r="E6418" s="3">
        <v>15</v>
      </c>
      <c r="F6418" s="4" t="str">
        <f>HYPERLINK("http://141.218.60.56/~jnz1568/getInfo.php?workbook=14_09.xlsx&amp;sheet=U0&amp;row=6418&amp;col=6&amp;number=4.4&amp;sourceID=14","4.4")</f>
        <v>4.4</v>
      </c>
      <c r="G6418" s="4" t="str">
        <f>HYPERLINK("http://141.218.60.56/~jnz1568/getInfo.php?workbook=14_09.xlsx&amp;sheet=U0&amp;row=6418&amp;col=7&amp;number=0.00799&amp;sourceID=14","0.00799")</f>
        <v>0.00799</v>
      </c>
    </row>
    <row r="6419" spans="1:7">
      <c r="A6419" s="3"/>
      <c r="B6419" s="3"/>
      <c r="C6419" s="3"/>
      <c r="D6419" s="3"/>
      <c r="E6419" s="3">
        <v>16</v>
      </c>
      <c r="F6419" s="4" t="str">
        <f>HYPERLINK("http://141.218.60.56/~jnz1568/getInfo.php?workbook=14_09.xlsx&amp;sheet=U0&amp;row=6419&amp;col=6&amp;number=4.5&amp;sourceID=14","4.5")</f>
        <v>4.5</v>
      </c>
      <c r="G6419" s="4" t="str">
        <f>HYPERLINK("http://141.218.60.56/~jnz1568/getInfo.php?workbook=14_09.xlsx&amp;sheet=U0&amp;row=6419&amp;col=7&amp;number=0.00787&amp;sourceID=14","0.00787")</f>
        <v>0.00787</v>
      </c>
    </row>
    <row r="6420" spans="1:7">
      <c r="A6420" s="3"/>
      <c r="B6420" s="3"/>
      <c r="C6420" s="3"/>
      <c r="D6420" s="3"/>
      <c r="E6420" s="3">
        <v>17</v>
      </c>
      <c r="F6420" s="4" t="str">
        <f>HYPERLINK("http://141.218.60.56/~jnz1568/getInfo.php?workbook=14_09.xlsx&amp;sheet=U0&amp;row=6420&amp;col=6&amp;number=4.6&amp;sourceID=14","4.6")</f>
        <v>4.6</v>
      </c>
      <c r="G6420" s="4" t="str">
        <f>HYPERLINK("http://141.218.60.56/~jnz1568/getInfo.php?workbook=14_09.xlsx&amp;sheet=U0&amp;row=6420&amp;col=7&amp;number=0.00773&amp;sourceID=14","0.00773")</f>
        <v>0.00773</v>
      </c>
    </row>
    <row r="6421" spans="1:7">
      <c r="A6421" s="3"/>
      <c r="B6421" s="3"/>
      <c r="C6421" s="3"/>
      <c r="D6421" s="3"/>
      <c r="E6421" s="3">
        <v>18</v>
      </c>
      <c r="F6421" s="4" t="str">
        <f>HYPERLINK("http://141.218.60.56/~jnz1568/getInfo.php?workbook=14_09.xlsx&amp;sheet=U0&amp;row=6421&amp;col=6&amp;number=4.7&amp;sourceID=14","4.7")</f>
        <v>4.7</v>
      </c>
      <c r="G6421" s="4" t="str">
        <f>HYPERLINK("http://141.218.60.56/~jnz1568/getInfo.php?workbook=14_09.xlsx&amp;sheet=U0&amp;row=6421&amp;col=7&amp;number=0.00756&amp;sourceID=14","0.00756")</f>
        <v>0.00756</v>
      </c>
    </row>
    <row r="6422" spans="1:7">
      <c r="A6422" s="3"/>
      <c r="B6422" s="3"/>
      <c r="C6422" s="3"/>
      <c r="D6422" s="3"/>
      <c r="E6422" s="3">
        <v>19</v>
      </c>
      <c r="F6422" s="4" t="str">
        <f>HYPERLINK("http://141.218.60.56/~jnz1568/getInfo.php?workbook=14_09.xlsx&amp;sheet=U0&amp;row=6422&amp;col=6&amp;number=4.8&amp;sourceID=14","4.8")</f>
        <v>4.8</v>
      </c>
      <c r="G6422" s="4" t="str">
        <f>HYPERLINK("http://141.218.60.56/~jnz1568/getInfo.php?workbook=14_09.xlsx&amp;sheet=U0&amp;row=6422&amp;col=7&amp;number=0.00735&amp;sourceID=14","0.00735")</f>
        <v>0.00735</v>
      </c>
    </row>
    <row r="6423" spans="1:7">
      <c r="A6423" s="3"/>
      <c r="B6423" s="3"/>
      <c r="C6423" s="3"/>
      <c r="D6423" s="3"/>
      <c r="E6423" s="3">
        <v>20</v>
      </c>
      <c r="F6423" s="4" t="str">
        <f>HYPERLINK("http://141.218.60.56/~jnz1568/getInfo.php?workbook=14_09.xlsx&amp;sheet=U0&amp;row=6423&amp;col=6&amp;number=4.9&amp;sourceID=14","4.9")</f>
        <v>4.9</v>
      </c>
      <c r="G6423" s="4" t="str">
        <f>HYPERLINK("http://141.218.60.56/~jnz1568/getInfo.php?workbook=14_09.xlsx&amp;sheet=U0&amp;row=6423&amp;col=7&amp;number=0.00712&amp;sourceID=14","0.00712")</f>
        <v>0.00712</v>
      </c>
    </row>
    <row r="6424" spans="1:7">
      <c r="A6424" s="3">
        <v>14</v>
      </c>
      <c r="B6424" s="3">
        <v>9</v>
      </c>
      <c r="C6424" s="3">
        <v>2</v>
      </c>
      <c r="D6424" s="3">
        <v>130</v>
      </c>
      <c r="E6424" s="3">
        <v>1</v>
      </c>
      <c r="F6424" s="4" t="str">
        <f>HYPERLINK("http://141.218.60.56/~jnz1568/getInfo.php?workbook=14_09.xlsx&amp;sheet=U0&amp;row=6424&amp;col=6&amp;number=3&amp;sourceID=14","3")</f>
        <v>3</v>
      </c>
      <c r="G6424" s="4" t="str">
        <f>HYPERLINK("http://141.218.60.56/~jnz1568/getInfo.php?workbook=14_09.xlsx&amp;sheet=U0&amp;row=6424&amp;col=7&amp;number=0.0126&amp;sourceID=14","0.0126")</f>
        <v>0.0126</v>
      </c>
    </row>
    <row r="6425" spans="1:7">
      <c r="A6425" s="3"/>
      <c r="B6425" s="3"/>
      <c r="C6425" s="3"/>
      <c r="D6425" s="3"/>
      <c r="E6425" s="3">
        <v>2</v>
      </c>
      <c r="F6425" s="4" t="str">
        <f>HYPERLINK("http://141.218.60.56/~jnz1568/getInfo.php?workbook=14_09.xlsx&amp;sheet=U0&amp;row=6425&amp;col=6&amp;number=3.1&amp;sourceID=14","3.1")</f>
        <v>3.1</v>
      </c>
      <c r="G6425" s="4" t="str">
        <f>HYPERLINK("http://141.218.60.56/~jnz1568/getInfo.php?workbook=14_09.xlsx&amp;sheet=U0&amp;row=6425&amp;col=7&amp;number=0.0126&amp;sourceID=14","0.0126")</f>
        <v>0.0126</v>
      </c>
    </row>
    <row r="6426" spans="1:7">
      <c r="A6426" s="3"/>
      <c r="B6426" s="3"/>
      <c r="C6426" s="3"/>
      <c r="D6426" s="3"/>
      <c r="E6426" s="3">
        <v>3</v>
      </c>
      <c r="F6426" s="4" t="str">
        <f>HYPERLINK("http://141.218.60.56/~jnz1568/getInfo.php?workbook=14_09.xlsx&amp;sheet=U0&amp;row=6426&amp;col=6&amp;number=3.2&amp;sourceID=14","3.2")</f>
        <v>3.2</v>
      </c>
      <c r="G6426" s="4" t="str">
        <f>HYPERLINK("http://141.218.60.56/~jnz1568/getInfo.php?workbook=14_09.xlsx&amp;sheet=U0&amp;row=6426&amp;col=7&amp;number=0.0126&amp;sourceID=14","0.0126")</f>
        <v>0.0126</v>
      </c>
    </row>
    <row r="6427" spans="1:7">
      <c r="A6427" s="3"/>
      <c r="B6427" s="3"/>
      <c r="C6427" s="3"/>
      <c r="D6427" s="3"/>
      <c r="E6427" s="3">
        <v>4</v>
      </c>
      <c r="F6427" s="4" t="str">
        <f>HYPERLINK("http://141.218.60.56/~jnz1568/getInfo.php?workbook=14_09.xlsx&amp;sheet=U0&amp;row=6427&amp;col=6&amp;number=3.3&amp;sourceID=14","3.3")</f>
        <v>3.3</v>
      </c>
      <c r="G6427" s="4" t="str">
        <f>HYPERLINK("http://141.218.60.56/~jnz1568/getInfo.php?workbook=14_09.xlsx&amp;sheet=U0&amp;row=6427&amp;col=7&amp;number=0.0126&amp;sourceID=14","0.0126")</f>
        <v>0.0126</v>
      </c>
    </row>
    <row r="6428" spans="1:7">
      <c r="A6428" s="3"/>
      <c r="B6428" s="3"/>
      <c r="C6428" s="3"/>
      <c r="D6428" s="3"/>
      <c r="E6428" s="3">
        <v>5</v>
      </c>
      <c r="F6428" s="4" t="str">
        <f>HYPERLINK("http://141.218.60.56/~jnz1568/getInfo.php?workbook=14_09.xlsx&amp;sheet=U0&amp;row=6428&amp;col=6&amp;number=3.4&amp;sourceID=14","3.4")</f>
        <v>3.4</v>
      </c>
      <c r="G6428" s="4" t="str">
        <f>HYPERLINK("http://141.218.60.56/~jnz1568/getInfo.php?workbook=14_09.xlsx&amp;sheet=U0&amp;row=6428&amp;col=7&amp;number=0.0126&amp;sourceID=14","0.0126")</f>
        <v>0.0126</v>
      </c>
    </row>
    <row r="6429" spans="1:7">
      <c r="A6429" s="3"/>
      <c r="B6429" s="3"/>
      <c r="C6429" s="3"/>
      <c r="D6429" s="3"/>
      <c r="E6429" s="3">
        <v>6</v>
      </c>
      <c r="F6429" s="4" t="str">
        <f>HYPERLINK("http://141.218.60.56/~jnz1568/getInfo.php?workbook=14_09.xlsx&amp;sheet=U0&amp;row=6429&amp;col=6&amp;number=3.5&amp;sourceID=14","3.5")</f>
        <v>3.5</v>
      </c>
      <c r="G6429" s="4" t="str">
        <f>HYPERLINK("http://141.218.60.56/~jnz1568/getInfo.php?workbook=14_09.xlsx&amp;sheet=U0&amp;row=6429&amp;col=7&amp;number=0.0126&amp;sourceID=14","0.0126")</f>
        <v>0.0126</v>
      </c>
    </row>
    <row r="6430" spans="1:7">
      <c r="A6430" s="3"/>
      <c r="B6430" s="3"/>
      <c r="C6430" s="3"/>
      <c r="D6430" s="3"/>
      <c r="E6430" s="3">
        <v>7</v>
      </c>
      <c r="F6430" s="4" t="str">
        <f>HYPERLINK("http://141.218.60.56/~jnz1568/getInfo.php?workbook=14_09.xlsx&amp;sheet=U0&amp;row=6430&amp;col=6&amp;number=3.6&amp;sourceID=14","3.6")</f>
        <v>3.6</v>
      </c>
      <c r="G6430" s="4" t="str">
        <f>HYPERLINK("http://141.218.60.56/~jnz1568/getInfo.php?workbook=14_09.xlsx&amp;sheet=U0&amp;row=6430&amp;col=7&amp;number=0.0126&amp;sourceID=14","0.0126")</f>
        <v>0.0126</v>
      </c>
    </row>
    <row r="6431" spans="1:7">
      <c r="A6431" s="3"/>
      <c r="B6431" s="3"/>
      <c r="C6431" s="3"/>
      <c r="D6431" s="3"/>
      <c r="E6431" s="3">
        <v>8</v>
      </c>
      <c r="F6431" s="4" t="str">
        <f>HYPERLINK("http://141.218.60.56/~jnz1568/getInfo.php?workbook=14_09.xlsx&amp;sheet=U0&amp;row=6431&amp;col=6&amp;number=3.7&amp;sourceID=14","3.7")</f>
        <v>3.7</v>
      </c>
      <c r="G6431" s="4" t="str">
        <f>HYPERLINK("http://141.218.60.56/~jnz1568/getInfo.php?workbook=14_09.xlsx&amp;sheet=U0&amp;row=6431&amp;col=7&amp;number=0.0126&amp;sourceID=14","0.0126")</f>
        <v>0.0126</v>
      </c>
    </row>
    <row r="6432" spans="1:7">
      <c r="A6432" s="3"/>
      <c r="B6432" s="3"/>
      <c r="C6432" s="3"/>
      <c r="D6432" s="3"/>
      <c r="E6432" s="3">
        <v>9</v>
      </c>
      <c r="F6432" s="4" t="str">
        <f>HYPERLINK("http://141.218.60.56/~jnz1568/getInfo.php?workbook=14_09.xlsx&amp;sheet=U0&amp;row=6432&amp;col=6&amp;number=3.8&amp;sourceID=14","3.8")</f>
        <v>3.8</v>
      </c>
      <c r="G6432" s="4" t="str">
        <f>HYPERLINK("http://141.218.60.56/~jnz1568/getInfo.php?workbook=14_09.xlsx&amp;sheet=U0&amp;row=6432&amp;col=7&amp;number=0.0125&amp;sourceID=14","0.0125")</f>
        <v>0.0125</v>
      </c>
    </row>
    <row r="6433" spans="1:7">
      <c r="A6433" s="3"/>
      <c r="B6433" s="3"/>
      <c r="C6433" s="3"/>
      <c r="D6433" s="3"/>
      <c r="E6433" s="3">
        <v>10</v>
      </c>
      <c r="F6433" s="4" t="str">
        <f>HYPERLINK("http://141.218.60.56/~jnz1568/getInfo.php?workbook=14_09.xlsx&amp;sheet=U0&amp;row=6433&amp;col=6&amp;number=3.9&amp;sourceID=14","3.9")</f>
        <v>3.9</v>
      </c>
      <c r="G6433" s="4" t="str">
        <f>HYPERLINK("http://141.218.60.56/~jnz1568/getInfo.php?workbook=14_09.xlsx&amp;sheet=U0&amp;row=6433&amp;col=7&amp;number=0.0125&amp;sourceID=14","0.0125")</f>
        <v>0.0125</v>
      </c>
    </row>
    <row r="6434" spans="1:7">
      <c r="A6434" s="3"/>
      <c r="B6434" s="3"/>
      <c r="C6434" s="3"/>
      <c r="D6434" s="3"/>
      <c r="E6434" s="3">
        <v>11</v>
      </c>
      <c r="F6434" s="4" t="str">
        <f>HYPERLINK("http://141.218.60.56/~jnz1568/getInfo.php?workbook=14_09.xlsx&amp;sheet=U0&amp;row=6434&amp;col=6&amp;number=4&amp;sourceID=14","4")</f>
        <v>4</v>
      </c>
      <c r="G6434" s="4" t="str">
        <f>HYPERLINK("http://141.218.60.56/~jnz1568/getInfo.php?workbook=14_09.xlsx&amp;sheet=U0&amp;row=6434&amp;col=7&amp;number=0.0125&amp;sourceID=14","0.0125")</f>
        <v>0.0125</v>
      </c>
    </row>
    <row r="6435" spans="1:7">
      <c r="A6435" s="3"/>
      <c r="B6435" s="3"/>
      <c r="C6435" s="3"/>
      <c r="D6435" s="3"/>
      <c r="E6435" s="3">
        <v>12</v>
      </c>
      <c r="F6435" s="4" t="str">
        <f>HYPERLINK("http://141.218.60.56/~jnz1568/getInfo.php?workbook=14_09.xlsx&amp;sheet=U0&amp;row=6435&amp;col=6&amp;number=4.1&amp;sourceID=14","4.1")</f>
        <v>4.1</v>
      </c>
      <c r="G6435" s="4" t="str">
        <f>HYPERLINK("http://141.218.60.56/~jnz1568/getInfo.php?workbook=14_09.xlsx&amp;sheet=U0&amp;row=6435&amp;col=7&amp;number=0.0125&amp;sourceID=14","0.0125")</f>
        <v>0.0125</v>
      </c>
    </row>
    <row r="6436" spans="1:7">
      <c r="A6436" s="3"/>
      <c r="B6436" s="3"/>
      <c r="C6436" s="3"/>
      <c r="D6436" s="3"/>
      <c r="E6436" s="3">
        <v>13</v>
      </c>
      <c r="F6436" s="4" t="str">
        <f>HYPERLINK("http://141.218.60.56/~jnz1568/getInfo.php?workbook=14_09.xlsx&amp;sheet=U0&amp;row=6436&amp;col=6&amp;number=4.2&amp;sourceID=14","4.2")</f>
        <v>4.2</v>
      </c>
      <c r="G6436" s="4" t="str">
        <f>HYPERLINK("http://141.218.60.56/~jnz1568/getInfo.php?workbook=14_09.xlsx&amp;sheet=U0&amp;row=6436&amp;col=7&amp;number=0.0124&amp;sourceID=14","0.0124")</f>
        <v>0.0124</v>
      </c>
    </row>
    <row r="6437" spans="1:7">
      <c r="A6437" s="3"/>
      <c r="B6437" s="3"/>
      <c r="C6437" s="3"/>
      <c r="D6437" s="3"/>
      <c r="E6437" s="3">
        <v>14</v>
      </c>
      <c r="F6437" s="4" t="str">
        <f>HYPERLINK("http://141.218.60.56/~jnz1568/getInfo.php?workbook=14_09.xlsx&amp;sheet=U0&amp;row=6437&amp;col=6&amp;number=4.3&amp;sourceID=14","4.3")</f>
        <v>4.3</v>
      </c>
      <c r="G6437" s="4" t="str">
        <f>HYPERLINK("http://141.218.60.56/~jnz1568/getInfo.php?workbook=14_09.xlsx&amp;sheet=U0&amp;row=6437&amp;col=7&amp;number=0.0124&amp;sourceID=14","0.0124")</f>
        <v>0.0124</v>
      </c>
    </row>
    <row r="6438" spans="1:7">
      <c r="A6438" s="3"/>
      <c r="B6438" s="3"/>
      <c r="C6438" s="3"/>
      <c r="D6438" s="3"/>
      <c r="E6438" s="3">
        <v>15</v>
      </c>
      <c r="F6438" s="4" t="str">
        <f>HYPERLINK("http://141.218.60.56/~jnz1568/getInfo.php?workbook=14_09.xlsx&amp;sheet=U0&amp;row=6438&amp;col=6&amp;number=4.4&amp;sourceID=14","4.4")</f>
        <v>4.4</v>
      </c>
      <c r="G6438" s="4" t="str">
        <f>HYPERLINK("http://141.218.60.56/~jnz1568/getInfo.php?workbook=14_09.xlsx&amp;sheet=U0&amp;row=6438&amp;col=7&amp;number=0.0123&amp;sourceID=14","0.0123")</f>
        <v>0.0123</v>
      </c>
    </row>
    <row r="6439" spans="1:7">
      <c r="A6439" s="3"/>
      <c r="B6439" s="3"/>
      <c r="C6439" s="3"/>
      <c r="D6439" s="3"/>
      <c r="E6439" s="3">
        <v>16</v>
      </c>
      <c r="F6439" s="4" t="str">
        <f>HYPERLINK("http://141.218.60.56/~jnz1568/getInfo.php?workbook=14_09.xlsx&amp;sheet=U0&amp;row=6439&amp;col=6&amp;number=4.5&amp;sourceID=14","4.5")</f>
        <v>4.5</v>
      </c>
      <c r="G6439" s="4" t="str">
        <f>HYPERLINK("http://141.218.60.56/~jnz1568/getInfo.php?workbook=14_09.xlsx&amp;sheet=U0&amp;row=6439&amp;col=7&amp;number=0.0122&amp;sourceID=14","0.0122")</f>
        <v>0.0122</v>
      </c>
    </row>
    <row r="6440" spans="1:7">
      <c r="A6440" s="3"/>
      <c r="B6440" s="3"/>
      <c r="C6440" s="3"/>
      <c r="D6440" s="3"/>
      <c r="E6440" s="3">
        <v>17</v>
      </c>
      <c r="F6440" s="4" t="str">
        <f>HYPERLINK("http://141.218.60.56/~jnz1568/getInfo.php?workbook=14_09.xlsx&amp;sheet=U0&amp;row=6440&amp;col=6&amp;number=4.6&amp;sourceID=14","4.6")</f>
        <v>4.6</v>
      </c>
      <c r="G6440" s="4" t="str">
        <f>HYPERLINK("http://141.218.60.56/~jnz1568/getInfo.php?workbook=14_09.xlsx&amp;sheet=U0&amp;row=6440&amp;col=7&amp;number=0.0121&amp;sourceID=14","0.0121")</f>
        <v>0.0121</v>
      </c>
    </row>
    <row r="6441" spans="1:7">
      <c r="A6441" s="3"/>
      <c r="B6441" s="3"/>
      <c r="C6441" s="3"/>
      <c r="D6441" s="3"/>
      <c r="E6441" s="3">
        <v>18</v>
      </c>
      <c r="F6441" s="4" t="str">
        <f>HYPERLINK("http://141.218.60.56/~jnz1568/getInfo.php?workbook=14_09.xlsx&amp;sheet=U0&amp;row=6441&amp;col=6&amp;number=4.7&amp;sourceID=14","4.7")</f>
        <v>4.7</v>
      </c>
      <c r="G6441" s="4" t="str">
        <f>HYPERLINK("http://141.218.60.56/~jnz1568/getInfo.php?workbook=14_09.xlsx&amp;sheet=U0&amp;row=6441&amp;col=7&amp;number=0.012&amp;sourceID=14","0.012")</f>
        <v>0.012</v>
      </c>
    </row>
    <row r="6442" spans="1:7">
      <c r="A6442" s="3"/>
      <c r="B6442" s="3"/>
      <c r="C6442" s="3"/>
      <c r="D6442" s="3"/>
      <c r="E6442" s="3">
        <v>19</v>
      </c>
      <c r="F6442" s="4" t="str">
        <f>HYPERLINK("http://141.218.60.56/~jnz1568/getInfo.php?workbook=14_09.xlsx&amp;sheet=U0&amp;row=6442&amp;col=6&amp;number=4.8&amp;sourceID=14","4.8")</f>
        <v>4.8</v>
      </c>
      <c r="G6442" s="4" t="str">
        <f>HYPERLINK("http://141.218.60.56/~jnz1568/getInfo.php?workbook=14_09.xlsx&amp;sheet=U0&amp;row=6442&amp;col=7&amp;number=0.0118&amp;sourceID=14","0.0118")</f>
        <v>0.0118</v>
      </c>
    </row>
    <row r="6443" spans="1:7">
      <c r="A6443" s="3"/>
      <c r="B6443" s="3"/>
      <c r="C6443" s="3"/>
      <c r="D6443" s="3"/>
      <c r="E6443" s="3">
        <v>20</v>
      </c>
      <c r="F6443" s="4" t="str">
        <f>HYPERLINK("http://141.218.60.56/~jnz1568/getInfo.php?workbook=14_09.xlsx&amp;sheet=U0&amp;row=6443&amp;col=6&amp;number=4.9&amp;sourceID=14","4.9")</f>
        <v>4.9</v>
      </c>
      <c r="G6443" s="4" t="str">
        <f>HYPERLINK("http://141.218.60.56/~jnz1568/getInfo.php?workbook=14_09.xlsx&amp;sheet=U0&amp;row=6443&amp;col=7&amp;number=0.0116&amp;sourceID=14","0.0116")</f>
        <v>0.0116</v>
      </c>
    </row>
    <row r="6444" spans="1:7">
      <c r="A6444" s="3">
        <v>14</v>
      </c>
      <c r="B6444" s="3">
        <v>9</v>
      </c>
      <c r="C6444" s="3">
        <v>2</v>
      </c>
      <c r="D6444" s="3">
        <v>131</v>
      </c>
      <c r="E6444" s="3">
        <v>1</v>
      </c>
      <c r="F6444" s="4" t="str">
        <f>HYPERLINK("http://141.218.60.56/~jnz1568/getInfo.php?workbook=14_09.xlsx&amp;sheet=U0&amp;row=6444&amp;col=6&amp;number=3&amp;sourceID=14","3")</f>
        <v>3</v>
      </c>
      <c r="G6444" s="4" t="str">
        <f>HYPERLINK("http://141.218.60.56/~jnz1568/getInfo.php?workbook=14_09.xlsx&amp;sheet=U0&amp;row=6444&amp;col=7&amp;number=0.00609&amp;sourceID=14","0.00609")</f>
        <v>0.00609</v>
      </c>
    </row>
    <row r="6445" spans="1:7">
      <c r="A6445" s="3"/>
      <c r="B6445" s="3"/>
      <c r="C6445" s="3"/>
      <c r="D6445" s="3"/>
      <c r="E6445" s="3">
        <v>2</v>
      </c>
      <c r="F6445" s="4" t="str">
        <f>HYPERLINK("http://141.218.60.56/~jnz1568/getInfo.php?workbook=14_09.xlsx&amp;sheet=U0&amp;row=6445&amp;col=6&amp;number=3.1&amp;sourceID=14","3.1")</f>
        <v>3.1</v>
      </c>
      <c r="G6445" s="4" t="str">
        <f>HYPERLINK("http://141.218.60.56/~jnz1568/getInfo.php?workbook=14_09.xlsx&amp;sheet=U0&amp;row=6445&amp;col=7&amp;number=0.00609&amp;sourceID=14","0.00609")</f>
        <v>0.00609</v>
      </c>
    </row>
    <row r="6446" spans="1:7">
      <c r="A6446" s="3"/>
      <c r="B6446" s="3"/>
      <c r="C6446" s="3"/>
      <c r="D6446" s="3"/>
      <c r="E6446" s="3">
        <v>3</v>
      </c>
      <c r="F6446" s="4" t="str">
        <f>HYPERLINK("http://141.218.60.56/~jnz1568/getInfo.php?workbook=14_09.xlsx&amp;sheet=U0&amp;row=6446&amp;col=6&amp;number=3.2&amp;sourceID=14","3.2")</f>
        <v>3.2</v>
      </c>
      <c r="G6446" s="4" t="str">
        <f>HYPERLINK("http://141.218.60.56/~jnz1568/getInfo.php?workbook=14_09.xlsx&amp;sheet=U0&amp;row=6446&amp;col=7&amp;number=0.00609&amp;sourceID=14","0.00609")</f>
        <v>0.00609</v>
      </c>
    </row>
    <row r="6447" spans="1:7">
      <c r="A6447" s="3"/>
      <c r="B6447" s="3"/>
      <c r="C6447" s="3"/>
      <c r="D6447" s="3"/>
      <c r="E6447" s="3">
        <v>4</v>
      </c>
      <c r="F6447" s="4" t="str">
        <f>HYPERLINK("http://141.218.60.56/~jnz1568/getInfo.php?workbook=14_09.xlsx&amp;sheet=U0&amp;row=6447&amp;col=6&amp;number=3.3&amp;sourceID=14","3.3")</f>
        <v>3.3</v>
      </c>
      <c r="G6447" s="4" t="str">
        <f>HYPERLINK("http://141.218.60.56/~jnz1568/getInfo.php?workbook=14_09.xlsx&amp;sheet=U0&amp;row=6447&amp;col=7&amp;number=0.00609&amp;sourceID=14","0.00609")</f>
        <v>0.00609</v>
      </c>
    </row>
    <row r="6448" spans="1:7">
      <c r="A6448" s="3"/>
      <c r="B6448" s="3"/>
      <c r="C6448" s="3"/>
      <c r="D6448" s="3"/>
      <c r="E6448" s="3">
        <v>5</v>
      </c>
      <c r="F6448" s="4" t="str">
        <f>HYPERLINK("http://141.218.60.56/~jnz1568/getInfo.php?workbook=14_09.xlsx&amp;sheet=U0&amp;row=6448&amp;col=6&amp;number=3.4&amp;sourceID=14","3.4")</f>
        <v>3.4</v>
      </c>
      <c r="G6448" s="4" t="str">
        <f>HYPERLINK("http://141.218.60.56/~jnz1568/getInfo.php?workbook=14_09.xlsx&amp;sheet=U0&amp;row=6448&amp;col=7&amp;number=0.00609&amp;sourceID=14","0.00609")</f>
        <v>0.00609</v>
      </c>
    </row>
    <row r="6449" spans="1:7">
      <c r="A6449" s="3"/>
      <c r="B6449" s="3"/>
      <c r="C6449" s="3"/>
      <c r="D6449" s="3"/>
      <c r="E6449" s="3">
        <v>6</v>
      </c>
      <c r="F6449" s="4" t="str">
        <f>HYPERLINK("http://141.218.60.56/~jnz1568/getInfo.php?workbook=14_09.xlsx&amp;sheet=U0&amp;row=6449&amp;col=6&amp;number=3.5&amp;sourceID=14","3.5")</f>
        <v>3.5</v>
      </c>
      <c r="G6449" s="4" t="str">
        <f>HYPERLINK("http://141.218.60.56/~jnz1568/getInfo.php?workbook=14_09.xlsx&amp;sheet=U0&amp;row=6449&amp;col=7&amp;number=0.00608&amp;sourceID=14","0.00608")</f>
        <v>0.00608</v>
      </c>
    </row>
    <row r="6450" spans="1:7">
      <c r="A6450" s="3"/>
      <c r="B6450" s="3"/>
      <c r="C6450" s="3"/>
      <c r="D6450" s="3"/>
      <c r="E6450" s="3">
        <v>7</v>
      </c>
      <c r="F6450" s="4" t="str">
        <f>HYPERLINK("http://141.218.60.56/~jnz1568/getInfo.php?workbook=14_09.xlsx&amp;sheet=U0&amp;row=6450&amp;col=6&amp;number=3.6&amp;sourceID=14","3.6")</f>
        <v>3.6</v>
      </c>
      <c r="G6450" s="4" t="str">
        <f>HYPERLINK("http://141.218.60.56/~jnz1568/getInfo.php?workbook=14_09.xlsx&amp;sheet=U0&amp;row=6450&amp;col=7&amp;number=0.00608&amp;sourceID=14","0.00608")</f>
        <v>0.00608</v>
      </c>
    </row>
    <row r="6451" spans="1:7">
      <c r="A6451" s="3"/>
      <c r="B6451" s="3"/>
      <c r="C6451" s="3"/>
      <c r="D6451" s="3"/>
      <c r="E6451" s="3">
        <v>8</v>
      </c>
      <c r="F6451" s="4" t="str">
        <f>HYPERLINK("http://141.218.60.56/~jnz1568/getInfo.php?workbook=14_09.xlsx&amp;sheet=U0&amp;row=6451&amp;col=6&amp;number=3.7&amp;sourceID=14","3.7")</f>
        <v>3.7</v>
      </c>
      <c r="G6451" s="4" t="str">
        <f>HYPERLINK("http://141.218.60.56/~jnz1568/getInfo.php?workbook=14_09.xlsx&amp;sheet=U0&amp;row=6451&amp;col=7&amp;number=0.00607&amp;sourceID=14","0.00607")</f>
        <v>0.00607</v>
      </c>
    </row>
    <row r="6452" spans="1:7">
      <c r="A6452" s="3"/>
      <c r="B6452" s="3"/>
      <c r="C6452" s="3"/>
      <c r="D6452" s="3"/>
      <c r="E6452" s="3">
        <v>9</v>
      </c>
      <c r="F6452" s="4" t="str">
        <f>HYPERLINK("http://141.218.60.56/~jnz1568/getInfo.php?workbook=14_09.xlsx&amp;sheet=U0&amp;row=6452&amp;col=6&amp;number=3.8&amp;sourceID=14","3.8")</f>
        <v>3.8</v>
      </c>
      <c r="G6452" s="4" t="str">
        <f>HYPERLINK("http://141.218.60.56/~jnz1568/getInfo.php?workbook=14_09.xlsx&amp;sheet=U0&amp;row=6452&amp;col=7&amp;number=0.00607&amp;sourceID=14","0.00607")</f>
        <v>0.00607</v>
      </c>
    </row>
    <row r="6453" spans="1:7">
      <c r="A6453" s="3"/>
      <c r="B6453" s="3"/>
      <c r="C6453" s="3"/>
      <c r="D6453" s="3"/>
      <c r="E6453" s="3">
        <v>10</v>
      </c>
      <c r="F6453" s="4" t="str">
        <f>HYPERLINK("http://141.218.60.56/~jnz1568/getInfo.php?workbook=14_09.xlsx&amp;sheet=U0&amp;row=6453&amp;col=6&amp;number=3.9&amp;sourceID=14","3.9")</f>
        <v>3.9</v>
      </c>
      <c r="G6453" s="4" t="str">
        <f>HYPERLINK("http://141.218.60.56/~jnz1568/getInfo.php?workbook=14_09.xlsx&amp;sheet=U0&amp;row=6453&amp;col=7&amp;number=0.00606&amp;sourceID=14","0.00606")</f>
        <v>0.00606</v>
      </c>
    </row>
    <row r="6454" spans="1:7">
      <c r="A6454" s="3"/>
      <c r="B6454" s="3"/>
      <c r="C6454" s="3"/>
      <c r="D6454" s="3"/>
      <c r="E6454" s="3">
        <v>11</v>
      </c>
      <c r="F6454" s="4" t="str">
        <f>HYPERLINK("http://141.218.60.56/~jnz1568/getInfo.php?workbook=14_09.xlsx&amp;sheet=U0&amp;row=6454&amp;col=6&amp;number=4&amp;sourceID=14","4")</f>
        <v>4</v>
      </c>
      <c r="G6454" s="4" t="str">
        <f>HYPERLINK("http://141.218.60.56/~jnz1568/getInfo.php?workbook=14_09.xlsx&amp;sheet=U0&amp;row=6454&amp;col=7&amp;number=0.00605&amp;sourceID=14","0.00605")</f>
        <v>0.00605</v>
      </c>
    </row>
    <row r="6455" spans="1:7">
      <c r="A6455" s="3"/>
      <c r="B6455" s="3"/>
      <c r="C6455" s="3"/>
      <c r="D6455" s="3"/>
      <c r="E6455" s="3">
        <v>12</v>
      </c>
      <c r="F6455" s="4" t="str">
        <f>HYPERLINK("http://141.218.60.56/~jnz1568/getInfo.php?workbook=14_09.xlsx&amp;sheet=U0&amp;row=6455&amp;col=6&amp;number=4.1&amp;sourceID=14","4.1")</f>
        <v>4.1</v>
      </c>
      <c r="G6455" s="4" t="str">
        <f>HYPERLINK("http://141.218.60.56/~jnz1568/getInfo.php?workbook=14_09.xlsx&amp;sheet=U0&amp;row=6455&amp;col=7&amp;number=0.00604&amp;sourceID=14","0.00604")</f>
        <v>0.00604</v>
      </c>
    </row>
    <row r="6456" spans="1:7">
      <c r="A6456" s="3"/>
      <c r="B6456" s="3"/>
      <c r="C6456" s="3"/>
      <c r="D6456" s="3"/>
      <c r="E6456" s="3">
        <v>13</v>
      </c>
      <c r="F6456" s="4" t="str">
        <f>HYPERLINK("http://141.218.60.56/~jnz1568/getInfo.php?workbook=14_09.xlsx&amp;sheet=U0&amp;row=6456&amp;col=6&amp;number=4.2&amp;sourceID=14","4.2")</f>
        <v>4.2</v>
      </c>
      <c r="G6456" s="4" t="str">
        <f>HYPERLINK("http://141.218.60.56/~jnz1568/getInfo.php?workbook=14_09.xlsx&amp;sheet=U0&amp;row=6456&amp;col=7&amp;number=0.00602&amp;sourceID=14","0.00602")</f>
        <v>0.00602</v>
      </c>
    </row>
    <row r="6457" spans="1:7">
      <c r="A6457" s="3"/>
      <c r="B6457" s="3"/>
      <c r="C6457" s="3"/>
      <c r="D6457" s="3"/>
      <c r="E6457" s="3">
        <v>14</v>
      </c>
      <c r="F6457" s="4" t="str">
        <f>HYPERLINK("http://141.218.60.56/~jnz1568/getInfo.php?workbook=14_09.xlsx&amp;sheet=U0&amp;row=6457&amp;col=6&amp;number=4.3&amp;sourceID=14","4.3")</f>
        <v>4.3</v>
      </c>
      <c r="G6457" s="4" t="str">
        <f>HYPERLINK("http://141.218.60.56/~jnz1568/getInfo.php?workbook=14_09.xlsx&amp;sheet=U0&amp;row=6457&amp;col=7&amp;number=0.006&amp;sourceID=14","0.006")</f>
        <v>0.006</v>
      </c>
    </row>
    <row r="6458" spans="1:7">
      <c r="A6458" s="3"/>
      <c r="B6458" s="3"/>
      <c r="C6458" s="3"/>
      <c r="D6458" s="3"/>
      <c r="E6458" s="3">
        <v>15</v>
      </c>
      <c r="F6458" s="4" t="str">
        <f>HYPERLINK("http://141.218.60.56/~jnz1568/getInfo.php?workbook=14_09.xlsx&amp;sheet=U0&amp;row=6458&amp;col=6&amp;number=4.4&amp;sourceID=14","4.4")</f>
        <v>4.4</v>
      </c>
      <c r="G6458" s="4" t="str">
        <f>HYPERLINK("http://141.218.60.56/~jnz1568/getInfo.php?workbook=14_09.xlsx&amp;sheet=U0&amp;row=6458&amp;col=7&amp;number=0.00597&amp;sourceID=14","0.00597")</f>
        <v>0.00597</v>
      </c>
    </row>
    <row r="6459" spans="1:7">
      <c r="A6459" s="3"/>
      <c r="B6459" s="3"/>
      <c r="C6459" s="3"/>
      <c r="D6459" s="3"/>
      <c r="E6459" s="3">
        <v>16</v>
      </c>
      <c r="F6459" s="4" t="str">
        <f>HYPERLINK("http://141.218.60.56/~jnz1568/getInfo.php?workbook=14_09.xlsx&amp;sheet=U0&amp;row=6459&amp;col=6&amp;number=4.5&amp;sourceID=14","4.5")</f>
        <v>4.5</v>
      </c>
      <c r="G6459" s="4" t="str">
        <f>HYPERLINK("http://141.218.60.56/~jnz1568/getInfo.php?workbook=14_09.xlsx&amp;sheet=U0&amp;row=6459&amp;col=7&amp;number=0.00594&amp;sourceID=14","0.00594")</f>
        <v>0.00594</v>
      </c>
    </row>
    <row r="6460" spans="1:7">
      <c r="A6460" s="3"/>
      <c r="B6460" s="3"/>
      <c r="C6460" s="3"/>
      <c r="D6460" s="3"/>
      <c r="E6460" s="3">
        <v>17</v>
      </c>
      <c r="F6460" s="4" t="str">
        <f>HYPERLINK("http://141.218.60.56/~jnz1568/getInfo.php?workbook=14_09.xlsx&amp;sheet=U0&amp;row=6460&amp;col=6&amp;number=4.6&amp;sourceID=14","4.6")</f>
        <v>4.6</v>
      </c>
      <c r="G6460" s="4" t="str">
        <f>HYPERLINK("http://141.218.60.56/~jnz1568/getInfo.php?workbook=14_09.xlsx&amp;sheet=U0&amp;row=6460&amp;col=7&amp;number=0.0059&amp;sourceID=14","0.0059")</f>
        <v>0.0059</v>
      </c>
    </row>
    <row r="6461" spans="1:7">
      <c r="A6461" s="3"/>
      <c r="B6461" s="3"/>
      <c r="C6461" s="3"/>
      <c r="D6461" s="3"/>
      <c r="E6461" s="3">
        <v>18</v>
      </c>
      <c r="F6461" s="4" t="str">
        <f>HYPERLINK("http://141.218.60.56/~jnz1568/getInfo.php?workbook=14_09.xlsx&amp;sheet=U0&amp;row=6461&amp;col=6&amp;number=4.7&amp;sourceID=14","4.7")</f>
        <v>4.7</v>
      </c>
      <c r="G6461" s="4" t="str">
        <f>HYPERLINK("http://141.218.60.56/~jnz1568/getInfo.php?workbook=14_09.xlsx&amp;sheet=U0&amp;row=6461&amp;col=7&amp;number=0.00585&amp;sourceID=14","0.00585")</f>
        <v>0.00585</v>
      </c>
    </row>
    <row r="6462" spans="1:7">
      <c r="A6462" s="3"/>
      <c r="B6462" s="3"/>
      <c r="C6462" s="3"/>
      <c r="D6462" s="3"/>
      <c r="E6462" s="3">
        <v>19</v>
      </c>
      <c r="F6462" s="4" t="str">
        <f>HYPERLINK("http://141.218.60.56/~jnz1568/getInfo.php?workbook=14_09.xlsx&amp;sheet=U0&amp;row=6462&amp;col=6&amp;number=4.8&amp;sourceID=14","4.8")</f>
        <v>4.8</v>
      </c>
      <c r="G6462" s="4" t="str">
        <f>HYPERLINK("http://141.218.60.56/~jnz1568/getInfo.php?workbook=14_09.xlsx&amp;sheet=U0&amp;row=6462&amp;col=7&amp;number=0.00579&amp;sourceID=14","0.00579")</f>
        <v>0.00579</v>
      </c>
    </row>
    <row r="6463" spans="1:7">
      <c r="A6463" s="3"/>
      <c r="B6463" s="3"/>
      <c r="C6463" s="3"/>
      <c r="D6463" s="3"/>
      <c r="E6463" s="3">
        <v>20</v>
      </c>
      <c r="F6463" s="4" t="str">
        <f>HYPERLINK("http://141.218.60.56/~jnz1568/getInfo.php?workbook=14_09.xlsx&amp;sheet=U0&amp;row=6463&amp;col=6&amp;number=4.9&amp;sourceID=14","4.9")</f>
        <v>4.9</v>
      </c>
      <c r="G6463" s="4" t="str">
        <f>HYPERLINK("http://141.218.60.56/~jnz1568/getInfo.php?workbook=14_09.xlsx&amp;sheet=U0&amp;row=6463&amp;col=7&amp;number=0.00571&amp;sourceID=14","0.00571")</f>
        <v>0.00571</v>
      </c>
    </row>
    <row r="6464" spans="1:7">
      <c r="A6464" s="3">
        <v>14</v>
      </c>
      <c r="B6464" s="3">
        <v>9</v>
      </c>
      <c r="C6464" s="3">
        <v>2</v>
      </c>
      <c r="D6464" s="3">
        <v>132</v>
      </c>
      <c r="E6464" s="3">
        <v>1</v>
      </c>
      <c r="F6464" s="4" t="str">
        <f>HYPERLINK("http://141.218.60.56/~jnz1568/getInfo.php?workbook=14_09.xlsx&amp;sheet=U0&amp;row=6464&amp;col=6&amp;number=3&amp;sourceID=14","3")</f>
        <v>3</v>
      </c>
      <c r="G6464" s="4" t="str">
        <f>HYPERLINK("http://141.218.60.56/~jnz1568/getInfo.php?workbook=14_09.xlsx&amp;sheet=U0&amp;row=6464&amp;col=7&amp;number=0.0157&amp;sourceID=14","0.0157")</f>
        <v>0.0157</v>
      </c>
    </row>
    <row r="6465" spans="1:7">
      <c r="A6465" s="3"/>
      <c r="B6465" s="3"/>
      <c r="C6465" s="3"/>
      <c r="D6465" s="3"/>
      <c r="E6465" s="3">
        <v>2</v>
      </c>
      <c r="F6465" s="4" t="str">
        <f>HYPERLINK("http://141.218.60.56/~jnz1568/getInfo.php?workbook=14_09.xlsx&amp;sheet=U0&amp;row=6465&amp;col=6&amp;number=3.1&amp;sourceID=14","3.1")</f>
        <v>3.1</v>
      </c>
      <c r="G6465" s="4" t="str">
        <f>HYPERLINK("http://141.218.60.56/~jnz1568/getInfo.php?workbook=14_09.xlsx&amp;sheet=U0&amp;row=6465&amp;col=7&amp;number=0.0157&amp;sourceID=14","0.0157")</f>
        <v>0.0157</v>
      </c>
    </row>
    <row r="6466" spans="1:7">
      <c r="A6466" s="3"/>
      <c r="B6466" s="3"/>
      <c r="C6466" s="3"/>
      <c r="D6466" s="3"/>
      <c r="E6466" s="3">
        <v>3</v>
      </c>
      <c r="F6466" s="4" t="str">
        <f>HYPERLINK("http://141.218.60.56/~jnz1568/getInfo.php?workbook=14_09.xlsx&amp;sheet=U0&amp;row=6466&amp;col=6&amp;number=3.2&amp;sourceID=14","3.2")</f>
        <v>3.2</v>
      </c>
      <c r="G6466" s="4" t="str">
        <f>HYPERLINK("http://141.218.60.56/~jnz1568/getInfo.php?workbook=14_09.xlsx&amp;sheet=U0&amp;row=6466&amp;col=7&amp;number=0.0157&amp;sourceID=14","0.0157")</f>
        <v>0.0157</v>
      </c>
    </row>
    <row r="6467" spans="1:7">
      <c r="A6467" s="3"/>
      <c r="B6467" s="3"/>
      <c r="C6467" s="3"/>
      <c r="D6467" s="3"/>
      <c r="E6467" s="3">
        <v>4</v>
      </c>
      <c r="F6467" s="4" t="str">
        <f>HYPERLINK("http://141.218.60.56/~jnz1568/getInfo.php?workbook=14_09.xlsx&amp;sheet=U0&amp;row=6467&amp;col=6&amp;number=3.3&amp;sourceID=14","3.3")</f>
        <v>3.3</v>
      </c>
      <c r="G6467" s="4" t="str">
        <f>HYPERLINK("http://141.218.60.56/~jnz1568/getInfo.php?workbook=14_09.xlsx&amp;sheet=U0&amp;row=6467&amp;col=7&amp;number=0.0157&amp;sourceID=14","0.0157")</f>
        <v>0.0157</v>
      </c>
    </row>
    <row r="6468" spans="1:7">
      <c r="A6468" s="3"/>
      <c r="B6468" s="3"/>
      <c r="C6468" s="3"/>
      <c r="D6468" s="3"/>
      <c r="E6468" s="3">
        <v>5</v>
      </c>
      <c r="F6468" s="4" t="str">
        <f>HYPERLINK("http://141.218.60.56/~jnz1568/getInfo.php?workbook=14_09.xlsx&amp;sheet=U0&amp;row=6468&amp;col=6&amp;number=3.4&amp;sourceID=14","3.4")</f>
        <v>3.4</v>
      </c>
      <c r="G6468" s="4" t="str">
        <f>HYPERLINK("http://141.218.60.56/~jnz1568/getInfo.php?workbook=14_09.xlsx&amp;sheet=U0&amp;row=6468&amp;col=7&amp;number=0.0157&amp;sourceID=14","0.0157")</f>
        <v>0.0157</v>
      </c>
    </row>
    <row r="6469" spans="1:7">
      <c r="A6469" s="3"/>
      <c r="B6469" s="3"/>
      <c r="C6469" s="3"/>
      <c r="D6469" s="3"/>
      <c r="E6469" s="3">
        <v>6</v>
      </c>
      <c r="F6469" s="4" t="str">
        <f>HYPERLINK("http://141.218.60.56/~jnz1568/getInfo.php?workbook=14_09.xlsx&amp;sheet=U0&amp;row=6469&amp;col=6&amp;number=3.5&amp;sourceID=14","3.5")</f>
        <v>3.5</v>
      </c>
      <c r="G6469" s="4" t="str">
        <f>HYPERLINK("http://141.218.60.56/~jnz1568/getInfo.php?workbook=14_09.xlsx&amp;sheet=U0&amp;row=6469&amp;col=7&amp;number=0.0157&amp;sourceID=14","0.0157")</f>
        <v>0.0157</v>
      </c>
    </row>
    <row r="6470" spans="1:7">
      <c r="A6470" s="3"/>
      <c r="B6470" s="3"/>
      <c r="C6470" s="3"/>
      <c r="D6470" s="3"/>
      <c r="E6470" s="3">
        <v>7</v>
      </c>
      <c r="F6470" s="4" t="str">
        <f>HYPERLINK("http://141.218.60.56/~jnz1568/getInfo.php?workbook=14_09.xlsx&amp;sheet=U0&amp;row=6470&amp;col=6&amp;number=3.6&amp;sourceID=14","3.6")</f>
        <v>3.6</v>
      </c>
      <c r="G6470" s="4" t="str">
        <f>HYPERLINK("http://141.218.60.56/~jnz1568/getInfo.php?workbook=14_09.xlsx&amp;sheet=U0&amp;row=6470&amp;col=7&amp;number=0.0158&amp;sourceID=14","0.0158")</f>
        <v>0.0158</v>
      </c>
    </row>
    <row r="6471" spans="1:7">
      <c r="A6471" s="3"/>
      <c r="B6471" s="3"/>
      <c r="C6471" s="3"/>
      <c r="D6471" s="3"/>
      <c r="E6471" s="3">
        <v>8</v>
      </c>
      <c r="F6471" s="4" t="str">
        <f>HYPERLINK("http://141.218.60.56/~jnz1568/getInfo.php?workbook=14_09.xlsx&amp;sheet=U0&amp;row=6471&amp;col=6&amp;number=3.7&amp;sourceID=14","3.7")</f>
        <v>3.7</v>
      </c>
      <c r="G6471" s="4" t="str">
        <f>HYPERLINK("http://141.218.60.56/~jnz1568/getInfo.php?workbook=14_09.xlsx&amp;sheet=U0&amp;row=6471&amp;col=7&amp;number=0.0158&amp;sourceID=14","0.0158")</f>
        <v>0.0158</v>
      </c>
    </row>
    <row r="6472" spans="1:7">
      <c r="A6472" s="3"/>
      <c r="B6472" s="3"/>
      <c r="C6472" s="3"/>
      <c r="D6472" s="3"/>
      <c r="E6472" s="3">
        <v>9</v>
      </c>
      <c r="F6472" s="4" t="str">
        <f>HYPERLINK("http://141.218.60.56/~jnz1568/getInfo.php?workbook=14_09.xlsx&amp;sheet=U0&amp;row=6472&amp;col=6&amp;number=3.8&amp;sourceID=14","3.8")</f>
        <v>3.8</v>
      </c>
      <c r="G6472" s="4" t="str">
        <f>HYPERLINK("http://141.218.60.56/~jnz1568/getInfo.php?workbook=14_09.xlsx&amp;sheet=U0&amp;row=6472&amp;col=7&amp;number=0.0158&amp;sourceID=14","0.0158")</f>
        <v>0.0158</v>
      </c>
    </row>
    <row r="6473" spans="1:7">
      <c r="A6473" s="3"/>
      <c r="B6473" s="3"/>
      <c r="C6473" s="3"/>
      <c r="D6473" s="3"/>
      <c r="E6473" s="3">
        <v>10</v>
      </c>
      <c r="F6473" s="4" t="str">
        <f>HYPERLINK("http://141.218.60.56/~jnz1568/getInfo.php?workbook=14_09.xlsx&amp;sheet=U0&amp;row=6473&amp;col=6&amp;number=3.9&amp;sourceID=14","3.9")</f>
        <v>3.9</v>
      </c>
      <c r="G6473" s="4" t="str">
        <f>HYPERLINK("http://141.218.60.56/~jnz1568/getInfo.php?workbook=14_09.xlsx&amp;sheet=U0&amp;row=6473&amp;col=7&amp;number=0.0158&amp;sourceID=14","0.0158")</f>
        <v>0.0158</v>
      </c>
    </row>
    <row r="6474" spans="1:7">
      <c r="A6474" s="3"/>
      <c r="B6474" s="3"/>
      <c r="C6474" s="3"/>
      <c r="D6474" s="3"/>
      <c r="E6474" s="3">
        <v>11</v>
      </c>
      <c r="F6474" s="4" t="str">
        <f>HYPERLINK("http://141.218.60.56/~jnz1568/getInfo.php?workbook=14_09.xlsx&amp;sheet=U0&amp;row=6474&amp;col=6&amp;number=4&amp;sourceID=14","4")</f>
        <v>4</v>
      </c>
      <c r="G6474" s="4" t="str">
        <f>HYPERLINK("http://141.218.60.56/~jnz1568/getInfo.php?workbook=14_09.xlsx&amp;sheet=U0&amp;row=6474&amp;col=7&amp;number=0.0158&amp;sourceID=14","0.0158")</f>
        <v>0.0158</v>
      </c>
    </row>
    <row r="6475" spans="1:7">
      <c r="A6475" s="3"/>
      <c r="B6475" s="3"/>
      <c r="C6475" s="3"/>
      <c r="D6475" s="3"/>
      <c r="E6475" s="3">
        <v>12</v>
      </c>
      <c r="F6475" s="4" t="str">
        <f>HYPERLINK("http://141.218.60.56/~jnz1568/getInfo.php?workbook=14_09.xlsx&amp;sheet=U0&amp;row=6475&amp;col=6&amp;number=4.1&amp;sourceID=14","4.1")</f>
        <v>4.1</v>
      </c>
      <c r="G6475" s="4" t="str">
        <f>HYPERLINK("http://141.218.60.56/~jnz1568/getInfo.php?workbook=14_09.xlsx&amp;sheet=U0&amp;row=6475&amp;col=7&amp;number=0.0158&amp;sourceID=14","0.0158")</f>
        <v>0.0158</v>
      </c>
    </row>
    <row r="6476" spans="1:7">
      <c r="A6476" s="3"/>
      <c r="B6476" s="3"/>
      <c r="C6476" s="3"/>
      <c r="D6476" s="3"/>
      <c r="E6476" s="3">
        <v>13</v>
      </c>
      <c r="F6476" s="4" t="str">
        <f>HYPERLINK("http://141.218.60.56/~jnz1568/getInfo.php?workbook=14_09.xlsx&amp;sheet=U0&amp;row=6476&amp;col=6&amp;number=4.2&amp;sourceID=14","4.2")</f>
        <v>4.2</v>
      </c>
      <c r="G6476" s="4" t="str">
        <f>HYPERLINK("http://141.218.60.56/~jnz1568/getInfo.php?workbook=14_09.xlsx&amp;sheet=U0&amp;row=6476&amp;col=7&amp;number=0.0158&amp;sourceID=14","0.0158")</f>
        <v>0.0158</v>
      </c>
    </row>
    <row r="6477" spans="1:7">
      <c r="A6477" s="3"/>
      <c r="B6477" s="3"/>
      <c r="C6477" s="3"/>
      <c r="D6477" s="3"/>
      <c r="E6477" s="3">
        <v>14</v>
      </c>
      <c r="F6477" s="4" t="str">
        <f>HYPERLINK("http://141.218.60.56/~jnz1568/getInfo.php?workbook=14_09.xlsx&amp;sheet=U0&amp;row=6477&amp;col=6&amp;number=4.3&amp;sourceID=14","4.3")</f>
        <v>4.3</v>
      </c>
      <c r="G6477" s="4" t="str">
        <f>HYPERLINK("http://141.218.60.56/~jnz1568/getInfo.php?workbook=14_09.xlsx&amp;sheet=U0&amp;row=6477&amp;col=7&amp;number=0.0158&amp;sourceID=14","0.0158")</f>
        <v>0.0158</v>
      </c>
    </row>
    <row r="6478" spans="1:7">
      <c r="A6478" s="3"/>
      <c r="B6478" s="3"/>
      <c r="C6478" s="3"/>
      <c r="D6478" s="3"/>
      <c r="E6478" s="3">
        <v>15</v>
      </c>
      <c r="F6478" s="4" t="str">
        <f>HYPERLINK("http://141.218.60.56/~jnz1568/getInfo.php?workbook=14_09.xlsx&amp;sheet=U0&amp;row=6478&amp;col=6&amp;number=4.4&amp;sourceID=14","4.4")</f>
        <v>4.4</v>
      </c>
      <c r="G6478" s="4" t="str">
        <f>HYPERLINK("http://141.218.60.56/~jnz1568/getInfo.php?workbook=14_09.xlsx&amp;sheet=U0&amp;row=6478&amp;col=7&amp;number=0.0159&amp;sourceID=14","0.0159")</f>
        <v>0.0159</v>
      </c>
    </row>
    <row r="6479" spans="1:7">
      <c r="A6479" s="3"/>
      <c r="B6479" s="3"/>
      <c r="C6479" s="3"/>
      <c r="D6479" s="3"/>
      <c r="E6479" s="3">
        <v>16</v>
      </c>
      <c r="F6479" s="4" t="str">
        <f>HYPERLINK("http://141.218.60.56/~jnz1568/getInfo.php?workbook=14_09.xlsx&amp;sheet=U0&amp;row=6479&amp;col=6&amp;number=4.5&amp;sourceID=14","4.5")</f>
        <v>4.5</v>
      </c>
      <c r="G6479" s="4" t="str">
        <f>HYPERLINK("http://141.218.60.56/~jnz1568/getInfo.php?workbook=14_09.xlsx&amp;sheet=U0&amp;row=6479&amp;col=7&amp;number=0.0159&amp;sourceID=14","0.0159")</f>
        <v>0.0159</v>
      </c>
    </row>
    <row r="6480" spans="1:7">
      <c r="A6480" s="3"/>
      <c r="B6480" s="3"/>
      <c r="C6480" s="3"/>
      <c r="D6480" s="3"/>
      <c r="E6480" s="3">
        <v>17</v>
      </c>
      <c r="F6480" s="4" t="str">
        <f>HYPERLINK("http://141.218.60.56/~jnz1568/getInfo.php?workbook=14_09.xlsx&amp;sheet=U0&amp;row=6480&amp;col=6&amp;number=4.6&amp;sourceID=14","4.6")</f>
        <v>4.6</v>
      </c>
      <c r="G6480" s="4" t="str">
        <f>HYPERLINK("http://141.218.60.56/~jnz1568/getInfo.php?workbook=14_09.xlsx&amp;sheet=U0&amp;row=6480&amp;col=7&amp;number=0.016&amp;sourceID=14","0.016")</f>
        <v>0.016</v>
      </c>
    </row>
    <row r="6481" spans="1:7">
      <c r="A6481" s="3"/>
      <c r="B6481" s="3"/>
      <c r="C6481" s="3"/>
      <c r="D6481" s="3"/>
      <c r="E6481" s="3">
        <v>18</v>
      </c>
      <c r="F6481" s="4" t="str">
        <f>HYPERLINK("http://141.218.60.56/~jnz1568/getInfo.php?workbook=14_09.xlsx&amp;sheet=U0&amp;row=6481&amp;col=6&amp;number=4.7&amp;sourceID=14","4.7")</f>
        <v>4.7</v>
      </c>
      <c r="G6481" s="4" t="str">
        <f>HYPERLINK("http://141.218.60.56/~jnz1568/getInfo.php?workbook=14_09.xlsx&amp;sheet=U0&amp;row=6481&amp;col=7&amp;number=0.016&amp;sourceID=14","0.016")</f>
        <v>0.016</v>
      </c>
    </row>
    <row r="6482" spans="1:7">
      <c r="A6482" s="3"/>
      <c r="B6482" s="3"/>
      <c r="C6482" s="3"/>
      <c r="D6482" s="3"/>
      <c r="E6482" s="3">
        <v>19</v>
      </c>
      <c r="F6482" s="4" t="str">
        <f>HYPERLINK("http://141.218.60.56/~jnz1568/getInfo.php?workbook=14_09.xlsx&amp;sheet=U0&amp;row=6482&amp;col=6&amp;number=4.8&amp;sourceID=14","4.8")</f>
        <v>4.8</v>
      </c>
      <c r="G6482" s="4" t="str">
        <f>HYPERLINK("http://141.218.60.56/~jnz1568/getInfo.php?workbook=14_09.xlsx&amp;sheet=U0&amp;row=6482&amp;col=7&amp;number=0.0161&amp;sourceID=14","0.0161")</f>
        <v>0.0161</v>
      </c>
    </row>
    <row r="6483" spans="1:7">
      <c r="A6483" s="3"/>
      <c r="B6483" s="3"/>
      <c r="C6483" s="3"/>
      <c r="D6483" s="3"/>
      <c r="E6483" s="3">
        <v>20</v>
      </c>
      <c r="F6483" s="4" t="str">
        <f>HYPERLINK("http://141.218.60.56/~jnz1568/getInfo.php?workbook=14_09.xlsx&amp;sheet=U0&amp;row=6483&amp;col=6&amp;number=4.9&amp;sourceID=14","4.9")</f>
        <v>4.9</v>
      </c>
      <c r="G6483" s="4" t="str">
        <f>HYPERLINK("http://141.218.60.56/~jnz1568/getInfo.php?workbook=14_09.xlsx&amp;sheet=U0&amp;row=6483&amp;col=7&amp;number=0.0162&amp;sourceID=14","0.0162")</f>
        <v>0.0162</v>
      </c>
    </row>
    <row r="6484" spans="1:7">
      <c r="A6484" s="3">
        <v>14</v>
      </c>
      <c r="B6484" s="3">
        <v>9</v>
      </c>
      <c r="C6484" s="3">
        <v>2</v>
      </c>
      <c r="D6484" s="3">
        <v>133</v>
      </c>
      <c r="E6484" s="3">
        <v>1</v>
      </c>
      <c r="F6484" s="4" t="str">
        <f>HYPERLINK("http://141.218.60.56/~jnz1568/getInfo.php?workbook=14_09.xlsx&amp;sheet=U0&amp;row=6484&amp;col=6&amp;number=3&amp;sourceID=14","3")</f>
        <v>3</v>
      </c>
      <c r="G6484" s="4" t="str">
        <f>HYPERLINK("http://141.218.60.56/~jnz1568/getInfo.php?workbook=14_09.xlsx&amp;sheet=U0&amp;row=6484&amp;col=7&amp;number=0.00712&amp;sourceID=14","0.00712")</f>
        <v>0.00712</v>
      </c>
    </row>
    <row r="6485" spans="1:7">
      <c r="A6485" s="3"/>
      <c r="B6485" s="3"/>
      <c r="C6485" s="3"/>
      <c r="D6485" s="3"/>
      <c r="E6485" s="3">
        <v>2</v>
      </c>
      <c r="F6485" s="4" t="str">
        <f>HYPERLINK("http://141.218.60.56/~jnz1568/getInfo.php?workbook=14_09.xlsx&amp;sheet=U0&amp;row=6485&amp;col=6&amp;number=3.1&amp;sourceID=14","3.1")</f>
        <v>3.1</v>
      </c>
      <c r="G6485" s="4" t="str">
        <f>HYPERLINK("http://141.218.60.56/~jnz1568/getInfo.php?workbook=14_09.xlsx&amp;sheet=U0&amp;row=6485&amp;col=7&amp;number=0.00712&amp;sourceID=14","0.00712")</f>
        <v>0.00712</v>
      </c>
    </row>
    <row r="6486" spans="1:7">
      <c r="A6486" s="3"/>
      <c r="B6486" s="3"/>
      <c r="C6486" s="3"/>
      <c r="D6486" s="3"/>
      <c r="E6486" s="3">
        <v>3</v>
      </c>
      <c r="F6486" s="4" t="str">
        <f>HYPERLINK("http://141.218.60.56/~jnz1568/getInfo.php?workbook=14_09.xlsx&amp;sheet=U0&amp;row=6486&amp;col=6&amp;number=3.2&amp;sourceID=14","3.2")</f>
        <v>3.2</v>
      </c>
      <c r="G6486" s="4" t="str">
        <f>HYPERLINK("http://141.218.60.56/~jnz1568/getInfo.php?workbook=14_09.xlsx&amp;sheet=U0&amp;row=6486&amp;col=7&amp;number=0.00712&amp;sourceID=14","0.00712")</f>
        <v>0.00712</v>
      </c>
    </row>
    <row r="6487" spans="1:7">
      <c r="A6487" s="3"/>
      <c r="B6487" s="3"/>
      <c r="C6487" s="3"/>
      <c r="D6487" s="3"/>
      <c r="E6487" s="3">
        <v>4</v>
      </c>
      <c r="F6487" s="4" t="str">
        <f>HYPERLINK("http://141.218.60.56/~jnz1568/getInfo.php?workbook=14_09.xlsx&amp;sheet=U0&amp;row=6487&amp;col=6&amp;number=3.3&amp;sourceID=14","3.3")</f>
        <v>3.3</v>
      </c>
      <c r="G6487" s="4" t="str">
        <f>HYPERLINK("http://141.218.60.56/~jnz1568/getInfo.php?workbook=14_09.xlsx&amp;sheet=U0&amp;row=6487&amp;col=7&amp;number=0.00712&amp;sourceID=14","0.00712")</f>
        <v>0.00712</v>
      </c>
    </row>
    <row r="6488" spans="1:7">
      <c r="A6488" s="3"/>
      <c r="B6488" s="3"/>
      <c r="C6488" s="3"/>
      <c r="D6488" s="3"/>
      <c r="E6488" s="3">
        <v>5</v>
      </c>
      <c r="F6488" s="4" t="str">
        <f>HYPERLINK("http://141.218.60.56/~jnz1568/getInfo.php?workbook=14_09.xlsx&amp;sheet=U0&amp;row=6488&amp;col=6&amp;number=3.4&amp;sourceID=14","3.4")</f>
        <v>3.4</v>
      </c>
      <c r="G6488" s="4" t="str">
        <f>HYPERLINK("http://141.218.60.56/~jnz1568/getInfo.php?workbook=14_09.xlsx&amp;sheet=U0&amp;row=6488&amp;col=7&amp;number=0.00712&amp;sourceID=14","0.00712")</f>
        <v>0.00712</v>
      </c>
    </row>
    <row r="6489" spans="1:7">
      <c r="A6489" s="3"/>
      <c r="B6489" s="3"/>
      <c r="C6489" s="3"/>
      <c r="D6489" s="3"/>
      <c r="E6489" s="3">
        <v>6</v>
      </c>
      <c r="F6489" s="4" t="str">
        <f>HYPERLINK("http://141.218.60.56/~jnz1568/getInfo.php?workbook=14_09.xlsx&amp;sheet=U0&amp;row=6489&amp;col=6&amp;number=3.5&amp;sourceID=14","3.5")</f>
        <v>3.5</v>
      </c>
      <c r="G6489" s="4" t="str">
        <f>HYPERLINK("http://141.218.60.56/~jnz1568/getInfo.php?workbook=14_09.xlsx&amp;sheet=U0&amp;row=6489&amp;col=7&amp;number=0.00711&amp;sourceID=14","0.00711")</f>
        <v>0.00711</v>
      </c>
    </row>
    <row r="6490" spans="1:7">
      <c r="A6490" s="3"/>
      <c r="B6490" s="3"/>
      <c r="C6490" s="3"/>
      <c r="D6490" s="3"/>
      <c r="E6490" s="3">
        <v>7</v>
      </c>
      <c r="F6490" s="4" t="str">
        <f>HYPERLINK("http://141.218.60.56/~jnz1568/getInfo.php?workbook=14_09.xlsx&amp;sheet=U0&amp;row=6490&amp;col=6&amp;number=3.6&amp;sourceID=14","3.6")</f>
        <v>3.6</v>
      </c>
      <c r="G6490" s="4" t="str">
        <f>HYPERLINK("http://141.218.60.56/~jnz1568/getInfo.php?workbook=14_09.xlsx&amp;sheet=U0&amp;row=6490&amp;col=7&amp;number=0.00711&amp;sourceID=14","0.00711")</f>
        <v>0.00711</v>
      </c>
    </row>
    <row r="6491" spans="1:7">
      <c r="A6491" s="3"/>
      <c r="B6491" s="3"/>
      <c r="C6491" s="3"/>
      <c r="D6491" s="3"/>
      <c r="E6491" s="3">
        <v>8</v>
      </c>
      <c r="F6491" s="4" t="str">
        <f>HYPERLINK("http://141.218.60.56/~jnz1568/getInfo.php?workbook=14_09.xlsx&amp;sheet=U0&amp;row=6491&amp;col=6&amp;number=3.7&amp;sourceID=14","3.7")</f>
        <v>3.7</v>
      </c>
      <c r="G6491" s="4" t="str">
        <f>HYPERLINK("http://141.218.60.56/~jnz1568/getInfo.php?workbook=14_09.xlsx&amp;sheet=U0&amp;row=6491&amp;col=7&amp;number=0.0071&amp;sourceID=14","0.0071")</f>
        <v>0.0071</v>
      </c>
    </row>
    <row r="6492" spans="1:7">
      <c r="A6492" s="3"/>
      <c r="B6492" s="3"/>
      <c r="C6492" s="3"/>
      <c r="D6492" s="3"/>
      <c r="E6492" s="3">
        <v>9</v>
      </c>
      <c r="F6492" s="4" t="str">
        <f>HYPERLINK("http://141.218.60.56/~jnz1568/getInfo.php?workbook=14_09.xlsx&amp;sheet=U0&amp;row=6492&amp;col=6&amp;number=3.8&amp;sourceID=14","3.8")</f>
        <v>3.8</v>
      </c>
      <c r="G6492" s="4" t="str">
        <f>HYPERLINK("http://141.218.60.56/~jnz1568/getInfo.php?workbook=14_09.xlsx&amp;sheet=U0&amp;row=6492&amp;col=7&amp;number=0.0071&amp;sourceID=14","0.0071")</f>
        <v>0.0071</v>
      </c>
    </row>
    <row r="6493" spans="1:7">
      <c r="A6493" s="3"/>
      <c r="B6493" s="3"/>
      <c r="C6493" s="3"/>
      <c r="D6493" s="3"/>
      <c r="E6493" s="3">
        <v>10</v>
      </c>
      <c r="F6493" s="4" t="str">
        <f>HYPERLINK("http://141.218.60.56/~jnz1568/getInfo.php?workbook=14_09.xlsx&amp;sheet=U0&amp;row=6493&amp;col=6&amp;number=3.9&amp;sourceID=14","3.9")</f>
        <v>3.9</v>
      </c>
      <c r="G6493" s="4" t="str">
        <f>HYPERLINK("http://141.218.60.56/~jnz1568/getInfo.php?workbook=14_09.xlsx&amp;sheet=U0&amp;row=6493&amp;col=7&amp;number=0.00709&amp;sourceID=14","0.00709")</f>
        <v>0.00709</v>
      </c>
    </row>
    <row r="6494" spans="1:7">
      <c r="A6494" s="3"/>
      <c r="B6494" s="3"/>
      <c r="C6494" s="3"/>
      <c r="D6494" s="3"/>
      <c r="E6494" s="3">
        <v>11</v>
      </c>
      <c r="F6494" s="4" t="str">
        <f>HYPERLINK("http://141.218.60.56/~jnz1568/getInfo.php?workbook=14_09.xlsx&amp;sheet=U0&amp;row=6494&amp;col=6&amp;number=4&amp;sourceID=14","4")</f>
        <v>4</v>
      </c>
      <c r="G6494" s="4" t="str">
        <f>HYPERLINK("http://141.218.60.56/~jnz1568/getInfo.php?workbook=14_09.xlsx&amp;sheet=U0&amp;row=6494&amp;col=7&amp;number=0.00708&amp;sourceID=14","0.00708")</f>
        <v>0.00708</v>
      </c>
    </row>
    <row r="6495" spans="1:7">
      <c r="A6495" s="3"/>
      <c r="B6495" s="3"/>
      <c r="C6495" s="3"/>
      <c r="D6495" s="3"/>
      <c r="E6495" s="3">
        <v>12</v>
      </c>
      <c r="F6495" s="4" t="str">
        <f>HYPERLINK("http://141.218.60.56/~jnz1568/getInfo.php?workbook=14_09.xlsx&amp;sheet=U0&amp;row=6495&amp;col=6&amp;number=4.1&amp;sourceID=14","4.1")</f>
        <v>4.1</v>
      </c>
      <c r="G6495" s="4" t="str">
        <f>HYPERLINK("http://141.218.60.56/~jnz1568/getInfo.php?workbook=14_09.xlsx&amp;sheet=U0&amp;row=6495&amp;col=7&amp;number=0.00707&amp;sourceID=14","0.00707")</f>
        <v>0.00707</v>
      </c>
    </row>
    <row r="6496" spans="1:7">
      <c r="A6496" s="3"/>
      <c r="B6496" s="3"/>
      <c r="C6496" s="3"/>
      <c r="D6496" s="3"/>
      <c r="E6496" s="3">
        <v>13</v>
      </c>
      <c r="F6496" s="4" t="str">
        <f>HYPERLINK("http://141.218.60.56/~jnz1568/getInfo.php?workbook=14_09.xlsx&amp;sheet=U0&amp;row=6496&amp;col=6&amp;number=4.2&amp;sourceID=14","4.2")</f>
        <v>4.2</v>
      </c>
      <c r="G6496" s="4" t="str">
        <f>HYPERLINK("http://141.218.60.56/~jnz1568/getInfo.php?workbook=14_09.xlsx&amp;sheet=U0&amp;row=6496&amp;col=7&amp;number=0.00705&amp;sourceID=14","0.00705")</f>
        <v>0.00705</v>
      </c>
    </row>
    <row r="6497" spans="1:7">
      <c r="A6497" s="3"/>
      <c r="B6497" s="3"/>
      <c r="C6497" s="3"/>
      <c r="D6497" s="3"/>
      <c r="E6497" s="3">
        <v>14</v>
      </c>
      <c r="F6497" s="4" t="str">
        <f>HYPERLINK("http://141.218.60.56/~jnz1568/getInfo.php?workbook=14_09.xlsx&amp;sheet=U0&amp;row=6497&amp;col=6&amp;number=4.3&amp;sourceID=14","4.3")</f>
        <v>4.3</v>
      </c>
      <c r="G6497" s="4" t="str">
        <f>HYPERLINK("http://141.218.60.56/~jnz1568/getInfo.php?workbook=14_09.xlsx&amp;sheet=U0&amp;row=6497&amp;col=7&amp;number=0.00703&amp;sourceID=14","0.00703")</f>
        <v>0.00703</v>
      </c>
    </row>
    <row r="6498" spans="1:7">
      <c r="A6498" s="3"/>
      <c r="B6498" s="3"/>
      <c r="C6498" s="3"/>
      <c r="D6498" s="3"/>
      <c r="E6498" s="3">
        <v>15</v>
      </c>
      <c r="F6498" s="4" t="str">
        <f>HYPERLINK("http://141.218.60.56/~jnz1568/getInfo.php?workbook=14_09.xlsx&amp;sheet=U0&amp;row=6498&amp;col=6&amp;number=4.4&amp;sourceID=14","4.4")</f>
        <v>4.4</v>
      </c>
      <c r="G6498" s="4" t="str">
        <f>HYPERLINK("http://141.218.60.56/~jnz1568/getInfo.php?workbook=14_09.xlsx&amp;sheet=U0&amp;row=6498&amp;col=7&amp;number=0.007&amp;sourceID=14","0.007")</f>
        <v>0.007</v>
      </c>
    </row>
    <row r="6499" spans="1:7">
      <c r="A6499" s="3"/>
      <c r="B6499" s="3"/>
      <c r="C6499" s="3"/>
      <c r="D6499" s="3"/>
      <c r="E6499" s="3">
        <v>16</v>
      </c>
      <c r="F6499" s="4" t="str">
        <f>HYPERLINK("http://141.218.60.56/~jnz1568/getInfo.php?workbook=14_09.xlsx&amp;sheet=U0&amp;row=6499&amp;col=6&amp;number=4.5&amp;sourceID=14","4.5")</f>
        <v>4.5</v>
      </c>
      <c r="G6499" s="4" t="str">
        <f>HYPERLINK("http://141.218.60.56/~jnz1568/getInfo.php?workbook=14_09.xlsx&amp;sheet=U0&amp;row=6499&amp;col=7&amp;number=0.00697&amp;sourceID=14","0.00697")</f>
        <v>0.00697</v>
      </c>
    </row>
    <row r="6500" spans="1:7">
      <c r="A6500" s="3"/>
      <c r="B6500" s="3"/>
      <c r="C6500" s="3"/>
      <c r="D6500" s="3"/>
      <c r="E6500" s="3">
        <v>17</v>
      </c>
      <c r="F6500" s="4" t="str">
        <f>HYPERLINK("http://141.218.60.56/~jnz1568/getInfo.php?workbook=14_09.xlsx&amp;sheet=U0&amp;row=6500&amp;col=6&amp;number=4.6&amp;sourceID=14","4.6")</f>
        <v>4.6</v>
      </c>
      <c r="G6500" s="4" t="str">
        <f>HYPERLINK("http://141.218.60.56/~jnz1568/getInfo.php?workbook=14_09.xlsx&amp;sheet=U0&amp;row=6500&amp;col=7&amp;number=0.00693&amp;sourceID=14","0.00693")</f>
        <v>0.00693</v>
      </c>
    </row>
    <row r="6501" spans="1:7">
      <c r="A6501" s="3"/>
      <c r="B6501" s="3"/>
      <c r="C6501" s="3"/>
      <c r="D6501" s="3"/>
      <c r="E6501" s="3">
        <v>18</v>
      </c>
      <c r="F6501" s="4" t="str">
        <f>HYPERLINK("http://141.218.60.56/~jnz1568/getInfo.php?workbook=14_09.xlsx&amp;sheet=U0&amp;row=6501&amp;col=6&amp;number=4.7&amp;sourceID=14","4.7")</f>
        <v>4.7</v>
      </c>
      <c r="G6501" s="4" t="str">
        <f>HYPERLINK("http://141.218.60.56/~jnz1568/getInfo.php?workbook=14_09.xlsx&amp;sheet=U0&amp;row=6501&amp;col=7&amp;number=0.00688&amp;sourceID=14","0.00688")</f>
        <v>0.00688</v>
      </c>
    </row>
    <row r="6502" spans="1:7">
      <c r="A6502" s="3"/>
      <c r="B6502" s="3"/>
      <c r="C6502" s="3"/>
      <c r="D6502" s="3"/>
      <c r="E6502" s="3">
        <v>19</v>
      </c>
      <c r="F6502" s="4" t="str">
        <f>HYPERLINK("http://141.218.60.56/~jnz1568/getInfo.php?workbook=14_09.xlsx&amp;sheet=U0&amp;row=6502&amp;col=6&amp;number=4.8&amp;sourceID=14","4.8")</f>
        <v>4.8</v>
      </c>
      <c r="G6502" s="4" t="str">
        <f>HYPERLINK("http://141.218.60.56/~jnz1568/getInfo.php?workbook=14_09.xlsx&amp;sheet=U0&amp;row=6502&amp;col=7&amp;number=0.00682&amp;sourceID=14","0.00682")</f>
        <v>0.00682</v>
      </c>
    </row>
    <row r="6503" spans="1:7">
      <c r="A6503" s="3"/>
      <c r="B6503" s="3"/>
      <c r="C6503" s="3"/>
      <c r="D6503" s="3"/>
      <c r="E6503" s="3">
        <v>20</v>
      </c>
      <c r="F6503" s="4" t="str">
        <f>HYPERLINK("http://141.218.60.56/~jnz1568/getInfo.php?workbook=14_09.xlsx&amp;sheet=U0&amp;row=6503&amp;col=6&amp;number=4.9&amp;sourceID=14","4.9")</f>
        <v>4.9</v>
      </c>
      <c r="G6503" s="4" t="str">
        <f>HYPERLINK("http://141.218.60.56/~jnz1568/getInfo.php?workbook=14_09.xlsx&amp;sheet=U0&amp;row=6503&amp;col=7&amp;number=0.00674&amp;sourceID=14","0.00674")</f>
        <v>0.00674</v>
      </c>
    </row>
    <row r="6504" spans="1:7">
      <c r="A6504" s="3">
        <v>14</v>
      </c>
      <c r="B6504" s="3">
        <v>9</v>
      </c>
      <c r="C6504" s="3">
        <v>2</v>
      </c>
      <c r="D6504" s="3">
        <v>134</v>
      </c>
      <c r="E6504" s="3">
        <v>1</v>
      </c>
      <c r="F6504" s="4" t="str">
        <f>HYPERLINK("http://141.218.60.56/~jnz1568/getInfo.php?workbook=14_09.xlsx&amp;sheet=U0&amp;row=6504&amp;col=6&amp;number=3&amp;sourceID=14","3")</f>
        <v>3</v>
      </c>
      <c r="G6504" s="4" t="str">
        <f>HYPERLINK("http://141.218.60.56/~jnz1568/getInfo.php?workbook=14_09.xlsx&amp;sheet=U0&amp;row=6504&amp;col=7&amp;number=0.0166&amp;sourceID=14","0.0166")</f>
        <v>0.0166</v>
      </c>
    </row>
    <row r="6505" spans="1:7">
      <c r="A6505" s="3"/>
      <c r="B6505" s="3"/>
      <c r="C6505" s="3"/>
      <c r="D6505" s="3"/>
      <c r="E6505" s="3">
        <v>2</v>
      </c>
      <c r="F6505" s="4" t="str">
        <f>HYPERLINK("http://141.218.60.56/~jnz1568/getInfo.php?workbook=14_09.xlsx&amp;sheet=U0&amp;row=6505&amp;col=6&amp;number=3.1&amp;sourceID=14","3.1")</f>
        <v>3.1</v>
      </c>
      <c r="G6505" s="4" t="str">
        <f>HYPERLINK("http://141.218.60.56/~jnz1568/getInfo.php?workbook=14_09.xlsx&amp;sheet=U0&amp;row=6505&amp;col=7&amp;number=0.0166&amp;sourceID=14","0.0166")</f>
        <v>0.0166</v>
      </c>
    </row>
    <row r="6506" spans="1:7">
      <c r="A6506" s="3"/>
      <c r="B6506" s="3"/>
      <c r="C6506" s="3"/>
      <c r="D6506" s="3"/>
      <c r="E6506" s="3">
        <v>3</v>
      </c>
      <c r="F6506" s="4" t="str">
        <f>HYPERLINK("http://141.218.60.56/~jnz1568/getInfo.php?workbook=14_09.xlsx&amp;sheet=U0&amp;row=6506&amp;col=6&amp;number=3.2&amp;sourceID=14","3.2")</f>
        <v>3.2</v>
      </c>
      <c r="G6506" s="4" t="str">
        <f>HYPERLINK("http://141.218.60.56/~jnz1568/getInfo.php?workbook=14_09.xlsx&amp;sheet=U0&amp;row=6506&amp;col=7&amp;number=0.0166&amp;sourceID=14","0.0166")</f>
        <v>0.0166</v>
      </c>
    </row>
    <row r="6507" spans="1:7">
      <c r="A6507" s="3"/>
      <c r="B6507" s="3"/>
      <c r="C6507" s="3"/>
      <c r="D6507" s="3"/>
      <c r="E6507" s="3">
        <v>4</v>
      </c>
      <c r="F6507" s="4" t="str">
        <f>HYPERLINK("http://141.218.60.56/~jnz1568/getInfo.php?workbook=14_09.xlsx&amp;sheet=U0&amp;row=6507&amp;col=6&amp;number=3.3&amp;sourceID=14","3.3")</f>
        <v>3.3</v>
      </c>
      <c r="G6507" s="4" t="str">
        <f>HYPERLINK("http://141.218.60.56/~jnz1568/getInfo.php?workbook=14_09.xlsx&amp;sheet=U0&amp;row=6507&amp;col=7&amp;number=0.0166&amp;sourceID=14","0.0166")</f>
        <v>0.0166</v>
      </c>
    </row>
    <row r="6508" spans="1:7">
      <c r="A6508" s="3"/>
      <c r="B6508" s="3"/>
      <c r="C6508" s="3"/>
      <c r="D6508" s="3"/>
      <c r="E6508" s="3">
        <v>5</v>
      </c>
      <c r="F6508" s="4" t="str">
        <f>HYPERLINK("http://141.218.60.56/~jnz1568/getInfo.php?workbook=14_09.xlsx&amp;sheet=U0&amp;row=6508&amp;col=6&amp;number=3.4&amp;sourceID=14","3.4")</f>
        <v>3.4</v>
      </c>
      <c r="G6508" s="4" t="str">
        <f>HYPERLINK("http://141.218.60.56/~jnz1568/getInfo.php?workbook=14_09.xlsx&amp;sheet=U0&amp;row=6508&amp;col=7&amp;number=0.0166&amp;sourceID=14","0.0166")</f>
        <v>0.0166</v>
      </c>
    </row>
    <row r="6509" spans="1:7">
      <c r="A6509" s="3"/>
      <c r="B6509" s="3"/>
      <c r="C6509" s="3"/>
      <c r="D6509" s="3"/>
      <c r="E6509" s="3">
        <v>6</v>
      </c>
      <c r="F6509" s="4" t="str">
        <f>HYPERLINK("http://141.218.60.56/~jnz1568/getInfo.php?workbook=14_09.xlsx&amp;sheet=U0&amp;row=6509&amp;col=6&amp;number=3.5&amp;sourceID=14","3.5")</f>
        <v>3.5</v>
      </c>
      <c r="G6509" s="4" t="str">
        <f>HYPERLINK("http://141.218.60.56/~jnz1568/getInfo.php?workbook=14_09.xlsx&amp;sheet=U0&amp;row=6509&amp;col=7&amp;number=0.0166&amp;sourceID=14","0.0166")</f>
        <v>0.0166</v>
      </c>
    </row>
    <row r="6510" spans="1:7">
      <c r="A6510" s="3"/>
      <c r="B6510" s="3"/>
      <c r="C6510" s="3"/>
      <c r="D6510" s="3"/>
      <c r="E6510" s="3">
        <v>7</v>
      </c>
      <c r="F6510" s="4" t="str">
        <f>HYPERLINK("http://141.218.60.56/~jnz1568/getInfo.php?workbook=14_09.xlsx&amp;sheet=U0&amp;row=6510&amp;col=6&amp;number=3.6&amp;sourceID=14","3.6")</f>
        <v>3.6</v>
      </c>
      <c r="G6510" s="4" t="str">
        <f>HYPERLINK("http://141.218.60.56/~jnz1568/getInfo.php?workbook=14_09.xlsx&amp;sheet=U0&amp;row=6510&amp;col=7&amp;number=0.0167&amp;sourceID=14","0.0167")</f>
        <v>0.0167</v>
      </c>
    </row>
    <row r="6511" spans="1:7">
      <c r="A6511" s="3"/>
      <c r="B6511" s="3"/>
      <c r="C6511" s="3"/>
      <c r="D6511" s="3"/>
      <c r="E6511" s="3">
        <v>8</v>
      </c>
      <c r="F6511" s="4" t="str">
        <f>HYPERLINK("http://141.218.60.56/~jnz1568/getInfo.php?workbook=14_09.xlsx&amp;sheet=U0&amp;row=6511&amp;col=6&amp;number=3.7&amp;sourceID=14","3.7")</f>
        <v>3.7</v>
      </c>
      <c r="G6511" s="4" t="str">
        <f>HYPERLINK("http://141.218.60.56/~jnz1568/getInfo.php?workbook=14_09.xlsx&amp;sheet=U0&amp;row=6511&amp;col=7&amp;number=0.0167&amp;sourceID=14","0.0167")</f>
        <v>0.0167</v>
      </c>
    </row>
    <row r="6512" spans="1:7">
      <c r="A6512" s="3"/>
      <c r="B6512" s="3"/>
      <c r="C6512" s="3"/>
      <c r="D6512" s="3"/>
      <c r="E6512" s="3">
        <v>9</v>
      </c>
      <c r="F6512" s="4" t="str">
        <f>HYPERLINK("http://141.218.60.56/~jnz1568/getInfo.php?workbook=14_09.xlsx&amp;sheet=U0&amp;row=6512&amp;col=6&amp;number=3.8&amp;sourceID=14","3.8")</f>
        <v>3.8</v>
      </c>
      <c r="G6512" s="4" t="str">
        <f>HYPERLINK("http://141.218.60.56/~jnz1568/getInfo.php?workbook=14_09.xlsx&amp;sheet=U0&amp;row=6512&amp;col=7&amp;number=0.0167&amp;sourceID=14","0.0167")</f>
        <v>0.0167</v>
      </c>
    </row>
    <row r="6513" spans="1:7">
      <c r="A6513" s="3"/>
      <c r="B6513" s="3"/>
      <c r="C6513" s="3"/>
      <c r="D6513" s="3"/>
      <c r="E6513" s="3">
        <v>10</v>
      </c>
      <c r="F6513" s="4" t="str">
        <f>HYPERLINK("http://141.218.60.56/~jnz1568/getInfo.php?workbook=14_09.xlsx&amp;sheet=U0&amp;row=6513&amp;col=6&amp;number=3.9&amp;sourceID=14","3.9")</f>
        <v>3.9</v>
      </c>
      <c r="G6513" s="4" t="str">
        <f>HYPERLINK("http://141.218.60.56/~jnz1568/getInfo.php?workbook=14_09.xlsx&amp;sheet=U0&amp;row=6513&amp;col=7&amp;number=0.0167&amp;sourceID=14","0.0167")</f>
        <v>0.0167</v>
      </c>
    </row>
    <row r="6514" spans="1:7">
      <c r="A6514" s="3"/>
      <c r="B6514" s="3"/>
      <c r="C6514" s="3"/>
      <c r="D6514" s="3"/>
      <c r="E6514" s="3">
        <v>11</v>
      </c>
      <c r="F6514" s="4" t="str">
        <f>HYPERLINK("http://141.218.60.56/~jnz1568/getInfo.php?workbook=14_09.xlsx&amp;sheet=U0&amp;row=6514&amp;col=6&amp;number=4&amp;sourceID=14","4")</f>
        <v>4</v>
      </c>
      <c r="G6514" s="4" t="str">
        <f>HYPERLINK("http://141.218.60.56/~jnz1568/getInfo.php?workbook=14_09.xlsx&amp;sheet=U0&amp;row=6514&amp;col=7&amp;number=0.0167&amp;sourceID=14","0.0167")</f>
        <v>0.0167</v>
      </c>
    </row>
    <row r="6515" spans="1:7">
      <c r="A6515" s="3"/>
      <c r="B6515" s="3"/>
      <c r="C6515" s="3"/>
      <c r="D6515" s="3"/>
      <c r="E6515" s="3">
        <v>12</v>
      </c>
      <c r="F6515" s="4" t="str">
        <f>HYPERLINK("http://141.218.60.56/~jnz1568/getInfo.php?workbook=14_09.xlsx&amp;sheet=U0&amp;row=6515&amp;col=6&amp;number=4.1&amp;sourceID=14","4.1")</f>
        <v>4.1</v>
      </c>
      <c r="G6515" s="4" t="str">
        <f>HYPERLINK("http://141.218.60.56/~jnz1568/getInfo.php?workbook=14_09.xlsx&amp;sheet=U0&amp;row=6515&amp;col=7&amp;number=0.0168&amp;sourceID=14","0.0168")</f>
        <v>0.0168</v>
      </c>
    </row>
    <row r="6516" spans="1:7">
      <c r="A6516" s="3"/>
      <c r="B6516" s="3"/>
      <c r="C6516" s="3"/>
      <c r="D6516" s="3"/>
      <c r="E6516" s="3">
        <v>13</v>
      </c>
      <c r="F6516" s="4" t="str">
        <f>HYPERLINK("http://141.218.60.56/~jnz1568/getInfo.php?workbook=14_09.xlsx&amp;sheet=U0&amp;row=6516&amp;col=6&amp;number=4.2&amp;sourceID=14","4.2")</f>
        <v>4.2</v>
      </c>
      <c r="G6516" s="4" t="str">
        <f>HYPERLINK("http://141.218.60.56/~jnz1568/getInfo.php?workbook=14_09.xlsx&amp;sheet=U0&amp;row=6516&amp;col=7&amp;number=0.0168&amp;sourceID=14","0.0168")</f>
        <v>0.0168</v>
      </c>
    </row>
    <row r="6517" spans="1:7">
      <c r="A6517" s="3"/>
      <c r="B6517" s="3"/>
      <c r="C6517" s="3"/>
      <c r="D6517" s="3"/>
      <c r="E6517" s="3">
        <v>14</v>
      </c>
      <c r="F6517" s="4" t="str">
        <f>HYPERLINK("http://141.218.60.56/~jnz1568/getInfo.php?workbook=14_09.xlsx&amp;sheet=U0&amp;row=6517&amp;col=6&amp;number=4.3&amp;sourceID=14","4.3")</f>
        <v>4.3</v>
      </c>
      <c r="G6517" s="4" t="str">
        <f>HYPERLINK("http://141.218.60.56/~jnz1568/getInfo.php?workbook=14_09.xlsx&amp;sheet=U0&amp;row=6517&amp;col=7&amp;number=0.0168&amp;sourceID=14","0.0168")</f>
        <v>0.0168</v>
      </c>
    </row>
    <row r="6518" spans="1:7">
      <c r="A6518" s="3"/>
      <c r="B6518" s="3"/>
      <c r="C6518" s="3"/>
      <c r="D6518" s="3"/>
      <c r="E6518" s="3">
        <v>15</v>
      </c>
      <c r="F6518" s="4" t="str">
        <f>HYPERLINK("http://141.218.60.56/~jnz1568/getInfo.php?workbook=14_09.xlsx&amp;sheet=U0&amp;row=6518&amp;col=6&amp;number=4.4&amp;sourceID=14","4.4")</f>
        <v>4.4</v>
      </c>
      <c r="G6518" s="4" t="str">
        <f>HYPERLINK("http://141.218.60.56/~jnz1568/getInfo.php?workbook=14_09.xlsx&amp;sheet=U0&amp;row=6518&amp;col=7&amp;number=0.0169&amp;sourceID=14","0.0169")</f>
        <v>0.0169</v>
      </c>
    </row>
    <row r="6519" spans="1:7">
      <c r="A6519" s="3"/>
      <c r="B6519" s="3"/>
      <c r="C6519" s="3"/>
      <c r="D6519" s="3"/>
      <c r="E6519" s="3">
        <v>16</v>
      </c>
      <c r="F6519" s="4" t="str">
        <f>HYPERLINK("http://141.218.60.56/~jnz1568/getInfo.php?workbook=14_09.xlsx&amp;sheet=U0&amp;row=6519&amp;col=6&amp;number=4.5&amp;sourceID=14","4.5")</f>
        <v>4.5</v>
      </c>
      <c r="G6519" s="4" t="str">
        <f>HYPERLINK("http://141.218.60.56/~jnz1568/getInfo.php?workbook=14_09.xlsx&amp;sheet=U0&amp;row=6519&amp;col=7&amp;number=0.017&amp;sourceID=14","0.017")</f>
        <v>0.017</v>
      </c>
    </row>
    <row r="6520" spans="1:7">
      <c r="A6520" s="3"/>
      <c r="B6520" s="3"/>
      <c r="C6520" s="3"/>
      <c r="D6520" s="3"/>
      <c r="E6520" s="3">
        <v>17</v>
      </c>
      <c r="F6520" s="4" t="str">
        <f>HYPERLINK("http://141.218.60.56/~jnz1568/getInfo.php?workbook=14_09.xlsx&amp;sheet=U0&amp;row=6520&amp;col=6&amp;number=4.6&amp;sourceID=14","4.6")</f>
        <v>4.6</v>
      </c>
      <c r="G6520" s="4" t="str">
        <f>HYPERLINK("http://141.218.60.56/~jnz1568/getInfo.php?workbook=14_09.xlsx&amp;sheet=U0&amp;row=6520&amp;col=7&amp;number=0.0171&amp;sourceID=14","0.0171")</f>
        <v>0.0171</v>
      </c>
    </row>
    <row r="6521" spans="1:7">
      <c r="A6521" s="3"/>
      <c r="B6521" s="3"/>
      <c r="C6521" s="3"/>
      <c r="D6521" s="3"/>
      <c r="E6521" s="3">
        <v>18</v>
      </c>
      <c r="F6521" s="4" t="str">
        <f>HYPERLINK("http://141.218.60.56/~jnz1568/getInfo.php?workbook=14_09.xlsx&amp;sheet=U0&amp;row=6521&amp;col=6&amp;number=4.7&amp;sourceID=14","4.7")</f>
        <v>4.7</v>
      </c>
      <c r="G6521" s="4" t="str">
        <f>HYPERLINK("http://141.218.60.56/~jnz1568/getInfo.php?workbook=14_09.xlsx&amp;sheet=U0&amp;row=6521&amp;col=7&amp;number=0.0172&amp;sourceID=14","0.0172")</f>
        <v>0.0172</v>
      </c>
    </row>
    <row r="6522" spans="1:7">
      <c r="A6522" s="3"/>
      <c r="B6522" s="3"/>
      <c r="C6522" s="3"/>
      <c r="D6522" s="3"/>
      <c r="E6522" s="3">
        <v>19</v>
      </c>
      <c r="F6522" s="4" t="str">
        <f>HYPERLINK("http://141.218.60.56/~jnz1568/getInfo.php?workbook=14_09.xlsx&amp;sheet=U0&amp;row=6522&amp;col=6&amp;number=4.8&amp;sourceID=14","4.8")</f>
        <v>4.8</v>
      </c>
      <c r="G6522" s="4" t="str">
        <f>HYPERLINK("http://141.218.60.56/~jnz1568/getInfo.php?workbook=14_09.xlsx&amp;sheet=U0&amp;row=6522&amp;col=7&amp;number=0.0173&amp;sourceID=14","0.0173")</f>
        <v>0.0173</v>
      </c>
    </row>
    <row r="6523" spans="1:7">
      <c r="A6523" s="3"/>
      <c r="B6523" s="3"/>
      <c r="C6523" s="3"/>
      <c r="D6523" s="3"/>
      <c r="E6523" s="3">
        <v>20</v>
      </c>
      <c r="F6523" s="4" t="str">
        <f>HYPERLINK("http://141.218.60.56/~jnz1568/getInfo.php?workbook=14_09.xlsx&amp;sheet=U0&amp;row=6523&amp;col=6&amp;number=4.9&amp;sourceID=14","4.9")</f>
        <v>4.9</v>
      </c>
      <c r="G6523" s="4" t="str">
        <f>HYPERLINK("http://141.218.60.56/~jnz1568/getInfo.php?workbook=14_09.xlsx&amp;sheet=U0&amp;row=6523&amp;col=7&amp;number=0.0175&amp;sourceID=14","0.0175")</f>
        <v>0.0175</v>
      </c>
    </row>
    <row r="6524" spans="1:7">
      <c r="A6524" s="3">
        <v>14</v>
      </c>
      <c r="B6524" s="3">
        <v>9</v>
      </c>
      <c r="C6524" s="3">
        <v>2</v>
      </c>
      <c r="D6524" s="3">
        <v>135</v>
      </c>
      <c r="E6524" s="3">
        <v>1</v>
      </c>
      <c r="F6524" s="4" t="str">
        <f>HYPERLINK("http://141.218.60.56/~jnz1568/getInfo.php?workbook=14_09.xlsx&amp;sheet=U0&amp;row=6524&amp;col=6&amp;number=3&amp;sourceID=14","3")</f>
        <v>3</v>
      </c>
      <c r="G6524" s="4" t="str">
        <f>HYPERLINK("http://141.218.60.56/~jnz1568/getInfo.php?workbook=14_09.xlsx&amp;sheet=U0&amp;row=6524&amp;col=7&amp;number=0.00784&amp;sourceID=14","0.00784")</f>
        <v>0.00784</v>
      </c>
    </row>
    <row r="6525" spans="1:7">
      <c r="A6525" s="3"/>
      <c r="B6525" s="3"/>
      <c r="C6525" s="3"/>
      <c r="D6525" s="3"/>
      <c r="E6525" s="3">
        <v>2</v>
      </c>
      <c r="F6525" s="4" t="str">
        <f>HYPERLINK("http://141.218.60.56/~jnz1568/getInfo.php?workbook=14_09.xlsx&amp;sheet=U0&amp;row=6525&amp;col=6&amp;number=3.1&amp;sourceID=14","3.1")</f>
        <v>3.1</v>
      </c>
      <c r="G6525" s="4" t="str">
        <f>HYPERLINK("http://141.218.60.56/~jnz1568/getInfo.php?workbook=14_09.xlsx&amp;sheet=U0&amp;row=6525&amp;col=7&amp;number=0.00784&amp;sourceID=14","0.00784")</f>
        <v>0.00784</v>
      </c>
    </row>
    <row r="6526" spans="1:7">
      <c r="A6526" s="3"/>
      <c r="B6526" s="3"/>
      <c r="C6526" s="3"/>
      <c r="D6526" s="3"/>
      <c r="E6526" s="3">
        <v>3</v>
      </c>
      <c r="F6526" s="4" t="str">
        <f>HYPERLINK("http://141.218.60.56/~jnz1568/getInfo.php?workbook=14_09.xlsx&amp;sheet=U0&amp;row=6526&amp;col=6&amp;number=3.2&amp;sourceID=14","3.2")</f>
        <v>3.2</v>
      </c>
      <c r="G6526" s="4" t="str">
        <f>HYPERLINK("http://141.218.60.56/~jnz1568/getInfo.php?workbook=14_09.xlsx&amp;sheet=U0&amp;row=6526&amp;col=7&amp;number=0.00784&amp;sourceID=14","0.00784")</f>
        <v>0.00784</v>
      </c>
    </row>
    <row r="6527" spans="1:7">
      <c r="A6527" s="3"/>
      <c r="B6527" s="3"/>
      <c r="C6527" s="3"/>
      <c r="D6527" s="3"/>
      <c r="E6527" s="3">
        <v>4</v>
      </c>
      <c r="F6527" s="4" t="str">
        <f>HYPERLINK("http://141.218.60.56/~jnz1568/getInfo.php?workbook=14_09.xlsx&amp;sheet=U0&amp;row=6527&amp;col=6&amp;number=3.3&amp;sourceID=14","3.3")</f>
        <v>3.3</v>
      </c>
      <c r="G6527" s="4" t="str">
        <f>HYPERLINK("http://141.218.60.56/~jnz1568/getInfo.php?workbook=14_09.xlsx&amp;sheet=U0&amp;row=6527&amp;col=7&amp;number=0.00783&amp;sourceID=14","0.00783")</f>
        <v>0.00783</v>
      </c>
    </row>
    <row r="6528" spans="1:7">
      <c r="A6528" s="3"/>
      <c r="B6528" s="3"/>
      <c r="C6528" s="3"/>
      <c r="D6528" s="3"/>
      <c r="E6528" s="3">
        <v>5</v>
      </c>
      <c r="F6528" s="4" t="str">
        <f>HYPERLINK("http://141.218.60.56/~jnz1568/getInfo.php?workbook=14_09.xlsx&amp;sheet=U0&amp;row=6528&amp;col=6&amp;number=3.4&amp;sourceID=14","3.4")</f>
        <v>3.4</v>
      </c>
      <c r="G6528" s="4" t="str">
        <f>HYPERLINK("http://141.218.60.56/~jnz1568/getInfo.php?workbook=14_09.xlsx&amp;sheet=U0&amp;row=6528&amp;col=7&amp;number=0.00783&amp;sourceID=14","0.00783")</f>
        <v>0.00783</v>
      </c>
    </row>
    <row r="6529" spans="1:7">
      <c r="A6529" s="3"/>
      <c r="B6529" s="3"/>
      <c r="C6529" s="3"/>
      <c r="D6529" s="3"/>
      <c r="E6529" s="3">
        <v>6</v>
      </c>
      <c r="F6529" s="4" t="str">
        <f>HYPERLINK("http://141.218.60.56/~jnz1568/getInfo.php?workbook=14_09.xlsx&amp;sheet=U0&amp;row=6529&amp;col=6&amp;number=3.5&amp;sourceID=14","3.5")</f>
        <v>3.5</v>
      </c>
      <c r="G6529" s="4" t="str">
        <f>HYPERLINK("http://141.218.60.56/~jnz1568/getInfo.php?workbook=14_09.xlsx&amp;sheet=U0&amp;row=6529&amp;col=7&amp;number=0.00783&amp;sourceID=14","0.00783")</f>
        <v>0.00783</v>
      </c>
    </row>
    <row r="6530" spans="1:7">
      <c r="A6530" s="3"/>
      <c r="B6530" s="3"/>
      <c r="C6530" s="3"/>
      <c r="D6530" s="3"/>
      <c r="E6530" s="3">
        <v>7</v>
      </c>
      <c r="F6530" s="4" t="str">
        <f>HYPERLINK("http://141.218.60.56/~jnz1568/getInfo.php?workbook=14_09.xlsx&amp;sheet=U0&amp;row=6530&amp;col=6&amp;number=3.6&amp;sourceID=14","3.6")</f>
        <v>3.6</v>
      </c>
      <c r="G6530" s="4" t="str">
        <f>HYPERLINK("http://141.218.60.56/~jnz1568/getInfo.php?workbook=14_09.xlsx&amp;sheet=U0&amp;row=6530&amp;col=7&amp;number=0.00782&amp;sourceID=14","0.00782")</f>
        <v>0.00782</v>
      </c>
    </row>
    <row r="6531" spans="1:7">
      <c r="A6531" s="3"/>
      <c r="B6531" s="3"/>
      <c r="C6531" s="3"/>
      <c r="D6531" s="3"/>
      <c r="E6531" s="3">
        <v>8</v>
      </c>
      <c r="F6531" s="4" t="str">
        <f>HYPERLINK("http://141.218.60.56/~jnz1568/getInfo.php?workbook=14_09.xlsx&amp;sheet=U0&amp;row=6531&amp;col=6&amp;number=3.7&amp;sourceID=14","3.7")</f>
        <v>3.7</v>
      </c>
      <c r="G6531" s="4" t="str">
        <f>HYPERLINK("http://141.218.60.56/~jnz1568/getInfo.php?workbook=14_09.xlsx&amp;sheet=U0&amp;row=6531&amp;col=7&amp;number=0.00782&amp;sourceID=14","0.00782")</f>
        <v>0.00782</v>
      </c>
    </row>
    <row r="6532" spans="1:7">
      <c r="A6532" s="3"/>
      <c r="B6532" s="3"/>
      <c r="C6532" s="3"/>
      <c r="D6532" s="3"/>
      <c r="E6532" s="3">
        <v>9</v>
      </c>
      <c r="F6532" s="4" t="str">
        <f>HYPERLINK("http://141.218.60.56/~jnz1568/getInfo.php?workbook=14_09.xlsx&amp;sheet=U0&amp;row=6532&amp;col=6&amp;number=3.8&amp;sourceID=14","3.8")</f>
        <v>3.8</v>
      </c>
      <c r="G6532" s="4" t="str">
        <f>HYPERLINK("http://141.218.60.56/~jnz1568/getInfo.php?workbook=14_09.xlsx&amp;sheet=U0&amp;row=6532&amp;col=7&amp;number=0.00781&amp;sourceID=14","0.00781")</f>
        <v>0.00781</v>
      </c>
    </row>
    <row r="6533" spans="1:7">
      <c r="A6533" s="3"/>
      <c r="B6533" s="3"/>
      <c r="C6533" s="3"/>
      <c r="D6533" s="3"/>
      <c r="E6533" s="3">
        <v>10</v>
      </c>
      <c r="F6533" s="4" t="str">
        <f>HYPERLINK("http://141.218.60.56/~jnz1568/getInfo.php?workbook=14_09.xlsx&amp;sheet=U0&amp;row=6533&amp;col=6&amp;number=3.9&amp;sourceID=14","3.9")</f>
        <v>3.9</v>
      </c>
      <c r="G6533" s="4" t="str">
        <f>HYPERLINK("http://141.218.60.56/~jnz1568/getInfo.php?workbook=14_09.xlsx&amp;sheet=U0&amp;row=6533&amp;col=7&amp;number=0.0078&amp;sourceID=14","0.0078")</f>
        <v>0.0078</v>
      </c>
    </row>
    <row r="6534" spans="1:7">
      <c r="A6534" s="3"/>
      <c r="B6534" s="3"/>
      <c r="C6534" s="3"/>
      <c r="D6534" s="3"/>
      <c r="E6534" s="3">
        <v>11</v>
      </c>
      <c r="F6534" s="4" t="str">
        <f>HYPERLINK("http://141.218.60.56/~jnz1568/getInfo.php?workbook=14_09.xlsx&amp;sheet=U0&amp;row=6534&amp;col=6&amp;number=4&amp;sourceID=14","4")</f>
        <v>4</v>
      </c>
      <c r="G6534" s="4" t="str">
        <f>HYPERLINK("http://141.218.60.56/~jnz1568/getInfo.php?workbook=14_09.xlsx&amp;sheet=U0&amp;row=6534&amp;col=7&amp;number=0.00779&amp;sourceID=14","0.00779")</f>
        <v>0.00779</v>
      </c>
    </row>
    <row r="6535" spans="1:7">
      <c r="A6535" s="3"/>
      <c r="B6535" s="3"/>
      <c r="C6535" s="3"/>
      <c r="D6535" s="3"/>
      <c r="E6535" s="3">
        <v>12</v>
      </c>
      <c r="F6535" s="4" t="str">
        <f>HYPERLINK("http://141.218.60.56/~jnz1568/getInfo.php?workbook=14_09.xlsx&amp;sheet=U0&amp;row=6535&amp;col=6&amp;number=4.1&amp;sourceID=14","4.1")</f>
        <v>4.1</v>
      </c>
      <c r="G6535" s="4" t="str">
        <f>HYPERLINK("http://141.218.60.56/~jnz1568/getInfo.php?workbook=14_09.xlsx&amp;sheet=U0&amp;row=6535&amp;col=7&amp;number=0.00778&amp;sourceID=14","0.00778")</f>
        <v>0.00778</v>
      </c>
    </row>
    <row r="6536" spans="1:7">
      <c r="A6536" s="3"/>
      <c r="B6536" s="3"/>
      <c r="C6536" s="3"/>
      <c r="D6536" s="3"/>
      <c r="E6536" s="3">
        <v>13</v>
      </c>
      <c r="F6536" s="4" t="str">
        <f>HYPERLINK("http://141.218.60.56/~jnz1568/getInfo.php?workbook=14_09.xlsx&amp;sheet=U0&amp;row=6536&amp;col=6&amp;number=4.2&amp;sourceID=14","4.2")</f>
        <v>4.2</v>
      </c>
      <c r="G6536" s="4" t="str">
        <f>HYPERLINK("http://141.218.60.56/~jnz1568/getInfo.php?workbook=14_09.xlsx&amp;sheet=U0&amp;row=6536&amp;col=7&amp;number=0.00776&amp;sourceID=14","0.00776")</f>
        <v>0.00776</v>
      </c>
    </row>
    <row r="6537" spans="1:7">
      <c r="A6537" s="3"/>
      <c r="B6537" s="3"/>
      <c r="C6537" s="3"/>
      <c r="D6537" s="3"/>
      <c r="E6537" s="3">
        <v>14</v>
      </c>
      <c r="F6537" s="4" t="str">
        <f>HYPERLINK("http://141.218.60.56/~jnz1568/getInfo.php?workbook=14_09.xlsx&amp;sheet=U0&amp;row=6537&amp;col=6&amp;number=4.3&amp;sourceID=14","4.3")</f>
        <v>4.3</v>
      </c>
      <c r="G6537" s="4" t="str">
        <f>HYPERLINK("http://141.218.60.56/~jnz1568/getInfo.php?workbook=14_09.xlsx&amp;sheet=U0&amp;row=6537&amp;col=7&amp;number=0.00774&amp;sourceID=14","0.00774")</f>
        <v>0.00774</v>
      </c>
    </row>
    <row r="6538" spans="1:7">
      <c r="A6538" s="3"/>
      <c r="B6538" s="3"/>
      <c r="C6538" s="3"/>
      <c r="D6538" s="3"/>
      <c r="E6538" s="3">
        <v>15</v>
      </c>
      <c r="F6538" s="4" t="str">
        <f>HYPERLINK("http://141.218.60.56/~jnz1568/getInfo.php?workbook=14_09.xlsx&amp;sheet=U0&amp;row=6538&amp;col=6&amp;number=4.4&amp;sourceID=14","4.4")</f>
        <v>4.4</v>
      </c>
      <c r="G6538" s="4" t="str">
        <f>HYPERLINK("http://141.218.60.56/~jnz1568/getInfo.php?workbook=14_09.xlsx&amp;sheet=U0&amp;row=6538&amp;col=7&amp;number=0.00772&amp;sourceID=14","0.00772")</f>
        <v>0.00772</v>
      </c>
    </row>
    <row r="6539" spans="1:7">
      <c r="A6539" s="3"/>
      <c r="B6539" s="3"/>
      <c r="C6539" s="3"/>
      <c r="D6539" s="3"/>
      <c r="E6539" s="3">
        <v>16</v>
      </c>
      <c r="F6539" s="4" t="str">
        <f>HYPERLINK("http://141.218.60.56/~jnz1568/getInfo.php?workbook=14_09.xlsx&amp;sheet=U0&amp;row=6539&amp;col=6&amp;number=4.5&amp;sourceID=14","4.5")</f>
        <v>4.5</v>
      </c>
      <c r="G6539" s="4" t="str">
        <f>HYPERLINK("http://141.218.60.56/~jnz1568/getInfo.php?workbook=14_09.xlsx&amp;sheet=U0&amp;row=6539&amp;col=7&amp;number=0.00768&amp;sourceID=14","0.00768")</f>
        <v>0.00768</v>
      </c>
    </row>
    <row r="6540" spans="1:7">
      <c r="A6540" s="3"/>
      <c r="B6540" s="3"/>
      <c r="C6540" s="3"/>
      <c r="D6540" s="3"/>
      <c r="E6540" s="3">
        <v>17</v>
      </c>
      <c r="F6540" s="4" t="str">
        <f>HYPERLINK("http://141.218.60.56/~jnz1568/getInfo.php?workbook=14_09.xlsx&amp;sheet=U0&amp;row=6540&amp;col=6&amp;number=4.6&amp;sourceID=14","4.6")</f>
        <v>4.6</v>
      </c>
      <c r="G6540" s="4" t="str">
        <f>HYPERLINK("http://141.218.60.56/~jnz1568/getInfo.php?workbook=14_09.xlsx&amp;sheet=U0&amp;row=6540&amp;col=7&amp;number=0.00764&amp;sourceID=14","0.00764")</f>
        <v>0.00764</v>
      </c>
    </row>
    <row r="6541" spans="1:7">
      <c r="A6541" s="3"/>
      <c r="B6541" s="3"/>
      <c r="C6541" s="3"/>
      <c r="D6541" s="3"/>
      <c r="E6541" s="3">
        <v>18</v>
      </c>
      <c r="F6541" s="4" t="str">
        <f>HYPERLINK("http://141.218.60.56/~jnz1568/getInfo.php?workbook=14_09.xlsx&amp;sheet=U0&amp;row=6541&amp;col=6&amp;number=4.7&amp;sourceID=14","4.7")</f>
        <v>4.7</v>
      </c>
      <c r="G6541" s="4" t="str">
        <f>HYPERLINK("http://141.218.60.56/~jnz1568/getInfo.php?workbook=14_09.xlsx&amp;sheet=U0&amp;row=6541&amp;col=7&amp;number=0.00759&amp;sourceID=14","0.00759")</f>
        <v>0.00759</v>
      </c>
    </row>
    <row r="6542" spans="1:7">
      <c r="A6542" s="3"/>
      <c r="B6542" s="3"/>
      <c r="C6542" s="3"/>
      <c r="D6542" s="3"/>
      <c r="E6542" s="3">
        <v>19</v>
      </c>
      <c r="F6542" s="4" t="str">
        <f>HYPERLINK("http://141.218.60.56/~jnz1568/getInfo.php?workbook=14_09.xlsx&amp;sheet=U0&amp;row=6542&amp;col=6&amp;number=4.8&amp;sourceID=14","4.8")</f>
        <v>4.8</v>
      </c>
      <c r="G6542" s="4" t="str">
        <f>HYPERLINK("http://141.218.60.56/~jnz1568/getInfo.php?workbook=14_09.xlsx&amp;sheet=U0&amp;row=6542&amp;col=7&amp;number=0.00753&amp;sourceID=14","0.00753")</f>
        <v>0.00753</v>
      </c>
    </row>
    <row r="6543" spans="1:7">
      <c r="A6543" s="3"/>
      <c r="B6543" s="3"/>
      <c r="C6543" s="3"/>
      <c r="D6543" s="3"/>
      <c r="E6543" s="3">
        <v>20</v>
      </c>
      <c r="F6543" s="4" t="str">
        <f>HYPERLINK("http://141.218.60.56/~jnz1568/getInfo.php?workbook=14_09.xlsx&amp;sheet=U0&amp;row=6543&amp;col=6&amp;number=4.9&amp;sourceID=14","4.9")</f>
        <v>4.9</v>
      </c>
      <c r="G6543" s="4" t="str">
        <f>HYPERLINK("http://141.218.60.56/~jnz1568/getInfo.php?workbook=14_09.xlsx&amp;sheet=U0&amp;row=6543&amp;col=7&amp;number=0.00745&amp;sourceID=14","0.00745")</f>
        <v>0.00745</v>
      </c>
    </row>
    <row r="6544" spans="1:7">
      <c r="A6544" s="3">
        <v>14</v>
      </c>
      <c r="B6544" s="3">
        <v>9</v>
      </c>
      <c r="C6544" s="3">
        <v>2</v>
      </c>
      <c r="D6544" s="3">
        <v>136</v>
      </c>
      <c r="E6544" s="3">
        <v>1</v>
      </c>
      <c r="F6544" s="4" t="str">
        <f>HYPERLINK("http://141.218.60.56/~jnz1568/getInfo.php?workbook=14_09.xlsx&amp;sheet=U0&amp;row=6544&amp;col=6&amp;number=3&amp;sourceID=14","3")</f>
        <v>3</v>
      </c>
      <c r="G6544" s="4" t="str">
        <f>HYPERLINK("http://141.218.60.56/~jnz1568/getInfo.php?workbook=14_09.xlsx&amp;sheet=U0&amp;row=6544&amp;col=7&amp;number=0.0297&amp;sourceID=14","0.0297")</f>
        <v>0.0297</v>
      </c>
    </row>
    <row r="6545" spans="1:7">
      <c r="A6545" s="3"/>
      <c r="B6545" s="3"/>
      <c r="C6545" s="3"/>
      <c r="D6545" s="3"/>
      <c r="E6545" s="3">
        <v>2</v>
      </c>
      <c r="F6545" s="4" t="str">
        <f>HYPERLINK("http://141.218.60.56/~jnz1568/getInfo.php?workbook=14_09.xlsx&amp;sheet=U0&amp;row=6545&amp;col=6&amp;number=3.1&amp;sourceID=14","3.1")</f>
        <v>3.1</v>
      </c>
      <c r="G6545" s="4" t="str">
        <f>HYPERLINK("http://141.218.60.56/~jnz1568/getInfo.php?workbook=14_09.xlsx&amp;sheet=U0&amp;row=6545&amp;col=7&amp;number=0.0297&amp;sourceID=14","0.0297")</f>
        <v>0.0297</v>
      </c>
    </row>
    <row r="6546" spans="1:7">
      <c r="A6546" s="3"/>
      <c r="B6546" s="3"/>
      <c r="C6546" s="3"/>
      <c r="D6546" s="3"/>
      <c r="E6546" s="3">
        <v>3</v>
      </c>
      <c r="F6546" s="4" t="str">
        <f>HYPERLINK("http://141.218.60.56/~jnz1568/getInfo.php?workbook=14_09.xlsx&amp;sheet=U0&amp;row=6546&amp;col=6&amp;number=3.2&amp;sourceID=14","3.2")</f>
        <v>3.2</v>
      </c>
      <c r="G6546" s="4" t="str">
        <f>HYPERLINK("http://141.218.60.56/~jnz1568/getInfo.php?workbook=14_09.xlsx&amp;sheet=U0&amp;row=6546&amp;col=7&amp;number=0.0298&amp;sourceID=14","0.0298")</f>
        <v>0.0298</v>
      </c>
    </row>
    <row r="6547" spans="1:7">
      <c r="A6547" s="3"/>
      <c r="B6547" s="3"/>
      <c r="C6547" s="3"/>
      <c r="D6547" s="3"/>
      <c r="E6547" s="3">
        <v>4</v>
      </c>
      <c r="F6547" s="4" t="str">
        <f>HYPERLINK("http://141.218.60.56/~jnz1568/getInfo.php?workbook=14_09.xlsx&amp;sheet=U0&amp;row=6547&amp;col=6&amp;number=3.3&amp;sourceID=14","3.3")</f>
        <v>3.3</v>
      </c>
      <c r="G6547" s="4" t="str">
        <f>HYPERLINK("http://141.218.60.56/~jnz1568/getInfo.php?workbook=14_09.xlsx&amp;sheet=U0&amp;row=6547&amp;col=7&amp;number=0.0298&amp;sourceID=14","0.0298")</f>
        <v>0.0298</v>
      </c>
    </row>
    <row r="6548" spans="1:7">
      <c r="A6548" s="3"/>
      <c r="B6548" s="3"/>
      <c r="C6548" s="3"/>
      <c r="D6548" s="3"/>
      <c r="E6548" s="3">
        <v>5</v>
      </c>
      <c r="F6548" s="4" t="str">
        <f>HYPERLINK("http://141.218.60.56/~jnz1568/getInfo.php?workbook=14_09.xlsx&amp;sheet=U0&amp;row=6548&amp;col=6&amp;number=3.4&amp;sourceID=14","3.4")</f>
        <v>3.4</v>
      </c>
      <c r="G6548" s="4" t="str">
        <f>HYPERLINK("http://141.218.60.56/~jnz1568/getInfo.php?workbook=14_09.xlsx&amp;sheet=U0&amp;row=6548&amp;col=7&amp;number=0.0298&amp;sourceID=14","0.0298")</f>
        <v>0.0298</v>
      </c>
    </row>
    <row r="6549" spans="1:7">
      <c r="A6549" s="3"/>
      <c r="B6549" s="3"/>
      <c r="C6549" s="3"/>
      <c r="D6549" s="3"/>
      <c r="E6549" s="3">
        <v>6</v>
      </c>
      <c r="F6549" s="4" t="str">
        <f>HYPERLINK("http://141.218.60.56/~jnz1568/getInfo.php?workbook=14_09.xlsx&amp;sheet=U0&amp;row=6549&amp;col=6&amp;number=3.5&amp;sourceID=14","3.5")</f>
        <v>3.5</v>
      </c>
      <c r="G6549" s="4" t="str">
        <f>HYPERLINK("http://141.218.60.56/~jnz1568/getInfo.php?workbook=14_09.xlsx&amp;sheet=U0&amp;row=6549&amp;col=7&amp;number=0.0298&amp;sourceID=14","0.0298")</f>
        <v>0.0298</v>
      </c>
    </row>
    <row r="6550" spans="1:7">
      <c r="A6550" s="3"/>
      <c r="B6550" s="3"/>
      <c r="C6550" s="3"/>
      <c r="D6550" s="3"/>
      <c r="E6550" s="3">
        <v>7</v>
      </c>
      <c r="F6550" s="4" t="str">
        <f>HYPERLINK("http://141.218.60.56/~jnz1568/getInfo.php?workbook=14_09.xlsx&amp;sheet=U0&amp;row=6550&amp;col=6&amp;number=3.6&amp;sourceID=14","3.6")</f>
        <v>3.6</v>
      </c>
      <c r="G6550" s="4" t="str">
        <f>HYPERLINK("http://141.218.60.56/~jnz1568/getInfo.php?workbook=14_09.xlsx&amp;sheet=U0&amp;row=6550&amp;col=7&amp;number=0.0298&amp;sourceID=14","0.0298")</f>
        <v>0.0298</v>
      </c>
    </row>
    <row r="6551" spans="1:7">
      <c r="A6551" s="3"/>
      <c r="B6551" s="3"/>
      <c r="C6551" s="3"/>
      <c r="D6551" s="3"/>
      <c r="E6551" s="3">
        <v>8</v>
      </c>
      <c r="F6551" s="4" t="str">
        <f>HYPERLINK("http://141.218.60.56/~jnz1568/getInfo.php?workbook=14_09.xlsx&amp;sheet=U0&amp;row=6551&amp;col=6&amp;number=3.7&amp;sourceID=14","3.7")</f>
        <v>3.7</v>
      </c>
      <c r="G6551" s="4" t="str">
        <f>HYPERLINK("http://141.218.60.56/~jnz1568/getInfo.php?workbook=14_09.xlsx&amp;sheet=U0&amp;row=6551&amp;col=7&amp;number=0.0298&amp;sourceID=14","0.0298")</f>
        <v>0.0298</v>
      </c>
    </row>
    <row r="6552" spans="1:7">
      <c r="A6552" s="3"/>
      <c r="B6552" s="3"/>
      <c r="C6552" s="3"/>
      <c r="D6552" s="3"/>
      <c r="E6552" s="3">
        <v>9</v>
      </c>
      <c r="F6552" s="4" t="str">
        <f>HYPERLINK("http://141.218.60.56/~jnz1568/getInfo.php?workbook=14_09.xlsx&amp;sheet=U0&amp;row=6552&amp;col=6&amp;number=3.8&amp;sourceID=14","3.8")</f>
        <v>3.8</v>
      </c>
      <c r="G6552" s="4" t="str">
        <f>HYPERLINK("http://141.218.60.56/~jnz1568/getInfo.php?workbook=14_09.xlsx&amp;sheet=U0&amp;row=6552&amp;col=7&amp;number=0.0299&amp;sourceID=14","0.0299")</f>
        <v>0.0299</v>
      </c>
    </row>
    <row r="6553" spans="1:7">
      <c r="A6553" s="3"/>
      <c r="B6553" s="3"/>
      <c r="C6553" s="3"/>
      <c r="D6553" s="3"/>
      <c r="E6553" s="3">
        <v>10</v>
      </c>
      <c r="F6553" s="4" t="str">
        <f>HYPERLINK("http://141.218.60.56/~jnz1568/getInfo.php?workbook=14_09.xlsx&amp;sheet=U0&amp;row=6553&amp;col=6&amp;number=3.9&amp;sourceID=14","3.9")</f>
        <v>3.9</v>
      </c>
      <c r="G6553" s="4" t="str">
        <f>HYPERLINK("http://141.218.60.56/~jnz1568/getInfo.php?workbook=14_09.xlsx&amp;sheet=U0&amp;row=6553&amp;col=7&amp;number=0.0299&amp;sourceID=14","0.0299")</f>
        <v>0.0299</v>
      </c>
    </row>
    <row r="6554" spans="1:7">
      <c r="A6554" s="3"/>
      <c r="B6554" s="3"/>
      <c r="C6554" s="3"/>
      <c r="D6554" s="3"/>
      <c r="E6554" s="3">
        <v>11</v>
      </c>
      <c r="F6554" s="4" t="str">
        <f>HYPERLINK("http://141.218.60.56/~jnz1568/getInfo.php?workbook=14_09.xlsx&amp;sheet=U0&amp;row=6554&amp;col=6&amp;number=4&amp;sourceID=14","4")</f>
        <v>4</v>
      </c>
      <c r="G6554" s="4" t="str">
        <f>HYPERLINK("http://141.218.60.56/~jnz1568/getInfo.php?workbook=14_09.xlsx&amp;sheet=U0&amp;row=6554&amp;col=7&amp;number=0.0299&amp;sourceID=14","0.0299")</f>
        <v>0.0299</v>
      </c>
    </row>
    <row r="6555" spans="1:7">
      <c r="A6555" s="3"/>
      <c r="B6555" s="3"/>
      <c r="C6555" s="3"/>
      <c r="D6555" s="3"/>
      <c r="E6555" s="3">
        <v>12</v>
      </c>
      <c r="F6555" s="4" t="str">
        <f>HYPERLINK("http://141.218.60.56/~jnz1568/getInfo.php?workbook=14_09.xlsx&amp;sheet=U0&amp;row=6555&amp;col=6&amp;number=4.1&amp;sourceID=14","4.1")</f>
        <v>4.1</v>
      </c>
      <c r="G6555" s="4" t="str">
        <f>HYPERLINK("http://141.218.60.56/~jnz1568/getInfo.php?workbook=14_09.xlsx&amp;sheet=U0&amp;row=6555&amp;col=7&amp;number=0.03&amp;sourceID=14","0.03")</f>
        <v>0.03</v>
      </c>
    </row>
    <row r="6556" spans="1:7">
      <c r="A6556" s="3"/>
      <c r="B6556" s="3"/>
      <c r="C6556" s="3"/>
      <c r="D6556" s="3"/>
      <c r="E6556" s="3">
        <v>13</v>
      </c>
      <c r="F6556" s="4" t="str">
        <f>HYPERLINK("http://141.218.60.56/~jnz1568/getInfo.php?workbook=14_09.xlsx&amp;sheet=U0&amp;row=6556&amp;col=6&amp;number=4.2&amp;sourceID=14","4.2")</f>
        <v>4.2</v>
      </c>
      <c r="G6556" s="4" t="str">
        <f>HYPERLINK("http://141.218.60.56/~jnz1568/getInfo.php?workbook=14_09.xlsx&amp;sheet=U0&amp;row=6556&amp;col=7&amp;number=0.0301&amp;sourceID=14","0.0301")</f>
        <v>0.0301</v>
      </c>
    </row>
    <row r="6557" spans="1:7">
      <c r="A6557" s="3"/>
      <c r="B6557" s="3"/>
      <c r="C6557" s="3"/>
      <c r="D6557" s="3"/>
      <c r="E6557" s="3">
        <v>14</v>
      </c>
      <c r="F6557" s="4" t="str">
        <f>HYPERLINK("http://141.218.60.56/~jnz1568/getInfo.php?workbook=14_09.xlsx&amp;sheet=U0&amp;row=6557&amp;col=6&amp;number=4.3&amp;sourceID=14","4.3")</f>
        <v>4.3</v>
      </c>
      <c r="G6557" s="4" t="str">
        <f>HYPERLINK("http://141.218.60.56/~jnz1568/getInfo.php?workbook=14_09.xlsx&amp;sheet=U0&amp;row=6557&amp;col=7&amp;number=0.0302&amp;sourceID=14","0.0302")</f>
        <v>0.0302</v>
      </c>
    </row>
    <row r="6558" spans="1:7">
      <c r="A6558" s="3"/>
      <c r="B6558" s="3"/>
      <c r="C6558" s="3"/>
      <c r="D6558" s="3"/>
      <c r="E6558" s="3">
        <v>15</v>
      </c>
      <c r="F6558" s="4" t="str">
        <f>HYPERLINK("http://141.218.60.56/~jnz1568/getInfo.php?workbook=14_09.xlsx&amp;sheet=U0&amp;row=6558&amp;col=6&amp;number=4.4&amp;sourceID=14","4.4")</f>
        <v>4.4</v>
      </c>
      <c r="G6558" s="4" t="str">
        <f>HYPERLINK("http://141.218.60.56/~jnz1568/getInfo.php?workbook=14_09.xlsx&amp;sheet=U0&amp;row=6558&amp;col=7&amp;number=0.0303&amp;sourceID=14","0.0303")</f>
        <v>0.0303</v>
      </c>
    </row>
    <row r="6559" spans="1:7">
      <c r="A6559" s="3"/>
      <c r="B6559" s="3"/>
      <c r="C6559" s="3"/>
      <c r="D6559" s="3"/>
      <c r="E6559" s="3">
        <v>16</v>
      </c>
      <c r="F6559" s="4" t="str">
        <f>HYPERLINK("http://141.218.60.56/~jnz1568/getInfo.php?workbook=14_09.xlsx&amp;sheet=U0&amp;row=6559&amp;col=6&amp;number=4.5&amp;sourceID=14","4.5")</f>
        <v>4.5</v>
      </c>
      <c r="G6559" s="4" t="str">
        <f>HYPERLINK("http://141.218.60.56/~jnz1568/getInfo.php?workbook=14_09.xlsx&amp;sheet=U0&amp;row=6559&amp;col=7&amp;number=0.0304&amp;sourceID=14","0.0304")</f>
        <v>0.0304</v>
      </c>
    </row>
    <row r="6560" spans="1:7">
      <c r="A6560" s="3"/>
      <c r="B6560" s="3"/>
      <c r="C6560" s="3"/>
      <c r="D6560" s="3"/>
      <c r="E6560" s="3">
        <v>17</v>
      </c>
      <c r="F6560" s="4" t="str">
        <f>HYPERLINK("http://141.218.60.56/~jnz1568/getInfo.php?workbook=14_09.xlsx&amp;sheet=U0&amp;row=6560&amp;col=6&amp;number=4.6&amp;sourceID=14","4.6")</f>
        <v>4.6</v>
      </c>
      <c r="G6560" s="4" t="str">
        <f>HYPERLINK("http://141.218.60.56/~jnz1568/getInfo.php?workbook=14_09.xlsx&amp;sheet=U0&amp;row=6560&amp;col=7&amp;number=0.0306&amp;sourceID=14","0.0306")</f>
        <v>0.0306</v>
      </c>
    </row>
    <row r="6561" spans="1:7">
      <c r="A6561" s="3"/>
      <c r="B6561" s="3"/>
      <c r="C6561" s="3"/>
      <c r="D6561" s="3"/>
      <c r="E6561" s="3">
        <v>18</v>
      </c>
      <c r="F6561" s="4" t="str">
        <f>HYPERLINK("http://141.218.60.56/~jnz1568/getInfo.php?workbook=14_09.xlsx&amp;sheet=U0&amp;row=6561&amp;col=6&amp;number=4.7&amp;sourceID=14","4.7")</f>
        <v>4.7</v>
      </c>
      <c r="G6561" s="4" t="str">
        <f>HYPERLINK("http://141.218.60.56/~jnz1568/getInfo.php?workbook=14_09.xlsx&amp;sheet=U0&amp;row=6561&amp;col=7&amp;number=0.0308&amp;sourceID=14","0.0308")</f>
        <v>0.0308</v>
      </c>
    </row>
    <row r="6562" spans="1:7">
      <c r="A6562" s="3"/>
      <c r="B6562" s="3"/>
      <c r="C6562" s="3"/>
      <c r="D6562" s="3"/>
      <c r="E6562" s="3">
        <v>19</v>
      </c>
      <c r="F6562" s="4" t="str">
        <f>HYPERLINK("http://141.218.60.56/~jnz1568/getInfo.php?workbook=14_09.xlsx&amp;sheet=U0&amp;row=6562&amp;col=6&amp;number=4.8&amp;sourceID=14","4.8")</f>
        <v>4.8</v>
      </c>
      <c r="G6562" s="4" t="str">
        <f>HYPERLINK("http://141.218.60.56/~jnz1568/getInfo.php?workbook=14_09.xlsx&amp;sheet=U0&amp;row=6562&amp;col=7&amp;number=0.0311&amp;sourceID=14","0.0311")</f>
        <v>0.0311</v>
      </c>
    </row>
    <row r="6563" spans="1:7">
      <c r="A6563" s="3"/>
      <c r="B6563" s="3"/>
      <c r="C6563" s="3"/>
      <c r="D6563" s="3"/>
      <c r="E6563" s="3">
        <v>20</v>
      </c>
      <c r="F6563" s="4" t="str">
        <f>HYPERLINK("http://141.218.60.56/~jnz1568/getInfo.php?workbook=14_09.xlsx&amp;sheet=U0&amp;row=6563&amp;col=6&amp;number=4.9&amp;sourceID=14","4.9")</f>
        <v>4.9</v>
      </c>
      <c r="G6563" s="4" t="str">
        <f>HYPERLINK("http://141.218.60.56/~jnz1568/getInfo.php?workbook=14_09.xlsx&amp;sheet=U0&amp;row=6563&amp;col=7&amp;number=0.0315&amp;sourceID=14","0.0315")</f>
        <v>0.0315</v>
      </c>
    </row>
    <row r="6564" spans="1:7">
      <c r="A6564" s="3">
        <v>14</v>
      </c>
      <c r="B6564" s="3">
        <v>9</v>
      </c>
      <c r="C6564" s="3">
        <v>2</v>
      </c>
      <c r="D6564" s="3">
        <v>137</v>
      </c>
      <c r="E6564" s="3">
        <v>1</v>
      </c>
      <c r="F6564" s="4" t="str">
        <f>HYPERLINK("http://141.218.60.56/~jnz1568/getInfo.php?workbook=14_09.xlsx&amp;sheet=U0&amp;row=6564&amp;col=6&amp;number=3&amp;sourceID=14","3")</f>
        <v>3</v>
      </c>
      <c r="G6564" s="4" t="str">
        <f>HYPERLINK("http://141.218.60.56/~jnz1568/getInfo.php?workbook=14_09.xlsx&amp;sheet=U0&amp;row=6564&amp;col=7&amp;number=0.0173&amp;sourceID=14","0.0173")</f>
        <v>0.0173</v>
      </c>
    </row>
    <row r="6565" spans="1:7">
      <c r="A6565" s="3"/>
      <c r="B6565" s="3"/>
      <c r="C6565" s="3"/>
      <c r="D6565" s="3"/>
      <c r="E6565" s="3">
        <v>2</v>
      </c>
      <c r="F6565" s="4" t="str">
        <f>HYPERLINK("http://141.218.60.56/~jnz1568/getInfo.php?workbook=14_09.xlsx&amp;sheet=U0&amp;row=6565&amp;col=6&amp;number=3.1&amp;sourceID=14","3.1")</f>
        <v>3.1</v>
      </c>
      <c r="G6565" s="4" t="str">
        <f>HYPERLINK("http://141.218.60.56/~jnz1568/getInfo.php?workbook=14_09.xlsx&amp;sheet=U0&amp;row=6565&amp;col=7&amp;number=0.0173&amp;sourceID=14","0.0173")</f>
        <v>0.0173</v>
      </c>
    </row>
    <row r="6566" spans="1:7">
      <c r="A6566" s="3"/>
      <c r="B6566" s="3"/>
      <c r="C6566" s="3"/>
      <c r="D6566" s="3"/>
      <c r="E6566" s="3">
        <v>3</v>
      </c>
      <c r="F6566" s="4" t="str">
        <f>HYPERLINK("http://141.218.60.56/~jnz1568/getInfo.php?workbook=14_09.xlsx&amp;sheet=U0&amp;row=6566&amp;col=6&amp;number=3.2&amp;sourceID=14","3.2")</f>
        <v>3.2</v>
      </c>
      <c r="G6566" s="4" t="str">
        <f>HYPERLINK("http://141.218.60.56/~jnz1568/getInfo.php?workbook=14_09.xlsx&amp;sheet=U0&amp;row=6566&amp;col=7&amp;number=0.0173&amp;sourceID=14","0.0173")</f>
        <v>0.0173</v>
      </c>
    </row>
    <row r="6567" spans="1:7">
      <c r="A6567" s="3"/>
      <c r="B6567" s="3"/>
      <c r="C6567" s="3"/>
      <c r="D6567" s="3"/>
      <c r="E6567" s="3">
        <v>4</v>
      </c>
      <c r="F6567" s="4" t="str">
        <f>HYPERLINK("http://141.218.60.56/~jnz1568/getInfo.php?workbook=14_09.xlsx&amp;sheet=U0&amp;row=6567&amp;col=6&amp;number=3.3&amp;sourceID=14","3.3")</f>
        <v>3.3</v>
      </c>
      <c r="G6567" s="4" t="str">
        <f>HYPERLINK("http://141.218.60.56/~jnz1568/getInfo.php?workbook=14_09.xlsx&amp;sheet=U0&amp;row=6567&amp;col=7&amp;number=0.0173&amp;sourceID=14","0.0173")</f>
        <v>0.0173</v>
      </c>
    </row>
    <row r="6568" spans="1:7">
      <c r="A6568" s="3"/>
      <c r="B6568" s="3"/>
      <c r="C6568" s="3"/>
      <c r="D6568" s="3"/>
      <c r="E6568" s="3">
        <v>5</v>
      </c>
      <c r="F6568" s="4" t="str">
        <f>HYPERLINK("http://141.218.60.56/~jnz1568/getInfo.php?workbook=14_09.xlsx&amp;sheet=U0&amp;row=6568&amp;col=6&amp;number=3.4&amp;sourceID=14","3.4")</f>
        <v>3.4</v>
      </c>
      <c r="G6568" s="4" t="str">
        <f>HYPERLINK("http://141.218.60.56/~jnz1568/getInfo.php?workbook=14_09.xlsx&amp;sheet=U0&amp;row=6568&amp;col=7&amp;number=0.0172&amp;sourceID=14","0.0172")</f>
        <v>0.0172</v>
      </c>
    </row>
    <row r="6569" spans="1:7">
      <c r="A6569" s="3"/>
      <c r="B6569" s="3"/>
      <c r="C6569" s="3"/>
      <c r="D6569" s="3"/>
      <c r="E6569" s="3">
        <v>6</v>
      </c>
      <c r="F6569" s="4" t="str">
        <f>HYPERLINK("http://141.218.60.56/~jnz1568/getInfo.php?workbook=14_09.xlsx&amp;sheet=U0&amp;row=6569&amp;col=6&amp;number=3.5&amp;sourceID=14","3.5")</f>
        <v>3.5</v>
      </c>
      <c r="G6569" s="4" t="str">
        <f>HYPERLINK("http://141.218.60.56/~jnz1568/getInfo.php?workbook=14_09.xlsx&amp;sheet=U0&amp;row=6569&amp;col=7&amp;number=0.0172&amp;sourceID=14","0.0172")</f>
        <v>0.0172</v>
      </c>
    </row>
    <row r="6570" spans="1:7">
      <c r="A6570" s="3"/>
      <c r="B6570" s="3"/>
      <c r="C6570" s="3"/>
      <c r="D6570" s="3"/>
      <c r="E6570" s="3">
        <v>7</v>
      </c>
      <c r="F6570" s="4" t="str">
        <f>HYPERLINK("http://141.218.60.56/~jnz1568/getInfo.php?workbook=14_09.xlsx&amp;sheet=U0&amp;row=6570&amp;col=6&amp;number=3.6&amp;sourceID=14","3.6")</f>
        <v>3.6</v>
      </c>
      <c r="G6570" s="4" t="str">
        <f>HYPERLINK("http://141.218.60.56/~jnz1568/getInfo.php?workbook=14_09.xlsx&amp;sheet=U0&amp;row=6570&amp;col=7&amp;number=0.0172&amp;sourceID=14","0.0172")</f>
        <v>0.0172</v>
      </c>
    </row>
    <row r="6571" spans="1:7">
      <c r="A6571" s="3"/>
      <c r="B6571" s="3"/>
      <c r="C6571" s="3"/>
      <c r="D6571" s="3"/>
      <c r="E6571" s="3">
        <v>8</v>
      </c>
      <c r="F6571" s="4" t="str">
        <f>HYPERLINK("http://141.218.60.56/~jnz1568/getInfo.php?workbook=14_09.xlsx&amp;sheet=U0&amp;row=6571&amp;col=6&amp;number=3.7&amp;sourceID=14","3.7")</f>
        <v>3.7</v>
      </c>
      <c r="G6571" s="4" t="str">
        <f>HYPERLINK("http://141.218.60.56/~jnz1568/getInfo.php?workbook=14_09.xlsx&amp;sheet=U0&amp;row=6571&amp;col=7&amp;number=0.0172&amp;sourceID=14","0.0172")</f>
        <v>0.0172</v>
      </c>
    </row>
    <row r="6572" spans="1:7">
      <c r="A6572" s="3"/>
      <c r="B6572" s="3"/>
      <c r="C6572" s="3"/>
      <c r="D6572" s="3"/>
      <c r="E6572" s="3">
        <v>9</v>
      </c>
      <c r="F6572" s="4" t="str">
        <f>HYPERLINK("http://141.218.60.56/~jnz1568/getInfo.php?workbook=14_09.xlsx&amp;sheet=U0&amp;row=6572&amp;col=6&amp;number=3.8&amp;sourceID=14","3.8")</f>
        <v>3.8</v>
      </c>
      <c r="G6572" s="4" t="str">
        <f>HYPERLINK("http://141.218.60.56/~jnz1568/getInfo.php?workbook=14_09.xlsx&amp;sheet=U0&amp;row=6572&amp;col=7&amp;number=0.0172&amp;sourceID=14","0.0172")</f>
        <v>0.0172</v>
      </c>
    </row>
    <row r="6573" spans="1:7">
      <c r="A6573" s="3"/>
      <c r="B6573" s="3"/>
      <c r="C6573" s="3"/>
      <c r="D6573" s="3"/>
      <c r="E6573" s="3">
        <v>10</v>
      </c>
      <c r="F6573" s="4" t="str">
        <f>HYPERLINK("http://141.218.60.56/~jnz1568/getInfo.php?workbook=14_09.xlsx&amp;sheet=U0&amp;row=6573&amp;col=6&amp;number=3.9&amp;sourceID=14","3.9")</f>
        <v>3.9</v>
      </c>
      <c r="G6573" s="4" t="str">
        <f>HYPERLINK("http://141.218.60.56/~jnz1568/getInfo.php?workbook=14_09.xlsx&amp;sheet=U0&amp;row=6573&amp;col=7&amp;number=0.0172&amp;sourceID=14","0.0172")</f>
        <v>0.0172</v>
      </c>
    </row>
    <row r="6574" spans="1:7">
      <c r="A6574" s="3"/>
      <c r="B6574" s="3"/>
      <c r="C6574" s="3"/>
      <c r="D6574" s="3"/>
      <c r="E6574" s="3">
        <v>11</v>
      </c>
      <c r="F6574" s="4" t="str">
        <f>HYPERLINK("http://141.218.60.56/~jnz1568/getInfo.php?workbook=14_09.xlsx&amp;sheet=U0&amp;row=6574&amp;col=6&amp;number=4&amp;sourceID=14","4")</f>
        <v>4</v>
      </c>
      <c r="G6574" s="4" t="str">
        <f>HYPERLINK("http://141.218.60.56/~jnz1568/getInfo.php?workbook=14_09.xlsx&amp;sheet=U0&amp;row=6574&amp;col=7&amp;number=0.0172&amp;sourceID=14","0.0172")</f>
        <v>0.0172</v>
      </c>
    </row>
    <row r="6575" spans="1:7">
      <c r="A6575" s="3"/>
      <c r="B6575" s="3"/>
      <c r="C6575" s="3"/>
      <c r="D6575" s="3"/>
      <c r="E6575" s="3">
        <v>12</v>
      </c>
      <c r="F6575" s="4" t="str">
        <f>HYPERLINK("http://141.218.60.56/~jnz1568/getInfo.php?workbook=14_09.xlsx&amp;sheet=U0&amp;row=6575&amp;col=6&amp;number=4.1&amp;sourceID=14","4.1")</f>
        <v>4.1</v>
      </c>
      <c r="G6575" s="4" t="str">
        <f>HYPERLINK("http://141.218.60.56/~jnz1568/getInfo.php?workbook=14_09.xlsx&amp;sheet=U0&amp;row=6575&amp;col=7&amp;number=0.0171&amp;sourceID=14","0.0171")</f>
        <v>0.0171</v>
      </c>
    </row>
    <row r="6576" spans="1:7">
      <c r="A6576" s="3"/>
      <c r="B6576" s="3"/>
      <c r="C6576" s="3"/>
      <c r="D6576" s="3"/>
      <c r="E6576" s="3">
        <v>13</v>
      </c>
      <c r="F6576" s="4" t="str">
        <f>HYPERLINK("http://141.218.60.56/~jnz1568/getInfo.php?workbook=14_09.xlsx&amp;sheet=U0&amp;row=6576&amp;col=6&amp;number=4.2&amp;sourceID=14","4.2")</f>
        <v>4.2</v>
      </c>
      <c r="G6576" s="4" t="str">
        <f>HYPERLINK("http://141.218.60.56/~jnz1568/getInfo.php?workbook=14_09.xlsx&amp;sheet=U0&amp;row=6576&amp;col=7&amp;number=0.0171&amp;sourceID=14","0.0171")</f>
        <v>0.0171</v>
      </c>
    </row>
    <row r="6577" spans="1:7">
      <c r="A6577" s="3"/>
      <c r="B6577" s="3"/>
      <c r="C6577" s="3"/>
      <c r="D6577" s="3"/>
      <c r="E6577" s="3">
        <v>14</v>
      </c>
      <c r="F6577" s="4" t="str">
        <f>HYPERLINK("http://141.218.60.56/~jnz1568/getInfo.php?workbook=14_09.xlsx&amp;sheet=U0&amp;row=6577&amp;col=6&amp;number=4.3&amp;sourceID=14","4.3")</f>
        <v>4.3</v>
      </c>
      <c r="G6577" s="4" t="str">
        <f>HYPERLINK("http://141.218.60.56/~jnz1568/getInfo.php?workbook=14_09.xlsx&amp;sheet=U0&amp;row=6577&amp;col=7&amp;number=0.017&amp;sourceID=14","0.017")</f>
        <v>0.017</v>
      </c>
    </row>
    <row r="6578" spans="1:7">
      <c r="A6578" s="3"/>
      <c r="B6578" s="3"/>
      <c r="C6578" s="3"/>
      <c r="D6578" s="3"/>
      <c r="E6578" s="3">
        <v>15</v>
      </c>
      <c r="F6578" s="4" t="str">
        <f>HYPERLINK("http://141.218.60.56/~jnz1568/getInfo.php?workbook=14_09.xlsx&amp;sheet=U0&amp;row=6578&amp;col=6&amp;number=4.4&amp;sourceID=14","4.4")</f>
        <v>4.4</v>
      </c>
      <c r="G6578" s="4" t="str">
        <f>HYPERLINK("http://141.218.60.56/~jnz1568/getInfo.php?workbook=14_09.xlsx&amp;sheet=U0&amp;row=6578&amp;col=7&amp;number=0.017&amp;sourceID=14","0.017")</f>
        <v>0.017</v>
      </c>
    </row>
    <row r="6579" spans="1:7">
      <c r="A6579" s="3"/>
      <c r="B6579" s="3"/>
      <c r="C6579" s="3"/>
      <c r="D6579" s="3"/>
      <c r="E6579" s="3">
        <v>16</v>
      </c>
      <c r="F6579" s="4" t="str">
        <f>HYPERLINK("http://141.218.60.56/~jnz1568/getInfo.php?workbook=14_09.xlsx&amp;sheet=U0&amp;row=6579&amp;col=6&amp;number=4.5&amp;sourceID=14","4.5")</f>
        <v>4.5</v>
      </c>
      <c r="G6579" s="4" t="str">
        <f>HYPERLINK("http://141.218.60.56/~jnz1568/getInfo.php?workbook=14_09.xlsx&amp;sheet=U0&amp;row=6579&amp;col=7&amp;number=0.0169&amp;sourceID=14","0.0169")</f>
        <v>0.0169</v>
      </c>
    </row>
    <row r="6580" spans="1:7">
      <c r="A6580" s="3"/>
      <c r="B6580" s="3"/>
      <c r="C6580" s="3"/>
      <c r="D6580" s="3"/>
      <c r="E6580" s="3">
        <v>17</v>
      </c>
      <c r="F6580" s="4" t="str">
        <f>HYPERLINK("http://141.218.60.56/~jnz1568/getInfo.php?workbook=14_09.xlsx&amp;sheet=U0&amp;row=6580&amp;col=6&amp;number=4.6&amp;sourceID=14","4.6")</f>
        <v>4.6</v>
      </c>
      <c r="G6580" s="4" t="str">
        <f>HYPERLINK("http://141.218.60.56/~jnz1568/getInfo.php?workbook=14_09.xlsx&amp;sheet=U0&amp;row=6580&amp;col=7&amp;number=0.0168&amp;sourceID=14","0.0168")</f>
        <v>0.0168</v>
      </c>
    </row>
    <row r="6581" spans="1:7">
      <c r="A6581" s="3"/>
      <c r="B6581" s="3"/>
      <c r="C6581" s="3"/>
      <c r="D6581" s="3"/>
      <c r="E6581" s="3">
        <v>18</v>
      </c>
      <c r="F6581" s="4" t="str">
        <f>HYPERLINK("http://141.218.60.56/~jnz1568/getInfo.php?workbook=14_09.xlsx&amp;sheet=U0&amp;row=6581&amp;col=6&amp;number=4.7&amp;sourceID=14","4.7")</f>
        <v>4.7</v>
      </c>
      <c r="G6581" s="4" t="str">
        <f>HYPERLINK("http://141.218.60.56/~jnz1568/getInfo.php?workbook=14_09.xlsx&amp;sheet=U0&amp;row=6581&amp;col=7&amp;number=0.0167&amp;sourceID=14","0.0167")</f>
        <v>0.0167</v>
      </c>
    </row>
    <row r="6582" spans="1:7">
      <c r="A6582" s="3"/>
      <c r="B6582" s="3"/>
      <c r="C6582" s="3"/>
      <c r="D6582" s="3"/>
      <c r="E6582" s="3">
        <v>19</v>
      </c>
      <c r="F6582" s="4" t="str">
        <f>HYPERLINK("http://141.218.60.56/~jnz1568/getInfo.php?workbook=14_09.xlsx&amp;sheet=U0&amp;row=6582&amp;col=6&amp;number=4.8&amp;sourceID=14","4.8")</f>
        <v>4.8</v>
      </c>
      <c r="G6582" s="4" t="str">
        <f>HYPERLINK("http://141.218.60.56/~jnz1568/getInfo.php?workbook=14_09.xlsx&amp;sheet=U0&amp;row=6582&amp;col=7&amp;number=0.0166&amp;sourceID=14","0.0166")</f>
        <v>0.0166</v>
      </c>
    </row>
    <row r="6583" spans="1:7">
      <c r="A6583" s="3"/>
      <c r="B6583" s="3"/>
      <c r="C6583" s="3"/>
      <c r="D6583" s="3"/>
      <c r="E6583" s="3">
        <v>20</v>
      </c>
      <c r="F6583" s="4" t="str">
        <f>HYPERLINK("http://141.218.60.56/~jnz1568/getInfo.php?workbook=14_09.xlsx&amp;sheet=U0&amp;row=6583&amp;col=6&amp;number=4.9&amp;sourceID=14","4.9")</f>
        <v>4.9</v>
      </c>
      <c r="G6583" s="4" t="str">
        <f>HYPERLINK("http://141.218.60.56/~jnz1568/getInfo.php?workbook=14_09.xlsx&amp;sheet=U0&amp;row=6583&amp;col=7&amp;number=0.0164&amp;sourceID=14","0.0164")</f>
        <v>0.0164</v>
      </c>
    </row>
    <row r="6584" spans="1:7">
      <c r="A6584" s="3">
        <v>14</v>
      </c>
      <c r="B6584" s="3">
        <v>9</v>
      </c>
      <c r="C6584" s="3">
        <v>2</v>
      </c>
      <c r="D6584" s="3">
        <v>138</v>
      </c>
      <c r="E6584" s="3">
        <v>1</v>
      </c>
      <c r="F6584" s="4" t="str">
        <f>HYPERLINK("http://141.218.60.56/~jnz1568/getInfo.php?workbook=14_09.xlsx&amp;sheet=U0&amp;row=6584&amp;col=6&amp;number=3&amp;sourceID=14","3")</f>
        <v>3</v>
      </c>
      <c r="G6584" s="4" t="str">
        <f>HYPERLINK("http://141.218.60.56/~jnz1568/getInfo.php?workbook=14_09.xlsx&amp;sheet=U0&amp;row=6584&amp;col=7&amp;number=0.000976&amp;sourceID=14","0.000976")</f>
        <v>0.000976</v>
      </c>
    </row>
    <row r="6585" spans="1:7">
      <c r="A6585" s="3"/>
      <c r="B6585" s="3"/>
      <c r="C6585" s="3"/>
      <c r="D6585" s="3"/>
      <c r="E6585" s="3">
        <v>2</v>
      </c>
      <c r="F6585" s="4" t="str">
        <f>HYPERLINK("http://141.218.60.56/~jnz1568/getInfo.php?workbook=14_09.xlsx&amp;sheet=U0&amp;row=6585&amp;col=6&amp;number=3.1&amp;sourceID=14","3.1")</f>
        <v>3.1</v>
      </c>
      <c r="G6585" s="4" t="str">
        <f>HYPERLINK("http://141.218.60.56/~jnz1568/getInfo.php?workbook=14_09.xlsx&amp;sheet=U0&amp;row=6585&amp;col=7&amp;number=0.000976&amp;sourceID=14","0.000976")</f>
        <v>0.000976</v>
      </c>
    </row>
    <row r="6586" spans="1:7">
      <c r="A6586" s="3"/>
      <c r="B6586" s="3"/>
      <c r="C6586" s="3"/>
      <c r="D6586" s="3"/>
      <c r="E6586" s="3">
        <v>3</v>
      </c>
      <c r="F6586" s="4" t="str">
        <f>HYPERLINK("http://141.218.60.56/~jnz1568/getInfo.php?workbook=14_09.xlsx&amp;sheet=U0&amp;row=6586&amp;col=6&amp;number=3.2&amp;sourceID=14","3.2")</f>
        <v>3.2</v>
      </c>
      <c r="G6586" s="4" t="str">
        <f>HYPERLINK("http://141.218.60.56/~jnz1568/getInfo.php?workbook=14_09.xlsx&amp;sheet=U0&amp;row=6586&amp;col=7&amp;number=0.000975&amp;sourceID=14","0.000975")</f>
        <v>0.000975</v>
      </c>
    </row>
    <row r="6587" spans="1:7">
      <c r="A6587" s="3"/>
      <c r="B6587" s="3"/>
      <c r="C6587" s="3"/>
      <c r="D6587" s="3"/>
      <c r="E6587" s="3">
        <v>4</v>
      </c>
      <c r="F6587" s="4" t="str">
        <f>HYPERLINK("http://141.218.60.56/~jnz1568/getInfo.php?workbook=14_09.xlsx&amp;sheet=U0&amp;row=6587&amp;col=6&amp;number=3.3&amp;sourceID=14","3.3")</f>
        <v>3.3</v>
      </c>
      <c r="G6587" s="4" t="str">
        <f>HYPERLINK("http://141.218.60.56/~jnz1568/getInfo.php?workbook=14_09.xlsx&amp;sheet=U0&amp;row=6587&amp;col=7&amp;number=0.000974&amp;sourceID=14","0.000974")</f>
        <v>0.000974</v>
      </c>
    </row>
    <row r="6588" spans="1:7">
      <c r="A6588" s="3"/>
      <c r="B6588" s="3"/>
      <c r="C6588" s="3"/>
      <c r="D6588" s="3"/>
      <c r="E6588" s="3">
        <v>5</v>
      </c>
      <c r="F6588" s="4" t="str">
        <f>HYPERLINK("http://141.218.60.56/~jnz1568/getInfo.php?workbook=14_09.xlsx&amp;sheet=U0&amp;row=6588&amp;col=6&amp;number=3.4&amp;sourceID=14","3.4")</f>
        <v>3.4</v>
      </c>
      <c r="G6588" s="4" t="str">
        <f>HYPERLINK("http://141.218.60.56/~jnz1568/getInfo.php?workbook=14_09.xlsx&amp;sheet=U0&amp;row=6588&amp;col=7&amp;number=0.000973&amp;sourceID=14","0.000973")</f>
        <v>0.000973</v>
      </c>
    </row>
    <row r="6589" spans="1:7">
      <c r="A6589" s="3"/>
      <c r="B6589" s="3"/>
      <c r="C6589" s="3"/>
      <c r="D6589" s="3"/>
      <c r="E6589" s="3">
        <v>6</v>
      </c>
      <c r="F6589" s="4" t="str">
        <f>HYPERLINK("http://141.218.60.56/~jnz1568/getInfo.php?workbook=14_09.xlsx&amp;sheet=U0&amp;row=6589&amp;col=6&amp;number=3.5&amp;sourceID=14","3.5")</f>
        <v>3.5</v>
      </c>
      <c r="G6589" s="4" t="str">
        <f>HYPERLINK("http://141.218.60.56/~jnz1568/getInfo.php?workbook=14_09.xlsx&amp;sheet=U0&amp;row=6589&amp;col=7&amp;number=0.000972&amp;sourceID=14","0.000972")</f>
        <v>0.000972</v>
      </c>
    </row>
    <row r="6590" spans="1:7">
      <c r="A6590" s="3"/>
      <c r="B6590" s="3"/>
      <c r="C6590" s="3"/>
      <c r="D6590" s="3"/>
      <c r="E6590" s="3">
        <v>7</v>
      </c>
      <c r="F6590" s="4" t="str">
        <f>HYPERLINK("http://141.218.60.56/~jnz1568/getInfo.php?workbook=14_09.xlsx&amp;sheet=U0&amp;row=6590&amp;col=6&amp;number=3.6&amp;sourceID=14","3.6")</f>
        <v>3.6</v>
      </c>
      <c r="G6590" s="4" t="str">
        <f>HYPERLINK("http://141.218.60.56/~jnz1568/getInfo.php?workbook=14_09.xlsx&amp;sheet=U0&amp;row=6590&amp;col=7&amp;number=0.00097&amp;sourceID=14","0.00097")</f>
        <v>0.00097</v>
      </c>
    </row>
    <row r="6591" spans="1:7">
      <c r="A6591" s="3"/>
      <c r="B6591" s="3"/>
      <c r="C6591" s="3"/>
      <c r="D6591" s="3"/>
      <c r="E6591" s="3">
        <v>8</v>
      </c>
      <c r="F6591" s="4" t="str">
        <f>HYPERLINK("http://141.218.60.56/~jnz1568/getInfo.php?workbook=14_09.xlsx&amp;sheet=U0&amp;row=6591&amp;col=6&amp;number=3.7&amp;sourceID=14","3.7")</f>
        <v>3.7</v>
      </c>
      <c r="G6591" s="4" t="str">
        <f>HYPERLINK("http://141.218.60.56/~jnz1568/getInfo.php?workbook=14_09.xlsx&amp;sheet=U0&amp;row=6591&amp;col=7&amp;number=0.000968&amp;sourceID=14","0.000968")</f>
        <v>0.000968</v>
      </c>
    </row>
    <row r="6592" spans="1:7">
      <c r="A6592" s="3"/>
      <c r="B6592" s="3"/>
      <c r="C6592" s="3"/>
      <c r="D6592" s="3"/>
      <c r="E6592" s="3">
        <v>9</v>
      </c>
      <c r="F6592" s="4" t="str">
        <f>HYPERLINK("http://141.218.60.56/~jnz1568/getInfo.php?workbook=14_09.xlsx&amp;sheet=U0&amp;row=6592&amp;col=6&amp;number=3.8&amp;sourceID=14","3.8")</f>
        <v>3.8</v>
      </c>
      <c r="G6592" s="4" t="str">
        <f>HYPERLINK("http://141.218.60.56/~jnz1568/getInfo.php?workbook=14_09.xlsx&amp;sheet=U0&amp;row=6592&amp;col=7&amp;number=0.000966&amp;sourceID=14","0.000966")</f>
        <v>0.000966</v>
      </c>
    </row>
    <row r="6593" spans="1:7">
      <c r="A6593" s="3"/>
      <c r="B6593" s="3"/>
      <c r="C6593" s="3"/>
      <c r="D6593" s="3"/>
      <c r="E6593" s="3">
        <v>10</v>
      </c>
      <c r="F6593" s="4" t="str">
        <f>HYPERLINK("http://141.218.60.56/~jnz1568/getInfo.php?workbook=14_09.xlsx&amp;sheet=U0&amp;row=6593&amp;col=6&amp;number=3.9&amp;sourceID=14","3.9")</f>
        <v>3.9</v>
      </c>
      <c r="G6593" s="4" t="str">
        <f>HYPERLINK("http://141.218.60.56/~jnz1568/getInfo.php?workbook=14_09.xlsx&amp;sheet=U0&amp;row=6593&amp;col=7&amp;number=0.000963&amp;sourceID=14","0.000963")</f>
        <v>0.000963</v>
      </c>
    </row>
    <row r="6594" spans="1:7">
      <c r="A6594" s="3"/>
      <c r="B6594" s="3"/>
      <c r="C6594" s="3"/>
      <c r="D6594" s="3"/>
      <c r="E6594" s="3">
        <v>11</v>
      </c>
      <c r="F6594" s="4" t="str">
        <f>HYPERLINK("http://141.218.60.56/~jnz1568/getInfo.php?workbook=14_09.xlsx&amp;sheet=U0&amp;row=6594&amp;col=6&amp;number=4&amp;sourceID=14","4")</f>
        <v>4</v>
      </c>
      <c r="G6594" s="4" t="str">
        <f>HYPERLINK("http://141.218.60.56/~jnz1568/getInfo.php?workbook=14_09.xlsx&amp;sheet=U0&amp;row=6594&amp;col=7&amp;number=0.000959&amp;sourceID=14","0.000959")</f>
        <v>0.000959</v>
      </c>
    </row>
    <row r="6595" spans="1:7">
      <c r="A6595" s="3"/>
      <c r="B6595" s="3"/>
      <c r="C6595" s="3"/>
      <c r="D6595" s="3"/>
      <c r="E6595" s="3">
        <v>12</v>
      </c>
      <c r="F6595" s="4" t="str">
        <f>HYPERLINK("http://141.218.60.56/~jnz1568/getInfo.php?workbook=14_09.xlsx&amp;sheet=U0&amp;row=6595&amp;col=6&amp;number=4.1&amp;sourceID=14","4.1")</f>
        <v>4.1</v>
      </c>
      <c r="G6595" s="4" t="str">
        <f>HYPERLINK("http://141.218.60.56/~jnz1568/getInfo.php?workbook=14_09.xlsx&amp;sheet=U0&amp;row=6595&amp;col=7&amp;number=0.000954&amp;sourceID=14","0.000954")</f>
        <v>0.000954</v>
      </c>
    </row>
    <row r="6596" spans="1:7">
      <c r="A6596" s="3"/>
      <c r="B6596" s="3"/>
      <c r="C6596" s="3"/>
      <c r="D6596" s="3"/>
      <c r="E6596" s="3">
        <v>13</v>
      </c>
      <c r="F6596" s="4" t="str">
        <f>HYPERLINK("http://141.218.60.56/~jnz1568/getInfo.php?workbook=14_09.xlsx&amp;sheet=U0&amp;row=6596&amp;col=6&amp;number=4.2&amp;sourceID=14","4.2")</f>
        <v>4.2</v>
      </c>
      <c r="G6596" s="4" t="str">
        <f>HYPERLINK("http://141.218.60.56/~jnz1568/getInfo.php?workbook=14_09.xlsx&amp;sheet=U0&amp;row=6596&amp;col=7&amp;number=0.000948&amp;sourceID=14","0.000948")</f>
        <v>0.000948</v>
      </c>
    </row>
    <row r="6597" spans="1:7">
      <c r="A6597" s="3"/>
      <c r="B6597" s="3"/>
      <c r="C6597" s="3"/>
      <c r="D6597" s="3"/>
      <c r="E6597" s="3">
        <v>14</v>
      </c>
      <c r="F6597" s="4" t="str">
        <f>HYPERLINK("http://141.218.60.56/~jnz1568/getInfo.php?workbook=14_09.xlsx&amp;sheet=U0&amp;row=6597&amp;col=6&amp;number=4.3&amp;sourceID=14","4.3")</f>
        <v>4.3</v>
      </c>
      <c r="G6597" s="4" t="str">
        <f>HYPERLINK("http://141.218.60.56/~jnz1568/getInfo.php?workbook=14_09.xlsx&amp;sheet=U0&amp;row=6597&amp;col=7&amp;number=0.000941&amp;sourceID=14","0.000941")</f>
        <v>0.000941</v>
      </c>
    </row>
    <row r="6598" spans="1:7">
      <c r="A6598" s="3"/>
      <c r="B6598" s="3"/>
      <c r="C6598" s="3"/>
      <c r="D6598" s="3"/>
      <c r="E6598" s="3">
        <v>15</v>
      </c>
      <c r="F6598" s="4" t="str">
        <f>HYPERLINK("http://141.218.60.56/~jnz1568/getInfo.php?workbook=14_09.xlsx&amp;sheet=U0&amp;row=6598&amp;col=6&amp;number=4.4&amp;sourceID=14","4.4")</f>
        <v>4.4</v>
      </c>
      <c r="G6598" s="4" t="str">
        <f>HYPERLINK("http://141.218.60.56/~jnz1568/getInfo.php?workbook=14_09.xlsx&amp;sheet=U0&amp;row=6598&amp;col=7&amp;number=0.000931&amp;sourceID=14","0.000931")</f>
        <v>0.000931</v>
      </c>
    </row>
    <row r="6599" spans="1:7">
      <c r="A6599" s="3"/>
      <c r="B6599" s="3"/>
      <c r="C6599" s="3"/>
      <c r="D6599" s="3"/>
      <c r="E6599" s="3">
        <v>16</v>
      </c>
      <c r="F6599" s="4" t="str">
        <f>HYPERLINK("http://141.218.60.56/~jnz1568/getInfo.php?workbook=14_09.xlsx&amp;sheet=U0&amp;row=6599&amp;col=6&amp;number=4.5&amp;sourceID=14","4.5")</f>
        <v>4.5</v>
      </c>
      <c r="G6599" s="4" t="str">
        <f>HYPERLINK("http://141.218.60.56/~jnz1568/getInfo.php?workbook=14_09.xlsx&amp;sheet=U0&amp;row=6599&amp;col=7&amp;number=0.00092&amp;sourceID=14","0.00092")</f>
        <v>0.00092</v>
      </c>
    </row>
    <row r="6600" spans="1:7">
      <c r="A6600" s="3"/>
      <c r="B6600" s="3"/>
      <c r="C6600" s="3"/>
      <c r="D6600" s="3"/>
      <c r="E6600" s="3">
        <v>17</v>
      </c>
      <c r="F6600" s="4" t="str">
        <f>HYPERLINK("http://141.218.60.56/~jnz1568/getInfo.php?workbook=14_09.xlsx&amp;sheet=U0&amp;row=6600&amp;col=6&amp;number=4.6&amp;sourceID=14","4.6")</f>
        <v>4.6</v>
      </c>
      <c r="G6600" s="4" t="str">
        <f>HYPERLINK("http://141.218.60.56/~jnz1568/getInfo.php?workbook=14_09.xlsx&amp;sheet=U0&amp;row=6600&amp;col=7&amp;number=0.000905&amp;sourceID=14","0.000905")</f>
        <v>0.000905</v>
      </c>
    </row>
    <row r="6601" spans="1:7">
      <c r="A6601" s="3"/>
      <c r="B6601" s="3"/>
      <c r="C6601" s="3"/>
      <c r="D6601" s="3"/>
      <c r="E6601" s="3">
        <v>18</v>
      </c>
      <c r="F6601" s="4" t="str">
        <f>HYPERLINK("http://141.218.60.56/~jnz1568/getInfo.php?workbook=14_09.xlsx&amp;sheet=U0&amp;row=6601&amp;col=6&amp;number=4.7&amp;sourceID=14","4.7")</f>
        <v>4.7</v>
      </c>
      <c r="G6601" s="4" t="str">
        <f>HYPERLINK("http://141.218.60.56/~jnz1568/getInfo.php?workbook=14_09.xlsx&amp;sheet=U0&amp;row=6601&amp;col=7&amp;number=0.000887&amp;sourceID=14","0.000887")</f>
        <v>0.000887</v>
      </c>
    </row>
    <row r="6602" spans="1:7">
      <c r="A6602" s="3"/>
      <c r="B6602" s="3"/>
      <c r="C6602" s="3"/>
      <c r="D6602" s="3"/>
      <c r="E6602" s="3">
        <v>19</v>
      </c>
      <c r="F6602" s="4" t="str">
        <f>HYPERLINK("http://141.218.60.56/~jnz1568/getInfo.php?workbook=14_09.xlsx&amp;sheet=U0&amp;row=6602&amp;col=6&amp;number=4.8&amp;sourceID=14","4.8")</f>
        <v>4.8</v>
      </c>
      <c r="G6602" s="4" t="str">
        <f>HYPERLINK("http://141.218.60.56/~jnz1568/getInfo.php?workbook=14_09.xlsx&amp;sheet=U0&amp;row=6602&amp;col=7&amp;number=0.000866&amp;sourceID=14","0.000866")</f>
        <v>0.000866</v>
      </c>
    </row>
    <row r="6603" spans="1:7">
      <c r="A6603" s="3"/>
      <c r="B6603" s="3"/>
      <c r="C6603" s="3"/>
      <c r="D6603" s="3"/>
      <c r="E6603" s="3">
        <v>20</v>
      </c>
      <c r="F6603" s="4" t="str">
        <f>HYPERLINK("http://141.218.60.56/~jnz1568/getInfo.php?workbook=14_09.xlsx&amp;sheet=U0&amp;row=6603&amp;col=6&amp;number=4.9&amp;sourceID=14","4.9")</f>
        <v>4.9</v>
      </c>
      <c r="G6603" s="4" t="str">
        <f>HYPERLINK("http://141.218.60.56/~jnz1568/getInfo.php?workbook=14_09.xlsx&amp;sheet=U0&amp;row=6603&amp;col=7&amp;number=0.00084&amp;sourceID=14","0.00084")</f>
        <v>0.00084</v>
      </c>
    </row>
    <row r="6604" spans="1:7">
      <c r="A6604" s="3">
        <v>14</v>
      </c>
      <c r="B6604" s="3">
        <v>9</v>
      </c>
      <c r="C6604" s="3">
        <v>2</v>
      </c>
      <c r="D6604" s="3">
        <v>139</v>
      </c>
      <c r="E6604" s="3">
        <v>1</v>
      </c>
      <c r="F6604" s="4" t="str">
        <f>HYPERLINK("http://141.218.60.56/~jnz1568/getInfo.php?workbook=14_09.xlsx&amp;sheet=U0&amp;row=6604&amp;col=6&amp;number=3&amp;sourceID=14","3")</f>
        <v>3</v>
      </c>
      <c r="G6604" s="4" t="str">
        <f>HYPERLINK("http://141.218.60.56/~jnz1568/getInfo.php?workbook=14_09.xlsx&amp;sheet=U0&amp;row=6604&amp;col=7&amp;number=0.00364&amp;sourceID=14","0.00364")</f>
        <v>0.00364</v>
      </c>
    </row>
    <row r="6605" spans="1:7">
      <c r="A6605" s="3"/>
      <c r="B6605" s="3"/>
      <c r="C6605" s="3"/>
      <c r="D6605" s="3"/>
      <c r="E6605" s="3">
        <v>2</v>
      </c>
      <c r="F6605" s="4" t="str">
        <f>HYPERLINK("http://141.218.60.56/~jnz1568/getInfo.php?workbook=14_09.xlsx&amp;sheet=U0&amp;row=6605&amp;col=6&amp;number=3.1&amp;sourceID=14","3.1")</f>
        <v>3.1</v>
      </c>
      <c r="G6605" s="4" t="str">
        <f>HYPERLINK("http://141.218.60.56/~jnz1568/getInfo.php?workbook=14_09.xlsx&amp;sheet=U0&amp;row=6605&amp;col=7&amp;number=0.00363&amp;sourceID=14","0.00363")</f>
        <v>0.00363</v>
      </c>
    </row>
    <row r="6606" spans="1:7">
      <c r="A6606" s="3"/>
      <c r="B6606" s="3"/>
      <c r="C6606" s="3"/>
      <c r="D6606" s="3"/>
      <c r="E6606" s="3">
        <v>3</v>
      </c>
      <c r="F6606" s="4" t="str">
        <f>HYPERLINK("http://141.218.60.56/~jnz1568/getInfo.php?workbook=14_09.xlsx&amp;sheet=U0&amp;row=6606&amp;col=6&amp;number=3.2&amp;sourceID=14","3.2")</f>
        <v>3.2</v>
      </c>
      <c r="G6606" s="4" t="str">
        <f>HYPERLINK("http://141.218.60.56/~jnz1568/getInfo.php?workbook=14_09.xlsx&amp;sheet=U0&amp;row=6606&amp;col=7&amp;number=0.00363&amp;sourceID=14","0.00363")</f>
        <v>0.00363</v>
      </c>
    </row>
    <row r="6607" spans="1:7">
      <c r="A6607" s="3"/>
      <c r="B6607" s="3"/>
      <c r="C6607" s="3"/>
      <c r="D6607" s="3"/>
      <c r="E6607" s="3">
        <v>4</v>
      </c>
      <c r="F6607" s="4" t="str">
        <f>HYPERLINK("http://141.218.60.56/~jnz1568/getInfo.php?workbook=14_09.xlsx&amp;sheet=U0&amp;row=6607&amp;col=6&amp;number=3.3&amp;sourceID=14","3.3")</f>
        <v>3.3</v>
      </c>
      <c r="G6607" s="4" t="str">
        <f>HYPERLINK("http://141.218.60.56/~jnz1568/getInfo.php?workbook=14_09.xlsx&amp;sheet=U0&amp;row=6607&amp;col=7&amp;number=0.00363&amp;sourceID=14","0.00363")</f>
        <v>0.00363</v>
      </c>
    </row>
    <row r="6608" spans="1:7">
      <c r="A6608" s="3"/>
      <c r="B6608" s="3"/>
      <c r="C6608" s="3"/>
      <c r="D6608" s="3"/>
      <c r="E6608" s="3">
        <v>5</v>
      </c>
      <c r="F6608" s="4" t="str">
        <f>HYPERLINK("http://141.218.60.56/~jnz1568/getInfo.php?workbook=14_09.xlsx&amp;sheet=U0&amp;row=6608&amp;col=6&amp;number=3.4&amp;sourceID=14","3.4")</f>
        <v>3.4</v>
      </c>
      <c r="G6608" s="4" t="str">
        <f>HYPERLINK("http://141.218.60.56/~jnz1568/getInfo.php?workbook=14_09.xlsx&amp;sheet=U0&amp;row=6608&amp;col=7&amp;number=0.00363&amp;sourceID=14","0.00363")</f>
        <v>0.00363</v>
      </c>
    </row>
    <row r="6609" spans="1:7">
      <c r="A6609" s="3"/>
      <c r="B6609" s="3"/>
      <c r="C6609" s="3"/>
      <c r="D6609" s="3"/>
      <c r="E6609" s="3">
        <v>6</v>
      </c>
      <c r="F6609" s="4" t="str">
        <f>HYPERLINK("http://141.218.60.56/~jnz1568/getInfo.php?workbook=14_09.xlsx&amp;sheet=U0&amp;row=6609&amp;col=6&amp;number=3.5&amp;sourceID=14","3.5")</f>
        <v>3.5</v>
      </c>
      <c r="G6609" s="4" t="str">
        <f>HYPERLINK("http://141.218.60.56/~jnz1568/getInfo.php?workbook=14_09.xlsx&amp;sheet=U0&amp;row=6609&amp;col=7&amp;number=0.00363&amp;sourceID=14","0.00363")</f>
        <v>0.00363</v>
      </c>
    </row>
    <row r="6610" spans="1:7">
      <c r="A6610" s="3"/>
      <c r="B6610" s="3"/>
      <c r="C6610" s="3"/>
      <c r="D6610" s="3"/>
      <c r="E6610" s="3">
        <v>7</v>
      </c>
      <c r="F6610" s="4" t="str">
        <f>HYPERLINK("http://141.218.60.56/~jnz1568/getInfo.php?workbook=14_09.xlsx&amp;sheet=U0&amp;row=6610&amp;col=6&amp;number=3.6&amp;sourceID=14","3.6")</f>
        <v>3.6</v>
      </c>
      <c r="G6610" s="4" t="str">
        <f>HYPERLINK("http://141.218.60.56/~jnz1568/getInfo.php?workbook=14_09.xlsx&amp;sheet=U0&amp;row=6610&amp;col=7&amp;number=0.00363&amp;sourceID=14","0.00363")</f>
        <v>0.00363</v>
      </c>
    </row>
    <row r="6611" spans="1:7">
      <c r="A6611" s="3"/>
      <c r="B6611" s="3"/>
      <c r="C6611" s="3"/>
      <c r="D6611" s="3"/>
      <c r="E6611" s="3">
        <v>8</v>
      </c>
      <c r="F6611" s="4" t="str">
        <f>HYPERLINK("http://141.218.60.56/~jnz1568/getInfo.php?workbook=14_09.xlsx&amp;sheet=U0&amp;row=6611&amp;col=6&amp;number=3.7&amp;sourceID=14","3.7")</f>
        <v>3.7</v>
      </c>
      <c r="G6611" s="4" t="str">
        <f>HYPERLINK("http://141.218.60.56/~jnz1568/getInfo.php?workbook=14_09.xlsx&amp;sheet=U0&amp;row=6611&amp;col=7&amp;number=0.00362&amp;sourceID=14","0.00362")</f>
        <v>0.00362</v>
      </c>
    </row>
    <row r="6612" spans="1:7">
      <c r="A6612" s="3"/>
      <c r="B6612" s="3"/>
      <c r="C6612" s="3"/>
      <c r="D6612" s="3"/>
      <c r="E6612" s="3">
        <v>9</v>
      </c>
      <c r="F6612" s="4" t="str">
        <f>HYPERLINK("http://141.218.60.56/~jnz1568/getInfo.php?workbook=14_09.xlsx&amp;sheet=U0&amp;row=6612&amp;col=6&amp;number=3.8&amp;sourceID=14","3.8")</f>
        <v>3.8</v>
      </c>
      <c r="G6612" s="4" t="str">
        <f>HYPERLINK("http://141.218.60.56/~jnz1568/getInfo.php?workbook=14_09.xlsx&amp;sheet=U0&amp;row=6612&amp;col=7&amp;number=0.00362&amp;sourceID=14","0.00362")</f>
        <v>0.00362</v>
      </c>
    </row>
    <row r="6613" spans="1:7">
      <c r="A6613" s="3"/>
      <c r="B6613" s="3"/>
      <c r="C6613" s="3"/>
      <c r="D6613" s="3"/>
      <c r="E6613" s="3">
        <v>10</v>
      </c>
      <c r="F6613" s="4" t="str">
        <f>HYPERLINK("http://141.218.60.56/~jnz1568/getInfo.php?workbook=14_09.xlsx&amp;sheet=U0&amp;row=6613&amp;col=6&amp;number=3.9&amp;sourceID=14","3.9")</f>
        <v>3.9</v>
      </c>
      <c r="G6613" s="4" t="str">
        <f>HYPERLINK("http://141.218.60.56/~jnz1568/getInfo.php?workbook=14_09.xlsx&amp;sheet=U0&amp;row=6613&amp;col=7&amp;number=0.00361&amp;sourceID=14","0.00361")</f>
        <v>0.00361</v>
      </c>
    </row>
    <row r="6614" spans="1:7">
      <c r="A6614" s="3"/>
      <c r="B6614" s="3"/>
      <c r="C6614" s="3"/>
      <c r="D6614" s="3"/>
      <c r="E6614" s="3">
        <v>11</v>
      </c>
      <c r="F6614" s="4" t="str">
        <f>HYPERLINK("http://141.218.60.56/~jnz1568/getInfo.php?workbook=14_09.xlsx&amp;sheet=U0&amp;row=6614&amp;col=6&amp;number=4&amp;sourceID=14","4")</f>
        <v>4</v>
      </c>
      <c r="G6614" s="4" t="str">
        <f>HYPERLINK("http://141.218.60.56/~jnz1568/getInfo.php?workbook=14_09.xlsx&amp;sheet=U0&amp;row=6614&amp;col=7&amp;number=0.00361&amp;sourceID=14","0.00361")</f>
        <v>0.00361</v>
      </c>
    </row>
    <row r="6615" spans="1:7">
      <c r="A6615" s="3"/>
      <c r="B6615" s="3"/>
      <c r="C6615" s="3"/>
      <c r="D6615" s="3"/>
      <c r="E6615" s="3">
        <v>12</v>
      </c>
      <c r="F6615" s="4" t="str">
        <f>HYPERLINK("http://141.218.60.56/~jnz1568/getInfo.php?workbook=14_09.xlsx&amp;sheet=U0&amp;row=6615&amp;col=6&amp;number=4.1&amp;sourceID=14","4.1")</f>
        <v>4.1</v>
      </c>
      <c r="G6615" s="4" t="str">
        <f>HYPERLINK("http://141.218.60.56/~jnz1568/getInfo.php?workbook=14_09.xlsx&amp;sheet=U0&amp;row=6615&amp;col=7&amp;number=0.0036&amp;sourceID=14","0.0036")</f>
        <v>0.0036</v>
      </c>
    </row>
    <row r="6616" spans="1:7">
      <c r="A6616" s="3"/>
      <c r="B6616" s="3"/>
      <c r="C6616" s="3"/>
      <c r="D6616" s="3"/>
      <c r="E6616" s="3">
        <v>13</v>
      </c>
      <c r="F6616" s="4" t="str">
        <f>HYPERLINK("http://141.218.60.56/~jnz1568/getInfo.php?workbook=14_09.xlsx&amp;sheet=U0&amp;row=6616&amp;col=6&amp;number=4.2&amp;sourceID=14","4.2")</f>
        <v>4.2</v>
      </c>
      <c r="G6616" s="4" t="str">
        <f>HYPERLINK("http://141.218.60.56/~jnz1568/getInfo.php?workbook=14_09.xlsx&amp;sheet=U0&amp;row=6616&amp;col=7&amp;number=0.00359&amp;sourceID=14","0.00359")</f>
        <v>0.00359</v>
      </c>
    </row>
    <row r="6617" spans="1:7">
      <c r="A6617" s="3"/>
      <c r="B6617" s="3"/>
      <c r="C6617" s="3"/>
      <c r="D6617" s="3"/>
      <c r="E6617" s="3">
        <v>14</v>
      </c>
      <c r="F6617" s="4" t="str">
        <f>HYPERLINK("http://141.218.60.56/~jnz1568/getInfo.php?workbook=14_09.xlsx&amp;sheet=U0&amp;row=6617&amp;col=6&amp;number=4.3&amp;sourceID=14","4.3")</f>
        <v>4.3</v>
      </c>
      <c r="G6617" s="4" t="str">
        <f>HYPERLINK("http://141.218.60.56/~jnz1568/getInfo.php?workbook=14_09.xlsx&amp;sheet=U0&amp;row=6617&amp;col=7&amp;number=0.00358&amp;sourceID=14","0.00358")</f>
        <v>0.00358</v>
      </c>
    </row>
    <row r="6618" spans="1:7">
      <c r="A6618" s="3"/>
      <c r="B6618" s="3"/>
      <c r="C6618" s="3"/>
      <c r="D6618" s="3"/>
      <c r="E6618" s="3">
        <v>15</v>
      </c>
      <c r="F6618" s="4" t="str">
        <f>HYPERLINK("http://141.218.60.56/~jnz1568/getInfo.php?workbook=14_09.xlsx&amp;sheet=U0&amp;row=6618&amp;col=6&amp;number=4.4&amp;sourceID=14","4.4")</f>
        <v>4.4</v>
      </c>
      <c r="G6618" s="4" t="str">
        <f>HYPERLINK("http://141.218.60.56/~jnz1568/getInfo.php?workbook=14_09.xlsx&amp;sheet=U0&amp;row=6618&amp;col=7&amp;number=0.00356&amp;sourceID=14","0.00356")</f>
        <v>0.00356</v>
      </c>
    </row>
    <row r="6619" spans="1:7">
      <c r="A6619" s="3"/>
      <c r="B6619" s="3"/>
      <c r="C6619" s="3"/>
      <c r="D6619" s="3"/>
      <c r="E6619" s="3">
        <v>16</v>
      </c>
      <c r="F6619" s="4" t="str">
        <f>HYPERLINK("http://141.218.60.56/~jnz1568/getInfo.php?workbook=14_09.xlsx&amp;sheet=U0&amp;row=6619&amp;col=6&amp;number=4.5&amp;sourceID=14","4.5")</f>
        <v>4.5</v>
      </c>
      <c r="G6619" s="4" t="str">
        <f>HYPERLINK("http://141.218.60.56/~jnz1568/getInfo.php?workbook=14_09.xlsx&amp;sheet=U0&amp;row=6619&amp;col=7&amp;number=0.00354&amp;sourceID=14","0.00354")</f>
        <v>0.00354</v>
      </c>
    </row>
    <row r="6620" spans="1:7">
      <c r="A6620" s="3"/>
      <c r="B6620" s="3"/>
      <c r="C6620" s="3"/>
      <c r="D6620" s="3"/>
      <c r="E6620" s="3">
        <v>17</v>
      </c>
      <c r="F6620" s="4" t="str">
        <f>HYPERLINK("http://141.218.60.56/~jnz1568/getInfo.php?workbook=14_09.xlsx&amp;sheet=U0&amp;row=6620&amp;col=6&amp;number=4.6&amp;sourceID=14","4.6")</f>
        <v>4.6</v>
      </c>
      <c r="G6620" s="4" t="str">
        <f>HYPERLINK("http://141.218.60.56/~jnz1568/getInfo.php?workbook=14_09.xlsx&amp;sheet=U0&amp;row=6620&amp;col=7&amp;number=0.00351&amp;sourceID=14","0.00351")</f>
        <v>0.00351</v>
      </c>
    </row>
    <row r="6621" spans="1:7">
      <c r="A6621" s="3"/>
      <c r="B6621" s="3"/>
      <c r="C6621" s="3"/>
      <c r="D6621" s="3"/>
      <c r="E6621" s="3">
        <v>18</v>
      </c>
      <c r="F6621" s="4" t="str">
        <f>HYPERLINK("http://141.218.60.56/~jnz1568/getInfo.php?workbook=14_09.xlsx&amp;sheet=U0&amp;row=6621&amp;col=6&amp;number=4.7&amp;sourceID=14","4.7")</f>
        <v>4.7</v>
      </c>
      <c r="G6621" s="4" t="str">
        <f>HYPERLINK("http://141.218.60.56/~jnz1568/getInfo.php?workbook=14_09.xlsx&amp;sheet=U0&amp;row=6621&amp;col=7&amp;number=0.00348&amp;sourceID=14","0.00348")</f>
        <v>0.00348</v>
      </c>
    </row>
    <row r="6622" spans="1:7">
      <c r="A6622" s="3"/>
      <c r="B6622" s="3"/>
      <c r="C6622" s="3"/>
      <c r="D6622" s="3"/>
      <c r="E6622" s="3">
        <v>19</v>
      </c>
      <c r="F6622" s="4" t="str">
        <f>HYPERLINK("http://141.218.60.56/~jnz1568/getInfo.php?workbook=14_09.xlsx&amp;sheet=U0&amp;row=6622&amp;col=6&amp;number=4.8&amp;sourceID=14","4.8")</f>
        <v>4.8</v>
      </c>
      <c r="G6622" s="4" t="str">
        <f>HYPERLINK("http://141.218.60.56/~jnz1568/getInfo.php?workbook=14_09.xlsx&amp;sheet=U0&amp;row=6622&amp;col=7&amp;number=0.00345&amp;sourceID=14","0.00345")</f>
        <v>0.00345</v>
      </c>
    </row>
    <row r="6623" spans="1:7">
      <c r="A6623" s="3"/>
      <c r="B6623" s="3"/>
      <c r="C6623" s="3"/>
      <c r="D6623" s="3"/>
      <c r="E6623" s="3">
        <v>20</v>
      </c>
      <c r="F6623" s="4" t="str">
        <f>HYPERLINK("http://141.218.60.56/~jnz1568/getInfo.php?workbook=14_09.xlsx&amp;sheet=U0&amp;row=6623&amp;col=6&amp;number=4.9&amp;sourceID=14","4.9")</f>
        <v>4.9</v>
      </c>
      <c r="G6623" s="4" t="str">
        <f>HYPERLINK("http://141.218.60.56/~jnz1568/getInfo.php?workbook=14_09.xlsx&amp;sheet=U0&amp;row=6623&amp;col=7&amp;number=0.0034&amp;sourceID=14","0.0034")</f>
        <v>0.0034</v>
      </c>
    </row>
    <row r="6624" spans="1:7">
      <c r="A6624" s="3">
        <v>14</v>
      </c>
      <c r="B6624" s="3">
        <v>9</v>
      </c>
      <c r="C6624" s="3">
        <v>2</v>
      </c>
      <c r="D6624" s="3">
        <v>140</v>
      </c>
      <c r="E6624" s="3">
        <v>1</v>
      </c>
      <c r="F6624" s="4" t="str">
        <f>HYPERLINK("http://141.218.60.56/~jnz1568/getInfo.php?workbook=14_09.xlsx&amp;sheet=U0&amp;row=6624&amp;col=6&amp;number=3&amp;sourceID=14","3")</f>
        <v>3</v>
      </c>
      <c r="G6624" s="4" t="str">
        <f>HYPERLINK("http://141.218.60.56/~jnz1568/getInfo.php?workbook=14_09.xlsx&amp;sheet=U0&amp;row=6624&amp;col=7&amp;number=0.00667&amp;sourceID=14","0.00667")</f>
        <v>0.00667</v>
      </c>
    </row>
    <row r="6625" spans="1:7">
      <c r="A6625" s="3"/>
      <c r="B6625" s="3"/>
      <c r="C6625" s="3"/>
      <c r="D6625" s="3"/>
      <c r="E6625" s="3">
        <v>2</v>
      </c>
      <c r="F6625" s="4" t="str">
        <f>HYPERLINK("http://141.218.60.56/~jnz1568/getInfo.php?workbook=14_09.xlsx&amp;sheet=U0&amp;row=6625&amp;col=6&amp;number=3.1&amp;sourceID=14","3.1")</f>
        <v>3.1</v>
      </c>
      <c r="G6625" s="4" t="str">
        <f>HYPERLINK("http://141.218.60.56/~jnz1568/getInfo.php?workbook=14_09.xlsx&amp;sheet=U0&amp;row=6625&amp;col=7&amp;number=0.00665&amp;sourceID=14","0.00665")</f>
        <v>0.00665</v>
      </c>
    </row>
    <row r="6626" spans="1:7">
      <c r="A6626" s="3"/>
      <c r="B6626" s="3"/>
      <c r="C6626" s="3"/>
      <c r="D6626" s="3"/>
      <c r="E6626" s="3">
        <v>3</v>
      </c>
      <c r="F6626" s="4" t="str">
        <f>HYPERLINK("http://141.218.60.56/~jnz1568/getInfo.php?workbook=14_09.xlsx&amp;sheet=U0&amp;row=6626&amp;col=6&amp;number=3.2&amp;sourceID=14","3.2")</f>
        <v>3.2</v>
      </c>
      <c r="G6626" s="4" t="str">
        <f>HYPERLINK("http://141.218.60.56/~jnz1568/getInfo.php?workbook=14_09.xlsx&amp;sheet=U0&amp;row=6626&amp;col=7&amp;number=0.00662&amp;sourceID=14","0.00662")</f>
        <v>0.00662</v>
      </c>
    </row>
    <row r="6627" spans="1:7">
      <c r="A6627" s="3"/>
      <c r="B6627" s="3"/>
      <c r="C6627" s="3"/>
      <c r="D6627" s="3"/>
      <c r="E6627" s="3">
        <v>4</v>
      </c>
      <c r="F6627" s="4" t="str">
        <f>HYPERLINK("http://141.218.60.56/~jnz1568/getInfo.php?workbook=14_09.xlsx&amp;sheet=U0&amp;row=6627&amp;col=6&amp;number=3.3&amp;sourceID=14","3.3")</f>
        <v>3.3</v>
      </c>
      <c r="G6627" s="4" t="str">
        <f>HYPERLINK("http://141.218.60.56/~jnz1568/getInfo.php?workbook=14_09.xlsx&amp;sheet=U0&amp;row=6627&amp;col=7&amp;number=0.00659&amp;sourceID=14","0.00659")</f>
        <v>0.00659</v>
      </c>
    </row>
    <row r="6628" spans="1:7">
      <c r="A6628" s="3"/>
      <c r="B6628" s="3"/>
      <c r="C6628" s="3"/>
      <c r="D6628" s="3"/>
      <c r="E6628" s="3">
        <v>5</v>
      </c>
      <c r="F6628" s="4" t="str">
        <f>HYPERLINK("http://141.218.60.56/~jnz1568/getInfo.php?workbook=14_09.xlsx&amp;sheet=U0&amp;row=6628&amp;col=6&amp;number=3.4&amp;sourceID=14","3.4")</f>
        <v>3.4</v>
      </c>
      <c r="G6628" s="4" t="str">
        <f>HYPERLINK("http://141.218.60.56/~jnz1568/getInfo.php?workbook=14_09.xlsx&amp;sheet=U0&amp;row=6628&amp;col=7&amp;number=0.00656&amp;sourceID=14","0.00656")</f>
        <v>0.00656</v>
      </c>
    </row>
    <row r="6629" spans="1:7">
      <c r="A6629" s="3"/>
      <c r="B6629" s="3"/>
      <c r="C6629" s="3"/>
      <c r="D6629" s="3"/>
      <c r="E6629" s="3">
        <v>6</v>
      </c>
      <c r="F6629" s="4" t="str">
        <f>HYPERLINK("http://141.218.60.56/~jnz1568/getInfo.php?workbook=14_09.xlsx&amp;sheet=U0&amp;row=6629&amp;col=6&amp;number=3.5&amp;sourceID=14","3.5")</f>
        <v>3.5</v>
      </c>
      <c r="G6629" s="4" t="str">
        <f>HYPERLINK("http://141.218.60.56/~jnz1568/getInfo.php?workbook=14_09.xlsx&amp;sheet=U0&amp;row=6629&amp;col=7&amp;number=0.00651&amp;sourceID=14","0.00651")</f>
        <v>0.00651</v>
      </c>
    </row>
    <row r="6630" spans="1:7">
      <c r="A6630" s="3"/>
      <c r="B6630" s="3"/>
      <c r="C6630" s="3"/>
      <c r="D6630" s="3"/>
      <c r="E6630" s="3">
        <v>7</v>
      </c>
      <c r="F6630" s="4" t="str">
        <f>HYPERLINK("http://141.218.60.56/~jnz1568/getInfo.php?workbook=14_09.xlsx&amp;sheet=U0&amp;row=6630&amp;col=6&amp;number=3.6&amp;sourceID=14","3.6")</f>
        <v>3.6</v>
      </c>
      <c r="G6630" s="4" t="str">
        <f>HYPERLINK("http://141.218.60.56/~jnz1568/getInfo.php?workbook=14_09.xlsx&amp;sheet=U0&amp;row=6630&amp;col=7&amp;number=0.00645&amp;sourceID=14","0.00645")</f>
        <v>0.00645</v>
      </c>
    </row>
    <row r="6631" spans="1:7">
      <c r="A6631" s="3"/>
      <c r="B6631" s="3"/>
      <c r="C6631" s="3"/>
      <c r="D6631" s="3"/>
      <c r="E6631" s="3">
        <v>8</v>
      </c>
      <c r="F6631" s="4" t="str">
        <f>HYPERLINK("http://141.218.60.56/~jnz1568/getInfo.php?workbook=14_09.xlsx&amp;sheet=U0&amp;row=6631&amp;col=6&amp;number=3.7&amp;sourceID=14","3.7")</f>
        <v>3.7</v>
      </c>
      <c r="G6631" s="4" t="str">
        <f>HYPERLINK("http://141.218.60.56/~jnz1568/getInfo.php?workbook=14_09.xlsx&amp;sheet=U0&amp;row=6631&amp;col=7&amp;number=0.00638&amp;sourceID=14","0.00638")</f>
        <v>0.00638</v>
      </c>
    </row>
    <row r="6632" spans="1:7">
      <c r="A6632" s="3"/>
      <c r="B6632" s="3"/>
      <c r="C6632" s="3"/>
      <c r="D6632" s="3"/>
      <c r="E6632" s="3">
        <v>9</v>
      </c>
      <c r="F6632" s="4" t="str">
        <f>HYPERLINK("http://141.218.60.56/~jnz1568/getInfo.php?workbook=14_09.xlsx&amp;sheet=U0&amp;row=6632&amp;col=6&amp;number=3.8&amp;sourceID=14","3.8")</f>
        <v>3.8</v>
      </c>
      <c r="G6632" s="4" t="str">
        <f>HYPERLINK("http://141.218.60.56/~jnz1568/getInfo.php?workbook=14_09.xlsx&amp;sheet=U0&amp;row=6632&amp;col=7&amp;number=0.00629&amp;sourceID=14","0.00629")</f>
        <v>0.00629</v>
      </c>
    </row>
    <row r="6633" spans="1:7">
      <c r="A6633" s="3"/>
      <c r="B6633" s="3"/>
      <c r="C6633" s="3"/>
      <c r="D6633" s="3"/>
      <c r="E6633" s="3">
        <v>10</v>
      </c>
      <c r="F6633" s="4" t="str">
        <f>HYPERLINK("http://141.218.60.56/~jnz1568/getInfo.php?workbook=14_09.xlsx&amp;sheet=U0&amp;row=6633&amp;col=6&amp;number=3.9&amp;sourceID=14","3.9")</f>
        <v>3.9</v>
      </c>
      <c r="G6633" s="4" t="str">
        <f>HYPERLINK("http://141.218.60.56/~jnz1568/getInfo.php?workbook=14_09.xlsx&amp;sheet=U0&amp;row=6633&amp;col=7&amp;number=0.00617&amp;sourceID=14","0.00617")</f>
        <v>0.00617</v>
      </c>
    </row>
    <row r="6634" spans="1:7">
      <c r="A6634" s="3"/>
      <c r="B6634" s="3"/>
      <c r="C6634" s="3"/>
      <c r="D6634" s="3"/>
      <c r="E6634" s="3">
        <v>11</v>
      </c>
      <c r="F6634" s="4" t="str">
        <f>HYPERLINK("http://141.218.60.56/~jnz1568/getInfo.php?workbook=14_09.xlsx&amp;sheet=U0&amp;row=6634&amp;col=6&amp;number=4&amp;sourceID=14","4")</f>
        <v>4</v>
      </c>
      <c r="G6634" s="4" t="str">
        <f>HYPERLINK("http://141.218.60.56/~jnz1568/getInfo.php?workbook=14_09.xlsx&amp;sheet=U0&amp;row=6634&amp;col=7&amp;number=0.00603&amp;sourceID=14","0.00603")</f>
        <v>0.00603</v>
      </c>
    </row>
    <row r="6635" spans="1:7">
      <c r="A6635" s="3"/>
      <c r="B6635" s="3"/>
      <c r="C6635" s="3"/>
      <c r="D6635" s="3"/>
      <c r="E6635" s="3">
        <v>12</v>
      </c>
      <c r="F6635" s="4" t="str">
        <f>HYPERLINK("http://141.218.60.56/~jnz1568/getInfo.php?workbook=14_09.xlsx&amp;sheet=U0&amp;row=6635&amp;col=6&amp;number=4.1&amp;sourceID=14","4.1")</f>
        <v>4.1</v>
      </c>
      <c r="G6635" s="4" t="str">
        <f>HYPERLINK("http://141.218.60.56/~jnz1568/getInfo.php?workbook=14_09.xlsx&amp;sheet=U0&amp;row=6635&amp;col=7&amp;number=0.00585&amp;sourceID=14","0.00585")</f>
        <v>0.00585</v>
      </c>
    </row>
    <row r="6636" spans="1:7">
      <c r="A6636" s="3"/>
      <c r="B6636" s="3"/>
      <c r="C6636" s="3"/>
      <c r="D6636" s="3"/>
      <c r="E6636" s="3">
        <v>13</v>
      </c>
      <c r="F6636" s="4" t="str">
        <f>HYPERLINK("http://141.218.60.56/~jnz1568/getInfo.php?workbook=14_09.xlsx&amp;sheet=U0&amp;row=6636&amp;col=6&amp;number=4.2&amp;sourceID=14","4.2")</f>
        <v>4.2</v>
      </c>
      <c r="G6636" s="4" t="str">
        <f>HYPERLINK("http://141.218.60.56/~jnz1568/getInfo.php?workbook=14_09.xlsx&amp;sheet=U0&amp;row=6636&amp;col=7&amp;number=0.00564&amp;sourceID=14","0.00564")</f>
        <v>0.00564</v>
      </c>
    </row>
    <row r="6637" spans="1:7">
      <c r="A6637" s="3"/>
      <c r="B6637" s="3"/>
      <c r="C6637" s="3"/>
      <c r="D6637" s="3"/>
      <c r="E6637" s="3">
        <v>14</v>
      </c>
      <c r="F6637" s="4" t="str">
        <f>HYPERLINK("http://141.218.60.56/~jnz1568/getInfo.php?workbook=14_09.xlsx&amp;sheet=U0&amp;row=6637&amp;col=6&amp;number=4.3&amp;sourceID=14","4.3")</f>
        <v>4.3</v>
      </c>
      <c r="G6637" s="4" t="str">
        <f>HYPERLINK("http://141.218.60.56/~jnz1568/getInfo.php?workbook=14_09.xlsx&amp;sheet=U0&amp;row=6637&amp;col=7&amp;number=0.00538&amp;sourceID=14","0.00538")</f>
        <v>0.00538</v>
      </c>
    </row>
    <row r="6638" spans="1:7">
      <c r="A6638" s="3"/>
      <c r="B6638" s="3"/>
      <c r="C6638" s="3"/>
      <c r="D6638" s="3"/>
      <c r="E6638" s="3">
        <v>15</v>
      </c>
      <c r="F6638" s="4" t="str">
        <f>HYPERLINK("http://141.218.60.56/~jnz1568/getInfo.php?workbook=14_09.xlsx&amp;sheet=U0&amp;row=6638&amp;col=6&amp;number=4.4&amp;sourceID=14","4.4")</f>
        <v>4.4</v>
      </c>
      <c r="G6638" s="4" t="str">
        <f>HYPERLINK("http://141.218.60.56/~jnz1568/getInfo.php?workbook=14_09.xlsx&amp;sheet=U0&amp;row=6638&amp;col=7&amp;number=0.00506&amp;sourceID=14","0.00506")</f>
        <v>0.00506</v>
      </c>
    </row>
    <row r="6639" spans="1:7">
      <c r="A6639" s="3"/>
      <c r="B6639" s="3"/>
      <c r="C6639" s="3"/>
      <c r="D6639" s="3"/>
      <c r="E6639" s="3">
        <v>16</v>
      </c>
      <c r="F6639" s="4" t="str">
        <f>HYPERLINK("http://141.218.60.56/~jnz1568/getInfo.php?workbook=14_09.xlsx&amp;sheet=U0&amp;row=6639&amp;col=6&amp;number=4.5&amp;sourceID=14","4.5")</f>
        <v>4.5</v>
      </c>
      <c r="G6639" s="4" t="str">
        <f>HYPERLINK("http://141.218.60.56/~jnz1568/getInfo.php?workbook=14_09.xlsx&amp;sheet=U0&amp;row=6639&amp;col=7&amp;number=0.0047&amp;sourceID=14","0.0047")</f>
        <v>0.0047</v>
      </c>
    </row>
    <row r="6640" spans="1:7">
      <c r="A6640" s="3"/>
      <c r="B6640" s="3"/>
      <c r="C6640" s="3"/>
      <c r="D6640" s="3"/>
      <c r="E6640" s="3">
        <v>17</v>
      </c>
      <c r="F6640" s="4" t="str">
        <f>HYPERLINK("http://141.218.60.56/~jnz1568/getInfo.php?workbook=14_09.xlsx&amp;sheet=U0&amp;row=6640&amp;col=6&amp;number=4.6&amp;sourceID=14","4.6")</f>
        <v>4.6</v>
      </c>
      <c r="G6640" s="4" t="str">
        <f>HYPERLINK("http://141.218.60.56/~jnz1568/getInfo.php?workbook=14_09.xlsx&amp;sheet=U0&amp;row=6640&amp;col=7&amp;number=0.00428&amp;sourceID=14","0.00428")</f>
        <v>0.00428</v>
      </c>
    </row>
    <row r="6641" spans="1:7">
      <c r="A6641" s="3"/>
      <c r="B6641" s="3"/>
      <c r="C6641" s="3"/>
      <c r="D6641" s="3"/>
      <c r="E6641" s="3">
        <v>18</v>
      </c>
      <c r="F6641" s="4" t="str">
        <f>HYPERLINK("http://141.218.60.56/~jnz1568/getInfo.php?workbook=14_09.xlsx&amp;sheet=U0&amp;row=6641&amp;col=6&amp;number=4.7&amp;sourceID=14","4.7")</f>
        <v>4.7</v>
      </c>
      <c r="G6641" s="4" t="str">
        <f>HYPERLINK("http://141.218.60.56/~jnz1568/getInfo.php?workbook=14_09.xlsx&amp;sheet=U0&amp;row=6641&amp;col=7&amp;number=0.00383&amp;sourceID=14","0.00383")</f>
        <v>0.00383</v>
      </c>
    </row>
    <row r="6642" spans="1:7">
      <c r="A6642" s="3"/>
      <c r="B6642" s="3"/>
      <c r="C6642" s="3"/>
      <c r="D6642" s="3"/>
      <c r="E6642" s="3">
        <v>19</v>
      </c>
      <c r="F6642" s="4" t="str">
        <f>HYPERLINK("http://141.218.60.56/~jnz1568/getInfo.php?workbook=14_09.xlsx&amp;sheet=U0&amp;row=6642&amp;col=6&amp;number=4.8&amp;sourceID=14","4.8")</f>
        <v>4.8</v>
      </c>
      <c r="G6642" s="4" t="str">
        <f>HYPERLINK("http://141.218.60.56/~jnz1568/getInfo.php?workbook=14_09.xlsx&amp;sheet=U0&amp;row=6642&amp;col=7&amp;number=0.0034&amp;sourceID=14","0.0034")</f>
        <v>0.0034</v>
      </c>
    </row>
    <row r="6643" spans="1:7">
      <c r="A6643" s="3"/>
      <c r="B6643" s="3"/>
      <c r="C6643" s="3"/>
      <c r="D6643" s="3"/>
      <c r="E6643" s="3">
        <v>20</v>
      </c>
      <c r="F6643" s="4" t="str">
        <f>HYPERLINK("http://141.218.60.56/~jnz1568/getInfo.php?workbook=14_09.xlsx&amp;sheet=U0&amp;row=6643&amp;col=6&amp;number=4.9&amp;sourceID=14","4.9")</f>
        <v>4.9</v>
      </c>
      <c r="G6643" s="4" t="str">
        <f>HYPERLINK("http://141.218.60.56/~jnz1568/getInfo.php?workbook=14_09.xlsx&amp;sheet=U0&amp;row=6643&amp;col=7&amp;number=0.00303&amp;sourceID=14","0.00303")</f>
        <v>0.00303</v>
      </c>
    </row>
    <row r="6644" spans="1:7">
      <c r="A6644" s="3">
        <v>14</v>
      </c>
      <c r="B6644" s="3">
        <v>9</v>
      </c>
      <c r="C6644" s="3">
        <v>2</v>
      </c>
      <c r="D6644" s="3">
        <v>141</v>
      </c>
      <c r="E6644" s="3">
        <v>1</v>
      </c>
      <c r="F6644" s="4" t="str">
        <f>HYPERLINK("http://141.218.60.56/~jnz1568/getInfo.php?workbook=14_09.xlsx&amp;sheet=U0&amp;row=6644&amp;col=6&amp;number=3&amp;sourceID=14","3")</f>
        <v>3</v>
      </c>
      <c r="G6644" s="4" t="str">
        <f>HYPERLINK("http://141.218.60.56/~jnz1568/getInfo.php?workbook=14_09.xlsx&amp;sheet=U0&amp;row=6644&amp;col=7&amp;number=0.00274&amp;sourceID=14","0.00274")</f>
        <v>0.00274</v>
      </c>
    </row>
    <row r="6645" spans="1:7">
      <c r="A6645" s="3"/>
      <c r="B6645" s="3"/>
      <c r="C6645" s="3"/>
      <c r="D6645" s="3"/>
      <c r="E6645" s="3">
        <v>2</v>
      </c>
      <c r="F6645" s="4" t="str">
        <f>HYPERLINK("http://141.218.60.56/~jnz1568/getInfo.php?workbook=14_09.xlsx&amp;sheet=U0&amp;row=6645&amp;col=6&amp;number=3.1&amp;sourceID=14","3.1")</f>
        <v>3.1</v>
      </c>
      <c r="G6645" s="4" t="str">
        <f>HYPERLINK("http://141.218.60.56/~jnz1568/getInfo.php?workbook=14_09.xlsx&amp;sheet=U0&amp;row=6645&amp;col=7&amp;number=0.00274&amp;sourceID=14","0.00274")</f>
        <v>0.00274</v>
      </c>
    </row>
    <row r="6646" spans="1:7">
      <c r="A6646" s="3"/>
      <c r="B6646" s="3"/>
      <c r="C6646" s="3"/>
      <c r="D6646" s="3"/>
      <c r="E6646" s="3">
        <v>3</v>
      </c>
      <c r="F6646" s="4" t="str">
        <f>HYPERLINK("http://141.218.60.56/~jnz1568/getInfo.php?workbook=14_09.xlsx&amp;sheet=U0&amp;row=6646&amp;col=6&amp;number=3.2&amp;sourceID=14","3.2")</f>
        <v>3.2</v>
      </c>
      <c r="G6646" s="4" t="str">
        <f>HYPERLINK("http://141.218.60.56/~jnz1568/getInfo.php?workbook=14_09.xlsx&amp;sheet=U0&amp;row=6646&amp;col=7&amp;number=0.00274&amp;sourceID=14","0.00274")</f>
        <v>0.00274</v>
      </c>
    </row>
    <row r="6647" spans="1:7">
      <c r="A6647" s="3"/>
      <c r="B6647" s="3"/>
      <c r="C6647" s="3"/>
      <c r="D6647" s="3"/>
      <c r="E6647" s="3">
        <v>4</v>
      </c>
      <c r="F6647" s="4" t="str">
        <f>HYPERLINK("http://141.218.60.56/~jnz1568/getInfo.php?workbook=14_09.xlsx&amp;sheet=U0&amp;row=6647&amp;col=6&amp;number=3.3&amp;sourceID=14","3.3")</f>
        <v>3.3</v>
      </c>
      <c r="G6647" s="4" t="str">
        <f>HYPERLINK("http://141.218.60.56/~jnz1568/getInfo.php?workbook=14_09.xlsx&amp;sheet=U0&amp;row=6647&amp;col=7&amp;number=0.00274&amp;sourceID=14","0.00274")</f>
        <v>0.00274</v>
      </c>
    </row>
    <row r="6648" spans="1:7">
      <c r="A6648" s="3"/>
      <c r="B6648" s="3"/>
      <c r="C6648" s="3"/>
      <c r="D6648" s="3"/>
      <c r="E6648" s="3">
        <v>5</v>
      </c>
      <c r="F6648" s="4" t="str">
        <f>HYPERLINK("http://141.218.60.56/~jnz1568/getInfo.php?workbook=14_09.xlsx&amp;sheet=U0&amp;row=6648&amp;col=6&amp;number=3.4&amp;sourceID=14","3.4")</f>
        <v>3.4</v>
      </c>
      <c r="G6648" s="4" t="str">
        <f>HYPERLINK("http://141.218.60.56/~jnz1568/getInfo.php?workbook=14_09.xlsx&amp;sheet=U0&amp;row=6648&amp;col=7&amp;number=0.00274&amp;sourceID=14","0.00274")</f>
        <v>0.00274</v>
      </c>
    </row>
    <row r="6649" spans="1:7">
      <c r="A6649" s="3"/>
      <c r="B6649" s="3"/>
      <c r="C6649" s="3"/>
      <c r="D6649" s="3"/>
      <c r="E6649" s="3">
        <v>6</v>
      </c>
      <c r="F6649" s="4" t="str">
        <f>HYPERLINK("http://141.218.60.56/~jnz1568/getInfo.php?workbook=14_09.xlsx&amp;sheet=U0&amp;row=6649&amp;col=6&amp;number=3.5&amp;sourceID=14","3.5")</f>
        <v>3.5</v>
      </c>
      <c r="G6649" s="4" t="str">
        <f>HYPERLINK("http://141.218.60.56/~jnz1568/getInfo.php?workbook=14_09.xlsx&amp;sheet=U0&amp;row=6649&amp;col=7&amp;number=0.00274&amp;sourceID=14","0.00274")</f>
        <v>0.00274</v>
      </c>
    </row>
    <row r="6650" spans="1:7">
      <c r="A6650" s="3"/>
      <c r="B6650" s="3"/>
      <c r="C6650" s="3"/>
      <c r="D6650" s="3"/>
      <c r="E6650" s="3">
        <v>7</v>
      </c>
      <c r="F6650" s="4" t="str">
        <f>HYPERLINK("http://141.218.60.56/~jnz1568/getInfo.php?workbook=14_09.xlsx&amp;sheet=U0&amp;row=6650&amp;col=6&amp;number=3.6&amp;sourceID=14","3.6")</f>
        <v>3.6</v>
      </c>
      <c r="G6650" s="4" t="str">
        <f>HYPERLINK("http://141.218.60.56/~jnz1568/getInfo.php?workbook=14_09.xlsx&amp;sheet=U0&amp;row=6650&amp;col=7&amp;number=0.00274&amp;sourceID=14","0.00274")</f>
        <v>0.00274</v>
      </c>
    </row>
    <row r="6651" spans="1:7">
      <c r="A6651" s="3"/>
      <c r="B6651" s="3"/>
      <c r="C6651" s="3"/>
      <c r="D6651" s="3"/>
      <c r="E6651" s="3">
        <v>8</v>
      </c>
      <c r="F6651" s="4" t="str">
        <f>HYPERLINK("http://141.218.60.56/~jnz1568/getInfo.php?workbook=14_09.xlsx&amp;sheet=U0&amp;row=6651&amp;col=6&amp;number=3.7&amp;sourceID=14","3.7")</f>
        <v>3.7</v>
      </c>
      <c r="G6651" s="4" t="str">
        <f>HYPERLINK("http://141.218.60.56/~jnz1568/getInfo.php?workbook=14_09.xlsx&amp;sheet=U0&amp;row=6651&amp;col=7&amp;number=0.00273&amp;sourceID=14","0.00273")</f>
        <v>0.00273</v>
      </c>
    </row>
    <row r="6652" spans="1:7">
      <c r="A6652" s="3"/>
      <c r="B6652" s="3"/>
      <c r="C6652" s="3"/>
      <c r="D6652" s="3"/>
      <c r="E6652" s="3">
        <v>9</v>
      </c>
      <c r="F6652" s="4" t="str">
        <f>HYPERLINK("http://141.218.60.56/~jnz1568/getInfo.php?workbook=14_09.xlsx&amp;sheet=U0&amp;row=6652&amp;col=6&amp;number=3.8&amp;sourceID=14","3.8")</f>
        <v>3.8</v>
      </c>
      <c r="G6652" s="4" t="str">
        <f>HYPERLINK("http://141.218.60.56/~jnz1568/getInfo.php?workbook=14_09.xlsx&amp;sheet=U0&amp;row=6652&amp;col=7&amp;number=0.00273&amp;sourceID=14","0.00273")</f>
        <v>0.00273</v>
      </c>
    </row>
    <row r="6653" spans="1:7">
      <c r="A6653" s="3"/>
      <c r="B6653" s="3"/>
      <c r="C6653" s="3"/>
      <c r="D6653" s="3"/>
      <c r="E6653" s="3">
        <v>10</v>
      </c>
      <c r="F6653" s="4" t="str">
        <f>HYPERLINK("http://141.218.60.56/~jnz1568/getInfo.php?workbook=14_09.xlsx&amp;sheet=U0&amp;row=6653&amp;col=6&amp;number=3.9&amp;sourceID=14","3.9")</f>
        <v>3.9</v>
      </c>
      <c r="G6653" s="4" t="str">
        <f>HYPERLINK("http://141.218.60.56/~jnz1568/getInfo.php?workbook=14_09.xlsx&amp;sheet=U0&amp;row=6653&amp;col=7&amp;number=0.00272&amp;sourceID=14","0.00272")</f>
        <v>0.00272</v>
      </c>
    </row>
    <row r="6654" spans="1:7">
      <c r="A6654" s="3"/>
      <c r="B6654" s="3"/>
      <c r="C6654" s="3"/>
      <c r="D6654" s="3"/>
      <c r="E6654" s="3">
        <v>11</v>
      </c>
      <c r="F6654" s="4" t="str">
        <f>HYPERLINK("http://141.218.60.56/~jnz1568/getInfo.php?workbook=14_09.xlsx&amp;sheet=U0&amp;row=6654&amp;col=6&amp;number=4&amp;sourceID=14","4")</f>
        <v>4</v>
      </c>
      <c r="G6654" s="4" t="str">
        <f>HYPERLINK("http://141.218.60.56/~jnz1568/getInfo.php?workbook=14_09.xlsx&amp;sheet=U0&amp;row=6654&amp;col=7&amp;number=0.00272&amp;sourceID=14","0.00272")</f>
        <v>0.00272</v>
      </c>
    </row>
    <row r="6655" spans="1:7">
      <c r="A6655" s="3"/>
      <c r="B6655" s="3"/>
      <c r="C6655" s="3"/>
      <c r="D6655" s="3"/>
      <c r="E6655" s="3">
        <v>12</v>
      </c>
      <c r="F6655" s="4" t="str">
        <f>HYPERLINK("http://141.218.60.56/~jnz1568/getInfo.php?workbook=14_09.xlsx&amp;sheet=U0&amp;row=6655&amp;col=6&amp;number=4.1&amp;sourceID=14","4.1")</f>
        <v>4.1</v>
      </c>
      <c r="G6655" s="4" t="str">
        <f>HYPERLINK("http://141.218.60.56/~jnz1568/getInfo.php?workbook=14_09.xlsx&amp;sheet=U0&amp;row=6655&amp;col=7&amp;number=0.00271&amp;sourceID=14","0.00271")</f>
        <v>0.00271</v>
      </c>
    </row>
    <row r="6656" spans="1:7">
      <c r="A6656" s="3"/>
      <c r="B6656" s="3"/>
      <c r="C6656" s="3"/>
      <c r="D6656" s="3"/>
      <c r="E6656" s="3">
        <v>13</v>
      </c>
      <c r="F6656" s="4" t="str">
        <f>HYPERLINK("http://141.218.60.56/~jnz1568/getInfo.php?workbook=14_09.xlsx&amp;sheet=U0&amp;row=6656&amp;col=6&amp;number=4.2&amp;sourceID=14","4.2")</f>
        <v>4.2</v>
      </c>
      <c r="G6656" s="4" t="str">
        <f>HYPERLINK("http://141.218.60.56/~jnz1568/getInfo.php?workbook=14_09.xlsx&amp;sheet=U0&amp;row=6656&amp;col=7&amp;number=0.0027&amp;sourceID=14","0.0027")</f>
        <v>0.0027</v>
      </c>
    </row>
    <row r="6657" spans="1:7">
      <c r="A6657" s="3"/>
      <c r="B6657" s="3"/>
      <c r="C6657" s="3"/>
      <c r="D6657" s="3"/>
      <c r="E6657" s="3">
        <v>14</v>
      </c>
      <c r="F6657" s="4" t="str">
        <f>HYPERLINK("http://141.218.60.56/~jnz1568/getInfo.php?workbook=14_09.xlsx&amp;sheet=U0&amp;row=6657&amp;col=6&amp;number=4.3&amp;sourceID=14","4.3")</f>
        <v>4.3</v>
      </c>
      <c r="G6657" s="4" t="str">
        <f>HYPERLINK("http://141.218.60.56/~jnz1568/getInfo.php?workbook=14_09.xlsx&amp;sheet=U0&amp;row=6657&amp;col=7&amp;number=0.00269&amp;sourceID=14","0.00269")</f>
        <v>0.00269</v>
      </c>
    </row>
    <row r="6658" spans="1:7">
      <c r="A6658" s="3"/>
      <c r="B6658" s="3"/>
      <c r="C6658" s="3"/>
      <c r="D6658" s="3"/>
      <c r="E6658" s="3">
        <v>15</v>
      </c>
      <c r="F6658" s="4" t="str">
        <f>HYPERLINK("http://141.218.60.56/~jnz1568/getInfo.php?workbook=14_09.xlsx&amp;sheet=U0&amp;row=6658&amp;col=6&amp;number=4.4&amp;sourceID=14","4.4")</f>
        <v>4.4</v>
      </c>
      <c r="G6658" s="4" t="str">
        <f>HYPERLINK("http://141.218.60.56/~jnz1568/getInfo.php?workbook=14_09.xlsx&amp;sheet=U0&amp;row=6658&amp;col=7&amp;number=0.00268&amp;sourceID=14","0.00268")</f>
        <v>0.00268</v>
      </c>
    </row>
    <row r="6659" spans="1:7">
      <c r="A6659" s="3"/>
      <c r="B6659" s="3"/>
      <c r="C6659" s="3"/>
      <c r="D6659" s="3"/>
      <c r="E6659" s="3">
        <v>16</v>
      </c>
      <c r="F6659" s="4" t="str">
        <f>HYPERLINK("http://141.218.60.56/~jnz1568/getInfo.php?workbook=14_09.xlsx&amp;sheet=U0&amp;row=6659&amp;col=6&amp;number=4.5&amp;sourceID=14","4.5")</f>
        <v>4.5</v>
      </c>
      <c r="G6659" s="4" t="str">
        <f>HYPERLINK("http://141.218.60.56/~jnz1568/getInfo.php?workbook=14_09.xlsx&amp;sheet=U0&amp;row=6659&amp;col=7&amp;number=0.00266&amp;sourceID=14","0.00266")</f>
        <v>0.00266</v>
      </c>
    </row>
    <row r="6660" spans="1:7">
      <c r="A6660" s="3"/>
      <c r="B6660" s="3"/>
      <c r="C6660" s="3"/>
      <c r="D6660" s="3"/>
      <c r="E6660" s="3">
        <v>17</v>
      </c>
      <c r="F6660" s="4" t="str">
        <f>HYPERLINK("http://141.218.60.56/~jnz1568/getInfo.php?workbook=14_09.xlsx&amp;sheet=U0&amp;row=6660&amp;col=6&amp;number=4.6&amp;sourceID=14","4.6")</f>
        <v>4.6</v>
      </c>
      <c r="G6660" s="4" t="str">
        <f>HYPERLINK("http://141.218.60.56/~jnz1568/getInfo.php?workbook=14_09.xlsx&amp;sheet=U0&amp;row=6660&amp;col=7&amp;number=0.00264&amp;sourceID=14","0.00264")</f>
        <v>0.00264</v>
      </c>
    </row>
    <row r="6661" spans="1:7">
      <c r="A6661" s="3"/>
      <c r="B6661" s="3"/>
      <c r="C6661" s="3"/>
      <c r="D6661" s="3"/>
      <c r="E6661" s="3">
        <v>18</v>
      </c>
      <c r="F6661" s="4" t="str">
        <f>HYPERLINK("http://141.218.60.56/~jnz1568/getInfo.php?workbook=14_09.xlsx&amp;sheet=U0&amp;row=6661&amp;col=6&amp;number=4.7&amp;sourceID=14","4.7")</f>
        <v>4.7</v>
      </c>
      <c r="G6661" s="4" t="str">
        <f>HYPERLINK("http://141.218.60.56/~jnz1568/getInfo.php?workbook=14_09.xlsx&amp;sheet=U0&amp;row=6661&amp;col=7&amp;number=0.00261&amp;sourceID=14","0.00261")</f>
        <v>0.00261</v>
      </c>
    </row>
    <row r="6662" spans="1:7">
      <c r="A6662" s="3"/>
      <c r="B6662" s="3"/>
      <c r="C6662" s="3"/>
      <c r="D6662" s="3"/>
      <c r="E6662" s="3">
        <v>19</v>
      </c>
      <c r="F6662" s="4" t="str">
        <f>HYPERLINK("http://141.218.60.56/~jnz1568/getInfo.php?workbook=14_09.xlsx&amp;sheet=U0&amp;row=6662&amp;col=6&amp;number=4.8&amp;sourceID=14","4.8")</f>
        <v>4.8</v>
      </c>
      <c r="G6662" s="4" t="str">
        <f>HYPERLINK("http://141.218.60.56/~jnz1568/getInfo.php?workbook=14_09.xlsx&amp;sheet=U0&amp;row=6662&amp;col=7&amp;number=0.00258&amp;sourceID=14","0.00258")</f>
        <v>0.00258</v>
      </c>
    </row>
    <row r="6663" spans="1:7">
      <c r="A6663" s="3"/>
      <c r="B6663" s="3"/>
      <c r="C6663" s="3"/>
      <c r="D6663" s="3"/>
      <c r="E6663" s="3">
        <v>20</v>
      </c>
      <c r="F6663" s="4" t="str">
        <f>HYPERLINK("http://141.218.60.56/~jnz1568/getInfo.php?workbook=14_09.xlsx&amp;sheet=U0&amp;row=6663&amp;col=6&amp;number=4.9&amp;sourceID=14","4.9")</f>
        <v>4.9</v>
      </c>
      <c r="G6663" s="4" t="str">
        <f>HYPERLINK("http://141.218.60.56/~jnz1568/getInfo.php?workbook=14_09.xlsx&amp;sheet=U0&amp;row=6663&amp;col=7&amp;number=0.00254&amp;sourceID=14","0.00254")</f>
        <v>0.00254</v>
      </c>
    </row>
    <row r="6664" spans="1:7">
      <c r="A6664" s="3">
        <v>14</v>
      </c>
      <c r="B6664" s="3">
        <v>9</v>
      </c>
      <c r="C6664" s="3">
        <v>2</v>
      </c>
      <c r="D6664" s="3">
        <v>142</v>
      </c>
      <c r="E6664" s="3">
        <v>1</v>
      </c>
      <c r="F6664" s="4" t="str">
        <f>HYPERLINK("http://141.218.60.56/~jnz1568/getInfo.php?workbook=14_09.xlsx&amp;sheet=U0&amp;row=6664&amp;col=6&amp;number=3&amp;sourceID=14","3")</f>
        <v>3</v>
      </c>
      <c r="G6664" s="4" t="str">
        <f>HYPERLINK("http://141.218.60.56/~jnz1568/getInfo.php?workbook=14_09.xlsx&amp;sheet=U0&amp;row=6664&amp;col=7&amp;number=0.00251&amp;sourceID=14","0.00251")</f>
        <v>0.00251</v>
      </c>
    </row>
    <row r="6665" spans="1:7">
      <c r="A6665" s="3"/>
      <c r="B6665" s="3"/>
      <c r="C6665" s="3"/>
      <c r="D6665" s="3"/>
      <c r="E6665" s="3">
        <v>2</v>
      </c>
      <c r="F6665" s="4" t="str">
        <f>HYPERLINK("http://141.218.60.56/~jnz1568/getInfo.php?workbook=14_09.xlsx&amp;sheet=U0&amp;row=6665&amp;col=6&amp;number=3.1&amp;sourceID=14","3.1")</f>
        <v>3.1</v>
      </c>
      <c r="G6665" s="4" t="str">
        <f>HYPERLINK("http://141.218.60.56/~jnz1568/getInfo.php?workbook=14_09.xlsx&amp;sheet=U0&amp;row=6665&amp;col=7&amp;number=0.00251&amp;sourceID=14","0.00251")</f>
        <v>0.00251</v>
      </c>
    </row>
    <row r="6666" spans="1:7">
      <c r="A6666" s="3"/>
      <c r="B6666" s="3"/>
      <c r="C6666" s="3"/>
      <c r="D6666" s="3"/>
      <c r="E6666" s="3">
        <v>3</v>
      </c>
      <c r="F6666" s="4" t="str">
        <f>HYPERLINK("http://141.218.60.56/~jnz1568/getInfo.php?workbook=14_09.xlsx&amp;sheet=U0&amp;row=6666&amp;col=6&amp;number=3.2&amp;sourceID=14","3.2")</f>
        <v>3.2</v>
      </c>
      <c r="G6666" s="4" t="str">
        <f>HYPERLINK("http://141.218.60.56/~jnz1568/getInfo.php?workbook=14_09.xlsx&amp;sheet=U0&amp;row=6666&amp;col=7&amp;number=0.00251&amp;sourceID=14","0.00251")</f>
        <v>0.00251</v>
      </c>
    </row>
    <row r="6667" spans="1:7">
      <c r="A6667" s="3"/>
      <c r="B6667" s="3"/>
      <c r="C6667" s="3"/>
      <c r="D6667" s="3"/>
      <c r="E6667" s="3">
        <v>4</v>
      </c>
      <c r="F6667" s="4" t="str">
        <f>HYPERLINK("http://141.218.60.56/~jnz1568/getInfo.php?workbook=14_09.xlsx&amp;sheet=U0&amp;row=6667&amp;col=6&amp;number=3.3&amp;sourceID=14","3.3")</f>
        <v>3.3</v>
      </c>
      <c r="G6667" s="4" t="str">
        <f>HYPERLINK("http://141.218.60.56/~jnz1568/getInfo.php?workbook=14_09.xlsx&amp;sheet=U0&amp;row=6667&amp;col=7&amp;number=0.00251&amp;sourceID=14","0.00251")</f>
        <v>0.00251</v>
      </c>
    </row>
    <row r="6668" spans="1:7">
      <c r="A6668" s="3"/>
      <c r="B6668" s="3"/>
      <c r="C6668" s="3"/>
      <c r="D6668" s="3"/>
      <c r="E6668" s="3">
        <v>5</v>
      </c>
      <c r="F6668" s="4" t="str">
        <f>HYPERLINK("http://141.218.60.56/~jnz1568/getInfo.php?workbook=14_09.xlsx&amp;sheet=U0&amp;row=6668&amp;col=6&amp;number=3.4&amp;sourceID=14","3.4")</f>
        <v>3.4</v>
      </c>
      <c r="G6668" s="4" t="str">
        <f>HYPERLINK("http://141.218.60.56/~jnz1568/getInfo.php?workbook=14_09.xlsx&amp;sheet=U0&amp;row=6668&amp;col=7&amp;number=0.0025&amp;sourceID=14","0.0025")</f>
        <v>0.0025</v>
      </c>
    </row>
    <row r="6669" spans="1:7">
      <c r="A6669" s="3"/>
      <c r="B6669" s="3"/>
      <c r="C6669" s="3"/>
      <c r="D6669" s="3"/>
      <c r="E6669" s="3">
        <v>6</v>
      </c>
      <c r="F6669" s="4" t="str">
        <f>HYPERLINK("http://141.218.60.56/~jnz1568/getInfo.php?workbook=14_09.xlsx&amp;sheet=U0&amp;row=6669&amp;col=6&amp;number=3.5&amp;sourceID=14","3.5")</f>
        <v>3.5</v>
      </c>
      <c r="G6669" s="4" t="str">
        <f>HYPERLINK("http://141.218.60.56/~jnz1568/getInfo.php?workbook=14_09.xlsx&amp;sheet=U0&amp;row=6669&amp;col=7&amp;number=0.0025&amp;sourceID=14","0.0025")</f>
        <v>0.0025</v>
      </c>
    </row>
    <row r="6670" spans="1:7">
      <c r="A6670" s="3"/>
      <c r="B6670" s="3"/>
      <c r="C6670" s="3"/>
      <c r="D6670" s="3"/>
      <c r="E6670" s="3">
        <v>7</v>
      </c>
      <c r="F6670" s="4" t="str">
        <f>HYPERLINK("http://141.218.60.56/~jnz1568/getInfo.php?workbook=14_09.xlsx&amp;sheet=U0&amp;row=6670&amp;col=6&amp;number=3.6&amp;sourceID=14","3.6")</f>
        <v>3.6</v>
      </c>
      <c r="G6670" s="4" t="str">
        <f>HYPERLINK("http://141.218.60.56/~jnz1568/getInfo.php?workbook=14_09.xlsx&amp;sheet=U0&amp;row=6670&amp;col=7&amp;number=0.0025&amp;sourceID=14","0.0025")</f>
        <v>0.0025</v>
      </c>
    </row>
    <row r="6671" spans="1:7">
      <c r="A6671" s="3"/>
      <c r="B6671" s="3"/>
      <c r="C6671" s="3"/>
      <c r="D6671" s="3"/>
      <c r="E6671" s="3">
        <v>8</v>
      </c>
      <c r="F6671" s="4" t="str">
        <f>HYPERLINK("http://141.218.60.56/~jnz1568/getInfo.php?workbook=14_09.xlsx&amp;sheet=U0&amp;row=6671&amp;col=6&amp;number=3.7&amp;sourceID=14","3.7")</f>
        <v>3.7</v>
      </c>
      <c r="G6671" s="4" t="str">
        <f>HYPERLINK("http://141.218.60.56/~jnz1568/getInfo.php?workbook=14_09.xlsx&amp;sheet=U0&amp;row=6671&amp;col=7&amp;number=0.0025&amp;sourceID=14","0.0025")</f>
        <v>0.0025</v>
      </c>
    </row>
    <row r="6672" spans="1:7">
      <c r="A6672" s="3"/>
      <c r="B6672" s="3"/>
      <c r="C6672" s="3"/>
      <c r="D6672" s="3"/>
      <c r="E6672" s="3">
        <v>9</v>
      </c>
      <c r="F6672" s="4" t="str">
        <f>HYPERLINK("http://141.218.60.56/~jnz1568/getInfo.php?workbook=14_09.xlsx&amp;sheet=U0&amp;row=6672&amp;col=6&amp;number=3.8&amp;sourceID=14","3.8")</f>
        <v>3.8</v>
      </c>
      <c r="G6672" s="4" t="str">
        <f>HYPERLINK("http://141.218.60.56/~jnz1568/getInfo.php?workbook=14_09.xlsx&amp;sheet=U0&amp;row=6672&amp;col=7&amp;number=0.0025&amp;sourceID=14","0.0025")</f>
        <v>0.0025</v>
      </c>
    </row>
    <row r="6673" spans="1:7">
      <c r="A6673" s="3"/>
      <c r="B6673" s="3"/>
      <c r="C6673" s="3"/>
      <c r="D6673" s="3"/>
      <c r="E6673" s="3">
        <v>10</v>
      </c>
      <c r="F6673" s="4" t="str">
        <f>HYPERLINK("http://141.218.60.56/~jnz1568/getInfo.php?workbook=14_09.xlsx&amp;sheet=U0&amp;row=6673&amp;col=6&amp;number=3.9&amp;sourceID=14","3.9")</f>
        <v>3.9</v>
      </c>
      <c r="G6673" s="4" t="str">
        <f>HYPERLINK("http://141.218.60.56/~jnz1568/getInfo.php?workbook=14_09.xlsx&amp;sheet=U0&amp;row=6673&amp;col=7&amp;number=0.00249&amp;sourceID=14","0.00249")</f>
        <v>0.00249</v>
      </c>
    </row>
    <row r="6674" spans="1:7">
      <c r="A6674" s="3"/>
      <c r="B6674" s="3"/>
      <c r="C6674" s="3"/>
      <c r="D6674" s="3"/>
      <c r="E6674" s="3">
        <v>11</v>
      </c>
      <c r="F6674" s="4" t="str">
        <f>HYPERLINK("http://141.218.60.56/~jnz1568/getInfo.php?workbook=14_09.xlsx&amp;sheet=U0&amp;row=6674&amp;col=6&amp;number=4&amp;sourceID=14","4")</f>
        <v>4</v>
      </c>
      <c r="G6674" s="4" t="str">
        <f>HYPERLINK("http://141.218.60.56/~jnz1568/getInfo.php?workbook=14_09.xlsx&amp;sheet=U0&amp;row=6674&amp;col=7&amp;number=0.00249&amp;sourceID=14","0.00249")</f>
        <v>0.00249</v>
      </c>
    </row>
    <row r="6675" spans="1:7">
      <c r="A6675" s="3"/>
      <c r="B6675" s="3"/>
      <c r="C6675" s="3"/>
      <c r="D6675" s="3"/>
      <c r="E6675" s="3">
        <v>12</v>
      </c>
      <c r="F6675" s="4" t="str">
        <f>HYPERLINK("http://141.218.60.56/~jnz1568/getInfo.php?workbook=14_09.xlsx&amp;sheet=U0&amp;row=6675&amp;col=6&amp;number=4.1&amp;sourceID=14","4.1")</f>
        <v>4.1</v>
      </c>
      <c r="G6675" s="4" t="str">
        <f>HYPERLINK("http://141.218.60.56/~jnz1568/getInfo.php?workbook=14_09.xlsx&amp;sheet=U0&amp;row=6675&amp;col=7&amp;number=0.00248&amp;sourceID=14","0.00248")</f>
        <v>0.00248</v>
      </c>
    </row>
    <row r="6676" spans="1:7">
      <c r="A6676" s="3"/>
      <c r="B6676" s="3"/>
      <c r="C6676" s="3"/>
      <c r="D6676" s="3"/>
      <c r="E6676" s="3">
        <v>13</v>
      </c>
      <c r="F6676" s="4" t="str">
        <f>HYPERLINK("http://141.218.60.56/~jnz1568/getInfo.php?workbook=14_09.xlsx&amp;sheet=U0&amp;row=6676&amp;col=6&amp;number=4.2&amp;sourceID=14","4.2")</f>
        <v>4.2</v>
      </c>
      <c r="G6676" s="4" t="str">
        <f>HYPERLINK("http://141.218.60.56/~jnz1568/getInfo.php?workbook=14_09.xlsx&amp;sheet=U0&amp;row=6676&amp;col=7&amp;number=0.00248&amp;sourceID=14","0.00248")</f>
        <v>0.00248</v>
      </c>
    </row>
    <row r="6677" spans="1:7">
      <c r="A6677" s="3"/>
      <c r="B6677" s="3"/>
      <c r="C6677" s="3"/>
      <c r="D6677" s="3"/>
      <c r="E6677" s="3">
        <v>14</v>
      </c>
      <c r="F6677" s="4" t="str">
        <f>HYPERLINK("http://141.218.60.56/~jnz1568/getInfo.php?workbook=14_09.xlsx&amp;sheet=U0&amp;row=6677&amp;col=6&amp;number=4.3&amp;sourceID=14","4.3")</f>
        <v>4.3</v>
      </c>
      <c r="G6677" s="4" t="str">
        <f>HYPERLINK("http://141.218.60.56/~jnz1568/getInfo.php?workbook=14_09.xlsx&amp;sheet=U0&amp;row=6677&amp;col=7&amp;number=0.00247&amp;sourceID=14","0.00247")</f>
        <v>0.00247</v>
      </c>
    </row>
    <row r="6678" spans="1:7">
      <c r="A6678" s="3"/>
      <c r="B6678" s="3"/>
      <c r="C6678" s="3"/>
      <c r="D6678" s="3"/>
      <c r="E6678" s="3">
        <v>15</v>
      </c>
      <c r="F6678" s="4" t="str">
        <f>HYPERLINK("http://141.218.60.56/~jnz1568/getInfo.php?workbook=14_09.xlsx&amp;sheet=U0&amp;row=6678&amp;col=6&amp;number=4.4&amp;sourceID=14","4.4")</f>
        <v>4.4</v>
      </c>
      <c r="G6678" s="4" t="str">
        <f>HYPERLINK("http://141.218.60.56/~jnz1568/getInfo.php?workbook=14_09.xlsx&amp;sheet=U0&amp;row=6678&amp;col=7&amp;number=0.00246&amp;sourceID=14","0.00246")</f>
        <v>0.00246</v>
      </c>
    </row>
    <row r="6679" spans="1:7">
      <c r="A6679" s="3"/>
      <c r="B6679" s="3"/>
      <c r="C6679" s="3"/>
      <c r="D6679" s="3"/>
      <c r="E6679" s="3">
        <v>16</v>
      </c>
      <c r="F6679" s="4" t="str">
        <f>HYPERLINK("http://141.218.60.56/~jnz1568/getInfo.php?workbook=14_09.xlsx&amp;sheet=U0&amp;row=6679&amp;col=6&amp;number=4.5&amp;sourceID=14","4.5")</f>
        <v>4.5</v>
      </c>
      <c r="G6679" s="4" t="str">
        <f>HYPERLINK("http://141.218.60.56/~jnz1568/getInfo.php?workbook=14_09.xlsx&amp;sheet=U0&amp;row=6679&amp;col=7&amp;number=0.00245&amp;sourceID=14","0.00245")</f>
        <v>0.00245</v>
      </c>
    </row>
    <row r="6680" spans="1:7">
      <c r="A6680" s="3"/>
      <c r="B6680" s="3"/>
      <c r="C6680" s="3"/>
      <c r="D6680" s="3"/>
      <c r="E6680" s="3">
        <v>17</v>
      </c>
      <c r="F6680" s="4" t="str">
        <f>HYPERLINK("http://141.218.60.56/~jnz1568/getInfo.php?workbook=14_09.xlsx&amp;sheet=U0&amp;row=6680&amp;col=6&amp;number=4.6&amp;sourceID=14","4.6")</f>
        <v>4.6</v>
      </c>
      <c r="G6680" s="4" t="str">
        <f>HYPERLINK("http://141.218.60.56/~jnz1568/getInfo.php?workbook=14_09.xlsx&amp;sheet=U0&amp;row=6680&amp;col=7&amp;number=0.00243&amp;sourceID=14","0.00243")</f>
        <v>0.00243</v>
      </c>
    </row>
    <row r="6681" spans="1:7">
      <c r="A6681" s="3"/>
      <c r="B6681" s="3"/>
      <c r="C6681" s="3"/>
      <c r="D6681" s="3"/>
      <c r="E6681" s="3">
        <v>18</v>
      </c>
      <c r="F6681" s="4" t="str">
        <f>HYPERLINK("http://141.218.60.56/~jnz1568/getInfo.php?workbook=14_09.xlsx&amp;sheet=U0&amp;row=6681&amp;col=6&amp;number=4.7&amp;sourceID=14","4.7")</f>
        <v>4.7</v>
      </c>
      <c r="G6681" s="4" t="str">
        <f>HYPERLINK("http://141.218.60.56/~jnz1568/getInfo.php?workbook=14_09.xlsx&amp;sheet=U0&amp;row=6681&amp;col=7&amp;number=0.00241&amp;sourceID=14","0.00241")</f>
        <v>0.00241</v>
      </c>
    </row>
    <row r="6682" spans="1:7">
      <c r="A6682" s="3"/>
      <c r="B6682" s="3"/>
      <c r="C6682" s="3"/>
      <c r="D6682" s="3"/>
      <c r="E6682" s="3">
        <v>19</v>
      </c>
      <c r="F6682" s="4" t="str">
        <f>HYPERLINK("http://141.218.60.56/~jnz1568/getInfo.php?workbook=14_09.xlsx&amp;sheet=U0&amp;row=6682&amp;col=6&amp;number=4.8&amp;sourceID=14","4.8")</f>
        <v>4.8</v>
      </c>
      <c r="G6682" s="4" t="str">
        <f>HYPERLINK("http://141.218.60.56/~jnz1568/getInfo.php?workbook=14_09.xlsx&amp;sheet=U0&amp;row=6682&amp;col=7&amp;number=0.00239&amp;sourceID=14","0.00239")</f>
        <v>0.00239</v>
      </c>
    </row>
    <row r="6683" spans="1:7">
      <c r="A6683" s="3"/>
      <c r="B6683" s="3"/>
      <c r="C6683" s="3"/>
      <c r="D6683" s="3"/>
      <c r="E6683" s="3">
        <v>20</v>
      </c>
      <c r="F6683" s="4" t="str">
        <f>HYPERLINK("http://141.218.60.56/~jnz1568/getInfo.php?workbook=14_09.xlsx&amp;sheet=U0&amp;row=6683&amp;col=6&amp;number=4.9&amp;sourceID=14","4.9")</f>
        <v>4.9</v>
      </c>
      <c r="G6683" s="4" t="str">
        <f>HYPERLINK("http://141.218.60.56/~jnz1568/getInfo.php?workbook=14_09.xlsx&amp;sheet=U0&amp;row=6683&amp;col=7&amp;number=0.00236&amp;sourceID=14","0.00236")</f>
        <v>0.00236</v>
      </c>
    </row>
    <row r="6684" spans="1:7">
      <c r="A6684" s="3">
        <v>14</v>
      </c>
      <c r="B6684" s="3">
        <v>9</v>
      </c>
      <c r="C6684" s="3">
        <v>2</v>
      </c>
      <c r="D6684" s="3">
        <v>143</v>
      </c>
      <c r="E6684" s="3">
        <v>1</v>
      </c>
      <c r="F6684" s="4" t="str">
        <f>HYPERLINK("http://141.218.60.56/~jnz1568/getInfo.php?workbook=14_09.xlsx&amp;sheet=U0&amp;row=6684&amp;col=6&amp;number=3&amp;sourceID=14","3")</f>
        <v>3</v>
      </c>
      <c r="G6684" s="4" t="str">
        <f>HYPERLINK("http://141.218.60.56/~jnz1568/getInfo.php?workbook=14_09.xlsx&amp;sheet=U0&amp;row=6684&amp;col=7&amp;number=0.00157&amp;sourceID=14","0.00157")</f>
        <v>0.00157</v>
      </c>
    </row>
    <row r="6685" spans="1:7">
      <c r="A6685" s="3"/>
      <c r="B6685" s="3"/>
      <c r="C6685" s="3"/>
      <c r="D6685" s="3"/>
      <c r="E6685" s="3">
        <v>2</v>
      </c>
      <c r="F6685" s="4" t="str">
        <f>HYPERLINK("http://141.218.60.56/~jnz1568/getInfo.php?workbook=14_09.xlsx&amp;sheet=U0&amp;row=6685&amp;col=6&amp;number=3.1&amp;sourceID=14","3.1")</f>
        <v>3.1</v>
      </c>
      <c r="G6685" s="4" t="str">
        <f>HYPERLINK("http://141.218.60.56/~jnz1568/getInfo.php?workbook=14_09.xlsx&amp;sheet=U0&amp;row=6685&amp;col=7&amp;number=0.00157&amp;sourceID=14","0.00157")</f>
        <v>0.00157</v>
      </c>
    </row>
    <row r="6686" spans="1:7">
      <c r="A6686" s="3"/>
      <c r="B6686" s="3"/>
      <c r="C6686" s="3"/>
      <c r="D6686" s="3"/>
      <c r="E6686" s="3">
        <v>3</v>
      </c>
      <c r="F6686" s="4" t="str">
        <f>HYPERLINK("http://141.218.60.56/~jnz1568/getInfo.php?workbook=14_09.xlsx&amp;sheet=U0&amp;row=6686&amp;col=6&amp;number=3.2&amp;sourceID=14","3.2")</f>
        <v>3.2</v>
      </c>
      <c r="G6686" s="4" t="str">
        <f>HYPERLINK("http://141.218.60.56/~jnz1568/getInfo.php?workbook=14_09.xlsx&amp;sheet=U0&amp;row=6686&amp;col=7&amp;number=0.00157&amp;sourceID=14","0.00157")</f>
        <v>0.00157</v>
      </c>
    </row>
    <row r="6687" spans="1:7">
      <c r="A6687" s="3"/>
      <c r="B6687" s="3"/>
      <c r="C6687" s="3"/>
      <c r="D6687" s="3"/>
      <c r="E6687" s="3">
        <v>4</v>
      </c>
      <c r="F6687" s="4" t="str">
        <f>HYPERLINK("http://141.218.60.56/~jnz1568/getInfo.php?workbook=14_09.xlsx&amp;sheet=U0&amp;row=6687&amp;col=6&amp;number=3.3&amp;sourceID=14","3.3")</f>
        <v>3.3</v>
      </c>
      <c r="G6687" s="4" t="str">
        <f>HYPERLINK("http://141.218.60.56/~jnz1568/getInfo.php?workbook=14_09.xlsx&amp;sheet=U0&amp;row=6687&amp;col=7&amp;number=0.00157&amp;sourceID=14","0.00157")</f>
        <v>0.00157</v>
      </c>
    </row>
    <row r="6688" spans="1:7">
      <c r="A6688" s="3"/>
      <c r="B6688" s="3"/>
      <c r="C6688" s="3"/>
      <c r="D6688" s="3"/>
      <c r="E6688" s="3">
        <v>5</v>
      </c>
      <c r="F6688" s="4" t="str">
        <f>HYPERLINK("http://141.218.60.56/~jnz1568/getInfo.php?workbook=14_09.xlsx&amp;sheet=U0&amp;row=6688&amp;col=6&amp;number=3.4&amp;sourceID=14","3.4")</f>
        <v>3.4</v>
      </c>
      <c r="G6688" s="4" t="str">
        <f>HYPERLINK("http://141.218.60.56/~jnz1568/getInfo.php?workbook=14_09.xlsx&amp;sheet=U0&amp;row=6688&amp;col=7&amp;number=0.00157&amp;sourceID=14","0.00157")</f>
        <v>0.00157</v>
      </c>
    </row>
    <row r="6689" spans="1:7">
      <c r="A6689" s="3"/>
      <c r="B6689" s="3"/>
      <c r="C6689" s="3"/>
      <c r="D6689" s="3"/>
      <c r="E6689" s="3">
        <v>6</v>
      </c>
      <c r="F6689" s="4" t="str">
        <f>HYPERLINK("http://141.218.60.56/~jnz1568/getInfo.php?workbook=14_09.xlsx&amp;sheet=U0&amp;row=6689&amp;col=6&amp;number=3.5&amp;sourceID=14","3.5")</f>
        <v>3.5</v>
      </c>
      <c r="G6689" s="4" t="str">
        <f>HYPERLINK("http://141.218.60.56/~jnz1568/getInfo.php?workbook=14_09.xlsx&amp;sheet=U0&amp;row=6689&amp;col=7&amp;number=0.00157&amp;sourceID=14","0.00157")</f>
        <v>0.00157</v>
      </c>
    </row>
    <row r="6690" spans="1:7">
      <c r="A6690" s="3"/>
      <c r="B6690" s="3"/>
      <c r="C6690" s="3"/>
      <c r="D6690" s="3"/>
      <c r="E6690" s="3">
        <v>7</v>
      </c>
      <c r="F6690" s="4" t="str">
        <f>HYPERLINK("http://141.218.60.56/~jnz1568/getInfo.php?workbook=14_09.xlsx&amp;sheet=U0&amp;row=6690&amp;col=6&amp;number=3.6&amp;sourceID=14","3.6")</f>
        <v>3.6</v>
      </c>
      <c r="G6690" s="4" t="str">
        <f>HYPERLINK("http://141.218.60.56/~jnz1568/getInfo.php?workbook=14_09.xlsx&amp;sheet=U0&amp;row=6690&amp;col=7&amp;number=0.00156&amp;sourceID=14","0.00156")</f>
        <v>0.00156</v>
      </c>
    </row>
    <row r="6691" spans="1:7">
      <c r="A6691" s="3"/>
      <c r="B6691" s="3"/>
      <c r="C6691" s="3"/>
      <c r="D6691" s="3"/>
      <c r="E6691" s="3">
        <v>8</v>
      </c>
      <c r="F6691" s="4" t="str">
        <f>HYPERLINK("http://141.218.60.56/~jnz1568/getInfo.php?workbook=14_09.xlsx&amp;sheet=U0&amp;row=6691&amp;col=6&amp;number=3.7&amp;sourceID=14","3.7")</f>
        <v>3.7</v>
      </c>
      <c r="G6691" s="4" t="str">
        <f>HYPERLINK("http://141.218.60.56/~jnz1568/getInfo.php?workbook=14_09.xlsx&amp;sheet=U0&amp;row=6691&amp;col=7&amp;number=0.00156&amp;sourceID=14","0.00156")</f>
        <v>0.00156</v>
      </c>
    </row>
    <row r="6692" spans="1:7">
      <c r="A6692" s="3"/>
      <c r="B6692" s="3"/>
      <c r="C6692" s="3"/>
      <c r="D6692" s="3"/>
      <c r="E6692" s="3">
        <v>9</v>
      </c>
      <c r="F6692" s="4" t="str">
        <f>HYPERLINK("http://141.218.60.56/~jnz1568/getInfo.php?workbook=14_09.xlsx&amp;sheet=U0&amp;row=6692&amp;col=6&amp;number=3.8&amp;sourceID=14","3.8")</f>
        <v>3.8</v>
      </c>
      <c r="G6692" s="4" t="str">
        <f>HYPERLINK("http://141.218.60.56/~jnz1568/getInfo.php?workbook=14_09.xlsx&amp;sheet=U0&amp;row=6692&amp;col=7&amp;number=0.00156&amp;sourceID=14","0.00156")</f>
        <v>0.00156</v>
      </c>
    </row>
    <row r="6693" spans="1:7">
      <c r="A6693" s="3"/>
      <c r="B6693" s="3"/>
      <c r="C6693" s="3"/>
      <c r="D6693" s="3"/>
      <c r="E6693" s="3">
        <v>10</v>
      </c>
      <c r="F6693" s="4" t="str">
        <f>HYPERLINK("http://141.218.60.56/~jnz1568/getInfo.php?workbook=14_09.xlsx&amp;sheet=U0&amp;row=6693&amp;col=6&amp;number=3.9&amp;sourceID=14","3.9")</f>
        <v>3.9</v>
      </c>
      <c r="G6693" s="4" t="str">
        <f>HYPERLINK("http://141.218.60.56/~jnz1568/getInfo.php?workbook=14_09.xlsx&amp;sheet=U0&amp;row=6693&amp;col=7&amp;number=0.00156&amp;sourceID=14","0.00156")</f>
        <v>0.00156</v>
      </c>
    </row>
    <row r="6694" spans="1:7">
      <c r="A6694" s="3"/>
      <c r="B6694" s="3"/>
      <c r="C6694" s="3"/>
      <c r="D6694" s="3"/>
      <c r="E6694" s="3">
        <v>11</v>
      </c>
      <c r="F6694" s="4" t="str">
        <f>HYPERLINK("http://141.218.60.56/~jnz1568/getInfo.php?workbook=14_09.xlsx&amp;sheet=U0&amp;row=6694&amp;col=6&amp;number=4&amp;sourceID=14","4")</f>
        <v>4</v>
      </c>
      <c r="G6694" s="4" t="str">
        <f>HYPERLINK("http://141.218.60.56/~jnz1568/getInfo.php?workbook=14_09.xlsx&amp;sheet=U0&amp;row=6694&amp;col=7&amp;number=0.00156&amp;sourceID=14","0.00156")</f>
        <v>0.00156</v>
      </c>
    </row>
    <row r="6695" spans="1:7">
      <c r="A6695" s="3"/>
      <c r="B6695" s="3"/>
      <c r="C6695" s="3"/>
      <c r="D6695" s="3"/>
      <c r="E6695" s="3">
        <v>12</v>
      </c>
      <c r="F6695" s="4" t="str">
        <f>HYPERLINK("http://141.218.60.56/~jnz1568/getInfo.php?workbook=14_09.xlsx&amp;sheet=U0&amp;row=6695&amp;col=6&amp;number=4.1&amp;sourceID=14","4.1")</f>
        <v>4.1</v>
      </c>
      <c r="G6695" s="4" t="str">
        <f>HYPERLINK("http://141.218.60.56/~jnz1568/getInfo.php?workbook=14_09.xlsx&amp;sheet=U0&amp;row=6695&amp;col=7&amp;number=0.00155&amp;sourceID=14","0.00155")</f>
        <v>0.00155</v>
      </c>
    </row>
    <row r="6696" spans="1:7">
      <c r="A6696" s="3"/>
      <c r="B6696" s="3"/>
      <c r="C6696" s="3"/>
      <c r="D6696" s="3"/>
      <c r="E6696" s="3">
        <v>13</v>
      </c>
      <c r="F6696" s="4" t="str">
        <f>HYPERLINK("http://141.218.60.56/~jnz1568/getInfo.php?workbook=14_09.xlsx&amp;sheet=U0&amp;row=6696&amp;col=6&amp;number=4.2&amp;sourceID=14","4.2")</f>
        <v>4.2</v>
      </c>
      <c r="G6696" s="4" t="str">
        <f>HYPERLINK("http://141.218.60.56/~jnz1568/getInfo.php?workbook=14_09.xlsx&amp;sheet=U0&amp;row=6696&amp;col=7&amp;number=0.00155&amp;sourceID=14","0.00155")</f>
        <v>0.00155</v>
      </c>
    </row>
    <row r="6697" spans="1:7">
      <c r="A6697" s="3"/>
      <c r="B6697" s="3"/>
      <c r="C6697" s="3"/>
      <c r="D6697" s="3"/>
      <c r="E6697" s="3">
        <v>14</v>
      </c>
      <c r="F6697" s="4" t="str">
        <f>HYPERLINK("http://141.218.60.56/~jnz1568/getInfo.php?workbook=14_09.xlsx&amp;sheet=U0&amp;row=6697&amp;col=6&amp;number=4.3&amp;sourceID=14","4.3")</f>
        <v>4.3</v>
      </c>
      <c r="G6697" s="4" t="str">
        <f>HYPERLINK("http://141.218.60.56/~jnz1568/getInfo.php?workbook=14_09.xlsx&amp;sheet=U0&amp;row=6697&amp;col=7&amp;number=0.00154&amp;sourceID=14","0.00154")</f>
        <v>0.00154</v>
      </c>
    </row>
    <row r="6698" spans="1:7">
      <c r="A6698" s="3"/>
      <c r="B6698" s="3"/>
      <c r="C6698" s="3"/>
      <c r="D6698" s="3"/>
      <c r="E6698" s="3">
        <v>15</v>
      </c>
      <c r="F6698" s="4" t="str">
        <f>HYPERLINK("http://141.218.60.56/~jnz1568/getInfo.php?workbook=14_09.xlsx&amp;sheet=U0&amp;row=6698&amp;col=6&amp;number=4.4&amp;sourceID=14","4.4")</f>
        <v>4.4</v>
      </c>
      <c r="G6698" s="4" t="str">
        <f>HYPERLINK("http://141.218.60.56/~jnz1568/getInfo.php?workbook=14_09.xlsx&amp;sheet=U0&amp;row=6698&amp;col=7&amp;number=0.00153&amp;sourceID=14","0.00153")</f>
        <v>0.00153</v>
      </c>
    </row>
    <row r="6699" spans="1:7">
      <c r="A6699" s="3"/>
      <c r="B6699" s="3"/>
      <c r="C6699" s="3"/>
      <c r="D6699" s="3"/>
      <c r="E6699" s="3">
        <v>16</v>
      </c>
      <c r="F6699" s="4" t="str">
        <f>HYPERLINK("http://141.218.60.56/~jnz1568/getInfo.php?workbook=14_09.xlsx&amp;sheet=U0&amp;row=6699&amp;col=6&amp;number=4.5&amp;sourceID=14","4.5")</f>
        <v>4.5</v>
      </c>
      <c r="G6699" s="4" t="str">
        <f>HYPERLINK("http://141.218.60.56/~jnz1568/getInfo.php?workbook=14_09.xlsx&amp;sheet=U0&amp;row=6699&amp;col=7&amp;number=0.00152&amp;sourceID=14","0.00152")</f>
        <v>0.00152</v>
      </c>
    </row>
    <row r="6700" spans="1:7">
      <c r="A6700" s="3"/>
      <c r="B6700" s="3"/>
      <c r="C6700" s="3"/>
      <c r="D6700" s="3"/>
      <c r="E6700" s="3">
        <v>17</v>
      </c>
      <c r="F6700" s="4" t="str">
        <f>HYPERLINK("http://141.218.60.56/~jnz1568/getInfo.php?workbook=14_09.xlsx&amp;sheet=U0&amp;row=6700&amp;col=6&amp;number=4.6&amp;sourceID=14","4.6")</f>
        <v>4.6</v>
      </c>
      <c r="G6700" s="4" t="str">
        <f>HYPERLINK("http://141.218.60.56/~jnz1568/getInfo.php?workbook=14_09.xlsx&amp;sheet=U0&amp;row=6700&amp;col=7&amp;number=0.00151&amp;sourceID=14","0.00151")</f>
        <v>0.00151</v>
      </c>
    </row>
    <row r="6701" spans="1:7">
      <c r="A6701" s="3"/>
      <c r="B6701" s="3"/>
      <c r="C6701" s="3"/>
      <c r="D6701" s="3"/>
      <c r="E6701" s="3">
        <v>18</v>
      </c>
      <c r="F6701" s="4" t="str">
        <f>HYPERLINK("http://141.218.60.56/~jnz1568/getInfo.php?workbook=14_09.xlsx&amp;sheet=U0&amp;row=6701&amp;col=6&amp;number=4.7&amp;sourceID=14","4.7")</f>
        <v>4.7</v>
      </c>
      <c r="G6701" s="4" t="str">
        <f>HYPERLINK("http://141.218.60.56/~jnz1568/getInfo.php?workbook=14_09.xlsx&amp;sheet=U0&amp;row=6701&amp;col=7&amp;number=0.00149&amp;sourceID=14","0.00149")</f>
        <v>0.00149</v>
      </c>
    </row>
    <row r="6702" spans="1:7">
      <c r="A6702" s="3"/>
      <c r="B6702" s="3"/>
      <c r="C6702" s="3"/>
      <c r="D6702" s="3"/>
      <c r="E6702" s="3">
        <v>19</v>
      </c>
      <c r="F6702" s="4" t="str">
        <f>HYPERLINK("http://141.218.60.56/~jnz1568/getInfo.php?workbook=14_09.xlsx&amp;sheet=U0&amp;row=6702&amp;col=6&amp;number=4.8&amp;sourceID=14","4.8")</f>
        <v>4.8</v>
      </c>
      <c r="G6702" s="4" t="str">
        <f>HYPERLINK("http://141.218.60.56/~jnz1568/getInfo.php?workbook=14_09.xlsx&amp;sheet=U0&amp;row=6702&amp;col=7&amp;number=0.00147&amp;sourceID=14","0.00147")</f>
        <v>0.00147</v>
      </c>
    </row>
    <row r="6703" spans="1:7">
      <c r="A6703" s="3"/>
      <c r="B6703" s="3"/>
      <c r="C6703" s="3"/>
      <c r="D6703" s="3"/>
      <c r="E6703" s="3">
        <v>20</v>
      </c>
      <c r="F6703" s="4" t="str">
        <f>HYPERLINK("http://141.218.60.56/~jnz1568/getInfo.php?workbook=14_09.xlsx&amp;sheet=U0&amp;row=6703&amp;col=6&amp;number=4.9&amp;sourceID=14","4.9")</f>
        <v>4.9</v>
      </c>
      <c r="G6703" s="4" t="str">
        <f>HYPERLINK("http://141.218.60.56/~jnz1568/getInfo.php?workbook=14_09.xlsx&amp;sheet=U0&amp;row=6703&amp;col=7&amp;number=0.00145&amp;sourceID=14","0.00145")</f>
        <v>0.00145</v>
      </c>
    </row>
    <row r="6704" spans="1:7">
      <c r="A6704" s="3">
        <v>14</v>
      </c>
      <c r="B6704" s="3">
        <v>9</v>
      </c>
      <c r="C6704" s="3">
        <v>2</v>
      </c>
      <c r="D6704" s="3">
        <v>144</v>
      </c>
      <c r="E6704" s="3">
        <v>1</v>
      </c>
      <c r="F6704" s="4" t="str">
        <f>HYPERLINK("http://141.218.60.56/~jnz1568/getInfo.php?workbook=14_09.xlsx&amp;sheet=U0&amp;row=6704&amp;col=6&amp;number=3&amp;sourceID=14","3")</f>
        <v>3</v>
      </c>
      <c r="G6704" s="4" t="str">
        <f>HYPERLINK("http://141.218.60.56/~jnz1568/getInfo.php?workbook=14_09.xlsx&amp;sheet=U0&amp;row=6704&amp;col=7&amp;number=0.00202&amp;sourceID=14","0.00202")</f>
        <v>0.00202</v>
      </c>
    </row>
    <row r="6705" spans="1:7">
      <c r="A6705" s="3"/>
      <c r="B6705" s="3"/>
      <c r="C6705" s="3"/>
      <c r="D6705" s="3"/>
      <c r="E6705" s="3">
        <v>2</v>
      </c>
      <c r="F6705" s="4" t="str">
        <f>HYPERLINK("http://141.218.60.56/~jnz1568/getInfo.php?workbook=14_09.xlsx&amp;sheet=U0&amp;row=6705&amp;col=6&amp;number=3.1&amp;sourceID=14","3.1")</f>
        <v>3.1</v>
      </c>
      <c r="G6705" s="4" t="str">
        <f>HYPERLINK("http://141.218.60.56/~jnz1568/getInfo.php?workbook=14_09.xlsx&amp;sheet=U0&amp;row=6705&amp;col=7&amp;number=0.00202&amp;sourceID=14","0.00202")</f>
        <v>0.00202</v>
      </c>
    </row>
    <row r="6706" spans="1:7">
      <c r="A6706" s="3"/>
      <c r="B6706" s="3"/>
      <c r="C6706" s="3"/>
      <c r="D6706" s="3"/>
      <c r="E6706" s="3">
        <v>3</v>
      </c>
      <c r="F6706" s="4" t="str">
        <f>HYPERLINK("http://141.218.60.56/~jnz1568/getInfo.php?workbook=14_09.xlsx&amp;sheet=U0&amp;row=6706&amp;col=6&amp;number=3.2&amp;sourceID=14","3.2")</f>
        <v>3.2</v>
      </c>
      <c r="G6706" s="4" t="str">
        <f>HYPERLINK("http://141.218.60.56/~jnz1568/getInfo.php?workbook=14_09.xlsx&amp;sheet=U0&amp;row=6706&amp;col=7&amp;number=0.00202&amp;sourceID=14","0.00202")</f>
        <v>0.00202</v>
      </c>
    </row>
    <row r="6707" spans="1:7">
      <c r="A6707" s="3"/>
      <c r="B6707" s="3"/>
      <c r="C6707" s="3"/>
      <c r="D6707" s="3"/>
      <c r="E6707" s="3">
        <v>4</v>
      </c>
      <c r="F6707" s="4" t="str">
        <f>HYPERLINK("http://141.218.60.56/~jnz1568/getInfo.php?workbook=14_09.xlsx&amp;sheet=U0&amp;row=6707&amp;col=6&amp;number=3.3&amp;sourceID=14","3.3")</f>
        <v>3.3</v>
      </c>
      <c r="G6707" s="4" t="str">
        <f>HYPERLINK("http://141.218.60.56/~jnz1568/getInfo.php?workbook=14_09.xlsx&amp;sheet=U0&amp;row=6707&amp;col=7&amp;number=0.00202&amp;sourceID=14","0.00202")</f>
        <v>0.00202</v>
      </c>
    </row>
    <row r="6708" spans="1:7">
      <c r="A6708" s="3"/>
      <c r="B6708" s="3"/>
      <c r="C6708" s="3"/>
      <c r="D6708" s="3"/>
      <c r="E6708" s="3">
        <v>5</v>
      </c>
      <c r="F6708" s="4" t="str">
        <f>HYPERLINK("http://141.218.60.56/~jnz1568/getInfo.php?workbook=14_09.xlsx&amp;sheet=U0&amp;row=6708&amp;col=6&amp;number=3.4&amp;sourceID=14","3.4")</f>
        <v>3.4</v>
      </c>
      <c r="G6708" s="4" t="str">
        <f>HYPERLINK("http://141.218.60.56/~jnz1568/getInfo.php?workbook=14_09.xlsx&amp;sheet=U0&amp;row=6708&amp;col=7&amp;number=0.00202&amp;sourceID=14","0.00202")</f>
        <v>0.00202</v>
      </c>
    </row>
    <row r="6709" spans="1:7">
      <c r="A6709" s="3"/>
      <c r="B6709" s="3"/>
      <c r="C6709" s="3"/>
      <c r="D6709" s="3"/>
      <c r="E6709" s="3">
        <v>6</v>
      </c>
      <c r="F6709" s="4" t="str">
        <f>HYPERLINK("http://141.218.60.56/~jnz1568/getInfo.php?workbook=14_09.xlsx&amp;sheet=U0&amp;row=6709&amp;col=6&amp;number=3.5&amp;sourceID=14","3.5")</f>
        <v>3.5</v>
      </c>
      <c r="G6709" s="4" t="str">
        <f>HYPERLINK("http://141.218.60.56/~jnz1568/getInfo.php?workbook=14_09.xlsx&amp;sheet=U0&amp;row=6709&amp;col=7&amp;number=0.00201&amp;sourceID=14","0.00201")</f>
        <v>0.00201</v>
      </c>
    </row>
    <row r="6710" spans="1:7">
      <c r="A6710" s="3"/>
      <c r="B6710" s="3"/>
      <c r="C6710" s="3"/>
      <c r="D6710" s="3"/>
      <c r="E6710" s="3">
        <v>7</v>
      </c>
      <c r="F6710" s="4" t="str">
        <f>HYPERLINK("http://141.218.60.56/~jnz1568/getInfo.php?workbook=14_09.xlsx&amp;sheet=U0&amp;row=6710&amp;col=6&amp;number=3.6&amp;sourceID=14","3.6")</f>
        <v>3.6</v>
      </c>
      <c r="G6710" s="4" t="str">
        <f>HYPERLINK("http://141.218.60.56/~jnz1568/getInfo.php?workbook=14_09.xlsx&amp;sheet=U0&amp;row=6710&amp;col=7&amp;number=0.00201&amp;sourceID=14","0.00201")</f>
        <v>0.00201</v>
      </c>
    </row>
    <row r="6711" spans="1:7">
      <c r="A6711" s="3"/>
      <c r="B6711" s="3"/>
      <c r="C6711" s="3"/>
      <c r="D6711" s="3"/>
      <c r="E6711" s="3">
        <v>8</v>
      </c>
      <c r="F6711" s="4" t="str">
        <f>HYPERLINK("http://141.218.60.56/~jnz1568/getInfo.php?workbook=14_09.xlsx&amp;sheet=U0&amp;row=6711&amp;col=6&amp;number=3.7&amp;sourceID=14","3.7")</f>
        <v>3.7</v>
      </c>
      <c r="G6711" s="4" t="str">
        <f>HYPERLINK("http://141.218.60.56/~jnz1568/getInfo.php?workbook=14_09.xlsx&amp;sheet=U0&amp;row=6711&amp;col=7&amp;number=0.00201&amp;sourceID=14","0.00201")</f>
        <v>0.00201</v>
      </c>
    </row>
    <row r="6712" spans="1:7">
      <c r="A6712" s="3"/>
      <c r="B6712" s="3"/>
      <c r="C6712" s="3"/>
      <c r="D6712" s="3"/>
      <c r="E6712" s="3">
        <v>9</v>
      </c>
      <c r="F6712" s="4" t="str">
        <f>HYPERLINK("http://141.218.60.56/~jnz1568/getInfo.php?workbook=14_09.xlsx&amp;sheet=U0&amp;row=6712&amp;col=6&amp;number=3.8&amp;sourceID=14","3.8")</f>
        <v>3.8</v>
      </c>
      <c r="G6712" s="4" t="str">
        <f>HYPERLINK("http://141.218.60.56/~jnz1568/getInfo.php?workbook=14_09.xlsx&amp;sheet=U0&amp;row=6712&amp;col=7&amp;number=0.002&amp;sourceID=14","0.002")</f>
        <v>0.002</v>
      </c>
    </row>
    <row r="6713" spans="1:7">
      <c r="A6713" s="3"/>
      <c r="B6713" s="3"/>
      <c r="C6713" s="3"/>
      <c r="D6713" s="3"/>
      <c r="E6713" s="3">
        <v>10</v>
      </c>
      <c r="F6713" s="4" t="str">
        <f>HYPERLINK("http://141.218.60.56/~jnz1568/getInfo.php?workbook=14_09.xlsx&amp;sheet=U0&amp;row=6713&amp;col=6&amp;number=3.9&amp;sourceID=14","3.9")</f>
        <v>3.9</v>
      </c>
      <c r="G6713" s="4" t="str">
        <f>HYPERLINK("http://141.218.60.56/~jnz1568/getInfo.php?workbook=14_09.xlsx&amp;sheet=U0&amp;row=6713&amp;col=7&amp;number=0.002&amp;sourceID=14","0.002")</f>
        <v>0.002</v>
      </c>
    </row>
    <row r="6714" spans="1:7">
      <c r="A6714" s="3"/>
      <c r="B6714" s="3"/>
      <c r="C6714" s="3"/>
      <c r="D6714" s="3"/>
      <c r="E6714" s="3">
        <v>11</v>
      </c>
      <c r="F6714" s="4" t="str">
        <f>HYPERLINK("http://141.218.60.56/~jnz1568/getInfo.php?workbook=14_09.xlsx&amp;sheet=U0&amp;row=6714&amp;col=6&amp;number=4&amp;sourceID=14","4")</f>
        <v>4</v>
      </c>
      <c r="G6714" s="4" t="str">
        <f>HYPERLINK("http://141.218.60.56/~jnz1568/getInfo.php?workbook=14_09.xlsx&amp;sheet=U0&amp;row=6714&amp;col=7&amp;number=0.00199&amp;sourceID=14","0.00199")</f>
        <v>0.00199</v>
      </c>
    </row>
    <row r="6715" spans="1:7">
      <c r="A6715" s="3"/>
      <c r="B6715" s="3"/>
      <c r="C6715" s="3"/>
      <c r="D6715" s="3"/>
      <c r="E6715" s="3">
        <v>12</v>
      </c>
      <c r="F6715" s="4" t="str">
        <f>HYPERLINK("http://141.218.60.56/~jnz1568/getInfo.php?workbook=14_09.xlsx&amp;sheet=U0&amp;row=6715&amp;col=6&amp;number=4.1&amp;sourceID=14","4.1")</f>
        <v>4.1</v>
      </c>
      <c r="G6715" s="4" t="str">
        <f>HYPERLINK("http://141.218.60.56/~jnz1568/getInfo.php?workbook=14_09.xlsx&amp;sheet=U0&amp;row=6715&amp;col=7&amp;number=0.00198&amp;sourceID=14","0.00198")</f>
        <v>0.00198</v>
      </c>
    </row>
    <row r="6716" spans="1:7">
      <c r="A6716" s="3"/>
      <c r="B6716" s="3"/>
      <c r="C6716" s="3"/>
      <c r="D6716" s="3"/>
      <c r="E6716" s="3">
        <v>13</v>
      </c>
      <c r="F6716" s="4" t="str">
        <f>HYPERLINK("http://141.218.60.56/~jnz1568/getInfo.php?workbook=14_09.xlsx&amp;sheet=U0&amp;row=6716&amp;col=6&amp;number=4.2&amp;sourceID=14","4.2")</f>
        <v>4.2</v>
      </c>
      <c r="G6716" s="4" t="str">
        <f>HYPERLINK("http://141.218.60.56/~jnz1568/getInfo.php?workbook=14_09.xlsx&amp;sheet=U0&amp;row=6716&amp;col=7&amp;number=0.00197&amp;sourceID=14","0.00197")</f>
        <v>0.00197</v>
      </c>
    </row>
    <row r="6717" spans="1:7">
      <c r="A6717" s="3"/>
      <c r="B6717" s="3"/>
      <c r="C6717" s="3"/>
      <c r="D6717" s="3"/>
      <c r="E6717" s="3">
        <v>14</v>
      </c>
      <c r="F6717" s="4" t="str">
        <f>HYPERLINK("http://141.218.60.56/~jnz1568/getInfo.php?workbook=14_09.xlsx&amp;sheet=U0&amp;row=6717&amp;col=6&amp;number=4.3&amp;sourceID=14","4.3")</f>
        <v>4.3</v>
      </c>
      <c r="G6717" s="4" t="str">
        <f>HYPERLINK("http://141.218.60.56/~jnz1568/getInfo.php?workbook=14_09.xlsx&amp;sheet=U0&amp;row=6717&amp;col=7&amp;number=0.00195&amp;sourceID=14","0.00195")</f>
        <v>0.00195</v>
      </c>
    </row>
    <row r="6718" spans="1:7">
      <c r="A6718" s="3"/>
      <c r="B6718" s="3"/>
      <c r="C6718" s="3"/>
      <c r="D6718" s="3"/>
      <c r="E6718" s="3">
        <v>15</v>
      </c>
      <c r="F6718" s="4" t="str">
        <f>HYPERLINK("http://141.218.60.56/~jnz1568/getInfo.php?workbook=14_09.xlsx&amp;sheet=U0&amp;row=6718&amp;col=6&amp;number=4.4&amp;sourceID=14","4.4")</f>
        <v>4.4</v>
      </c>
      <c r="G6718" s="4" t="str">
        <f>HYPERLINK("http://141.218.60.56/~jnz1568/getInfo.php?workbook=14_09.xlsx&amp;sheet=U0&amp;row=6718&amp;col=7&amp;number=0.00193&amp;sourceID=14","0.00193")</f>
        <v>0.00193</v>
      </c>
    </row>
    <row r="6719" spans="1:7">
      <c r="A6719" s="3"/>
      <c r="B6719" s="3"/>
      <c r="C6719" s="3"/>
      <c r="D6719" s="3"/>
      <c r="E6719" s="3">
        <v>16</v>
      </c>
      <c r="F6719" s="4" t="str">
        <f>HYPERLINK("http://141.218.60.56/~jnz1568/getInfo.php?workbook=14_09.xlsx&amp;sheet=U0&amp;row=6719&amp;col=6&amp;number=4.5&amp;sourceID=14","4.5")</f>
        <v>4.5</v>
      </c>
      <c r="G6719" s="4" t="str">
        <f>HYPERLINK("http://141.218.60.56/~jnz1568/getInfo.php?workbook=14_09.xlsx&amp;sheet=U0&amp;row=6719&amp;col=7&amp;number=0.00191&amp;sourceID=14","0.00191")</f>
        <v>0.00191</v>
      </c>
    </row>
    <row r="6720" spans="1:7">
      <c r="A6720" s="3"/>
      <c r="B6720" s="3"/>
      <c r="C6720" s="3"/>
      <c r="D6720" s="3"/>
      <c r="E6720" s="3">
        <v>17</v>
      </c>
      <c r="F6720" s="4" t="str">
        <f>HYPERLINK("http://141.218.60.56/~jnz1568/getInfo.php?workbook=14_09.xlsx&amp;sheet=U0&amp;row=6720&amp;col=6&amp;number=4.6&amp;sourceID=14","4.6")</f>
        <v>4.6</v>
      </c>
      <c r="G6720" s="4" t="str">
        <f>HYPERLINK("http://141.218.60.56/~jnz1568/getInfo.php?workbook=14_09.xlsx&amp;sheet=U0&amp;row=6720&amp;col=7&amp;number=0.00188&amp;sourceID=14","0.00188")</f>
        <v>0.00188</v>
      </c>
    </row>
    <row r="6721" spans="1:7">
      <c r="A6721" s="3"/>
      <c r="B6721" s="3"/>
      <c r="C6721" s="3"/>
      <c r="D6721" s="3"/>
      <c r="E6721" s="3">
        <v>18</v>
      </c>
      <c r="F6721" s="4" t="str">
        <f>HYPERLINK("http://141.218.60.56/~jnz1568/getInfo.php?workbook=14_09.xlsx&amp;sheet=U0&amp;row=6721&amp;col=6&amp;number=4.7&amp;sourceID=14","4.7")</f>
        <v>4.7</v>
      </c>
      <c r="G6721" s="4" t="str">
        <f>HYPERLINK("http://141.218.60.56/~jnz1568/getInfo.php?workbook=14_09.xlsx&amp;sheet=U0&amp;row=6721&amp;col=7&amp;number=0.00184&amp;sourceID=14","0.00184")</f>
        <v>0.00184</v>
      </c>
    </row>
    <row r="6722" spans="1:7">
      <c r="A6722" s="3"/>
      <c r="B6722" s="3"/>
      <c r="C6722" s="3"/>
      <c r="D6722" s="3"/>
      <c r="E6722" s="3">
        <v>19</v>
      </c>
      <c r="F6722" s="4" t="str">
        <f>HYPERLINK("http://141.218.60.56/~jnz1568/getInfo.php?workbook=14_09.xlsx&amp;sheet=U0&amp;row=6722&amp;col=6&amp;number=4.8&amp;sourceID=14","4.8")</f>
        <v>4.8</v>
      </c>
      <c r="G6722" s="4" t="str">
        <f>HYPERLINK("http://141.218.60.56/~jnz1568/getInfo.php?workbook=14_09.xlsx&amp;sheet=U0&amp;row=6722&amp;col=7&amp;number=0.0018&amp;sourceID=14","0.0018")</f>
        <v>0.0018</v>
      </c>
    </row>
    <row r="6723" spans="1:7">
      <c r="A6723" s="3"/>
      <c r="B6723" s="3"/>
      <c r="C6723" s="3"/>
      <c r="D6723" s="3"/>
      <c r="E6723" s="3">
        <v>20</v>
      </c>
      <c r="F6723" s="4" t="str">
        <f>HYPERLINK("http://141.218.60.56/~jnz1568/getInfo.php?workbook=14_09.xlsx&amp;sheet=U0&amp;row=6723&amp;col=6&amp;number=4.9&amp;sourceID=14","4.9")</f>
        <v>4.9</v>
      </c>
      <c r="G6723" s="4" t="str">
        <f>HYPERLINK("http://141.218.60.56/~jnz1568/getInfo.php?workbook=14_09.xlsx&amp;sheet=U0&amp;row=6723&amp;col=7&amp;number=0.00175&amp;sourceID=14","0.00175")</f>
        <v>0.00175</v>
      </c>
    </row>
    <row r="6724" spans="1:7">
      <c r="A6724" s="3">
        <v>14</v>
      </c>
      <c r="B6724" s="3">
        <v>9</v>
      </c>
      <c r="C6724" s="3">
        <v>2</v>
      </c>
      <c r="D6724" s="3">
        <v>145</v>
      </c>
      <c r="E6724" s="3">
        <v>1</v>
      </c>
      <c r="F6724" s="4" t="str">
        <f>HYPERLINK("http://141.218.60.56/~jnz1568/getInfo.php?workbook=14_09.xlsx&amp;sheet=U0&amp;row=6724&amp;col=6&amp;number=3&amp;sourceID=14","3")</f>
        <v>3</v>
      </c>
      <c r="G6724" s="4" t="str">
        <f>HYPERLINK("http://141.218.60.56/~jnz1568/getInfo.php?workbook=14_09.xlsx&amp;sheet=U0&amp;row=6724&amp;col=7&amp;number=0.00842&amp;sourceID=14","0.00842")</f>
        <v>0.00842</v>
      </c>
    </row>
    <row r="6725" spans="1:7">
      <c r="A6725" s="3"/>
      <c r="B6725" s="3"/>
      <c r="C6725" s="3"/>
      <c r="D6725" s="3"/>
      <c r="E6725" s="3">
        <v>2</v>
      </c>
      <c r="F6725" s="4" t="str">
        <f>HYPERLINK("http://141.218.60.56/~jnz1568/getInfo.php?workbook=14_09.xlsx&amp;sheet=U0&amp;row=6725&amp;col=6&amp;number=3.1&amp;sourceID=14","3.1")</f>
        <v>3.1</v>
      </c>
      <c r="G6725" s="4" t="str">
        <f>HYPERLINK("http://141.218.60.56/~jnz1568/getInfo.php?workbook=14_09.xlsx&amp;sheet=U0&amp;row=6725&amp;col=7&amp;number=0.0084&amp;sourceID=14","0.0084")</f>
        <v>0.0084</v>
      </c>
    </row>
    <row r="6726" spans="1:7">
      <c r="A6726" s="3"/>
      <c r="B6726" s="3"/>
      <c r="C6726" s="3"/>
      <c r="D6726" s="3"/>
      <c r="E6726" s="3">
        <v>3</v>
      </c>
      <c r="F6726" s="4" t="str">
        <f>HYPERLINK("http://141.218.60.56/~jnz1568/getInfo.php?workbook=14_09.xlsx&amp;sheet=U0&amp;row=6726&amp;col=6&amp;number=3.2&amp;sourceID=14","3.2")</f>
        <v>3.2</v>
      </c>
      <c r="G6726" s="4" t="str">
        <f>HYPERLINK("http://141.218.60.56/~jnz1568/getInfo.php?workbook=14_09.xlsx&amp;sheet=U0&amp;row=6726&amp;col=7&amp;number=0.00839&amp;sourceID=14","0.00839")</f>
        <v>0.00839</v>
      </c>
    </row>
    <row r="6727" spans="1:7">
      <c r="A6727" s="3"/>
      <c r="B6727" s="3"/>
      <c r="C6727" s="3"/>
      <c r="D6727" s="3"/>
      <c r="E6727" s="3">
        <v>4</v>
      </c>
      <c r="F6727" s="4" t="str">
        <f>HYPERLINK("http://141.218.60.56/~jnz1568/getInfo.php?workbook=14_09.xlsx&amp;sheet=U0&amp;row=6727&amp;col=6&amp;number=3.3&amp;sourceID=14","3.3")</f>
        <v>3.3</v>
      </c>
      <c r="G6727" s="4" t="str">
        <f>HYPERLINK("http://141.218.60.56/~jnz1568/getInfo.php?workbook=14_09.xlsx&amp;sheet=U0&amp;row=6727&amp;col=7&amp;number=0.00837&amp;sourceID=14","0.00837")</f>
        <v>0.00837</v>
      </c>
    </row>
    <row r="6728" spans="1:7">
      <c r="A6728" s="3"/>
      <c r="B6728" s="3"/>
      <c r="C6728" s="3"/>
      <c r="D6728" s="3"/>
      <c r="E6728" s="3">
        <v>5</v>
      </c>
      <c r="F6728" s="4" t="str">
        <f>HYPERLINK("http://141.218.60.56/~jnz1568/getInfo.php?workbook=14_09.xlsx&amp;sheet=U0&amp;row=6728&amp;col=6&amp;number=3.4&amp;sourceID=14","3.4")</f>
        <v>3.4</v>
      </c>
      <c r="G6728" s="4" t="str">
        <f>HYPERLINK("http://141.218.60.56/~jnz1568/getInfo.php?workbook=14_09.xlsx&amp;sheet=U0&amp;row=6728&amp;col=7&amp;number=0.00835&amp;sourceID=14","0.00835")</f>
        <v>0.00835</v>
      </c>
    </row>
    <row r="6729" spans="1:7">
      <c r="A6729" s="3"/>
      <c r="B6729" s="3"/>
      <c r="C6729" s="3"/>
      <c r="D6729" s="3"/>
      <c r="E6729" s="3">
        <v>6</v>
      </c>
      <c r="F6729" s="4" t="str">
        <f>HYPERLINK("http://141.218.60.56/~jnz1568/getInfo.php?workbook=14_09.xlsx&amp;sheet=U0&amp;row=6729&amp;col=6&amp;number=3.5&amp;sourceID=14","3.5")</f>
        <v>3.5</v>
      </c>
      <c r="G6729" s="4" t="str">
        <f>HYPERLINK("http://141.218.60.56/~jnz1568/getInfo.php?workbook=14_09.xlsx&amp;sheet=U0&amp;row=6729&amp;col=7&amp;number=0.00832&amp;sourceID=14","0.00832")</f>
        <v>0.00832</v>
      </c>
    </row>
    <row r="6730" spans="1:7">
      <c r="A6730" s="3"/>
      <c r="B6730" s="3"/>
      <c r="C6730" s="3"/>
      <c r="D6730" s="3"/>
      <c r="E6730" s="3">
        <v>7</v>
      </c>
      <c r="F6730" s="4" t="str">
        <f>HYPERLINK("http://141.218.60.56/~jnz1568/getInfo.php?workbook=14_09.xlsx&amp;sheet=U0&amp;row=6730&amp;col=6&amp;number=3.6&amp;sourceID=14","3.6")</f>
        <v>3.6</v>
      </c>
      <c r="G6730" s="4" t="str">
        <f>HYPERLINK("http://141.218.60.56/~jnz1568/getInfo.php?workbook=14_09.xlsx&amp;sheet=U0&amp;row=6730&amp;col=7&amp;number=0.00829&amp;sourceID=14","0.00829")</f>
        <v>0.00829</v>
      </c>
    </row>
    <row r="6731" spans="1:7">
      <c r="A6731" s="3"/>
      <c r="B6731" s="3"/>
      <c r="C6731" s="3"/>
      <c r="D6731" s="3"/>
      <c r="E6731" s="3">
        <v>8</v>
      </c>
      <c r="F6731" s="4" t="str">
        <f>HYPERLINK("http://141.218.60.56/~jnz1568/getInfo.php?workbook=14_09.xlsx&amp;sheet=U0&amp;row=6731&amp;col=6&amp;number=3.7&amp;sourceID=14","3.7")</f>
        <v>3.7</v>
      </c>
      <c r="G6731" s="4" t="str">
        <f>HYPERLINK("http://141.218.60.56/~jnz1568/getInfo.php?workbook=14_09.xlsx&amp;sheet=U0&amp;row=6731&amp;col=7&amp;number=0.00824&amp;sourceID=14","0.00824")</f>
        <v>0.00824</v>
      </c>
    </row>
    <row r="6732" spans="1:7">
      <c r="A6732" s="3"/>
      <c r="B6732" s="3"/>
      <c r="C6732" s="3"/>
      <c r="D6732" s="3"/>
      <c r="E6732" s="3">
        <v>9</v>
      </c>
      <c r="F6732" s="4" t="str">
        <f>HYPERLINK("http://141.218.60.56/~jnz1568/getInfo.php?workbook=14_09.xlsx&amp;sheet=U0&amp;row=6732&amp;col=6&amp;number=3.8&amp;sourceID=14","3.8")</f>
        <v>3.8</v>
      </c>
      <c r="G6732" s="4" t="str">
        <f>HYPERLINK("http://141.218.60.56/~jnz1568/getInfo.php?workbook=14_09.xlsx&amp;sheet=U0&amp;row=6732&amp;col=7&amp;number=0.00819&amp;sourceID=14","0.00819")</f>
        <v>0.00819</v>
      </c>
    </row>
    <row r="6733" spans="1:7">
      <c r="A6733" s="3"/>
      <c r="B6733" s="3"/>
      <c r="C6733" s="3"/>
      <c r="D6733" s="3"/>
      <c r="E6733" s="3">
        <v>10</v>
      </c>
      <c r="F6733" s="4" t="str">
        <f>HYPERLINK("http://141.218.60.56/~jnz1568/getInfo.php?workbook=14_09.xlsx&amp;sheet=U0&amp;row=6733&amp;col=6&amp;number=3.9&amp;sourceID=14","3.9")</f>
        <v>3.9</v>
      </c>
      <c r="G6733" s="4" t="str">
        <f>HYPERLINK("http://141.218.60.56/~jnz1568/getInfo.php?workbook=14_09.xlsx&amp;sheet=U0&amp;row=6733&amp;col=7&amp;number=0.00812&amp;sourceID=14","0.00812")</f>
        <v>0.00812</v>
      </c>
    </row>
    <row r="6734" spans="1:7">
      <c r="A6734" s="3"/>
      <c r="B6734" s="3"/>
      <c r="C6734" s="3"/>
      <c r="D6734" s="3"/>
      <c r="E6734" s="3">
        <v>11</v>
      </c>
      <c r="F6734" s="4" t="str">
        <f>HYPERLINK("http://141.218.60.56/~jnz1568/getInfo.php?workbook=14_09.xlsx&amp;sheet=U0&amp;row=6734&amp;col=6&amp;number=4&amp;sourceID=14","4")</f>
        <v>4</v>
      </c>
      <c r="G6734" s="4" t="str">
        <f>HYPERLINK("http://141.218.60.56/~jnz1568/getInfo.php?workbook=14_09.xlsx&amp;sheet=U0&amp;row=6734&amp;col=7&amp;number=0.00803&amp;sourceID=14","0.00803")</f>
        <v>0.00803</v>
      </c>
    </row>
    <row r="6735" spans="1:7">
      <c r="A6735" s="3"/>
      <c r="B6735" s="3"/>
      <c r="C6735" s="3"/>
      <c r="D6735" s="3"/>
      <c r="E6735" s="3">
        <v>12</v>
      </c>
      <c r="F6735" s="4" t="str">
        <f>HYPERLINK("http://141.218.60.56/~jnz1568/getInfo.php?workbook=14_09.xlsx&amp;sheet=U0&amp;row=6735&amp;col=6&amp;number=4.1&amp;sourceID=14","4.1")</f>
        <v>4.1</v>
      </c>
      <c r="G6735" s="4" t="str">
        <f>HYPERLINK("http://141.218.60.56/~jnz1568/getInfo.php?workbook=14_09.xlsx&amp;sheet=U0&amp;row=6735&amp;col=7&amp;number=0.00792&amp;sourceID=14","0.00792")</f>
        <v>0.00792</v>
      </c>
    </row>
    <row r="6736" spans="1:7">
      <c r="A6736" s="3"/>
      <c r="B6736" s="3"/>
      <c r="C6736" s="3"/>
      <c r="D6736" s="3"/>
      <c r="E6736" s="3">
        <v>13</v>
      </c>
      <c r="F6736" s="4" t="str">
        <f>HYPERLINK("http://141.218.60.56/~jnz1568/getInfo.php?workbook=14_09.xlsx&amp;sheet=U0&amp;row=6736&amp;col=6&amp;number=4.2&amp;sourceID=14","4.2")</f>
        <v>4.2</v>
      </c>
      <c r="G6736" s="4" t="str">
        <f>HYPERLINK("http://141.218.60.56/~jnz1568/getInfo.php?workbook=14_09.xlsx&amp;sheet=U0&amp;row=6736&amp;col=7&amp;number=0.00779&amp;sourceID=14","0.00779")</f>
        <v>0.00779</v>
      </c>
    </row>
    <row r="6737" spans="1:7">
      <c r="A6737" s="3"/>
      <c r="B6737" s="3"/>
      <c r="C6737" s="3"/>
      <c r="D6737" s="3"/>
      <c r="E6737" s="3">
        <v>14</v>
      </c>
      <c r="F6737" s="4" t="str">
        <f>HYPERLINK("http://141.218.60.56/~jnz1568/getInfo.php?workbook=14_09.xlsx&amp;sheet=U0&amp;row=6737&amp;col=6&amp;number=4.3&amp;sourceID=14","4.3")</f>
        <v>4.3</v>
      </c>
      <c r="G6737" s="4" t="str">
        <f>HYPERLINK("http://141.218.60.56/~jnz1568/getInfo.php?workbook=14_09.xlsx&amp;sheet=U0&amp;row=6737&amp;col=7&amp;number=0.00762&amp;sourceID=14","0.00762")</f>
        <v>0.00762</v>
      </c>
    </row>
    <row r="6738" spans="1:7">
      <c r="A6738" s="3"/>
      <c r="B6738" s="3"/>
      <c r="C6738" s="3"/>
      <c r="D6738" s="3"/>
      <c r="E6738" s="3">
        <v>15</v>
      </c>
      <c r="F6738" s="4" t="str">
        <f>HYPERLINK("http://141.218.60.56/~jnz1568/getInfo.php?workbook=14_09.xlsx&amp;sheet=U0&amp;row=6738&amp;col=6&amp;number=4.4&amp;sourceID=14","4.4")</f>
        <v>4.4</v>
      </c>
      <c r="G6738" s="4" t="str">
        <f>HYPERLINK("http://141.218.60.56/~jnz1568/getInfo.php?workbook=14_09.xlsx&amp;sheet=U0&amp;row=6738&amp;col=7&amp;number=0.00742&amp;sourceID=14","0.00742")</f>
        <v>0.00742</v>
      </c>
    </row>
    <row r="6739" spans="1:7">
      <c r="A6739" s="3"/>
      <c r="B6739" s="3"/>
      <c r="C6739" s="3"/>
      <c r="D6739" s="3"/>
      <c r="E6739" s="3">
        <v>16</v>
      </c>
      <c r="F6739" s="4" t="str">
        <f>HYPERLINK("http://141.218.60.56/~jnz1568/getInfo.php?workbook=14_09.xlsx&amp;sheet=U0&amp;row=6739&amp;col=6&amp;number=4.5&amp;sourceID=14","4.5")</f>
        <v>4.5</v>
      </c>
      <c r="G6739" s="4" t="str">
        <f>HYPERLINK("http://141.218.60.56/~jnz1568/getInfo.php?workbook=14_09.xlsx&amp;sheet=U0&amp;row=6739&amp;col=7&amp;number=0.00717&amp;sourceID=14","0.00717")</f>
        <v>0.00717</v>
      </c>
    </row>
    <row r="6740" spans="1:7">
      <c r="A6740" s="3"/>
      <c r="B6740" s="3"/>
      <c r="C6740" s="3"/>
      <c r="D6740" s="3"/>
      <c r="E6740" s="3">
        <v>17</v>
      </c>
      <c r="F6740" s="4" t="str">
        <f>HYPERLINK("http://141.218.60.56/~jnz1568/getInfo.php?workbook=14_09.xlsx&amp;sheet=U0&amp;row=6740&amp;col=6&amp;number=4.6&amp;sourceID=14","4.6")</f>
        <v>4.6</v>
      </c>
      <c r="G6740" s="4" t="str">
        <f>HYPERLINK("http://141.218.60.56/~jnz1568/getInfo.php?workbook=14_09.xlsx&amp;sheet=U0&amp;row=6740&amp;col=7&amp;number=0.00687&amp;sourceID=14","0.00687")</f>
        <v>0.00687</v>
      </c>
    </row>
    <row r="6741" spans="1:7">
      <c r="A6741" s="3"/>
      <c r="B6741" s="3"/>
      <c r="C6741" s="3"/>
      <c r="D6741" s="3"/>
      <c r="E6741" s="3">
        <v>18</v>
      </c>
      <c r="F6741" s="4" t="str">
        <f>HYPERLINK("http://141.218.60.56/~jnz1568/getInfo.php?workbook=14_09.xlsx&amp;sheet=U0&amp;row=6741&amp;col=6&amp;number=4.7&amp;sourceID=14","4.7")</f>
        <v>4.7</v>
      </c>
      <c r="G6741" s="4" t="str">
        <f>HYPERLINK("http://141.218.60.56/~jnz1568/getInfo.php?workbook=14_09.xlsx&amp;sheet=U0&amp;row=6741&amp;col=7&amp;number=0.00653&amp;sourceID=14","0.00653")</f>
        <v>0.00653</v>
      </c>
    </row>
    <row r="6742" spans="1:7">
      <c r="A6742" s="3"/>
      <c r="B6742" s="3"/>
      <c r="C6742" s="3"/>
      <c r="D6742" s="3"/>
      <c r="E6742" s="3">
        <v>19</v>
      </c>
      <c r="F6742" s="4" t="str">
        <f>HYPERLINK("http://141.218.60.56/~jnz1568/getInfo.php?workbook=14_09.xlsx&amp;sheet=U0&amp;row=6742&amp;col=6&amp;number=4.8&amp;sourceID=14","4.8")</f>
        <v>4.8</v>
      </c>
      <c r="G6742" s="4" t="str">
        <f>HYPERLINK("http://141.218.60.56/~jnz1568/getInfo.php?workbook=14_09.xlsx&amp;sheet=U0&amp;row=6742&amp;col=7&amp;number=0.00613&amp;sourceID=14","0.00613")</f>
        <v>0.00613</v>
      </c>
    </row>
    <row r="6743" spans="1:7">
      <c r="A6743" s="3"/>
      <c r="B6743" s="3"/>
      <c r="C6743" s="3"/>
      <c r="D6743" s="3"/>
      <c r="E6743" s="3">
        <v>20</v>
      </c>
      <c r="F6743" s="4" t="str">
        <f>HYPERLINK("http://141.218.60.56/~jnz1568/getInfo.php?workbook=14_09.xlsx&amp;sheet=U0&amp;row=6743&amp;col=6&amp;number=4.9&amp;sourceID=14","4.9")</f>
        <v>4.9</v>
      </c>
      <c r="G6743" s="4" t="str">
        <f>HYPERLINK("http://141.218.60.56/~jnz1568/getInfo.php?workbook=14_09.xlsx&amp;sheet=U0&amp;row=6743&amp;col=7&amp;number=0.0057&amp;sourceID=14","0.0057")</f>
        <v>0.0057</v>
      </c>
    </row>
    <row r="6744" spans="1:7">
      <c r="A6744" s="3">
        <v>14</v>
      </c>
      <c r="B6744" s="3">
        <v>9</v>
      </c>
      <c r="C6744" s="3">
        <v>2</v>
      </c>
      <c r="D6744" s="3">
        <v>146</v>
      </c>
      <c r="E6744" s="3">
        <v>1</v>
      </c>
      <c r="F6744" s="4" t="str">
        <f>HYPERLINK("http://141.218.60.56/~jnz1568/getInfo.php?workbook=14_09.xlsx&amp;sheet=U0&amp;row=6744&amp;col=6&amp;number=3&amp;sourceID=14","3")</f>
        <v>3</v>
      </c>
      <c r="G6744" s="4" t="str">
        <f>HYPERLINK("http://141.218.60.56/~jnz1568/getInfo.php?workbook=14_09.xlsx&amp;sheet=U0&amp;row=6744&amp;col=7&amp;number=0.00165&amp;sourceID=14","0.00165")</f>
        <v>0.00165</v>
      </c>
    </row>
    <row r="6745" spans="1:7">
      <c r="A6745" s="3"/>
      <c r="B6745" s="3"/>
      <c r="C6745" s="3"/>
      <c r="D6745" s="3"/>
      <c r="E6745" s="3">
        <v>2</v>
      </c>
      <c r="F6745" s="4" t="str">
        <f>HYPERLINK("http://141.218.60.56/~jnz1568/getInfo.php?workbook=14_09.xlsx&amp;sheet=U0&amp;row=6745&amp;col=6&amp;number=3.1&amp;sourceID=14","3.1")</f>
        <v>3.1</v>
      </c>
      <c r="G6745" s="4" t="str">
        <f>HYPERLINK("http://141.218.60.56/~jnz1568/getInfo.php?workbook=14_09.xlsx&amp;sheet=U0&amp;row=6745&amp;col=7&amp;number=0.00165&amp;sourceID=14","0.00165")</f>
        <v>0.00165</v>
      </c>
    </row>
    <row r="6746" spans="1:7">
      <c r="A6746" s="3"/>
      <c r="B6746" s="3"/>
      <c r="C6746" s="3"/>
      <c r="D6746" s="3"/>
      <c r="E6746" s="3">
        <v>3</v>
      </c>
      <c r="F6746" s="4" t="str">
        <f>HYPERLINK("http://141.218.60.56/~jnz1568/getInfo.php?workbook=14_09.xlsx&amp;sheet=U0&amp;row=6746&amp;col=6&amp;number=3.2&amp;sourceID=14","3.2")</f>
        <v>3.2</v>
      </c>
      <c r="G6746" s="4" t="str">
        <f>HYPERLINK("http://141.218.60.56/~jnz1568/getInfo.php?workbook=14_09.xlsx&amp;sheet=U0&amp;row=6746&amp;col=7&amp;number=0.00165&amp;sourceID=14","0.00165")</f>
        <v>0.00165</v>
      </c>
    </row>
    <row r="6747" spans="1:7">
      <c r="A6747" s="3"/>
      <c r="B6747" s="3"/>
      <c r="C6747" s="3"/>
      <c r="D6747" s="3"/>
      <c r="E6747" s="3">
        <v>4</v>
      </c>
      <c r="F6747" s="4" t="str">
        <f>HYPERLINK("http://141.218.60.56/~jnz1568/getInfo.php?workbook=14_09.xlsx&amp;sheet=U0&amp;row=6747&amp;col=6&amp;number=3.3&amp;sourceID=14","3.3")</f>
        <v>3.3</v>
      </c>
      <c r="G6747" s="4" t="str">
        <f>HYPERLINK("http://141.218.60.56/~jnz1568/getInfo.php?workbook=14_09.xlsx&amp;sheet=U0&amp;row=6747&amp;col=7&amp;number=0.00165&amp;sourceID=14","0.00165")</f>
        <v>0.00165</v>
      </c>
    </row>
    <row r="6748" spans="1:7">
      <c r="A6748" s="3"/>
      <c r="B6748" s="3"/>
      <c r="C6748" s="3"/>
      <c r="D6748" s="3"/>
      <c r="E6748" s="3">
        <v>5</v>
      </c>
      <c r="F6748" s="4" t="str">
        <f>HYPERLINK("http://141.218.60.56/~jnz1568/getInfo.php?workbook=14_09.xlsx&amp;sheet=U0&amp;row=6748&amp;col=6&amp;number=3.4&amp;sourceID=14","3.4")</f>
        <v>3.4</v>
      </c>
      <c r="G6748" s="4" t="str">
        <f>HYPERLINK("http://141.218.60.56/~jnz1568/getInfo.php?workbook=14_09.xlsx&amp;sheet=U0&amp;row=6748&amp;col=7&amp;number=0.00165&amp;sourceID=14","0.00165")</f>
        <v>0.00165</v>
      </c>
    </row>
    <row r="6749" spans="1:7">
      <c r="A6749" s="3"/>
      <c r="B6749" s="3"/>
      <c r="C6749" s="3"/>
      <c r="D6749" s="3"/>
      <c r="E6749" s="3">
        <v>6</v>
      </c>
      <c r="F6749" s="4" t="str">
        <f>HYPERLINK("http://141.218.60.56/~jnz1568/getInfo.php?workbook=14_09.xlsx&amp;sheet=U0&amp;row=6749&amp;col=6&amp;number=3.5&amp;sourceID=14","3.5")</f>
        <v>3.5</v>
      </c>
      <c r="G6749" s="4" t="str">
        <f>HYPERLINK("http://141.218.60.56/~jnz1568/getInfo.php?workbook=14_09.xlsx&amp;sheet=U0&amp;row=6749&amp;col=7&amp;number=0.00164&amp;sourceID=14","0.00164")</f>
        <v>0.00164</v>
      </c>
    </row>
    <row r="6750" spans="1:7">
      <c r="A6750" s="3"/>
      <c r="B6750" s="3"/>
      <c r="C6750" s="3"/>
      <c r="D6750" s="3"/>
      <c r="E6750" s="3">
        <v>7</v>
      </c>
      <c r="F6750" s="4" t="str">
        <f>HYPERLINK("http://141.218.60.56/~jnz1568/getInfo.php?workbook=14_09.xlsx&amp;sheet=U0&amp;row=6750&amp;col=6&amp;number=3.6&amp;sourceID=14","3.6")</f>
        <v>3.6</v>
      </c>
      <c r="G6750" s="4" t="str">
        <f>HYPERLINK("http://141.218.60.56/~jnz1568/getInfo.php?workbook=14_09.xlsx&amp;sheet=U0&amp;row=6750&amp;col=7&amp;number=0.00164&amp;sourceID=14","0.00164")</f>
        <v>0.00164</v>
      </c>
    </row>
    <row r="6751" spans="1:7">
      <c r="A6751" s="3"/>
      <c r="B6751" s="3"/>
      <c r="C6751" s="3"/>
      <c r="D6751" s="3"/>
      <c r="E6751" s="3">
        <v>8</v>
      </c>
      <c r="F6751" s="4" t="str">
        <f>HYPERLINK("http://141.218.60.56/~jnz1568/getInfo.php?workbook=14_09.xlsx&amp;sheet=U0&amp;row=6751&amp;col=6&amp;number=3.7&amp;sourceID=14","3.7")</f>
        <v>3.7</v>
      </c>
      <c r="G6751" s="4" t="str">
        <f>HYPERLINK("http://141.218.60.56/~jnz1568/getInfo.php?workbook=14_09.xlsx&amp;sheet=U0&amp;row=6751&amp;col=7&amp;number=0.00164&amp;sourceID=14","0.00164")</f>
        <v>0.00164</v>
      </c>
    </row>
    <row r="6752" spans="1:7">
      <c r="A6752" s="3"/>
      <c r="B6752" s="3"/>
      <c r="C6752" s="3"/>
      <c r="D6752" s="3"/>
      <c r="E6752" s="3">
        <v>9</v>
      </c>
      <c r="F6752" s="4" t="str">
        <f>HYPERLINK("http://141.218.60.56/~jnz1568/getInfo.php?workbook=14_09.xlsx&amp;sheet=U0&amp;row=6752&amp;col=6&amp;number=3.8&amp;sourceID=14","3.8")</f>
        <v>3.8</v>
      </c>
      <c r="G6752" s="4" t="str">
        <f>HYPERLINK("http://141.218.60.56/~jnz1568/getInfo.php?workbook=14_09.xlsx&amp;sheet=U0&amp;row=6752&amp;col=7&amp;number=0.00164&amp;sourceID=14","0.00164")</f>
        <v>0.00164</v>
      </c>
    </row>
    <row r="6753" spans="1:7">
      <c r="A6753" s="3"/>
      <c r="B6753" s="3"/>
      <c r="C6753" s="3"/>
      <c r="D6753" s="3"/>
      <c r="E6753" s="3">
        <v>10</v>
      </c>
      <c r="F6753" s="4" t="str">
        <f>HYPERLINK("http://141.218.60.56/~jnz1568/getInfo.php?workbook=14_09.xlsx&amp;sheet=U0&amp;row=6753&amp;col=6&amp;number=3.9&amp;sourceID=14","3.9")</f>
        <v>3.9</v>
      </c>
      <c r="G6753" s="4" t="str">
        <f>HYPERLINK("http://141.218.60.56/~jnz1568/getInfo.php?workbook=14_09.xlsx&amp;sheet=U0&amp;row=6753&amp;col=7&amp;number=0.00163&amp;sourceID=14","0.00163")</f>
        <v>0.00163</v>
      </c>
    </row>
    <row r="6754" spans="1:7">
      <c r="A6754" s="3"/>
      <c r="B6754" s="3"/>
      <c r="C6754" s="3"/>
      <c r="D6754" s="3"/>
      <c r="E6754" s="3">
        <v>11</v>
      </c>
      <c r="F6754" s="4" t="str">
        <f>HYPERLINK("http://141.218.60.56/~jnz1568/getInfo.php?workbook=14_09.xlsx&amp;sheet=U0&amp;row=6754&amp;col=6&amp;number=4&amp;sourceID=14","4")</f>
        <v>4</v>
      </c>
      <c r="G6754" s="4" t="str">
        <f>HYPERLINK("http://141.218.60.56/~jnz1568/getInfo.php?workbook=14_09.xlsx&amp;sheet=U0&amp;row=6754&amp;col=7&amp;number=0.00163&amp;sourceID=14","0.00163")</f>
        <v>0.00163</v>
      </c>
    </row>
    <row r="6755" spans="1:7">
      <c r="A6755" s="3"/>
      <c r="B6755" s="3"/>
      <c r="C6755" s="3"/>
      <c r="D6755" s="3"/>
      <c r="E6755" s="3">
        <v>12</v>
      </c>
      <c r="F6755" s="4" t="str">
        <f>HYPERLINK("http://141.218.60.56/~jnz1568/getInfo.php?workbook=14_09.xlsx&amp;sheet=U0&amp;row=6755&amp;col=6&amp;number=4.1&amp;sourceID=14","4.1")</f>
        <v>4.1</v>
      </c>
      <c r="G6755" s="4" t="str">
        <f>HYPERLINK("http://141.218.60.56/~jnz1568/getInfo.php?workbook=14_09.xlsx&amp;sheet=U0&amp;row=6755&amp;col=7&amp;number=0.00162&amp;sourceID=14","0.00162")</f>
        <v>0.00162</v>
      </c>
    </row>
    <row r="6756" spans="1:7">
      <c r="A6756" s="3"/>
      <c r="B6756" s="3"/>
      <c r="C6756" s="3"/>
      <c r="D6756" s="3"/>
      <c r="E6756" s="3">
        <v>13</v>
      </c>
      <c r="F6756" s="4" t="str">
        <f>HYPERLINK("http://141.218.60.56/~jnz1568/getInfo.php?workbook=14_09.xlsx&amp;sheet=U0&amp;row=6756&amp;col=6&amp;number=4.2&amp;sourceID=14","4.2")</f>
        <v>4.2</v>
      </c>
      <c r="G6756" s="4" t="str">
        <f>HYPERLINK("http://141.218.60.56/~jnz1568/getInfo.php?workbook=14_09.xlsx&amp;sheet=U0&amp;row=6756&amp;col=7&amp;number=0.00162&amp;sourceID=14","0.00162")</f>
        <v>0.00162</v>
      </c>
    </row>
    <row r="6757" spans="1:7">
      <c r="A6757" s="3"/>
      <c r="B6757" s="3"/>
      <c r="C6757" s="3"/>
      <c r="D6757" s="3"/>
      <c r="E6757" s="3">
        <v>14</v>
      </c>
      <c r="F6757" s="4" t="str">
        <f>HYPERLINK("http://141.218.60.56/~jnz1568/getInfo.php?workbook=14_09.xlsx&amp;sheet=U0&amp;row=6757&amp;col=6&amp;number=4.3&amp;sourceID=14","4.3")</f>
        <v>4.3</v>
      </c>
      <c r="G6757" s="4" t="str">
        <f>HYPERLINK("http://141.218.60.56/~jnz1568/getInfo.php?workbook=14_09.xlsx&amp;sheet=U0&amp;row=6757&amp;col=7&amp;number=0.00161&amp;sourceID=14","0.00161")</f>
        <v>0.00161</v>
      </c>
    </row>
    <row r="6758" spans="1:7">
      <c r="A6758" s="3"/>
      <c r="B6758" s="3"/>
      <c r="C6758" s="3"/>
      <c r="D6758" s="3"/>
      <c r="E6758" s="3">
        <v>15</v>
      </c>
      <c r="F6758" s="4" t="str">
        <f>HYPERLINK("http://141.218.60.56/~jnz1568/getInfo.php?workbook=14_09.xlsx&amp;sheet=U0&amp;row=6758&amp;col=6&amp;number=4.4&amp;sourceID=14","4.4")</f>
        <v>4.4</v>
      </c>
      <c r="G6758" s="4" t="str">
        <f>HYPERLINK("http://141.218.60.56/~jnz1568/getInfo.php?workbook=14_09.xlsx&amp;sheet=U0&amp;row=6758&amp;col=7&amp;number=0.0016&amp;sourceID=14","0.0016")</f>
        <v>0.0016</v>
      </c>
    </row>
    <row r="6759" spans="1:7">
      <c r="A6759" s="3"/>
      <c r="B6759" s="3"/>
      <c r="C6759" s="3"/>
      <c r="D6759" s="3"/>
      <c r="E6759" s="3">
        <v>16</v>
      </c>
      <c r="F6759" s="4" t="str">
        <f>HYPERLINK("http://141.218.60.56/~jnz1568/getInfo.php?workbook=14_09.xlsx&amp;sheet=U0&amp;row=6759&amp;col=6&amp;number=4.5&amp;sourceID=14","4.5")</f>
        <v>4.5</v>
      </c>
      <c r="G6759" s="4" t="str">
        <f>HYPERLINK("http://141.218.60.56/~jnz1568/getInfo.php?workbook=14_09.xlsx&amp;sheet=U0&amp;row=6759&amp;col=7&amp;number=0.00158&amp;sourceID=14","0.00158")</f>
        <v>0.00158</v>
      </c>
    </row>
    <row r="6760" spans="1:7">
      <c r="A6760" s="3"/>
      <c r="B6760" s="3"/>
      <c r="C6760" s="3"/>
      <c r="D6760" s="3"/>
      <c r="E6760" s="3">
        <v>17</v>
      </c>
      <c r="F6760" s="4" t="str">
        <f>HYPERLINK("http://141.218.60.56/~jnz1568/getInfo.php?workbook=14_09.xlsx&amp;sheet=U0&amp;row=6760&amp;col=6&amp;number=4.6&amp;sourceID=14","4.6")</f>
        <v>4.6</v>
      </c>
      <c r="G6760" s="4" t="str">
        <f>HYPERLINK("http://141.218.60.56/~jnz1568/getInfo.php?workbook=14_09.xlsx&amp;sheet=U0&amp;row=6760&amp;col=7&amp;number=0.00157&amp;sourceID=14","0.00157")</f>
        <v>0.00157</v>
      </c>
    </row>
    <row r="6761" spans="1:7">
      <c r="A6761" s="3"/>
      <c r="B6761" s="3"/>
      <c r="C6761" s="3"/>
      <c r="D6761" s="3"/>
      <c r="E6761" s="3">
        <v>18</v>
      </c>
      <c r="F6761" s="4" t="str">
        <f>HYPERLINK("http://141.218.60.56/~jnz1568/getInfo.php?workbook=14_09.xlsx&amp;sheet=U0&amp;row=6761&amp;col=6&amp;number=4.7&amp;sourceID=14","4.7")</f>
        <v>4.7</v>
      </c>
      <c r="G6761" s="4" t="str">
        <f>HYPERLINK("http://141.218.60.56/~jnz1568/getInfo.php?workbook=14_09.xlsx&amp;sheet=U0&amp;row=6761&amp;col=7&amp;number=0.00154&amp;sourceID=14","0.00154")</f>
        <v>0.00154</v>
      </c>
    </row>
    <row r="6762" spans="1:7">
      <c r="A6762" s="3"/>
      <c r="B6762" s="3"/>
      <c r="C6762" s="3"/>
      <c r="D6762" s="3"/>
      <c r="E6762" s="3">
        <v>19</v>
      </c>
      <c r="F6762" s="4" t="str">
        <f>HYPERLINK("http://141.218.60.56/~jnz1568/getInfo.php?workbook=14_09.xlsx&amp;sheet=U0&amp;row=6762&amp;col=6&amp;number=4.8&amp;sourceID=14","4.8")</f>
        <v>4.8</v>
      </c>
      <c r="G6762" s="4" t="str">
        <f>HYPERLINK("http://141.218.60.56/~jnz1568/getInfo.php?workbook=14_09.xlsx&amp;sheet=U0&amp;row=6762&amp;col=7&amp;number=0.00152&amp;sourceID=14","0.00152")</f>
        <v>0.00152</v>
      </c>
    </row>
    <row r="6763" spans="1:7">
      <c r="A6763" s="3"/>
      <c r="B6763" s="3"/>
      <c r="C6763" s="3"/>
      <c r="D6763" s="3"/>
      <c r="E6763" s="3">
        <v>20</v>
      </c>
      <c r="F6763" s="4" t="str">
        <f>HYPERLINK("http://141.218.60.56/~jnz1568/getInfo.php?workbook=14_09.xlsx&amp;sheet=U0&amp;row=6763&amp;col=6&amp;number=4.9&amp;sourceID=14","4.9")</f>
        <v>4.9</v>
      </c>
      <c r="G6763" s="4" t="str">
        <f>HYPERLINK("http://141.218.60.56/~jnz1568/getInfo.php?workbook=14_09.xlsx&amp;sheet=U0&amp;row=6763&amp;col=7&amp;number=0.00148&amp;sourceID=14","0.00148")</f>
        <v>0.00148</v>
      </c>
    </row>
    <row r="6764" spans="1:7">
      <c r="A6764" s="3">
        <v>14</v>
      </c>
      <c r="B6764" s="3">
        <v>9</v>
      </c>
      <c r="C6764" s="3">
        <v>2</v>
      </c>
      <c r="D6764" s="3">
        <v>147</v>
      </c>
      <c r="E6764" s="3">
        <v>1</v>
      </c>
      <c r="F6764" s="4" t="str">
        <f>HYPERLINK("http://141.218.60.56/~jnz1568/getInfo.php?workbook=14_09.xlsx&amp;sheet=U0&amp;row=6764&amp;col=6&amp;number=3&amp;sourceID=14","3")</f>
        <v>3</v>
      </c>
      <c r="G6764" s="4" t="str">
        <f>HYPERLINK("http://141.218.60.56/~jnz1568/getInfo.php?workbook=14_09.xlsx&amp;sheet=U0&amp;row=6764&amp;col=7&amp;number=0.00253&amp;sourceID=14","0.00253")</f>
        <v>0.00253</v>
      </c>
    </row>
    <row r="6765" spans="1:7">
      <c r="A6765" s="3"/>
      <c r="B6765" s="3"/>
      <c r="C6765" s="3"/>
      <c r="D6765" s="3"/>
      <c r="E6765" s="3">
        <v>2</v>
      </c>
      <c r="F6765" s="4" t="str">
        <f>HYPERLINK("http://141.218.60.56/~jnz1568/getInfo.php?workbook=14_09.xlsx&amp;sheet=U0&amp;row=6765&amp;col=6&amp;number=3.1&amp;sourceID=14","3.1")</f>
        <v>3.1</v>
      </c>
      <c r="G6765" s="4" t="str">
        <f>HYPERLINK("http://141.218.60.56/~jnz1568/getInfo.php?workbook=14_09.xlsx&amp;sheet=U0&amp;row=6765&amp;col=7&amp;number=0.00253&amp;sourceID=14","0.00253")</f>
        <v>0.00253</v>
      </c>
    </row>
    <row r="6766" spans="1:7">
      <c r="A6766" s="3"/>
      <c r="B6766" s="3"/>
      <c r="C6766" s="3"/>
      <c r="D6766" s="3"/>
      <c r="E6766" s="3">
        <v>3</v>
      </c>
      <c r="F6766" s="4" t="str">
        <f>HYPERLINK("http://141.218.60.56/~jnz1568/getInfo.php?workbook=14_09.xlsx&amp;sheet=U0&amp;row=6766&amp;col=6&amp;number=3.2&amp;sourceID=14","3.2")</f>
        <v>3.2</v>
      </c>
      <c r="G6766" s="4" t="str">
        <f>HYPERLINK("http://141.218.60.56/~jnz1568/getInfo.php?workbook=14_09.xlsx&amp;sheet=U0&amp;row=6766&amp;col=7&amp;number=0.00253&amp;sourceID=14","0.00253")</f>
        <v>0.00253</v>
      </c>
    </row>
    <row r="6767" spans="1:7">
      <c r="A6767" s="3"/>
      <c r="B6767" s="3"/>
      <c r="C6767" s="3"/>
      <c r="D6767" s="3"/>
      <c r="E6767" s="3">
        <v>4</v>
      </c>
      <c r="F6767" s="4" t="str">
        <f>HYPERLINK("http://141.218.60.56/~jnz1568/getInfo.php?workbook=14_09.xlsx&amp;sheet=U0&amp;row=6767&amp;col=6&amp;number=3.3&amp;sourceID=14","3.3")</f>
        <v>3.3</v>
      </c>
      <c r="G6767" s="4" t="str">
        <f>HYPERLINK("http://141.218.60.56/~jnz1568/getInfo.php?workbook=14_09.xlsx&amp;sheet=U0&amp;row=6767&amp;col=7&amp;number=0.00253&amp;sourceID=14","0.00253")</f>
        <v>0.00253</v>
      </c>
    </row>
    <row r="6768" spans="1:7">
      <c r="A6768" s="3"/>
      <c r="B6768" s="3"/>
      <c r="C6768" s="3"/>
      <c r="D6768" s="3"/>
      <c r="E6768" s="3">
        <v>5</v>
      </c>
      <c r="F6768" s="4" t="str">
        <f>HYPERLINK("http://141.218.60.56/~jnz1568/getInfo.php?workbook=14_09.xlsx&amp;sheet=U0&amp;row=6768&amp;col=6&amp;number=3.4&amp;sourceID=14","3.4")</f>
        <v>3.4</v>
      </c>
      <c r="G6768" s="4" t="str">
        <f>HYPERLINK("http://141.218.60.56/~jnz1568/getInfo.php?workbook=14_09.xlsx&amp;sheet=U0&amp;row=6768&amp;col=7&amp;number=0.00253&amp;sourceID=14","0.00253")</f>
        <v>0.00253</v>
      </c>
    </row>
    <row r="6769" spans="1:7">
      <c r="A6769" s="3"/>
      <c r="B6769" s="3"/>
      <c r="C6769" s="3"/>
      <c r="D6769" s="3"/>
      <c r="E6769" s="3">
        <v>6</v>
      </c>
      <c r="F6769" s="4" t="str">
        <f>HYPERLINK("http://141.218.60.56/~jnz1568/getInfo.php?workbook=14_09.xlsx&amp;sheet=U0&amp;row=6769&amp;col=6&amp;number=3.5&amp;sourceID=14","3.5")</f>
        <v>3.5</v>
      </c>
      <c r="G6769" s="4" t="str">
        <f>HYPERLINK("http://141.218.60.56/~jnz1568/getInfo.php?workbook=14_09.xlsx&amp;sheet=U0&amp;row=6769&amp;col=7&amp;number=0.00253&amp;sourceID=14","0.00253")</f>
        <v>0.00253</v>
      </c>
    </row>
    <row r="6770" spans="1:7">
      <c r="A6770" s="3"/>
      <c r="B6770" s="3"/>
      <c r="C6770" s="3"/>
      <c r="D6770" s="3"/>
      <c r="E6770" s="3">
        <v>7</v>
      </c>
      <c r="F6770" s="4" t="str">
        <f>HYPERLINK("http://141.218.60.56/~jnz1568/getInfo.php?workbook=14_09.xlsx&amp;sheet=U0&amp;row=6770&amp;col=6&amp;number=3.6&amp;sourceID=14","3.6")</f>
        <v>3.6</v>
      </c>
      <c r="G6770" s="4" t="str">
        <f>HYPERLINK("http://141.218.60.56/~jnz1568/getInfo.php?workbook=14_09.xlsx&amp;sheet=U0&amp;row=6770&amp;col=7&amp;number=0.00253&amp;sourceID=14","0.00253")</f>
        <v>0.00253</v>
      </c>
    </row>
    <row r="6771" spans="1:7">
      <c r="A6771" s="3"/>
      <c r="B6771" s="3"/>
      <c r="C6771" s="3"/>
      <c r="D6771" s="3"/>
      <c r="E6771" s="3">
        <v>8</v>
      </c>
      <c r="F6771" s="4" t="str">
        <f>HYPERLINK("http://141.218.60.56/~jnz1568/getInfo.php?workbook=14_09.xlsx&amp;sheet=U0&amp;row=6771&amp;col=6&amp;number=3.7&amp;sourceID=14","3.7")</f>
        <v>3.7</v>
      </c>
      <c r="G6771" s="4" t="str">
        <f>HYPERLINK("http://141.218.60.56/~jnz1568/getInfo.php?workbook=14_09.xlsx&amp;sheet=U0&amp;row=6771&amp;col=7&amp;number=0.00253&amp;sourceID=14","0.00253")</f>
        <v>0.00253</v>
      </c>
    </row>
    <row r="6772" spans="1:7">
      <c r="A6772" s="3"/>
      <c r="B6772" s="3"/>
      <c r="C6772" s="3"/>
      <c r="D6772" s="3"/>
      <c r="E6772" s="3">
        <v>9</v>
      </c>
      <c r="F6772" s="4" t="str">
        <f>HYPERLINK("http://141.218.60.56/~jnz1568/getInfo.php?workbook=14_09.xlsx&amp;sheet=U0&amp;row=6772&amp;col=6&amp;number=3.8&amp;sourceID=14","3.8")</f>
        <v>3.8</v>
      </c>
      <c r="G6772" s="4" t="str">
        <f>HYPERLINK("http://141.218.60.56/~jnz1568/getInfo.php?workbook=14_09.xlsx&amp;sheet=U0&amp;row=6772&amp;col=7&amp;number=0.00252&amp;sourceID=14","0.00252")</f>
        <v>0.00252</v>
      </c>
    </row>
    <row r="6773" spans="1:7">
      <c r="A6773" s="3"/>
      <c r="B6773" s="3"/>
      <c r="C6773" s="3"/>
      <c r="D6773" s="3"/>
      <c r="E6773" s="3">
        <v>10</v>
      </c>
      <c r="F6773" s="4" t="str">
        <f>HYPERLINK("http://141.218.60.56/~jnz1568/getInfo.php?workbook=14_09.xlsx&amp;sheet=U0&amp;row=6773&amp;col=6&amp;number=3.9&amp;sourceID=14","3.9")</f>
        <v>3.9</v>
      </c>
      <c r="G6773" s="4" t="str">
        <f>HYPERLINK("http://141.218.60.56/~jnz1568/getInfo.php?workbook=14_09.xlsx&amp;sheet=U0&amp;row=6773&amp;col=7&amp;number=0.00252&amp;sourceID=14","0.00252")</f>
        <v>0.00252</v>
      </c>
    </row>
    <row r="6774" spans="1:7">
      <c r="A6774" s="3"/>
      <c r="B6774" s="3"/>
      <c r="C6774" s="3"/>
      <c r="D6774" s="3"/>
      <c r="E6774" s="3">
        <v>11</v>
      </c>
      <c r="F6774" s="4" t="str">
        <f>HYPERLINK("http://141.218.60.56/~jnz1568/getInfo.php?workbook=14_09.xlsx&amp;sheet=U0&amp;row=6774&amp;col=6&amp;number=4&amp;sourceID=14","4")</f>
        <v>4</v>
      </c>
      <c r="G6774" s="4" t="str">
        <f>HYPERLINK("http://141.218.60.56/~jnz1568/getInfo.php?workbook=14_09.xlsx&amp;sheet=U0&amp;row=6774&amp;col=7&amp;number=0.00252&amp;sourceID=14","0.00252")</f>
        <v>0.00252</v>
      </c>
    </row>
    <row r="6775" spans="1:7">
      <c r="A6775" s="3"/>
      <c r="B6775" s="3"/>
      <c r="C6775" s="3"/>
      <c r="D6775" s="3"/>
      <c r="E6775" s="3">
        <v>12</v>
      </c>
      <c r="F6775" s="4" t="str">
        <f>HYPERLINK("http://141.218.60.56/~jnz1568/getInfo.php?workbook=14_09.xlsx&amp;sheet=U0&amp;row=6775&amp;col=6&amp;number=4.1&amp;sourceID=14","4.1")</f>
        <v>4.1</v>
      </c>
      <c r="G6775" s="4" t="str">
        <f>HYPERLINK("http://141.218.60.56/~jnz1568/getInfo.php?workbook=14_09.xlsx&amp;sheet=U0&amp;row=6775&amp;col=7&amp;number=0.00251&amp;sourceID=14","0.00251")</f>
        <v>0.00251</v>
      </c>
    </row>
    <row r="6776" spans="1:7">
      <c r="A6776" s="3"/>
      <c r="B6776" s="3"/>
      <c r="C6776" s="3"/>
      <c r="D6776" s="3"/>
      <c r="E6776" s="3">
        <v>13</v>
      </c>
      <c r="F6776" s="4" t="str">
        <f>HYPERLINK("http://141.218.60.56/~jnz1568/getInfo.php?workbook=14_09.xlsx&amp;sheet=U0&amp;row=6776&amp;col=6&amp;number=4.2&amp;sourceID=14","4.2")</f>
        <v>4.2</v>
      </c>
      <c r="G6776" s="4" t="str">
        <f>HYPERLINK("http://141.218.60.56/~jnz1568/getInfo.php?workbook=14_09.xlsx&amp;sheet=U0&amp;row=6776&amp;col=7&amp;number=0.0025&amp;sourceID=14","0.0025")</f>
        <v>0.0025</v>
      </c>
    </row>
    <row r="6777" spans="1:7">
      <c r="A6777" s="3"/>
      <c r="B6777" s="3"/>
      <c r="C6777" s="3"/>
      <c r="D6777" s="3"/>
      <c r="E6777" s="3">
        <v>14</v>
      </c>
      <c r="F6777" s="4" t="str">
        <f>HYPERLINK("http://141.218.60.56/~jnz1568/getInfo.php?workbook=14_09.xlsx&amp;sheet=U0&amp;row=6777&amp;col=6&amp;number=4.3&amp;sourceID=14","4.3")</f>
        <v>4.3</v>
      </c>
      <c r="G6777" s="4" t="str">
        <f>HYPERLINK("http://141.218.60.56/~jnz1568/getInfo.php?workbook=14_09.xlsx&amp;sheet=U0&amp;row=6777&amp;col=7&amp;number=0.00249&amp;sourceID=14","0.00249")</f>
        <v>0.00249</v>
      </c>
    </row>
    <row r="6778" spans="1:7">
      <c r="A6778" s="3"/>
      <c r="B6778" s="3"/>
      <c r="C6778" s="3"/>
      <c r="D6778" s="3"/>
      <c r="E6778" s="3">
        <v>15</v>
      </c>
      <c r="F6778" s="4" t="str">
        <f>HYPERLINK("http://141.218.60.56/~jnz1568/getInfo.php?workbook=14_09.xlsx&amp;sheet=U0&amp;row=6778&amp;col=6&amp;number=4.4&amp;sourceID=14","4.4")</f>
        <v>4.4</v>
      </c>
      <c r="G6778" s="4" t="str">
        <f>HYPERLINK("http://141.218.60.56/~jnz1568/getInfo.php?workbook=14_09.xlsx&amp;sheet=U0&amp;row=6778&amp;col=7&amp;number=0.00248&amp;sourceID=14","0.00248")</f>
        <v>0.00248</v>
      </c>
    </row>
    <row r="6779" spans="1:7">
      <c r="A6779" s="3"/>
      <c r="B6779" s="3"/>
      <c r="C6779" s="3"/>
      <c r="D6779" s="3"/>
      <c r="E6779" s="3">
        <v>16</v>
      </c>
      <c r="F6779" s="4" t="str">
        <f>HYPERLINK("http://141.218.60.56/~jnz1568/getInfo.php?workbook=14_09.xlsx&amp;sheet=U0&amp;row=6779&amp;col=6&amp;number=4.5&amp;sourceID=14","4.5")</f>
        <v>4.5</v>
      </c>
      <c r="G6779" s="4" t="str">
        <f>HYPERLINK("http://141.218.60.56/~jnz1568/getInfo.php?workbook=14_09.xlsx&amp;sheet=U0&amp;row=6779&amp;col=7&amp;number=0.00247&amp;sourceID=14","0.00247")</f>
        <v>0.00247</v>
      </c>
    </row>
    <row r="6780" spans="1:7">
      <c r="A6780" s="3"/>
      <c r="B6780" s="3"/>
      <c r="C6780" s="3"/>
      <c r="D6780" s="3"/>
      <c r="E6780" s="3">
        <v>17</v>
      </c>
      <c r="F6780" s="4" t="str">
        <f>HYPERLINK("http://141.218.60.56/~jnz1568/getInfo.php?workbook=14_09.xlsx&amp;sheet=U0&amp;row=6780&amp;col=6&amp;number=4.6&amp;sourceID=14","4.6")</f>
        <v>4.6</v>
      </c>
      <c r="G6780" s="4" t="str">
        <f>HYPERLINK("http://141.218.60.56/~jnz1568/getInfo.php?workbook=14_09.xlsx&amp;sheet=U0&amp;row=6780&amp;col=7&amp;number=0.00245&amp;sourceID=14","0.00245")</f>
        <v>0.00245</v>
      </c>
    </row>
    <row r="6781" spans="1:7">
      <c r="A6781" s="3"/>
      <c r="B6781" s="3"/>
      <c r="C6781" s="3"/>
      <c r="D6781" s="3"/>
      <c r="E6781" s="3">
        <v>18</v>
      </c>
      <c r="F6781" s="4" t="str">
        <f>HYPERLINK("http://141.218.60.56/~jnz1568/getInfo.php?workbook=14_09.xlsx&amp;sheet=U0&amp;row=6781&amp;col=6&amp;number=4.7&amp;sourceID=14","4.7")</f>
        <v>4.7</v>
      </c>
      <c r="G6781" s="4" t="str">
        <f>HYPERLINK("http://141.218.60.56/~jnz1568/getInfo.php?workbook=14_09.xlsx&amp;sheet=U0&amp;row=6781&amp;col=7&amp;number=0.00243&amp;sourceID=14","0.00243")</f>
        <v>0.00243</v>
      </c>
    </row>
    <row r="6782" spans="1:7">
      <c r="A6782" s="3"/>
      <c r="B6782" s="3"/>
      <c r="C6782" s="3"/>
      <c r="D6782" s="3"/>
      <c r="E6782" s="3">
        <v>19</v>
      </c>
      <c r="F6782" s="4" t="str">
        <f>HYPERLINK("http://141.218.60.56/~jnz1568/getInfo.php?workbook=14_09.xlsx&amp;sheet=U0&amp;row=6782&amp;col=6&amp;number=4.8&amp;sourceID=14","4.8")</f>
        <v>4.8</v>
      </c>
      <c r="G6782" s="4" t="str">
        <f>HYPERLINK("http://141.218.60.56/~jnz1568/getInfo.php?workbook=14_09.xlsx&amp;sheet=U0&amp;row=6782&amp;col=7&amp;number=0.00241&amp;sourceID=14","0.00241")</f>
        <v>0.00241</v>
      </c>
    </row>
    <row r="6783" spans="1:7">
      <c r="A6783" s="3"/>
      <c r="B6783" s="3"/>
      <c r="C6783" s="3"/>
      <c r="D6783" s="3"/>
      <c r="E6783" s="3">
        <v>20</v>
      </c>
      <c r="F6783" s="4" t="str">
        <f>HYPERLINK("http://141.218.60.56/~jnz1568/getInfo.php?workbook=14_09.xlsx&amp;sheet=U0&amp;row=6783&amp;col=6&amp;number=4.9&amp;sourceID=14","4.9")</f>
        <v>4.9</v>
      </c>
      <c r="G6783" s="4" t="str">
        <f>HYPERLINK("http://141.218.60.56/~jnz1568/getInfo.php?workbook=14_09.xlsx&amp;sheet=U0&amp;row=6783&amp;col=7&amp;number=0.00238&amp;sourceID=14","0.00238")</f>
        <v>0.00238</v>
      </c>
    </row>
    <row r="6784" spans="1:7">
      <c r="A6784" s="3">
        <v>14</v>
      </c>
      <c r="B6784" s="3">
        <v>9</v>
      </c>
      <c r="C6784" s="3">
        <v>2</v>
      </c>
      <c r="D6784" s="3">
        <v>148</v>
      </c>
      <c r="E6784" s="3">
        <v>1</v>
      </c>
      <c r="F6784" s="4" t="str">
        <f>HYPERLINK("http://141.218.60.56/~jnz1568/getInfo.php?workbook=14_09.xlsx&amp;sheet=U0&amp;row=6784&amp;col=6&amp;number=3&amp;sourceID=14","3")</f>
        <v>3</v>
      </c>
      <c r="G6784" s="4" t="str">
        <f>HYPERLINK("http://141.218.60.56/~jnz1568/getInfo.php?workbook=14_09.xlsx&amp;sheet=U0&amp;row=6784&amp;col=7&amp;number=0.00986&amp;sourceID=14","0.00986")</f>
        <v>0.00986</v>
      </c>
    </row>
    <row r="6785" spans="1:7">
      <c r="A6785" s="3"/>
      <c r="B6785" s="3"/>
      <c r="C6785" s="3"/>
      <c r="D6785" s="3"/>
      <c r="E6785" s="3">
        <v>2</v>
      </c>
      <c r="F6785" s="4" t="str">
        <f>HYPERLINK("http://141.218.60.56/~jnz1568/getInfo.php?workbook=14_09.xlsx&amp;sheet=U0&amp;row=6785&amp;col=6&amp;number=3.1&amp;sourceID=14","3.1")</f>
        <v>3.1</v>
      </c>
      <c r="G6785" s="4" t="str">
        <f>HYPERLINK("http://141.218.60.56/~jnz1568/getInfo.php?workbook=14_09.xlsx&amp;sheet=U0&amp;row=6785&amp;col=7&amp;number=0.00983&amp;sourceID=14","0.00983")</f>
        <v>0.00983</v>
      </c>
    </row>
    <row r="6786" spans="1:7">
      <c r="A6786" s="3"/>
      <c r="B6786" s="3"/>
      <c r="C6786" s="3"/>
      <c r="D6786" s="3"/>
      <c r="E6786" s="3">
        <v>3</v>
      </c>
      <c r="F6786" s="4" t="str">
        <f>HYPERLINK("http://141.218.60.56/~jnz1568/getInfo.php?workbook=14_09.xlsx&amp;sheet=U0&amp;row=6786&amp;col=6&amp;number=3.2&amp;sourceID=14","3.2")</f>
        <v>3.2</v>
      </c>
      <c r="G6786" s="4" t="str">
        <f>HYPERLINK("http://141.218.60.56/~jnz1568/getInfo.php?workbook=14_09.xlsx&amp;sheet=U0&amp;row=6786&amp;col=7&amp;number=0.0098&amp;sourceID=14","0.0098")</f>
        <v>0.0098</v>
      </c>
    </row>
    <row r="6787" spans="1:7">
      <c r="A6787" s="3"/>
      <c r="B6787" s="3"/>
      <c r="C6787" s="3"/>
      <c r="D6787" s="3"/>
      <c r="E6787" s="3">
        <v>4</v>
      </c>
      <c r="F6787" s="4" t="str">
        <f>HYPERLINK("http://141.218.60.56/~jnz1568/getInfo.php?workbook=14_09.xlsx&amp;sheet=U0&amp;row=6787&amp;col=6&amp;number=3.3&amp;sourceID=14","3.3")</f>
        <v>3.3</v>
      </c>
      <c r="G6787" s="4" t="str">
        <f>HYPERLINK("http://141.218.60.56/~jnz1568/getInfo.php?workbook=14_09.xlsx&amp;sheet=U0&amp;row=6787&amp;col=7&amp;number=0.00976&amp;sourceID=14","0.00976")</f>
        <v>0.00976</v>
      </c>
    </row>
    <row r="6788" spans="1:7">
      <c r="A6788" s="3"/>
      <c r="B6788" s="3"/>
      <c r="C6788" s="3"/>
      <c r="D6788" s="3"/>
      <c r="E6788" s="3">
        <v>5</v>
      </c>
      <c r="F6788" s="4" t="str">
        <f>HYPERLINK("http://141.218.60.56/~jnz1568/getInfo.php?workbook=14_09.xlsx&amp;sheet=U0&amp;row=6788&amp;col=6&amp;number=3.4&amp;sourceID=14","3.4")</f>
        <v>3.4</v>
      </c>
      <c r="G6788" s="4" t="str">
        <f>HYPERLINK("http://141.218.60.56/~jnz1568/getInfo.php?workbook=14_09.xlsx&amp;sheet=U0&amp;row=6788&amp;col=7&amp;number=0.00971&amp;sourceID=14","0.00971")</f>
        <v>0.00971</v>
      </c>
    </row>
    <row r="6789" spans="1:7">
      <c r="A6789" s="3"/>
      <c r="B6789" s="3"/>
      <c r="C6789" s="3"/>
      <c r="D6789" s="3"/>
      <c r="E6789" s="3">
        <v>6</v>
      </c>
      <c r="F6789" s="4" t="str">
        <f>HYPERLINK("http://141.218.60.56/~jnz1568/getInfo.php?workbook=14_09.xlsx&amp;sheet=U0&amp;row=6789&amp;col=6&amp;number=3.5&amp;sourceID=14","3.5")</f>
        <v>3.5</v>
      </c>
      <c r="G6789" s="4" t="str">
        <f>HYPERLINK("http://141.218.60.56/~jnz1568/getInfo.php?workbook=14_09.xlsx&amp;sheet=U0&amp;row=6789&amp;col=7&amp;number=0.00965&amp;sourceID=14","0.00965")</f>
        <v>0.00965</v>
      </c>
    </row>
    <row r="6790" spans="1:7">
      <c r="A6790" s="3"/>
      <c r="B6790" s="3"/>
      <c r="C6790" s="3"/>
      <c r="D6790" s="3"/>
      <c r="E6790" s="3">
        <v>7</v>
      </c>
      <c r="F6790" s="4" t="str">
        <f>HYPERLINK("http://141.218.60.56/~jnz1568/getInfo.php?workbook=14_09.xlsx&amp;sheet=U0&amp;row=6790&amp;col=6&amp;number=3.6&amp;sourceID=14","3.6")</f>
        <v>3.6</v>
      </c>
      <c r="G6790" s="4" t="str">
        <f>HYPERLINK("http://141.218.60.56/~jnz1568/getInfo.php?workbook=14_09.xlsx&amp;sheet=U0&amp;row=6790&amp;col=7&amp;number=0.00957&amp;sourceID=14","0.00957")</f>
        <v>0.00957</v>
      </c>
    </row>
    <row r="6791" spans="1:7">
      <c r="A6791" s="3"/>
      <c r="B6791" s="3"/>
      <c r="C6791" s="3"/>
      <c r="D6791" s="3"/>
      <c r="E6791" s="3">
        <v>8</v>
      </c>
      <c r="F6791" s="4" t="str">
        <f>HYPERLINK("http://141.218.60.56/~jnz1568/getInfo.php?workbook=14_09.xlsx&amp;sheet=U0&amp;row=6791&amp;col=6&amp;number=3.7&amp;sourceID=14","3.7")</f>
        <v>3.7</v>
      </c>
      <c r="G6791" s="4" t="str">
        <f>HYPERLINK("http://141.218.60.56/~jnz1568/getInfo.php?workbook=14_09.xlsx&amp;sheet=U0&amp;row=6791&amp;col=7&amp;number=0.00947&amp;sourceID=14","0.00947")</f>
        <v>0.00947</v>
      </c>
    </row>
    <row r="6792" spans="1:7">
      <c r="A6792" s="3"/>
      <c r="B6792" s="3"/>
      <c r="C6792" s="3"/>
      <c r="D6792" s="3"/>
      <c r="E6792" s="3">
        <v>9</v>
      </c>
      <c r="F6792" s="4" t="str">
        <f>HYPERLINK("http://141.218.60.56/~jnz1568/getInfo.php?workbook=14_09.xlsx&amp;sheet=U0&amp;row=6792&amp;col=6&amp;number=3.8&amp;sourceID=14","3.8")</f>
        <v>3.8</v>
      </c>
      <c r="G6792" s="4" t="str">
        <f>HYPERLINK("http://141.218.60.56/~jnz1568/getInfo.php?workbook=14_09.xlsx&amp;sheet=U0&amp;row=6792&amp;col=7&amp;number=0.00935&amp;sourceID=14","0.00935")</f>
        <v>0.00935</v>
      </c>
    </row>
    <row r="6793" spans="1:7">
      <c r="A6793" s="3"/>
      <c r="B6793" s="3"/>
      <c r="C6793" s="3"/>
      <c r="D6793" s="3"/>
      <c r="E6793" s="3">
        <v>10</v>
      </c>
      <c r="F6793" s="4" t="str">
        <f>HYPERLINK("http://141.218.60.56/~jnz1568/getInfo.php?workbook=14_09.xlsx&amp;sheet=U0&amp;row=6793&amp;col=6&amp;number=3.9&amp;sourceID=14","3.9")</f>
        <v>3.9</v>
      </c>
      <c r="G6793" s="4" t="str">
        <f>HYPERLINK("http://141.218.60.56/~jnz1568/getInfo.php?workbook=14_09.xlsx&amp;sheet=U0&amp;row=6793&amp;col=7&amp;number=0.00921&amp;sourceID=14","0.00921")</f>
        <v>0.00921</v>
      </c>
    </row>
    <row r="6794" spans="1:7">
      <c r="A6794" s="3"/>
      <c r="B6794" s="3"/>
      <c r="C6794" s="3"/>
      <c r="D6794" s="3"/>
      <c r="E6794" s="3">
        <v>11</v>
      </c>
      <c r="F6794" s="4" t="str">
        <f>HYPERLINK("http://141.218.60.56/~jnz1568/getInfo.php?workbook=14_09.xlsx&amp;sheet=U0&amp;row=6794&amp;col=6&amp;number=4&amp;sourceID=14","4")</f>
        <v>4</v>
      </c>
      <c r="G6794" s="4" t="str">
        <f>HYPERLINK("http://141.218.60.56/~jnz1568/getInfo.php?workbook=14_09.xlsx&amp;sheet=U0&amp;row=6794&amp;col=7&amp;number=0.00903&amp;sourceID=14","0.00903")</f>
        <v>0.00903</v>
      </c>
    </row>
    <row r="6795" spans="1:7">
      <c r="A6795" s="3"/>
      <c r="B6795" s="3"/>
      <c r="C6795" s="3"/>
      <c r="D6795" s="3"/>
      <c r="E6795" s="3">
        <v>12</v>
      </c>
      <c r="F6795" s="4" t="str">
        <f>HYPERLINK("http://141.218.60.56/~jnz1568/getInfo.php?workbook=14_09.xlsx&amp;sheet=U0&amp;row=6795&amp;col=6&amp;number=4.1&amp;sourceID=14","4.1")</f>
        <v>4.1</v>
      </c>
      <c r="G6795" s="4" t="str">
        <f>HYPERLINK("http://141.218.60.56/~jnz1568/getInfo.php?workbook=14_09.xlsx&amp;sheet=U0&amp;row=6795&amp;col=7&amp;number=0.00881&amp;sourceID=14","0.00881")</f>
        <v>0.00881</v>
      </c>
    </row>
    <row r="6796" spans="1:7">
      <c r="A6796" s="3"/>
      <c r="B6796" s="3"/>
      <c r="C6796" s="3"/>
      <c r="D6796" s="3"/>
      <c r="E6796" s="3">
        <v>13</v>
      </c>
      <c r="F6796" s="4" t="str">
        <f>HYPERLINK("http://141.218.60.56/~jnz1568/getInfo.php?workbook=14_09.xlsx&amp;sheet=U0&amp;row=6796&amp;col=6&amp;number=4.2&amp;sourceID=14","4.2")</f>
        <v>4.2</v>
      </c>
      <c r="G6796" s="4" t="str">
        <f>HYPERLINK("http://141.218.60.56/~jnz1568/getInfo.php?workbook=14_09.xlsx&amp;sheet=U0&amp;row=6796&amp;col=7&amp;number=0.00856&amp;sourceID=14","0.00856")</f>
        <v>0.00856</v>
      </c>
    </row>
    <row r="6797" spans="1:7">
      <c r="A6797" s="3"/>
      <c r="B6797" s="3"/>
      <c r="C6797" s="3"/>
      <c r="D6797" s="3"/>
      <c r="E6797" s="3">
        <v>14</v>
      </c>
      <c r="F6797" s="4" t="str">
        <f>HYPERLINK("http://141.218.60.56/~jnz1568/getInfo.php?workbook=14_09.xlsx&amp;sheet=U0&amp;row=6797&amp;col=6&amp;number=4.3&amp;sourceID=14","4.3")</f>
        <v>4.3</v>
      </c>
      <c r="G6797" s="4" t="str">
        <f>HYPERLINK("http://141.218.60.56/~jnz1568/getInfo.php?workbook=14_09.xlsx&amp;sheet=U0&amp;row=6797&amp;col=7&amp;number=0.00826&amp;sourceID=14","0.00826")</f>
        <v>0.00826</v>
      </c>
    </row>
    <row r="6798" spans="1:7">
      <c r="A6798" s="3"/>
      <c r="B6798" s="3"/>
      <c r="C6798" s="3"/>
      <c r="D6798" s="3"/>
      <c r="E6798" s="3">
        <v>15</v>
      </c>
      <c r="F6798" s="4" t="str">
        <f>HYPERLINK("http://141.218.60.56/~jnz1568/getInfo.php?workbook=14_09.xlsx&amp;sheet=U0&amp;row=6798&amp;col=6&amp;number=4.4&amp;sourceID=14","4.4")</f>
        <v>4.4</v>
      </c>
      <c r="G6798" s="4" t="str">
        <f>HYPERLINK("http://141.218.60.56/~jnz1568/getInfo.php?workbook=14_09.xlsx&amp;sheet=U0&amp;row=6798&amp;col=7&amp;number=0.00794&amp;sourceID=14","0.00794")</f>
        <v>0.00794</v>
      </c>
    </row>
    <row r="6799" spans="1:7">
      <c r="A6799" s="3"/>
      <c r="B6799" s="3"/>
      <c r="C6799" s="3"/>
      <c r="D6799" s="3"/>
      <c r="E6799" s="3">
        <v>16</v>
      </c>
      <c r="F6799" s="4" t="str">
        <f>HYPERLINK("http://141.218.60.56/~jnz1568/getInfo.php?workbook=14_09.xlsx&amp;sheet=U0&amp;row=6799&amp;col=6&amp;number=4.5&amp;sourceID=14","4.5")</f>
        <v>4.5</v>
      </c>
      <c r="G6799" s="4" t="str">
        <f>HYPERLINK("http://141.218.60.56/~jnz1568/getInfo.php?workbook=14_09.xlsx&amp;sheet=U0&amp;row=6799&amp;col=7&amp;number=0.00761&amp;sourceID=14","0.00761")</f>
        <v>0.00761</v>
      </c>
    </row>
    <row r="6800" spans="1:7">
      <c r="A6800" s="3"/>
      <c r="B6800" s="3"/>
      <c r="C6800" s="3"/>
      <c r="D6800" s="3"/>
      <c r="E6800" s="3">
        <v>17</v>
      </c>
      <c r="F6800" s="4" t="str">
        <f>HYPERLINK("http://141.218.60.56/~jnz1568/getInfo.php?workbook=14_09.xlsx&amp;sheet=U0&amp;row=6800&amp;col=6&amp;number=4.6&amp;sourceID=14","4.6")</f>
        <v>4.6</v>
      </c>
      <c r="G6800" s="4" t="str">
        <f>HYPERLINK("http://141.218.60.56/~jnz1568/getInfo.php?workbook=14_09.xlsx&amp;sheet=U0&amp;row=6800&amp;col=7&amp;number=0.00729&amp;sourceID=14","0.00729")</f>
        <v>0.00729</v>
      </c>
    </row>
    <row r="6801" spans="1:7">
      <c r="A6801" s="3"/>
      <c r="B6801" s="3"/>
      <c r="C6801" s="3"/>
      <c r="D6801" s="3"/>
      <c r="E6801" s="3">
        <v>18</v>
      </c>
      <c r="F6801" s="4" t="str">
        <f>HYPERLINK("http://141.218.60.56/~jnz1568/getInfo.php?workbook=14_09.xlsx&amp;sheet=U0&amp;row=6801&amp;col=6&amp;number=4.7&amp;sourceID=14","4.7")</f>
        <v>4.7</v>
      </c>
      <c r="G6801" s="4" t="str">
        <f>HYPERLINK("http://141.218.60.56/~jnz1568/getInfo.php?workbook=14_09.xlsx&amp;sheet=U0&amp;row=6801&amp;col=7&amp;number=0.007&amp;sourceID=14","0.007")</f>
        <v>0.007</v>
      </c>
    </row>
    <row r="6802" spans="1:7">
      <c r="A6802" s="3"/>
      <c r="B6802" s="3"/>
      <c r="C6802" s="3"/>
      <c r="D6802" s="3"/>
      <c r="E6802" s="3">
        <v>19</v>
      </c>
      <c r="F6802" s="4" t="str">
        <f>HYPERLINK("http://141.218.60.56/~jnz1568/getInfo.php?workbook=14_09.xlsx&amp;sheet=U0&amp;row=6802&amp;col=6&amp;number=4.8&amp;sourceID=14","4.8")</f>
        <v>4.8</v>
      </c>
      <c r="G6802" s="4" t="str">
        <f>HYPERLINK("http://141.218.60.56/~jnz1568/getInfo.php?workbook=14_09.xlsx&amp;sheet=U0&amp;row=6802&amp;col=7&amp;number=0.00673&amp;sourceID=14","0.00673")</f>
        <v>0.00673</v>
      </c>
    </row>
    <row r="6803" spans="1:7">
      <c r="A6803" s="3"/>
      <c r="B6803" s="3"/>
      <c r="C6803" s="3"/>
      <c r="D6803" s="3"/>
      <c r="E6803" s="3">
        <v>20</v>
      </c>
      <c r="F6803" s="4" t="str">
        <f>HYPERLINK("http://141.218.60.56/~jnz1568/getInfo.php?workbook=14_09.xlsx&amp;sheet=U0&amp;row=6803&amp;col=6&amp;number=4.9&amp;sourceID=14","4.9")</f>
        <v>4.9</v>
      </c>
      <c r="G6803" s="4" t="str">
        <f>HYPERLINK("http://141.218.60.56/~jnz1568/getInfo.php?workbook=14_09.xlsx&amp;sheet=U0&amp;row=6803&amp;col=7&amp;number=0.00642&amp;sourceID=14","0.00642")</f>
        <v>0.00642</v>
      </c>
    </row>
    <row r="6804" spans="1:7">
      <c r="A6804" s="3">
        <v>14</v>
      </c>
      <c r="B6804" s="3">
        <v>9</v>
      </c>
      <c r="C6804" s="3">
        <v>2</v>
      </c>
      <c r="D6804" s="3">
        <v>149</v>
      </c>
      <c r="E6804" s="3">
        <v>1</v>
      </c>
      <c r="F6804" s="4" t="str">
        <f>HYPERLINK("http://141.218.60.56/~jnz1568/getInfo.php?workbook=14_09.xlsx&amp;sheet=U0&amp;row=6804&amp;col=6&amp;number=3&amp;sourceID=14","3")</f>
        <v>3</v>
      </c>
      <c r="G6804" s="4" t="str">
        <f>HYPERLINK("http://141.218.60.56/~jnz1568/getInfo.php?workbook=14_09.xlsx&amp;sheet=U0&amp;row=6804&amp;col=7&amp;number=0.00108&amp;sourceID=14","0.00108")</f>
        <v>0.00108</v>
      </c>
    </row>
    <row r="6805" spans="1:7">
      <c r="A6805" s="3"/>
      <c r="B6805" s="3"/>
      <c r="C6805" s="3"/>
      <c r="D6805" s="3"/>
      <c r="E6805" s="3">
        <v>2</v>
      </c>
      <c r="F6805" s="4" t="str">
        <f>HYPERLINK("http://141.218.60.56/~jnz1568/getInfo.php?workbook=14_09.xlsx&amp;sheet=U0&amp;row=6805&amp;col=6&amp;number=3.1&amp;sourceID=14","3.1")</f>
        <v>3.1</v>
      </c>
      <c r="G6805" s="4" t="str">
        <f>HYPERLINK("http://141.218.60.56/~jnz1568/getInfo.php?workbook=14_09.xlsx&amp;sheet=U0&amp;row=6805&amp;col=7&amp;number=0.00108&amp;sourceID=14","0.00108")</f>
        <v>0.00108</v>
      </c>
    </row>
    <row r="6806" spans="1:7">
      <c r="A6806" s="3"/>
      <c r="B6806" s="3"/>
      <c r="C6806" s="3"/>
      <c r="D6806" s="3"/>
      <c r="E6806" s="3">
        <v>3</v>
      </c>
      <c r="F6806" s="4" t="str">
        <f>HYPERLINK("http://141.218.60.56/~jnz1568/getInfo.php?workbook=14_09.xlsx&amp;sheet=U0&amp;row=6806&amp;col=6&amp;number=3.2&amp;sourceID=14","3.2")</f>
        <v>3.2</v>
      </c>
      <c r="G6806" s="4" t="str">
        <f>HYPERLINK("http://141.218.60.56/~jnz1568/getInfo.php?workbook=14_09.xlsx&amp;sheet=U0&amp;row=6806&amp;col=7&amp;number=0.00108&amp;sourceID=14","0.00108")</f>
        <v>0.00108</v>
      </c>
    </row>
    <row r="6807" spans="1:7">
      <c r="A6807" s="3"/>
      <c r="B6807" s="3"/>
      <c r="C6807" s="3"/>
      <c r="D6807" s="3"/>
      <c r="E6807" s="3">
        <v>4</v>
      </c>
      <c r="F6807" s="4" t="str">
        <f>HYPERLINK("http://141.218.60.56/~jnz1568/getInfo.php?workbook=14_09.xlsx&amp;sheet=U0&amp;row=6807&amp;col=6&amp;number=3.3&amp;sourceID=14","3.3")</f>
        <v>3.3</v>
      </c>
      <c r="G6807" s="4" t="str">
        <f>HYPERLINK("http://141.218.60.56/~jnz1568/getInfo.php?workbook=14_09.xlsx&amp;sheet=U0&amp;row=6807&amp;col=7&amp;number=0.00108&amp;sourceID=14","0.00108")</f>
        <v>0.00108</v>
      </c>
    </row>
    <row r="6808" spans="1:7">
      <c r="A6808" s="3"/>
      <c r="B6808" s="3"/>
      <c r="C6808" s="3"/>
      <c r="D6808" s="3"/>
      <c r="E6808" s="3">
        <v>5</v>
      </c>
      <c r="F6808" s="4" t="str">
        <f>HYPERLINK("http://141.218.60.56/~jnz1568/getInfo.php?workbook=14_09.xlsx&amp;sheet=U0&amp;row=6808&amp;col=6&amp;number=3.4&amp;sourceID=14","3.4")</f>
        <v>3.4</v>
      </c>
      <c r="G6808" s="4" t="str">
        <f>HYPERLINK("http://141.218.60.56/~jnz1568/getInfo.php?workbook=14_09.xlsx&amp;sheet=U0&amp;row=6808&amp;col=7&amp;number=0.00108&amp;sourceID=14","0.00108")</f>
        <v>0.00108</v>
      </c>
    </row>
    <row r="6809" spans="1:7">
      <c r="A6809" s="3"/>
      <c r="B6809" s="3"/>
      <c r="C6809" s="3"/>
      <c r="D6809" s="3"/>
      <c r="E6809" s="3">
        <v>6</v>
      </c>
      <c r="F6809" s="4" t="str">
        <f>HYPERLINK("http://141.218.60.56/~jnz1568/getInfo.php?workbook=14_09.xlsx&amp;sheet=U0&amp;row=6809&amp;col=6&amp;number=3.5&amp;sourceID=14","3.5")</f>
        <v>3.5</v>
      </c>
      <c r="G6809" s="4" t="str">
        <f>HYPERLINK("http://141.218.60.56/~jnz1568/getInfo.php?workbook=14_09.xlsx&amp;sheet=U0&amp;row=6809&amp;col=7&amp;number=0.00108&amp;sourceID=14","0.00108")</f>
        <v>0.00108</v>
      </c>
    </row>
    <row r="6810" spans="1:7">
      <c r="A6810" s="3"/>
      <c r="B6810" s="3"/>
      <c r="C6810" s="3"/>
      <c r="D6810" s="3"/>
      <c r="E6810" s="3">
        <v>7</v>
      </c>
      <c r="F6810" s="4" t="str">
        <f>HYPERLINK("http://141.218.60.56/~jnz1568/getInfo.php?workbook=14_09.xlsx&amp;sheet=U0&amp;row=6810&amp;col=6&amp;number=3.6&amp;sourceID=14","3.6")</f>
        <v>3.6</v>
      </c>
      <c r="G6810" s="4" t="str">
        <f>HYPERLINK("http://141.218.60.56/~jnz1568/getInfo.php?workbook=14_09.xlsx&amp;sheet=U0&amp;row=6810&amp;col=7&amp;number=0.00108&amp;sourceID=14","0.00108")</f>
        <v>0.00108</v>
      </c>
    </row>
    <row r="6811" spans="1:7">
      <c r="A6811" s="3"/>
      <c r="B6811" s="3"/>
      <c r="C6811" s="3"/>
      <c r="D6811" s="3"/>
      <c r="E6811" s="3">
        <v>8</v>
      </c>
      <c r="F6811" s="4" t="str">
        <f>HYPERLINK("http://141.218.60.56/~jnz1568/getInfo.php?workbook=14_09.xlsx&amp;sheet=U0&amp;row=6811&amp;col=6&amp;number=3.7&amp;sourceID=14","3.7")</f>
        <v>3.7</v>
      </c>
      <c r="G6811" s="4" t="str">
        <f>HYPERLINK("http://141.218.60.56/~jnz1568/getInfo.php?workbook=14_09.xlsx&amp;sheet=U0&amp;row=6811&amp;col=7&amp;number=0.00107&amp;sourceID=14","0.00107")</f>
        <v>0.00107</v>
      </c>
    </row>
    <row r="6812" spans="1:7">
      <c r="A6812" s="3"/>
      <c r="B6812" s="3"/>
      <c r="C6812" s="3"/>
      <c r="D6812" s="3"/>
      <c r="E6812" s="3">
        <v>9</v>
      </c>
      <c r="F6812" s="4" t="str">
        <f>HYPERLINK("http://141.218.60.56/~jnz1568/getInfo.php?workbook=14_09.xlsx&amp;sheet=U0&amp;row=6812&amp;col=6&amp;number=3.8&amp;sourceID=14","3.8")</f>
        <v>3.8</v>
      </c>
      <c r="G6812" s="4" t="str">
        <f>HYPERLINK("http://141.218.60.56/~jnz1568/getInfo.php?workbook=14_09.xlsx&amp;sheet=U0&amp;row=6812&amp;col=7&amp;number=0.00107&amp;sourceID=14","0.00107")</f>
        <v>0.00107</v>
      </c>
    </row>
    <row r="6813" spans="1:7">
      <c r="A6813" s="3"/>
      <c r="B6813" s="3"/>
      <c r="C6813" s="3"/>
      <c r="D6813" s="3"/>
      <c r="E6813" s="3">
        <v>10</v>
      </c>
      <c r="F6813" s="4" t="str">
        <f>HYPERLINK("http://141.218.60.56/~jnz1568/getInfo.php?workbook=14_09.xlsx&amp;sheet=U0&amp;row=6813&amp;col=6&amp;number=3.9&amp;sourceID=14","3.9")</f>
        <v>3.9</v>
      </c>
      <c r="G6813" s="4" t="str">
        <f>HYPERLINK("http://141.218.60.56/~jnz1568/getInfo.php?workbook=14_09.xlsx&amp;sheet=U0&amp;row=6813&amp;col=7&amp;number=0.00107&amp;sourceID=14","0.00107")</f>
        <v>0.00107</v>
      </c>
    </row>
    <row r="6814" spans="1:7">
      <c r="A6814" s="3"/>
      <c r="B6814" s="3"/>
      <c r="C6814" s="3"/>
      <c r="D6814" s="3"/>
      <c r="E6814" s="3">
        <v>11</v>
      </c>
      <c r="F6814" s="4" t="str">
        <f>HYPERLINK("http://141.218.60.56/~jnz1568/getInfo.php?workbook=14_09.xlsx&amp;sheet=U0&amp;row=6814&amp;col=6&amp;number=4&amp;sourceID=14","4")</f>
        <v>4</v>
      </c>
      <c r="G6814" s="4" t="str">
        <f>HYPERLINK("http://141.218.60.56/~jnz1568/getInfo.php?workbook=14_09.xlsx&amp;sheet=U0&amp;row=6814&amp;col=7&amp;number=0.00107&amp;sourceID=14","0.00107")</f>
        <v>0.00107</v>
      </c>
    </row>
    <row r="6815" spans="1:7">
      <c r="A6815" s="3"/>
      <c r="B6815" s="3"/>
      <c r="C6815" s="3"/>
      <c r="D6815" s="3"/>
      <c r="E6815" s="3">
        <v>12</v>
      </c>
      <c r="F6815" s="4" t="str">
        <f>HYPERLINK("http://141.218.60.56/~jnz1568/getInfo.php?workbook=14_09.xlsx&amp;sheet=U0&amp;row=6815&amp;col=6&amp;number=4.1&amp;sourceID=14","4.1")</f>
        <v>4.1</v>
      </c>
      <c r="G6815" s="4" t="str">
        <f>HYPERLINK("http://141.218.60.56/~jnz1568/getInfo.php?workbook=14_09.xlsx&amp;sheet=U0&amp;row=6815&amp;col=7&amp;number=0.00106&amp;sourceID=14","0.00106")</f>
        <v>0.00106</v>
      </c>
    </row>
    <row r="6816" spans="1:7">
      <c r="A6816" s="3"/>
      <c r="B6816" s="3"/>
      <c r="C6816" s="3"/>
      <c r="D6816" s="3"/>
      <c r="E6816" s="3">
        <v>13</v>
      </c>
      <c r="F6816" s="4" t="str">
        <f>HYPERLINK("http://141.218.60.56/~jnz1568/getInfo.php?workbook=14_09.xlsx&amp;sheet=U0&amp;row=6816&amp;col=6&amp;number=4.2&amp;sourceID=14","4.2")</f>
        <v>4.2</v>
      </c>
      <c r="G6816" s="4" t="str">
        <f>HYPERLINK("http://141.218.60.56/~jnz1568/getInfo.php?workbook=14_09.xlsx&amp;sheet=U0&amp;row=6816&amp;col=7&amp;number=0.00106&amp;sourceID=14","0.00106")</f>
        <v>0.00106</v>
      </c>
    </row>
    <row r="6817" spans="1:7">
      <c r="A6817" s="3"/>
      <c r="B6817" s="3"/>
      <c r="C6817" s="3"/>
      <c r="D6817" s="3"/>
      <c r="E6817" s="3">
        <v>14</v>
      </c>
      <c r="F6817" s="4" t="str">
        <f>HYPERLINK("http://141.218.60.56/~jnz1568/getInfo.php?workbook=14_09.xlsx&amp;sheet=U0&amp;row=6817&amp;col=6&amp;number=4.3&amp;sourceID=14","4.3")</f>
        <v>4.3</v>
      </c>
      <c r="G6817" s="4" t="str">
        <f>HYPERLINK("http://141.218.60.56/~jnz1568/getInfo.php?workbook=14_09.xlsx&amp;sheet=U0&amp;row=6817&amp;col=7&amp;number=0.00105&amp;sourceID=14","0.00105")</f>
        <v>0.00105</v>
      </c>
    </row>
    <row r="6818" spans="1:7">
      <c r="A6818" s="3"/>
      <c r="B6818" s="3"/>
      <c r="C6818" s="3"/>
      <c r="D6818" s="3"/>
      <c r="E6818" s="3">
        <v>15</v>
      </c>
      <c r="F6818" s="4" t="str">
        <f>HYPERLINK("http://141.218.60.56/~jnz1568/getInfo.php?workbook=14_09.xlsx&amp;sheet=U0&amp;row=6818&amp;col=6&amp;number=4.4&amp;sourceID=14","4.4")</f>
        <v>4.4</v>
      </c>
      <c r="G6818" s="4" t="str">
        <f>HYPERLINK("http://141.218.60.56/~jnz1568/getInfo.php?workbook=14_09.xlsx&amp;sheet=U0&amp;row=6818&amp;col=7&amp;number=0.00105&amp;sourceID=14","0.00105")</f>
        <v>0.00105</v>
      </c>
    </row>
    <row r="6819" spans="1:7">
      <c r="A6819" s="3"/>
      <c r="B6819" s="3"/>
      <c r="C6819" s="3"/>
      <c r="D6819" s="3"/>
      <c r="E6819" s="3">
        <v>16</v>
      </c>
      <c r="F6819" s="4" t="str">
        <f>HYPERLINK("http://141.218.60.56/~jnz1568/getInfo.php?workbook=14_09.xlsx&amp;sheet=U0&amp;row=6819&amp;col=6&amp;number=4.5&amp;sourceID=14","4.5")</f>
        <v>4.5</v>
      </c>
      <c r="G6819" s="4" t="str">
        <f>HYPERLINK("http://141.218.60.56/~jnz1568/getInfo.php?workbook=14_09.xlsx&amp;sheet=U0&amp;row=6819&amp;col=7&amp;number=0.00104&amp;sourceID=14","0.00104")</f>
        <v>0.00104</v>
      </c>
    </row>
    <row r="6820" spans="1:7">
      <c r="A6820" s="3"/>
      <c r="B6820" s="3"/>
      <c r="C6820" s="3"/>
      <c r="D6820" s="3"/>
      <c r="E6820" s="3">
        <v>17</v>
      </c>
      <c r="F6820" s="4" t="str">
        <f>HYPERLINK("http://141.218.60.56/~jnz1568/getInfo.php?workbook=14_09.xlsx&amp;sheet=U0&amp;row=6820&amp;col=6&amp;number=4.6&amp;sourceID=14","4.6")</f>
        <v>4.6</v>
      </c>
      <c r="G6820" s="4" t="str">
        <f>HYPERLINK("http://141.218.60.56/~jnz1568/getInfo.php?workbook=14_09.xlsx&amp;sheet=U0&amp;row=6820&amp;col=7&amp;number=0.00103&amp;sourceID=14","0.00103")</f>
        <v>0.00103</v>
      </c>
    </row>
    <row r="6821" spans="1:7">
      <c r="A6821" s="3"/>
      <c r="B6821" s="3"/>
      <c r="C6821" s="3"/>
      <c r="D6821" s="3"/>
      <c r="E6821" s="3">
        <v>18</v>
      </c>
      <c r="F6821" s="4" t="str">
        <f>HYPERLINK("http://141.218.60.56/~jnz1568/getInfo.php?workbook=14_09.xlsx&amp;sheet=U0&amp;row=6821&amp;col=6&amp;number=4.7&amp;sourceID=14","4.7")</f>
        <v>4.7</v>
      </c>
      <c r="G6821" s="4" t="str">
        <f>HYPERLINK("http://141.218.60.56/~jnz1568/getInfo.php?workbook=14_09.xlsx&amp;sheet=U0&amp;row=6821&amp;col=7&amp;number=0.00101&amp;sourceID=14","0.00101")</f>
        <v>0.00101</v>
      </c>
    </row>
    <row r="6822" spans="1:7">
      <c r="A6822" s="3"/>
      <c r="B6822" s="3"/>
      <c r="C6822" s="3"/>
      <c r="D6822" s="3"/>
      <c r="E6822" s="3">
        <v>19</v>
      </c>
      <c r="F6822" s="4" t="str">
        <f>HYPERLINK("http://141.218.60.56/~jnz1568/getInfo.php?workbook=14_09.xlsx&amp;sheet=U0&amp;row=6822&amp;col=6&amp;number=4.8&amp;sourceID=14","4.8")</f>
        <v>4.8</v>
      </c>
      <c r="G6822" s="4" t="str">
        <f>HYPERLINK("http://141.218.60.56/~jnz1568/getInfo.php?workbook=14_09.xlsx&amp;sheet=U0&amp;row=6822&amp;col=7&amp;number=0.000995&amp;sourceID=14","0.000995")</f>
        <v>0.000995</v>
      </c>
    </row>
    <row r="6823" spans="1:7">
      <c r="A6823" s="3"/>
      <c r="B6823" s="3"/>
      <c r="C6823" s="3"/>
      <c r="D6823" s="3"/>
      <c r="E6823" s="3">
        <v>20</v>
      </c>
      <c r="F6823" s="4" t="str">
        <f>HYPERLINK("http://141.218.60.56/~jnz1568/getInfo.php?workbook=14_09.xlsx&amp;sheet=U0&amp;row=6823&amp;col=6&amp;number=4.9&amp;sourceID=14","4.9")</f>
        <v>4.9</v>
      </c>
      <c r="G6823" s="4" t="str">
        <f>HYPERLINK("http://141.218.60.56/~jnz1568/getInfo.php?workbook=14_09.xlsx&amp;sheet=U0&amp;row=6823&amp;col=7&amp;number=0.000973&amp;sourceID=14","0.000973")</f>
        <v>0.000973</v>
      </c>
    </row>
    <row r="6824" spans="1:7">
      <c r="A6824" s="3">
        <v>14</v>
      </c>
      <c r="B6824" s="3">
        <v>9</v>
      </c>
      <c r="C6824" s="3">
        <v>2</v>
      </c>
      <c r="D6824" s="3">
        <v>150</v>
      </c>
      <c r="E6824" s="3">
        <v>1</v>
      </c>
      <c r="F6824" s="4" t="str">
        <f>HYPERLINK("http://141.218.60.56/~jnz1568/getInfo.php?workbook=14_09.xlsx&amp;sheet=U0&amp;row=6824&amp;col=6&amp;number=3&amp;sourceID=14","3")</f>
        <v>3</v>
      </c>
      <c r="G6824" s="4" t="str">
        <f>HYPERLINK("http://141.218.60.56/~jnz1568/getInfo.php?workbook=14_09.xlsx&amp;sheet=U0&amp;row=6824&amp;col=7&amp;number=0.00117&amp;sourceID=14","0.00117")</f>
        <v>0.00117</v>
      </c>
    </row>
    <row r="6825" spans="1:7">
      <c r="A6825" s="3"/>
      <c r="B6825" s="3"/>
      <c r="C6825" s="3"/>
      <c r="D6825" s="3"/>
      <c r="E6825" s="3">
        <v>2</v>
      </c>
      <c r="F6825" s="4" t="str">
        <f>HYPERLINK("http://141.218.60.56/~jnz1568/getInfo.php?workbook=14_09.xlsx&amp;sheet=U0&amp;row=6825&amp;col=6&amp;number=3.1&amp;sourceID=14","3.1")</f>
        <v>3.1</v>
      </c>
      <c r="G6825" s="4" t="str">
        <f>HYPERLINK("http://141.218.60.56/~jnz1568/getInfo.php?workbook=14_09.xlsx&amp;sheet=U0&amp;row=6825&amp;col=7&amp;number=0.00117&amp;sourceID=14","0.00117")</f>
        <v>0.00117</v>
      </c>
    </row>
    <row r="6826" spans="1:7">
      <c r="A6826" s="3"/>
      <c r="B6826" s="3"/>
      <c r="C6826" s="3"/>
      <c r="D6826" s="3"/>
      <c r="E6826" s="3">
        <v>3</v>
      </c>
      <c r="F6826" s="4" t="str">
        <f>HYPERLINK("http://141.218.60.56/~jnz1568/getInfo.php?workbook=14_09.xlsx&amp;sheet=U0&amp;row=6826&amp;col=6&amp;number=3.2&amp;sourceID=14","3.2")</f>
        <v>3.2</v>
      </c>
      <c r="G6826" s="4" t="str">
        <f>HYPERLINK("http://141.218.60.56/~jnz1568/getInfo.php?workbook=14_09.xlsx&amp;sheet=U0&amp;row=6826&amp;col=7&amp;number=0.00117&amp;sourceID=14","0.00117")</f>
        <v>0.00117</v>
      </c>
    </row>
    <row r="6827" spans="1:7">
      <c r="A6827" s="3"/>
      <c r="B6827" s="3"/>
      <c r="C6827" s="3"/>
      <c r="D6827" s="3"/>
      <c r="E6827" s="3">
        <v>4</v>
      </c>
      <c r="F6827" s="4" t="str">
        <f>HYPERLINK("http://141.218.60.56/~jnz1568/getInfo.php?workbook=14_09.xlsx&amp;sheet=U0&amp;row=6827&amp;col=6&amp;number=3.3&amp;sourceID=14","3.3")</f>
        <v>3.3</v>
      </c>
      <c r="G6827" s="4" t="str">
        <f>HYPERLINK("http://141.218.60.56/~jnz1568/getInfo.php?workbook=14_09.xlsx&amp;sheet=U0&amp;row=6827&amp;col=7&amp;number=0.00116&amp;sourceID=14","0.00116")</f>
        <v>0.00116</v>
      </c>
    </row>
    <row r="6828" spans="1:7">
      <c r="A6828" s="3"/>
      <c r="B6828" s="3"/>
      <c r="C6828" s="3"/>
      <c r="D6828" s="3"/>
      <c r="E6828" s="3">
        <v>5</v>
      </c>
      <c r="F6828" s="4" t="str">
        <f>HYPERLINK("http://141.218.60.56/~jnz1568/getInfo.php?workbook=14_09.xlsx&amp;sheet=U0&amp;row=6828&amp;col=6&amp;number=3.4&amp;sourceID=14","3.4")</f>
        <v>3.4</v>
      </c>
      <c r="G6828" s="4" t="str">
        <f>HYPERLINK("http://141.218.60.56/~jnz1568/getInfo.php?workbook=14_09.xlsx&amp;sheet=U0&amp;row=6828&amp;col=7&amp;number=0.00116&amp;sourceID=14","0.00116")</f>
        <v>0.00116</v>
      </c>
    </row>
    <row r="6829" spans="1:7">
      <c r="A6829" s="3"/>
      <c r="B6829" s="3"/>
      <c r="C6829" s="3"/>
      <c r="D6829" s="3"/>
      <c r="E6829" s="3">
        <v>6</v>
      </c>
      <c r="F6829" s="4" t="str">
        <f>HYPERLINK("http://141.218.60.56/~jnz1568/getInfo.php?workbook=14_09.xlsx&amp;sheet=U0&amp;row=6829&amp;col=6&amp;number=3.5&amp;sourceID=14","3.5")</f>
        <v>3.5</v>
      </c>
      <c r="G6829" s="4" t="str">
        <f>HYPERLINK("http://141.218.60.56/~jnz1568/getInfo.php?workbook=14_09.xlsx&amp;sheet=U0&amp;row=6829&amp;col=7&amp;number=0.00116&amp;sourceID=14","0.00116")</f>
        <v>0.00116</v>
      </c>
    </row>
    <row r="6830" spans="1:7">
      <c r="A6830" s="3"/>
      <c r="B6830" s="3"/>
      <c r="C6830" s="3"/>
      <c r="D6830" s="3"/>
      <c r="E6830" s="3">
        <v>7</v>
      </c>
      <c r="F6830" s="4" t="str">
        <f>HYPERLINK("http://141.218.60.56/~jnz1568/getInfo.php?workbook=14_09.xlsx&amp;sheet=U0&amp;row=6830&amp;col=6&amp;number=3.6&amp;sourceID=14","3.6")</f>
        <v>3.6</v>
      </c>
      <c r="G6830" s="4" t="str">
        <f>HYPERLINK("http://141.218.60.56/~jnz1568/getInfo.php?workbook=14_09.xlsx&amp;sheet=U0&amp;row=6830&amp;col=7&amp;number=0.00116&amp;sourceID=14","0.00116")</f>
        <v>0.00116</v>
      </c>
    </row>
    <row r="6831" spans="1:7">
      <c r="A6831" s="3"/>
      <c r="B6831" s="3"/>
      <c r="C6831" s="3"/>
      <c r="D6831" s="3"/>
      <c r="E6831" s="3">
        <v>8</v>
      </c>
      <c r="F6831" s="4" t="str">
        <f>HYPERLINK("http://141.218.60.56/~jnz1568/getInfo.php?workbook=14_09.xlsx&amp;sheet=U0&amp;row=6831&amp;col=6&amp;number=3.7&amp;sourceID=14","3.7")</f>
        <v>3.7</v>
      </c>
      <c r="G6831" s="4" t="str">
        <f>HYPERLINK("http://141.218.60.56/~jnz1568/getInfo.php?workbook=14_09.xlsx&amp;sheet=U0&amp;row=6831&amp;col=7&amp;number=0.00116&amp;sourceID=14","0.00116")</f>
        <v>0.00116</v>
      </c>
    </row>
    <row r="6832" spans="1:7">
      <c r="A6832" s="3"/>
      <c r="B6832" s="3"/>
      <c r="C6832" s="3"/>
      <c r="D6832" s="3"/>
      <c r="E6832" s="3">
        <v>9</v>
      </c>
      <c r="F6832" s="4" t="str">
        <f>HYPERLINK("http://141.218.60.56/~jnz1568/getInfo.php?workbook=14_09.xlsx&amp;sheet=U0&amp;row=6832&amp;col=6&amp;number=3.8&amp;sourceID=14","3.8")</f>
        <v>3.8</v>
      </c>
      <c r="G6832" s="4" t="str">
        <f>HYPERLINK("http://141.218.60.56/~jnz1568/getInfo.php?workbook=14_09.xlsx&amp;sheet=U0&amp;row=6832&amp;col=7&amp;number=0.00116&amp;sourceID=14","0.00116")</f>
        <v>0.00116</v>
      </c>
    </row>
    <row r="6833" spans="1:7">
      <c r="A6833" s="3"/>
      <c r="B6833" s="3"/>
      <c r="C6833" s="3"/>
      <c r="D6833" s="3"/>
      <c r="E6833" s="3">
        <v>10</v>
      </c>
      <c r="F6833" s="4" t="str">
        <f>HYPERLINK("http://141.218.60.56/~jnz1568/getInfo.php?workbook=14_09.xlsx&amp;sheet=U0&amp;row=6833&amp;col=6&amp;number=3.9&amp;sourceID=14","3.9")</f>
        <v>3.9</v>
      </c>
      <c r="G6833" s="4" t="str">
        <f>HYPERLINK("http://141.218.60.56/~jnz1568/getInfo.php?workbook=14_09.xlsx&amp;sheet=U0&amp;row=6833&amp;col=7&amp;number=0.00116&amp;sourceID=14","0.00116")</f>
        <v>0.00116</v>
      </c>
    </row>
    <row r="6834" spans="1:7">
      <c r="A6834" s="3"/>
      <c r="B6834" s="3"/>
      <c r="C6834" s="3"/>
      <c r="D6834" s="3"/>
      <c r="E6834" s="3">
        <v>11</v>
      </c>
      <c r="F6834" s="4" t="str">
        <f>HYPERLINK("http://141.218.60.56/~jnz1568/getInfo.php?workbook=14_09.xlsx&amp;sheet=U0&amp;row=6834&amp;col=6&amp;number=4&amp;sourceID=14","4")</f>
        <v>4</v>
      </c>
      <c r="G6834" s="4" t="str">
        <f>HYPERLINK("http://141.218.60.56/~jnz1568/getInfo.php?workbook=14_09.xlsx&amp;sheet=U0&amp;row=6834&amp;col=7&amp;number=0.00115&amp;sourceID=14","0.00115")</f>
        <v>0.00115</v>
      </c>
    </row>
    <row r="6835" spans="1:7">
      <c r="A6835" s="3"/>
      <c r="B6835" s="3"/>
      <c r="C6835" s="3"/>
      <c r="D6835" s="3"/>
      <c r="E6835" s="3">
        <v>12</v>
      </c>
      <c r="F6835" s="4" t="str">
        <f>HYPERLINK("http://141.218.60.56/~jnz1568/getInfo.php?workbook=14_09.xlsx&amp;sheet=U0&amp;row=6835&amp;col=6&amp;number=4.1&amp;sourceID=14","4.1")</f>
        <v>4.1</v>
      </c>
      <c r="G6835" s="4" t="str">
        <f>HYPERLINK("http://141.218.60.56/~jnz1568/getInfo.php?workbook=14_09.xlsx&amp;sheet=U0&amp;row=6835&amp;col=7&amp;number=0.00115&amp;sourceID=14","0.00115")</f>
        <v>0.00115</v>
      </c>
    </row>
    <row r="6836" spans="1:7">
      <c r="A6836" s="3"/>
      <c r="B6836" s="3"/>
      <c r="C6836" s="3"/>
      <c r="D6836" s="3"/>
      <c r="E6836" s="3">
        <v>13</v>
      </c>
      <c r="F6836" s="4" t="str">
        <f>HYPERLINK("http://141.218.60.56/~jnz1568/getInfo.php?workbook=14_09.xlsx&amp;sheet=U0&amp;row=6836&amp;col=6&amp;number=4.2&amp;sourceID=14","4.2")</f>
        <v>4.2</v>
      </c>
      <c r="G6836" s="4" t="str">
        <f>HYPERLINK("http://141.218.60.56/~jnz1568/getInfo.php?workbook=14_09.xlsx&amp;sheet=U0&amp;row=6836&amp;col=7&amp;number=0.00114&amp;sourceID=14","0.00114")</f>
        <v>0.00114</v>
      </c>
    </row>
    <row r="6837" spans="1:7">
      <c r="A6837" s="3"/>
      <c r="B6837" s="3"/>
      <c r="C6837" s="3"/>
      <c r="D6837" s="3"/>
      <c r="E6837" s="3">
        <v>14</v>
      </c>
      <c r="F6837" s="4" t="str">
        <f>HYPERLINK("http://141.218.60.56/~jnz1568/getInfo.php?workbook=14_09.xlsx&amp;sheet=U0&amp;row=6837&amp;col=6&amp;number=4.3&amp;sourceID=14","4.3")</f>
        <v>4.3</v>
      </c>
      <c r="G6837" s="4" t="str">
        <f>HYPERLINK("http://141.218.60.56/~jnz1568/getInfo.php?workbook=14_09.xlsx&amp;sheet=U0&amp;row=6837&amp;col=7&amp;number=0.00114&amp;sourceID=14","0.00114")</f>
        <v>0.00114</v>
      </c>
    </row>
    <row r="6838" spans="1:7">
      <c r="A6838" s="3"/>
      <c r="B6838" s="3"/>
      <c r="C6838" s="3"/>
      <c r="D6838" s="3"/>
      <c r="E6838" s="3">
        <v>15</v>
      </c>
      <c r="F6838" s="4" t="str">
        <f>HYPERLINK("http://141.218.60.56/~jnz1568/getInfo.php?workbook=14_09.xlsx&amp;sheet=U0&amp;row=6838&amp;col=6&amp;number=4.4&amp;sourceID=14","4.4")</f>
        <v>4.4</v>
      </c>
      <c r="G6838" s="4" t="str">
        <f>HYPERLINK("http://141.218.60.56/~jnz1568/getInfo.php?workbook=14_09.xlsx&amp;sheet=U0&amp;row=6838&amp;col=7&amp;number=0.00113&amp;sourceID=14","0.00113")</f>
        <v>0.00113</v>
      </c>
    </row>
    <row r="6839" spans="1:7">
      <c r="A6839" s="3"/>
      <c r="B6839" s="3"/>
      <c r="C6839" s="3"/>
      <c r="D6839" s="3"/>
      <c r="E6839" s="3">
        <v>16</v>
      </c>
      <c r="F6839" s="4" t="str">
        <f>HYPERLINK("http://141.218.60.56/~jnz1568/getInfo.php?workbook=14_09.xlsx&amp;sheet=U0&amp;row=6839&amp;col=6&amp;number=4.5&amp;sourceID=14","4.5")</f>
        <v>4.5</v>
      </c>
      <c r="G6839" s="4" t="str">
        <f>HYPERLINK("http://141.218.60.56/~jnz1568/getInfo.php?workbook=14_09.xlsx&amp;sheet=U0&amp;row=6839&amp;col=7&amp;number=0.00112&amp;sourceID=14","0.00112")</f>
        <v>0.00112</v>
      </c>
    </row>
    <row r="6840" spans="1:7">
      <c r="A6840" s="3"/>
      <c r="B6840" s="3"/>
      <c r="C6840" s="3"/>
      <c r="D6840" s="3"/>
      <c r="E6840" s="3">
        <v>17</v>
      </c>
      <c r="F6840" s="4" t="str">
        <f>HYPERLINK("http://141.218.60.56/~jnz1568/getInfo.php?workbook=14_09.xlsx&amp;sheet=U0&amp;row=6840&amp;col=6&amp;number=4.6&amp;sourceID=14","4.6")</f>
        <v>4.6</v>
      </c>
      <c r="G6840" s="4" t="str">
        <f>HYPERLINK("http://141.218.60.56/~jnz1568/getInfo.php?workbook=14_09.xlsx&amp;sheet=U0&amp;row=6840&amp;col=7&amp;number=0.00111&amp;sourceID=14","0.00111")</f>
        <v>0.00111</v>
      </c>
    </row>
    <row r="6841" spans="1:7">
      <c r="A6841" s="3"/>
      <c r="B6841" s="3"/>
      <c r="C6841" s="3"/>
      <c r="D6841" s="3"/>
      <c r="E6841" s="3">
        <v>18</v>
      </c>
      <c r="F6841" s="4" t="str">
        <f>HYPERLINK("http://141.218.60.56/~jnz1568/getInfo.php?workbook=14_09.xlsx&amp;sheet=U0&amp;row=6841&amp;col=6&amp;number=4.7&amp;sourceID=14","4.7")</f>
        <v>4.7</v>
      </c>
      <c r="G6841" s="4" t="str">
        <f>HYPERLINK("http://141.218.60.56/~jnz1568/getInfo.php?workbook=14_09.xlsx&amp;sheet=U0&amp;row=6841&amp;col=7&amp;number=0.00109&amp;sourceID=14","0.00109")</f>
        <v>0.00109</v>
      </c>
    </row>
    <row r="6842" spans="1:7">
      <c r="A6842" s="3"/>
      <c r="B6842" s="3"/>
      <c r="C6842" s="3"/>
      <c r="D6842" s="3"/>
      <c r="E6842" s="3">
        <v>19</v>
      </c>
      <c r="F6842" s="4" t="str">
        <f>HYPERLINK("http://141.218.60.56/~jnz1568/getInfo.php?workbook=14_09.xlsx&amp;sheet=U0&amp;row=6842&amp;col=6&amp;number=4.8&amp;sourceID=14","4.8")</f>
        <v>4.8</v>
      </c>
      <c r="G6842" s="4" t="str">
        <f>HYPERLINK("http://141.218.60.56/~jnz1568/getInfo.php?workbook=14_09.xlsx&amp;sheet=U0&amp;row=6842&amp;col=7&amp;number=0.00108&amp;sourceID=14","0.00108")</f>
        <v>0.00108</v>
      </c>
    </row>
    <row r="6843" spans="1:7">
      <c r="A6843" s="3"/>
      <c r="B6843" s="3"/>
      <c r="C6843" s="3"/>
      <c r="D6843" s="3"/>
      <c r="E6843" s="3">
        <v>20</v>
      </c>
      <c r="F6843" s="4" t="str">
        <f>HYPERLINK("http://141.218.60.56/~jnz1568/getInfo.php?workbook=14_09.xlsx&amp;sheet=U0&amp;row=6843&amp;col=6&amp;number=4.9&amp;sourceID=14","4.9")</f>
        <v>4.9</v>
      </c>
      <c r="G6843" s="4" t="str">
        <f>HYPERLINK("http://141.218.60.56/~jnz1568/getInfo.php?workbook=14_09.xlsx&amp;sheet=U0&amp;row=6843&amp;col=7&amp;number=0.00105&amp;sourceID=14","0.00105")</f>
        <v>0.00105</v>
      </c>
    </row>
    <row r="6844" spans="1:7">
      <c r="A6844" s="3">
        <v>14</v>
      </c>
      <c r="B6844" s="3">
        <v>9</v>
      </c>
      <c r="C6844" s="3">
        <v>2</v>
      </c>
      <c r="D6844" s="3">
        <v>151</v>
      </c>
      <c r="E6844" s="3">
        <v>1</v>
      </c>
      <c r="F6844" s="4" t="str">
        <f>HYPERLINK("http://141.218.60.56/~jnz1568/getInfo.php?workbook=14_09.xlsx&amp;sheet=U0&amp;row=6844&amp;col=6&amp;number=3&amp;sourceID=14","3")</f>
        <v>3</v>
      </c>
      <c r="G6844" s="4" t="str">
        <f>HYPERLINK("http://141.218.60.56/~jnz1568/getInfo.php?workbook=14_09.xlsx&amp;sheet=U0&amp;row=6844&amp;col=7&amp;number=0.00687&amp;sourceID=14","0.00687")</f>
        <v>0.00687</v>
      </c>
    </row>
    <row r="6845" spans="1:7">
      <c r="A6845" s="3"/>
      <c r="B6845" s="3"/>
      <c r="C6845" s="3"/>
      <c r="D6845" s="3"/>
      <c r="E6845" s="3">
        <v>2</v>
      </c>
      <c r="F6845" s="4" t="str">
        <f>HYPERLINK("http://141.218.60.56/~jnz1568/getInfo.php?workbook=14_09.xlsx&amp;sheet=U0&amp;row=6845&amp;col=6&amp;number=3.1&amp;sourceID=14","3.1")</f>
        <v>3.1</v>
      </c>
      <c r="G6845" s="4" t="str">
        <f>HYPERLINK("http://141.218.60.56/~jnz1568/getInfo.php?workbook=14_09.xlsx&amp;sheet=U0&amp;row=6845&amp;col=7&amp;number=0.00685&amp;sourceID=14","0.00685")</f>
        <v>0.00685</v>
      </c>
    </row>
    <row r="6846" spans="1:7">
      <c r="A6846" s="3"/>
      <c r="B6846" s="3"/>
      <c r="C6846" s="3"/>
      <c r="D6846" s="3"/>
      <c r="E6846" s="3">
        <v>3</v>
      </c>
      <c r="F6846" s="4" t="str">
        <f>HYPERLINK("http://141.218.60.56/~jnz1568/getInfo.php?workbook=14_09.xlsx&amp;sheet=U0&amp;row=6846&amp;col=6&amp;number=3.2&amp;sourceID=14","3.2")</f>
        <v>3.2</v>
      </c>
      <c r="G6846" s="4" t="str">
        <f>HYPERLINK("http://141.218.60.56/~jnz1568/getInfo.php?workbook=14_09.xlsx&amp;sheet=U0&amp;row=6846&amp;col=7&amp;number=0.00683&amp;sourceID=14","0.00683")</f>
        <v>0.00683</v>
      </c>
    </row>
    <row r="6847" spans="1:7">
      <c r="A6847" s="3"/>
      <c r="B6847" s="3"/>
      <c r="C6847" s="3"/>
      <c r="D6847" s="3"/>
      <c r="E6847" s="3">
        <v>4</v>
      </c>
      <c r="F6847" s="4" t="str">
        <f>HYPERLINK("http://141.218.60.56/~jnz1568/getInfo.php?workbook=14_09.xlsx&amp;sheet=U0&amp;row=6847&amp;col=6&amp;number=3.3&amp;sourceID=14","3.3")</f>
        <v>3.3</v>
      </c>
      <c r="G6847" s="4" t="str">
        <f>HYPERLINK("http://141.218.60.56/~jnz1568/getInfo.php?workbook=14_09.xlsx&amp;sheet=U0&amp;row=6847&amp;col=7&amp;number=0.0068&amp;sourceID=14","0.0068")</f>
        <v>0.0068</v>
      </c>
    </row>
    <row r="6848" spans="1:7">
      <c r="A6848" s="3"/>
      <c r="B6848" s="3"/>
      <c r="C6848" s="3"/>
      <c r="D6848" s="3"/>
      <c r="E6848" s="3">
        <v>5</v>
      </c>
      <c r="F6848" s="4" t="str">
        <f>HYPERLINK("http://141.218.60.56/~jnz1568/getInfo.php?workbook=14_09.xlsx&amp;sheet=U0&amp;row=6848&amp;col=6&amp;number=3.4&amp;sourceID=14","3.4")</f>
        <v>3.4</v>
      </c>
      <c r="G6848" s="4" t="str">
        <f>HYPERLINK("http://141.218.60.56/~jnz1568/getInfo.php?workbook=14_09.xlsx&amp;sheet=U0&amp;row=6848&amp;col=7&amp;number=0.00676&amp;sourceID=14","0.00676")</f>
        <v>0.00676</v>
      </c>
    </row>
    <row r="6849" spans="1:7">
      <c r="A6849" s="3"/>
      <c r="B6849" s="3"/>
      <c r="C6849" s="3"/>
      <c r="D6849" s="3"/>
      <c r="E6849" s="3">
        <v>6</v>
      </c>
      <c r="F6849" s="4" t="str">
        <f>HYPERLINK("http://141.218.60.56/~jnz1568/getInfo.php?workbook=14_09.xlsx&amp;sheet=U0&amp;row=6849&amp;col=6&amp;number=3.5&amp;sourceID=14","3.5")</f>
        <v>3.5</v>
      </c>
      <c r="G6849" s="4" t="str">
        <f>HYPERLINK("http://141.218.60.56/~jnz1568/getInfo.php?workbook=14_09.xlsx&amp;sheet=U0&amp;row=6849&amp;col=7&amp;number=0.00671&amp;sourceID=14","0.00671")</f>
        <v>0.00671</v>
      </c>
    </row>
    <row r="6850" spans="1:7">
      <c r="A6850" s="3"/>
      <c r="B6850" s="3"/>
      <c r="C6850" s="3"/>
      <c r="D6850" s="3"/>
      <c r="E6850" s="3">
        <v>7</v>
      </c>
      <c r="F6850" s="4" t="str">
        <f>HYPERLINK("http://141.218.60.56/~jnz1568/getInfo.php?workbook=14_09.xlsx&amp;sheet=U0&amp;row=6850&amp;col=6&amp;number=3.6&amp;sourceID=14","3.6")</f>
        <v>3.6</v>
      </c>
      <c r="G6850" s="4" t="str">
        <f>HYPERLINK("http://141.218.60.56/~jnz1568/getInfo.php?workbook=14_09.xlsx&amp;sheet=U0&amp;row=6850&amp;col=7&amp;number=0.00665&amp;sourceID=14","0.00665")</f>
        <v>0.00665</v>
      </c>
    </row>
    <row r="6851" spans="1:7">
      <c r="A6851" s="3"/>
      <c r="B6851" s="3"/>
      <c r="C6851" s="3"/>
      <c r="D6851" s="3"/>
      <c r="E6851" s="3">
        <v>8</v>
      </c>
      <c r="F6851" s="4" t="str">
        <f>HYPERLINK("http://141.218.60.56/~jnz1568/getInfo.php?workbook=14_09.xlsx&amp;sheet=U0&amp;row=6851&amp;col=6&amp;number=3.7&amp;sourceID=14","3.7")</f>
        <v>3.7</v>
      </c>
      <c r="G6851" s="4" t="str">
        <f>HYPERLINK("http://141.218.60.56/~jnz1568/getInfo.php?workbook=14_09.xlsx&amp;sheet=U0&amp;row=6851&amp;col=7&amp;number=0.00658&amp;sourceID=14","0.00658")</f>
        <v>0.00658</v>
      </c>
    </row>
    <row r="6852" spans="1:7">
      <c r="A6852" s="3"/>
      <c r="B6852" s="3"/>
      <c r="C6852" s="3"/>
      <c r="D6852" s="3"/>
      <c r="E6852" s="3">
        <v>9</v>
      </c>
      <c r="F6852" s="4" t="str">
        <f>HYPERLINK("http://141.218.60.56/~jnz1568/getInfo.php?workbook=14_09.xlsx&amp;sheet=U0&amp;row=6852&amp;col=6&amp;number=3.8&amp;sourceID=14","3.8")</f>
        <v>3.8</v>
      </c>
      <c r="G6852" s="4" t="str">
        <f>HYPERLINK("http://141.218.60.56/~jnz1568/getInfo.php?workbook=14_09.xlsx&amp;sheet=U0&amp;row=6852&amp;col=7&amp;number=0.00649&amp;sourceID=14","0.00649")</f>
        <v>0.00649</v>
      </c>
    </row>
    <row r="6853" spans="1:7">
      <c r="A6853" s="3"/>
      <c r="B6853" s="3"/>
      <c r="C6853" s="3"/>
      <c r="D6853" s="3"/>
      <c r="E6853" s="3">
        <v>10</v>
      </c>
      <c r="F6853" s="4" t="str">
        <f>HYPERLINK("http://141.218.60.56/~jnz1568/getInfo.php?workbook=14_09.xlsx&amp;sheet=U0&amp;row=6853&amp;col=6&amp;number=3.9&amp;sourceID=14","3.9")</f>
        <v>3.9</v>
      </c>
      <c r="G6853" s="4" t="str">
        <f>HYPERLINK("http://141.218.60.56/~jnz1568/getInfo.php?workbook=14_09.xlsx&amp;sheet=U0&amp;row=6853&amp;col=7&amp;number=0.00638&amp;sourceID=14","0.00638")</f>
        <v>0.00638</v>
      </c>
    </row>
    <row r="6854" spans="1:7">
      <c r="A6854" s="3"/>
      <c r="B6854" s="3"/>
      <c r="C6854" s="3"/>
      <c r="D6854" s="3"/>
      <c r="E6854" s="3">
        <v>11</v>
      </c>
      <c r="F6854" s="4" t="str">
        <f>HYPERLINK("http://141.218.60.56/~jnz1568/getInfo.php?workbook=14_09.xlsx&amp;sheet=U0&amp;row=6854&amp;col=6&amp;number=4&amp;sourceID=14","4")</f>
        <v>4</v>
      </c>
      <c r="G6854" s="4" t="str">
        <f>HYPERLINK("http://141.218.60.56/~jnz1568/getInfo.php?workbook=14_09.xlsx&amp;sheet=U0&amp;row=6854&amp;col=7&amp;number=0.00624&amp;sourceID=14","0.00624")</f>
        <v>0.00624</v>
      </c>
    </row>
    <row r="6855" spans="1:7">
      <c r="A6855" s="3"/>
      <c r="B6855" s="3"/>
      <c r="C6855" s="3"/>
      <c r="D6855" s="3"/>
      <c r="E6855" s="3">
        <v>12</v>
      </c>
      <c r="F6855" s="4" t="str">
        <f>HYPERLINK("http://141.218.60.56/~jnz1568/getInfo.php?workbook=14_09.xlsx&amp;sheet=U0&amp;row=6855&amp;col=6&amp;number=4.1&amp;sourceID=14","4.1")</f>
        <v>4.1</v>
      </c>
      <c r="G6855" s="4" t="str">
        <f>HYPERLINK("http://141.218.60.56/~jnz1568/getInfo.php?workbook=14_09.xlsx&amp;sheet=U0&amp;row=6855&amp;col=7&amp;number=0.00608&amp;sourceID=14","0.00608")</f>
        <v>0.00608</v>
      </c>
    </row>
    <row r="6856" spans="1:7">
      <c r="A6856" s="3"/>
      <c r="B6856" s="3"/>
      <c r="C6856" s="3"/>
      <c r="D6856" s="3"/>
      <c r="E6856" s="3">
        <v>13</v>
      </c>
      <c r="F6856" s="4" t="str">
        <f>HYPERLINK("http://141.218.60.56/~jnz1568/getInfo.php?workbook=14_09.xlsx&amp;sheet=U0&amp;row=6856&amp;col=6&amp;number=4.2&amp;sourceID=14","4.2")</f>
        <v>4.2</v>
      </c>
      <c r="G6856" s="4" t="str">
        <f>HYPERLINK("http://141.218.60.56/~jnz1568/getInfo.php?workbook=14_09.xlsx&amp;sheet=U0&amp;row=6856&amp;col=7&amp;number=0.00589&amp;sourceID=14","0.00589")</f>
        <v>0.00589</v>
      </c>
    </row>
    <row r="6857" spans="1:7">
      <c r="A6857" s="3"/>
      <c r="B6857" s="3"/>
      <c r="C6857" s="3"/>
      <c r="D6857" s="3"/>
      <c r="E6857" s="3">
        <v>14</v>
      </c>
      <c r="F6857" s="4" t="str">
        <f>HYPERLINK("http://141.218.60.56/~jnz1568/getInfo.php?workbook=14_09.xlsx&amp;sheet=U0&amp;row=6857&amp;col=6&amp;number=4.3&amp;sourceID=14","4.3")</f>
        <v>4.3</v>
      </c>
      <c r="G6857" s="4" t="str">
        <f>HYPERLINK("http://141.218.60.56/~jnz1568/getInfo.php?workbook=14_09.xlsx&amp;sheet=U0&amp;row=6857&amp;col=7&amp;number=0.00567&amp;sourceID=14","0.00567")</f>
        <v>0.00567</v>
      </c>
    </row>
    <row r="6858" spans="1:7">
      <c r="A6858" s="3"/>
      <c r="B6858" s="3"/>
      <c r="C6858" s="3"/>
      <c r="D6858" s="3"/>
      <c r="E6858" s="3">
        <v>15</v>
      </c>
      <c r="F6858" s="4" t="str">
        <f>HYPERLINK("http://141.218.60.56/~jnz1568/getInfo.php?workbook=14_09.xlsx&amp;sheet=U0&amp;row=6858&amp;col=6&amp;number=4.4&amp;sourceID=14","4.4")</f>
        <v>4.4</v>
      </c>
      <c r="G6858" s="4" t="str">
        <f>HYPERLINK("http://141.218.60.56/~jnz1568/getInfo.php?workbook=14_09.xlsx&amp;sheet=U0&amp;row=6858&amp;col=7&amp;number=0.00543&amp;sourceID=14","0.00543")</f>
        <v>0.00543</v>
      </c>
    </row>
    <row r="6859" spans="1:7">
      <c r="A6859" s="3"/>
      <c r="B6859" s="3"/>
      <c r="C6859" s="3"/>
      <c r="D6859" s="3"/>
      <c r="E6859" s="3">
        <v>16</v>
      </c>
      <c r="F6859" s="4" t="str">
        <f>HYPERLINK("http://141.218.60.56/~jnz1568/getInfo.php?workbook=14_09.xlsx&amp;sheet=U0&amp;row=6859&amp;col=6&amp;number=4.5&amp;sourceID=14","4.5")</f>
        <v>4.5</v>
      </c>
      <c r="G6859" s="4" t="str">
        <f>HYPERLINK("http://141.218.60.56/~jnz1568/getInfo.php?workbook=14_09.xlsx&amp;sheet=U0&amp;row=6859&amp;col=7&amp;number=0.00519&amp;sourceID=14","0.00519")</f>
        <v>0.00519</v>
      </c>
    </row>
    <row r="6860" spans="1:7">
      <c r="A6860" s="3"/>
      <c r="B6860" s="3"/>
      <c r="C6860" s="3"/>
      <c r="D6860" s="3"/>
      <c r="E6860" s="3">
        <v>17</v>
      </c>
      <c r="F6860" s="4" t="str">
        <f>HYPERLINK("http://141.218.60.56/~jnz1568/getInfo.php?workbook=14_09.xlsx&amp;sheet=U0&amp;row=6860&amp;col=6&amp;number=4.6&amp;sourceID=14","4.6")</f>
        <v>4.6</v>
      </c>
      <c r="G6860" s="4" t="str">
        <f>HYPERLINK("http://141.218.60.56/~jnz1568/getInfo.php?workbook=14_09.xlsx&amp;sheet=U0&amp;row=6860&amp;col=7&amp;number=0.00496&amp;sourceID=14","0.00496")</f>
        <v>0.00496</v>
      </c>
    </row>
    <row r="6861" spans="1:7">
      <c r="A6861" s="3"/>
      <c r="B6861" s="3"/>
      <c r="C6861" s="3"/>
      <c r="D6861" s="3"/>
      <c r="E6861" s="3">
        <v>18</v>
      </c>
      <c r="F6861" s="4" t="str">
        <f>HYPERLINK("http://141.218.60.56/~jnz1568/getInfo.php?workbook=14_09.xlsx&amp;sheet=U0&amp;row=6861&amp;col=6&amp;number=4.7&amp;sourceID=14","4.7")</f>
        <v>4.7</v>
      </c>
      <c r="G6861" s="4" t="str">
        <f>HYPERLINK("http://141.218.60.56/~jnz1568/getInfo.php?workbook=14_09.xlsx&amp;sheet=U0&amp;row=6861&amp;col=7&amp;number=0.00476&amp;sourceID=14","0.00476")</f>
        <v>0.00476</v>
      </c>
    </row>
    <row r="6862" spans="1:7">
      <c r="A6862" s="3"/>
      <c r="B6862" s="3"/>
      <c r="C6862" s="3"/>
      <c r="D6862" s="3"/>
      <c r="E6862" s="3">
        <v>19</v>
      </c>
      <c r="F6862" s="4" t="str">
        <f>HYPERLINK("http://141.218.60.56/~jnz1568/getInfo.php?workbook=14_09.xlsx&amp;sheet=U0&amp;row=6862&amp;col=6&amp;number=4.8&amp;sourceID=14","4.8")</f>
        <v>4.8</v>
      </c>
      <c r="G6862" s="4" t="str">
        <f>HYPERLINK("http://141.218.60.56/~jnz1568/getInfo.php?workbook=14_09.xlsx&amp;sheet=U0&amp;row=6862&amp;col=7&amp;number=0.00457&amp;sourceID=14","0.00457")</f>
        <v>0.00457</v>
      </c>
    </row>
    <row r="6863" spans="1:7">
      <c r="A6863" s="3"/>
      <c r="B6863" s="3"/>
      <c r="C6863" s="3"/>
      <c r="D6863" s="3"/>
      <c r="E6863" s="3">
        <v>20</v>
      </c>
      <c r="F6863" s="4" t="str">
        <f>HYPERLINK("http://141.218.60.56/~jnz1568/getInfo.php?workbook=14_09.xlsx&amp;sheet=U0&amp;row=6863&amp;col=6&amp;number=4.9&amp;sourceID=14","4.9")</f>
        <v>4.9</v>
      </c>
      <c r="G6863" s="4" t="str">
        <f>HYPERLINK("http://141.218.60.56/~jnz1568/getInfo.php?workbook=14_09.xlsx&amp;sheet=U0&amp;row=6863&amp;col=7&amp;number=0.00436&amp;sourceID=14","0.00436")</f>
        <v>0.00436</v>
      </c>
    </row>
    <row r="6864" spans="1:7">
      <c r="A6864" s="3">
        <v>14</v>
      </c>
      <c r="B6864" s="3">
        <v>9</v>
      </c>
      <c r="C6864" s="3">
        <v>2</v>
      </c>
      <c r="D6864" s="3">
        <v>152</v>
      </c>
      <c r="E6864" s="3">
        <v>1</v>
      </c>
      <c r="F6864" s="4" t="str">
        <f>HYPERLINK("http://141.218.60.56/~jnz1568/getInfo.php?workbook=14_09.xlsx&amp;sheet=U0&amp;row=6864&amp;col=6&amp;number=3&amp;sourceID=14","3")</f>
        <v>3</v>
      </c>
      <c r="G6864" s="4" t="str">
        <f>HYPERLINK("http://141.218.60.56/~jnz1568/getInfo.php?workbook=14_09.xlsx&amp;sheet=U0&amp;row=6864&amp;col=7&amp;number=0.00322&amp;sourceID=14","0.00322")</f>
        <v>0.00322</v>
      </c>
    </row>
    <row r="6865" spans="1:7">
      <c r="A6865" s="3"/>
      <c r="B6865" s="3"/>
      <c r="C6865" s="3"/>
      <c r="D6865" s="3"/>
      <c r="E6865" s="3">
        <v>2</v>
      </c>
      <c r="F6865" s="4" t="str">
        <f>HYPERLINK("http://141.218.60.56/~jnz1568/getInfo.php?workbook=14_09.xlsx&amp;sheet=U0&amp;row=6865&amp;col=6&amp;number=3.1&amp;sourceID=14","3.1")</f>
        <v>3.1</v>
      </c>
      <c r="G6865" s="4" t="str">
        <f>HYPERLINK("http://141.218.60.56/~jnz1568/getInfo.php?workbook=14_09.xlsx&amp;sheet=U0&amp;row=6865&amp;col=7&amp;number=0.00322&amp;sourceID=14","0.00322")</f>
        <v>0.00322</v>
      </c>
    </row>
    <row r="6866" spans="1:7">
      <c r="A6866" s="3"/>
      <c r="B6866" s="3"/>
      <c r="C6866" s="3"/>
      <c r="D6866" s="3"/>
      <c r="E6866" s="3">
        <v>3</v>
      </c>
      <c r="F6866" s="4" t="str">
        <f>HYPERLINK("http://141.218.60.56/~jnz1568/getInfo.php?workbook=14_09.xlsx&amp;sheet=U0&amp;row=6866&amp;col=6&amp;number=3.2&amp;sourceID=14","3.2")</f>
        <v>3.2</v>
      </c>
      <c r="G6866" s="4" t="str">
        <f>HYPERLINK("http://141.218.60.56/~jnz1568/getInfo.php?workbook=14_09.xlsx&amp;sheet=U0&amp;row=6866&amp;col=7&amp;number=0.00321&amp;sourceID=14","0.00321")</f>
        <v>0.00321</v>
      </c>
    </row>
    <row r="6867" spans="1:7">
      <c r="A6867" s="3"/>
      <c r="B6867" s="3"/>
      <c r="C6867" s="3"/>
      <c r="D6867" s="3"/>
      <c r="E6867" s="3">
        <v>4</v>
      </c>
      <c r="F6867" s="4" t="str">
        <f>HYPERLINK("http://141.218.60.56/~jnz1568/getInfo.php?workbook=14_09.xlsx&amp;sheet=U0&amp;row=6867&amp;col=6&amp;number=3.3&amp;sourceID=14","3.3")</f>
        <v>3.3</v>
      </c>
      <c r="G6867" s="4" t="str">
        <f>HYPERLINK("http://141.218.60.56/~jnz1568/getInfo.php?workbook=14_09.xlsx&amp;sheet=U0&amp;row=6867&amp;col=7&amp;number=0.00321&amp;sourceID=14","0.00321")</f>
        <v>0.00321</v>
      </c>
    </row>
    <row r="6868" spans="1:7">
      <c r="A6868" s="3"/>
      <c r="B6868" s="3"/>
      <c r="C6868" s="3"/>
      <c r="D6868" s="3"/>
      <c r="E6868" s="3">
        <v>5</v>
      </c>
      <c r="F6868" s="4" t="str">
        <f>HYPERLINK("http://141.218.60.56/~jnz1568/getInfo.php?workbook=14_09.xlsx&amp;sheet=U0&amp;row=6868&amp;col=6&amp;number=3.4&amp;sourceID=14","3.4")</f>
        <v>3.4</v>
      </c>
      <c r="G6868" s="4" t="str">
        <f>HYPERLINK("http://141.218.60.56/~jnz1568/getInfo.php?workbook=14_09.xlsx&amp;sheet=U0&amp;row=6868&amp;col=7&amp;number=0.0032&amp;sourceID=14","0.0032")</f>
        <v>0.0032</v>
      </c>
    </row>
    <row r="6869" spans="1:7">
      <c r="A6869" s="3"/>
      <c r="B6869" s="3"/>
      <c r="C6869" s="3"/>
      <c r="D6869" s="3"/>
      <c r="E6869" s="3">
        <v>6</v>
      </c>
      <c r="F6869" s="4" t="str">
        <f>HYPERLINK("http://141.218.60.56/~jnz1568/getInfo.php?workbook=14_09.xlsx&amp;sheet=U0&amp;row=6869&amp;col=6&amp;number=3.5&amp;sourceID=14","3.5")</f>
        <v>3.5</v>
      </c>
      <c r="G6869" s="4" t="str">
        <f>HYPERLINK("http://141.218.60.56/~jnz1568/getInfo.php?workbook=14_09.xlsx&amp;sheet=U0&amp;row=6869&amp;col=7&amp;number=0.00319&amp;sourceID=14","0.00319")</f>
        <v>0.00319</v>
      </c>
    </row>
    <row r="6870" spans="1:7">
      <c r="A6870" s="3"/>
      <c r="B6870" s="3"/>
      <c r="C6870" s="3"/>
      <c r="D6870" s="3"/>
      <c r="E6870" s="3">
        <v>7</v>
      </c>
      <c r="F6870" s="4" t="str">
        <f>HYPERLINK("http://141.218.60.56/~jnz1568/getInfo.php?workbook=14_09.xlsx&amp;sheet=U0&amp;row=6870&amp;col=6&amp;number=3.6&amp;sourceID=14","3.6")</f>
        <v>3.6</v>
      </c>
      <c r="G6870" s="4" t="str">
        <f>HYPERLINK("http://141.218.60.56/~jnz1568/getInfo.php?workbook=14_09.xlsx&amp;sheet=U0&amp;row=6870&amp;col=7&amp;number=0.00318&amp;sourceID=14","0.00318")</f>
        <v>0.00318</v>
      </c>
    </row>
    <row r="6871" spans="1:7">
      <c r="A6871" s="3"/>
      <c r="B6871" s="3"/>
      <c r="C6871" s="3"/>
      <c r="D6871" s="3"/>
      <c r="E6871" s="3">
        <v>8</v>
      </c>
      <c r="F6871" s="4" t="str">
        <f>HYPERLINK("http://141.218.60.56/~jnz1568/getInfo.php?workbook=14_09.xlsx&amp;sheet=U0&amp;row=6871&amp;col=6&amp;number=3.7&amp;sourceID=14","3.7")</f>
        <v>3.7</v>
      </c>
      <c r="G6871" s="4" t="str">
        <f>HYPERLINK("http://141.218.60.56/~jnz1568/getInfo.php?workbook=14_09.xlsx&amp;sheet=U0&amp;row=6871&amp;col=7&amp;number=0.00317&amp;sourceID=14","0.00317")</f>
        <v>0.00317</v>
      </c>
    </row>
    <row r="6872" spans="1:7">
      <c r="A6872" s="3"/>
      <c r="B6872" s="3"/>
      <c r="C6872" s="3"/>
      <c r="D6872" s="3"/>
      <c r="E6872" s="3">
        <v>9</v>
      </c>
      <c r="F6872" s="4" t="str">
        <f>HYPERLINK("http://141.218.60.56/~jnz1568/getInfo.php?workbook=14_09.xlsx&amp;sheet=U0&amp;row=6872&amp;col=6&amp;number=3.8&amp;sourceID=14","3.8")</f>
        <v>3.8</v>
      </c>
      <c r="G6872" s="4" t="str">
        <f>HYPERLINK("http://141.218.60.56/~jnz1568/getInfo.php?workbook=14_09.xlsx&amp;sheet=U0&amp;row=6872&amp;col=7&amp;number=0.00316&amp;sourceID=14","0.00316")</f>
        <v>0.00316</v>
      </c>
    </row>
    <row r="6873" spans="1:7">
      <c r="A6873" s="3"/>
      <c r="B6873" s="3"/>
      <c r="C6873" s="3"/>
      <c r="D6873" s="3"/>
      <c r="E6873" s="3">
        <v>10</v>
      </c>
      <c r="F6873" s="4" t="str">
        <f>HYPERLINK("http://141.218.60.56/~jnz1568/getInfo.php?workbook=14_09.xlsx&amp;sheet=U0&amp;row=6873&amp;col=6&amp;number=3.9&amp;sourceID=14","3.9")</f>
        <v>3.9</v>
      </c>
      <c r="G6873" s="4" t="str">
        <f>HYPERLINK("http://141.218.60.56/~jnz1568/getInfo.php?workbook=14_09.xlsx&amp;sheet=U0&amp;row=6873&amp;col=7&amp;number=0.00314&amp;sourceID=14","0.00314")</f>
        <v>0.00314</v>
      </c>
    </row>
    <row r="6874" spans="1:7">
      <c r="A6874" s="3"/>
      <c r="B6874" s="3"/>
      <c r="C6874" s="3"/>
      <c r="D6874" s="3"/>
      <c r="E6874" s="3">
        <v>11</v>
      </c>
      <c r="F6874" s="4" t="str">
        <f>HYPERLINK("http://141.218.60.56/~jnz1568/getInfo.php?workbook=14_09.xlsx&amp;sheet=U0&amp;row=6874&amp;col=6&amp;number=4&amp;sourceID=14","4")</f>
        <v>4</v>
      </c>
      <c r="G6874" s="4" t="str">
        <f>HYPERLINK("http://141.218.60.56/~jnz1568/getInfo.php?workbook=14_09.xlsx&amp;sheet=U0&amp;row=6874&amp;col=7&amp;number=0.00312&amp;sourceID=14","0.00312")</f>
        <v>0.00312</v>
      </c>
    </row>
    <row r="6875" spans="1:7">
      <c r="A6875" s="3"/>
      <c r="B6875" s="3"/>
      <c r="C6875" s="3"/>
      <c r="D6875" s="3"/>
      <c r="E6875" s="3">
        <v>12</v>
      </c>
      <c r="F6875" s="4" t="str">
        <f>HYPERLINK("http://141.218.60.56/~jnz1568/getInfo.php?workbook=14_09.xlsx&amp;sheet=U0&amp;row=6875&amp;col=6&amp;number=4.1&amp;sourceID=14","4.1")</f>
        <v>4.1</v>
      </c>
      <c r="G6875" s="4" t="str">
        <f>HYPERLINK("http://141.218.60.56/~jnz1568/getInfo.php?workbook=14_09.xlsx&amp;sheet=U0&amp;row=6875&amp;col=7&amp;number=0.00309&amp;sourceID=14","0.00309")</f>
        <v>0.00309</v>
      </c>
    </row>
    <row r="6876" spans="1:7">
      <c r="A6876" s="3"/>
      <c r="B6876" s="3"/>
      <c r="C6876" s="3"/>
      <c r="D6876" s="3"/>
      <c r="E6876" s="3">
        <v>13</v>
      </c>
      <c r="F6876" s="4" t="str">
        <f>HYPERLINK("http://141.218.60.56/~jnz1568/getInfo.php?workbook=14_09.xlsx&amp;sheet=U0&amp;row=6876&amp;col=6&amp;number=4.2&amp;sourceID=14","4.2")</f>
        <v>4.2</v>
      </c>
      <c r="G6876" s="4" t="str">
        <f>HYPERLINK("http://141.218.60.56/~jnz1568/getInfo.php?workbook=14_09.xlsx&amp;sheet=U0&amp;row=6876&amp;col=7&amp;number=0.00305&amp;sourceID=14","0.00305")</f>
        <v>0.00305</v>
      </c>
    </row>
    <row r="6877" spans="1:7">
      <c r="A6877" s="3"/>
      <c r="B6877" s="3"/>
      <c r="C6877" s="3"/>
      <c r="D6877" s="3"/>
      <c r="E6877" s="3">
        <v>14</v>
      </c>
      <c r="F6877" s="4" t="str">
        <f>HYPERLINK("http://141.218.60.56/~jnz1568/getInfo.php?workbook=14_09.xlsx&amp;sheet=U0&amp;row=6877&amp;col=6&amp;number=4.3&amp;sourceID=14","4.3")</f>
        <v>4.3</v>
      </c>
      <c r="G6877" s="4" t="str">
        <f>HYPERLINK("http://141.218.60.56/~jnz1568/getInfo.php?workbook=14_09.xlsx&amp;sheet=U0&amp;row=6877&amp;col=7&amp;number=0.003&amp;sourceID=14","0.003")</f>
        <v>0.003</v>
      </c>
    </row>
    <row r="6878" spans="1:7">
      <c r="A6878" s="3"/>
      <c r="B6878" s="3"/>
      <c r="C6878" s="3"/>
      <c r="D6878" s="3"/>
      <c r="E6878" s="3">
        <v>15</v>
      </c>
      <c r="F6878" s="4" t="str">
        <f>HYPERLINK("http://141.218.60.56/~jnz1568/getInfo.php?workbook=14_09.xlsx&amp;sheet=U0&amp;row=6878&amp;col=6&amp;number=4.4&amp;sourceID=14","4.4")</f>
        <v>4.4</v>
      </c>
      <c r="G6878" s="4" t="str">
        <f>HYPERLINK("http://141.218.60.56/~jnz1568/getInfo.php?workbook=14_09.xlsx&amp;sheet=U0&amp;row=6878&amp;col=7&amp;number=0.00295&amp;sourceID=14","0.00295")</f>
        <v>0.00295</v>
      </c>
    </row>
    <row r="6879" spans="1:7">
      <c r="A6879" s="3"/>
      <c r="B6879" s="3"/>
      <c r="C6879" s="3"/>
      <c r="D6879" s="3"/>
      <c r="E6879" s="3">
        <v>16</v>
      </c>
      <c r="F6879" s="4" t="str">
        <f>HYPERLINK("http://141.218.60.56/~jnz1568/getInfo.php?workbook=14_09.xlsx&amp;sheet=U0&amp;row=6879&amp;col=6&amp;number=4.5&amp;sourceID=14","4.5")</f>
        <v>4.5</v>
      </c>
      <c r="G6879" s="4" t="str">
        <f>HYPERLINK("http://141.218.60.56/~jnz1568/getInfo.php?workbook=14_09.xlsx&amp;sheet=U0&amp;row=6879&amp;col=7&amp;number=0.00288&amp;sourceID=14","0.00288")</f>
        <v>0.00288</v>
      </c>
    </row>
    <row r="6880" spans="1:7">
      <c r="A6880" s="3"/>
      <c r="B6880" s="3"/>
      <c r="C6880" s="3"/>
      <c r="D6880" s="3"/>
      <c r="E6880" s="3">
        <v>17</v>
      </c>
      <c r="F6880" s="4" t="str">
        <f>HYPERLINK("http://141.218.60.56/~jnz1568/getInfo.php?workbook=14_09.xlsx&amp;sheet=U0&amp;row=6880&amp;col=6&amp;number=4.6&amp;sourceID=14","4.6")</f>
        <v>4.6</v>
      </c>
      <c r="G6880" s="4" t="str">
        <f>HYPERLINK("http://141.218.60.56/~jnz1568/getInfo.php?workbook=14_09.xlsx&amp;sheet=U0&amp;row=6880&amp;col=7&amp;number=0.00279&amp;sourceID=14","0.00279")</f>
        <v>0.00279</v>
      </c>
    </row>
    <row r="6881" spans="1:7">
      <c r="A6881" s="3"/>
      <c r="B6881" s="3"/>
      <c r="C6881" s="3"/>
      <c r="D6881" s="3"/>
      <c r="E6881" s="3">
        <v>18</v>
      </c>
      <c r="F6881" s="4" t="str">
        <f>HYPERLINK("http://141.218.60.56/~jnz1568/getInfo.php?workbook=14_09.xlsx&amp;sheet=U0&amp;row=6881&amp;col=6&amp;number=4.7&amp;sourceID=14","4.7")</f>
        <v>4.7</v>
      </c>
      <c r="G6881" s="4" t="str">
        <f>HYPERLINK("http://141.218.60.56/~jnz1568/getInfo.php?workbook=14_09.xlsx&amp;sheet=U0&amp;row=6881&amp;col=7&amp;number=0.00269&amp;sourceID=14","0.00269")</f>
        <v>0.00269</v>
      </c>
    </row>
    <row r="6882" spans="1:7">
      <c r="A6882" s="3"/>
      <c r="B6882" s="3"/>
      <c r="C6882" s="3"/>
      <c r="D6882" s="3"/>
      <c r="E6882" s="3">
        <v>19</v>
      </c>
      <c r="F6882" s="4" t="str">
        <f>HYPERLINK("http://141.218.60.56/~jnz1568/getInfo.php?workbook=14_09.xlsx&amp;sheet=U0&amp;row=6882&amp;col=6&amp;number=4.8&amp;sourceID=14","4.8")</f>
        <v>4.8</v>
      </c>
      <c r="G6882" s="4" t="str">
        <f>HYPERLINK("http://141.218.60.56/~jnz1568/getInfo.php?workbook=14_09.xlsx&amp;sheet=U0&amp;row=6882&amp;col=7&amp;number=0.00256&amp;sourceID=14","0.00256")</f>
        <v>0.00256</v>
      </c>
    </row>
    <row r="6883" spans="1:7">
      <c r="A6883" s="3"/>
      <c r="B6883" s="3"/>
      <c r="C6883" s="3"/>
      <c r="D6883" s="3"/>
      <c r="E6883" s="3">
        <v>20</v>
      </c>
      <c r="F6883" s="4" t="str">
        <f>HYPERLINK("http://141.218.60.56/~jnz1568/getInfo.php?workbook=14_09.xlsx&amp;sheet=U0&amp;row=6883&amp;col=6&amp;number=4.9&amp;sourceID=14","4.9")</f>
        <v>4.9</v>
      </c>
      <c r="G6883" s="4" t="str">
        <f>HYPERLINK("http://141.218.60.56/~jnz1568/getInfo.php?workbook=14_09.xlsx&amp;sheet=U0&amp;row=6883&amp;col=7&amp;number=0.00241&amp;sourceID=14","0.00241")</f>
        <v>0.00241</v>
      </c>
    </row>
    <row r="6884" spans="1:7">
      <c r="A6884" s="3">
        <v>14</v>
      </c>
      <c r="B6884" s="3">
        <v>9</v>
      </c>
      <c r="C6884" s="3">
        <v>2</v>
      </c>
      <c r="D6884" s="3">
        <v>153</v>
      </c>
      <c r="E6884" s="3">
        <v>1</v>
      </c>
      <c r="F6884" s="4" t="str">
        <f>HYPERLINK("http://141.218.60.56/~jnz1568/getInfo.php?workbook=14_09.xlsx&amp;sheet=U0&amp;row=6884&amp;col=6&amp;number=3&amp;sourceID=14","3")</f>
        <v>3</v>
      </c>
      <c r="G6884" s="4" t="str">
        <f>HYPERLINK("http://141.218.60.56/~jnz1568/getInfo.php?workbook=14_09.xlsx&amp;sheet=U0&amp;row=6884&amp;col=7&amp;number=0.00851&amp;sourceID=14","0.00851")</f>
        <v>0.00851</v>
      </c>
    </row>
    <row r="6885" spans="1:7">
      <c r="A6885" s="3"/>
      <c r="B6885" s="3"/>
      <c r="C6885" s="3"/>
      <c r="D6885" s="3"/>
      <c r="E6885" s="3">
        <v>2</v>
      </c>
      <c r="F6885" s="4" t="str">
        <f>HYPERLINK("http://141.218.60.56/~jnz1568/getInfo.php?workbook=14_09.xlsx&amp;sheet=U0&amp;row=6885&amp;col=6&amp;number=3.1&amp;sourceID=14","3.1")</f>
        <v>3.1</v>
      </c>
      <c r="G6885" s="4" t="str">
        <f>HYPERLINK("http://141.218.60.56/~jnz1568/getInfo.php?workbook=14_09.xlsx&amp;sheet=U0&amp;row=6885&amp;col=7&amp;number=0.00851&amp;sourceID=14","0.00851")</f>
        <v>0.00851</v>
      </c>
    </row>
    <row r="6886" spans="1:7">
      <c r="A6886" s="3"/>
      <c r="B6886" s="3"/>
      <c r="C6886" s="3"/>
      <c r="D6886" s="3"/>
      <c r="E6886" s="3">
        <v>3</v>
      </c>
      <c r="F6886" s="4" t="str">
        <f>HYPERLINK("http://141.218.60.56/~jnz1568/getInfo.php?workbook=14_09.xlsx&amp;sheet=U0&amp;row=6886&amp;col=6&amp;number=3.2&amp;sourceID=14","3.2")</f>
        <v>3.2</v>
      </c>
      <c r="G6886" s="4" t="str">
        <f>HYPERLINK("http://141.218.60.56/~jnz1568/getInfo.php?workbook=14_09.xlsx&amp;sheet=U0&amp;row=6886&amp;col=7&amp;number=0.0085&amp;sourceID=14","0.0085")</f>
        <v>0.0085</v>
      </c>
    </row>
    <row r="6887" spans="1:7">
      <c r="A6887" s="3"/>
      <c r="B6887" s="3"/>
      <c r="C6887" s="3"/>
      <c r="D6887" s="3"/>
      <c r="E6887" s="3">
        <v>4</v>
      </c>
      <c r="F6887" s="4" t="str">
        <f>HYPERLINK("http://141.218.60.56/~jnz1568/getInfo.php?workbook=14_09.xlsx&amp;sheet=U0&amp;row=6887&amp;col=6&amp;number=3.3&amp;sourceID=14","3.3")</f>
        <v>3.3</v>
      </c>
      <c r="G6887" s="4" t="str">
        <f>HYPERLINK("http://141.218.60.56/~jnz1568/getInfo.php?workbook=14_09.xlsx&amp;sheet=U0&amp;row=6887&amp;col=7&amp;number=0.00849&amp;sourceID=14","0.00849")</f>
        <v>0.00849</v>
      </c>
    </row>
    <row r="6888" spans="1:7">
      <c r="A6888" s="3"/>
      <c r="B6888" s="3"/>
      <c r="C6888" s="3"/>
      <c r="D6888" s="3"/>
      <c r="E6888" s="3">
        <v>5</v>
      </c>
      <c r="F6888" s="4" t="str">
        <f>HYPERLINK("http://141.218.60.56/~jnz1568/getInfo.php?workbook=14_09.xlsx&amp;sheet=U0&amp;row=6888&amp;col=6&amp;number=3.4&amp;sourceID=14","3.4")</f>
        <v>3.4</v>
      </c>
      <c r="G6888" s="4" t="str">
        <f>HYPERLINK("http://141.218.60.56/~jnz1568/getInfo.php?workbook=14_09.xlsx&amp;sheet=U0&amp;row=6888&amp;col=7&amp;number=0.00848&amp;sourceID=14","0.00848")</f>
        <v>0.00848</v>
      </c>
    </row>
    <row r="6889" spans="1:7">
      <c r="A6889" s="3"/>
      <c r="B6889" s="3"/>
      <c r="C6889" s="3"/>
      <c r="D6889" s="3"/>
      <c r="E6889" s="3">
        <v>6</v>
      </c>
      <c r="F6889" s="4" t="str">
        <f>HYPERLINK("http://141.218.60.56/~jnz1568/getInfo.php?workbook=14_09.xlsx&amp;sheet=U0&amp;row=6889&amp;col=6&amp;number=3.5&amp;sourceID=14","3.5")</f>
        <v>3.5</v>
      </c>
      <c r="G6889" s="4" t="str">
        <f>HYPERLINK("http://141.218.60.56/~jnz1568/getInfo.php?workbook=14_09.xlsx&amp;sheet=U0&amp;row=6889&amp;col=7&amp;number=0.00847&amp;sourceID=14","0.00847")</f>
        <v>0.00847</v>
      </c>
    </row>
    <row r="6890" spans="1:7">
      <c r="A6890" s="3"/>
      <c r="B6890" s="3"/>
      <c r="C6890" s="3"/>
      <c r="D6890" s="3"/>
      <c r="E6890" s="3">
        <v>7</v>
      </c>
      <c r="F6890" s="4" t="str">
        <f>HYPERLINK("http://141.218.60.56/~jnz1568/getInfo.php?workbook=14_09.xlsx&amp;sheet=U0&amp;row=6890&amp;col=6&amp;number=3.6&amp;sourceID=14","3.6")</f>
        <v>3.6</v>
      </c>
      <c r="G6890" s="4" t="str">
        <f>HYPERLINK("http://141.218.60.56/~jnz1568/getInfo.php?workbook=14_09.xlsx&amp;sheet=U0&amp;row=6890&amp;col=7&amp;number=0.00845&amp;sourceID=14","0.00845")</f>
        <v>0.00845</v>
      </c>
    </row>
    <row r="6891" spans="1:7">
      <c r="A6891" s="3"/>
      <c r="B6891" s="3"/>
      <c r="C6891" s="3"/>
      <c r="D6891" s="3"/>
      <c r="E6891" s="3">
        <v>8</v>
      </c>
      <c r="F6891" s="4" t="str">
        <f>HYPERLINK("http://141.218.60.56/~jnz1568/getInfo.php?workbook=14_09.xlsx&amp;sheet=U0&amp;row=6891&amp;col=6&amp;number=3.7&amp;sourceID=14","3.7")</f>
        <v>3.7</v>
      </c>
      <c r="G6891" s="4" t="str">
        <f>HYPERLINK("http://141.218.60.56/~jnz1568/getInfo.php?workbook=14_09.xlsx&amp;sheet=U0&amp;row=6891&amp;col=7&amp;number=0.00843&amp;sourceID=14","0.00843")</f>
        <v>0.00843</v>
      </c>
    </row>
    <row r="6892" spans="1:7">
      <c r="A6892" s="3"/>
      <c r="B6892" s="3"/>
      <c r="C6892" s="3"/>
      <c r="D6892" s="3"/>
      <c r="E6892" s="3">
        <v>9</v>
      </c>
      <c r="F6892" s="4" t="str">
        <f>HYPERLINK("http://141.218.60.56/~jnz1568/getInfo.php?workbook=14_09.xlsx&amp;sheet=U0&amp;row=6892&amp;col=6&amp;number=3.8&amp;sourceID=14","3.8")</f>
        <v>3.8</v>
      </c>
      <c r="G6892" s="4" t="str">
        <f>HYPERLINK("http://141.218.60.56/~jnz1568/getInfo.php?workbook=14_09.xlsx&amp;sheet=U0&amp;row=6892&amp;col=7&amp;number=0.00841&amp;sourceID=14","0.00841")</f>
        <v>0.00841</v>
      </c>
    </row>
    <row r="6893" spans="1:7">
      <c r="A6893" s="3"/>
      <c r="B6893" s="3"/>
      <c r="C6893" s="3"/>
      <c r="D6893" s="3"/>
      <c r="E6893" s="3">
        <v>10</v>
      </c>
      <c r="F6893" s="4" t="str">
        <f>HYPERLINK("http://141.218.60.56/~jnz1568/getInfo.php?workbook=14_09.xlsx&amp;sheet=U0&amp;row=6893&amp;col=6&amp;number=3.9&amp;sourceID=14","3.9")</f>
        <v>3.9</v>
      </c>
      <c r="G6893" s="4" t="str">
        <f>HYPERLINK("http://141.218.60.56/~jnz1568/getInfo.php?workbook=14_09.xlsx&amp;sheet=U0&amp;row=6893&amp;col=7&amp;number=0.00837&amp;sourceID=14","0.00837")</f>
        <v>0.00837</v>
      </c>
    </row>
    <row r="6894" spans="1:7">
      <c r="A6894" s="3"/>
      <c r="B6894" s="3"/>
      <c r="C6894" s="3"/>
      <c r="D6894" s="3"/>
      <c r="E6894" s="3">
        <v>11</v>
      </c>
      <c r="F6894" s="4" t="str">
        <f>HYPERLINK("http://141.218.60.56/~jnz1568/getInfo.php?workbook=14_09.xlsx&amp;sheet=U0&amp;row=6894&amp;col=6&amp;number=4&amp;sourceID=14","4")</f>
        <v>4</v>
      </c>
      <c r="G6894" s="4" t="str">
        <f>HYPERLINK("http://141.218.60.56/~jnz1568/getInfo.php?workbook=14_09.xlsx&amp;sheet=U0&amp;row=6894&amp;col=7&amp;number=0.00833&amp;sourceID=14","0.00833")</f>
        <v>0.00833</v>
      </c>
    </row>
    <row r="6895" spans="1:7">
      <c r="A6895" s="3"/>
      <c r="B6895" s="3"/>
      <c r="C6895" s="3"/>
      <c r="D6895" s="3"/>
      <c r="E6895" s="3">
        <v>12</v>
      </c>
      <c r="F6895" s="4" t="str">
        <f>HYPERLINK("http://141.218.60.56/~jnz1568/getInfo.php?workbook=14_09.xlsx&amp;sheet=U0&amp;row=6895&amp;col=6&amp;number=4.1&amp;sourceID=14","4.1")</f>
        <v>4.1</v>
      </c>
      <c r="G6895" s="4" t="str">
        <f>HYPERLINK("http://141.218.60.56/~jnz1568/getInfo.php?workbook=14_09.xlsx&amp;sheet=U0&amp;row=6895&amp;col=7&amp;number=0.00828&amp;sourceID=14","0.00828")</f>
        <v>0.00828</v>
      </c>
    </row>
    <row r="6896" spans="1:7">
      <c r="A6896" s="3"/>
      <c r="B6896" s="3"/>
      <c r="C6896" s="3"/>
      <c r="D6896" s="3"/>
      <c r="E6896" s="3">
        <v>13</v>
      </c>
      <c r="F6896" s="4" t="str">
        <f>HYPERLINK("http://141.218.60.56/~jnz1568/getInfo.php?workbook=14_09.xlsx&amp;sheet=U0&amp;row=6896&amp;col=6&amp;number=4.2&amp;sourceID=14","4.2")</f>
        <v>4.2</v>
      </c>
      <c r="G6896" s="4" t="str">
        <f>HYPERLINK("http://141.218.60.56/~jnz1568/getInfo.php?workbook=14_09.xlsx&amp;sheet=U0&amp;row=6896&amp;col=7&amp;number=0.00822&amp;sourceID=14","0.00822")</f>
        <v>0.00822</v>
      </c>
    </row>
    <row r="6897" spans="1:7">
      <c r="A6897" s="3"/>
      <c r="B6897" s="3"/>
      <c r="C6897" s="3"/>
      <c r="D6897" s="3"/>
      <c r="E6897" s="3">
        <v>14</v>
      </c>
      <c r="F6897" s="4" t="str">
        <f>HYPERLINK("http://141.218.60.56/~jnz1568/getInfo.php?workbook=14_09.xlsx&amp;sheet=U0&amp;row=6897&amp;col=6&amp;number=4.3&amp;sourceID=14","4.3")</f>
        <v>4.3</v>
      </c>
      <c r="G6897" s="4" t="str">
        <f>HYPERLINK("http://141.218.60.56/~jnz1568/getInfo.php?workbook=14_09.xlsx&amp;sheet=U0&amp;row=6897&amp;col=7&amp;number=0.00814&amp;sourceID=14","0.00814")</f>
        <v>0.00814</v>
      </c>
    </row>
    <row r="6898" spans="1:7">
      <c r="A6898" s="3"/>
      <c r="B6898" s="3"/>
      <c r="C6898" s="3"/>
      <c r="D6898" s="3"/>
      <c r="E6898" s="3">
        <v>15</v>
      </c>
      <c r="F6898" s="4" t="str">
        <f>HYPERLINK("http://141.218.60.56/~jnz1568/getInfo.php?workbook=14_09.xlsx&amp;sheet=U0&amp;row=6898&amp;col=6&amp;number=4.4&amp;sourceID=14","4.4")</f>
        <v>4.4</v>
      </c>
      <c r="G6898" s="4" t="str">
        <f>HYPERLINK("http://141.218.60.56/~jnz1568/getInfo.php?workbook=14_09.xlsx&amp;sheet=U0&amp;row=6898&amp;col=7&amp;number=0.00804&amp;sourceID=14","0.00804")</f>
        <v>0.00804</v>
      </c>
    </row>
    <row r="6899" spans="1:7">
      <c r="A6899" s="3"/>
      <c r="B6899" s="3"/>
      <c r="C6899" s="3"/>
      <c r="D6899" s="3"/>
      <c r="E6899" s="3">
        <v>16</v>
      </c>
      <c r="F6899" s="4" t="str">
        <f>HYPERLINK("http://141.218.60.56/~jnz1568/getInfo.php?workbook=14_09.xlsx&amp;sheet=U0&amp;row=6899&amp;col=6&amp;number=4.5&amp;sourceID=14","4.5")</f>
        <v>4.5</v>
      </c>
      <c r="G6899" s="4" t="str">
        <f>HYPERLINK("http://141.218.60.56/~jnz1568/getInfo.php?workbook=14_09.xlsx&amp;sheet=U0&amp;row=6899&amp;col=7&amp;number=0.00792&amp;sourceID=14","0.00792")</f>
        <v>0.00792</v>
      </c>
    </row>
    <row r="6900" spans="1:7">
      <c r="A6900" s="3"/>
      <c r="B6900" s="3"/>
      <c r="C6900" s="3"/>
      <c r="D6900" s="3"/>
      <c r="E6900" s="3">
        <v>17</v>
      </c>
      <c r="F6900" s="4" t="str">
        <f>HYPERLINK("http://141.218.60.56/~jnz1568/getInfo.php?workbook=14_09.xlsx&amp;sheet=U0&amp;row=6900&amp;col=6&amp;number=4.6&amp;sourceID=14","4.6")</f>
        <v>4.6</v>
      </c>
      <c r="G6900" s="4" t="str">
        <f>HYPERLINK("http://141.218.60.56/~jnz1568/getInfo.php?workbook=14_09.xlsx&amp;sheet=U0&amp;row=6900&amp;col=7&amp;number=0.00778&amp;sourceID=14","0.00778")</f>
        <v>0.00778</v>
      </c>
    </row>
    <row r="6901" spans="1:7">
      <c r="A6901" s="3"/>
      <c r="B6901" s="3"/>
      <c r="C6901" s="3"/>
      <c r="D6901" s="3"/>
      <c r="E6901" s="3">
        <v>18</v>
      </c>
      <c r="F6901" s="4" t="str">
        <f>HYPERLINK("http://141.218.60.56/~jnz1568/getInfo.php?workbook=14_09.xlsx&amp;sheet=U0&amp;row=6901&amp;col=6&amp;number=4.7&amp;sourceID=14","4.7")</f>
        <v>4.7</v>
      </c>
      <c r="G6901" s="4" t="str">
        <f>HYPERLINK("http://141.218.60.56/~jnz1568/getInfo.php?workbook=14_09.xlsx&amp;sheet=U0&amp;row=6901&amp;col=7&amp;number=0.00759&amp;sourceID=14","0.00759")</f>
        <v>0.00759</v>
      </c>
    </row>
    <row r="6902" spans="1:7">
      <c r="A6902" s="3"/>
      <c r="B6902" s="3"/>
      <c r="C6902" s="3"/>
      <c r="D6902" s="3"/>
      <c r="E6902" s="3">
        <v>19</v>
      </c>
      <c r="F6902" s="4" t="str">
        <f>HYPERLINK("http://141.218.60.56/~jnz1568/getInfo.php?workbook=14_09.xlsx&amp;sheet=U0&amp;row=6902&amp;col=6&amp;number=4.8&amp;sourceID=14","4.8")</f>
        <v>4.8</v>
      </c>
      <c r="G6902" s="4" t="str">
        <f>HYPERLINK("http://141.218.60.56/~jnz1568/getInfo.php?workbook=14_09.xlsx&amp;sheet=U0&amp;row=6902&amp;col=7&amp;number=0.00737&amp;sourceID=14","0.00737")</f>
        <v>0.00737</v>
      </c>
    </row>
    <row r="6903" spans="1:7">
      <c r="A6903" s="3"/>
      <c r="B6903" s="3"/>
      <c r="C6903" s="3"/>
      <c r="D6903" s="3"/>
      <c r="E6903" s="3">
        <v>20</v>
      </c>
      <c r="F6903" s="4" t="str">
        <f>HYPERLINK("http://141.218.60.56/~jnz1568/getInfo.php?workbook=14_09.xlsx&amp;sheet=U0&amp;row=6903&amp;col=6&amp;number=4.9&amp;sourceID=14","4.9")</f>
        <v>4.9</v>
      </c>
      <c r="G6903" s="4" t="str">
        <f>HYPERLINK("http://141.218.60.56/~jnz1568/getInfo.php?workbook=14_09.xlsx&amp;sheet=U0&amp;row=6903&amp;col=7&amp;number=0.0071&amp;sourceID=14","0.0071")</f>
        <v>0.0071</v>
      </c>
    </row>
    <row r="6904" spans="1:7">
      <c r="A6904" s="3">
        <v>14</v>
      </c>
      <c r="B6904" s="3">
        <v>9</v>
      </c>
      <c r="C6904" s="3">
        <v>2</v>
      </c>
      <c r="D6904" s="3">
        <v>154</v>
      </c>
      <c r="E6904" s="3">
        <v>1</v>
      </c>
      <c r="F6904" s="4" t="str">
        <f>HYPERLINK("http://141.218.60.56/~jnz1568/getInfo.php?workbook=14_09.xlsx&amp;sheet=U0&amp;row=6904&amp;col=6&amp;number=3&amp;sourceID=14","3")</f>
        <v>3</v>
      </c>
      <c r="G6904" s="4" t="str">
        <f>HYPERLINK("http://141.218.60.56/~jnz1568/getInfo.php?workbook=14_09.xlsx&amp;sheet=U0&amp;row=6904&amp;col=7&amp;number=0.00596&amp;sourceID=14","0.00596")</f>
        <v>0.00596</v>
      </c>
    </row>
    <row r="6905" spans="1:7">
      <c r="A6905" s="3"/>
      <c r="B6905" s="3"/>
      <c r="C6905" s="3"/>
      <c r="D6905" s="3"/>
      <c r="E6905" s="3">
        <v>2</v>
      </c>
      <c r="F6905" s="4" t="str">
        <f>HYPERLINK("http://141.218.60.56/~jnz1568/getInfo.php?workbook=14_09.xlsx&amp;sheet=U0&amp;row=6905&amp;col=6&amp;number=3.1&amp;sourceID=14","3.1")</f>
        <v>3.1</v>
      </c>
      <c r="G6905" s="4" t="str">
        <f>HYPERLINK("http://141.218.60.56/~jnz1568/getInfo.php?workbook=14_09.xlsx&amp;sheet=U0&amp;row=6905&amp;col=7&amp;number=0.00596&amp;sourceID=14","0.00596")</f>
        <v>0.00596</v>
      </c>
    </row>
    <row r="6906" spans="1:7">
      <c r="A6906" s="3"/>
      <c r="B6906" s="3"/>
      <c r="C6906" s="3"/>
      <c r="D6906" s="3"/>
      <c r="E6906" s="3">
        <v>3</v>
      </c>
      <c r="F6906" s="4" t="str">
        <f>HYPERLINK("http://141.218.60.56/~jnz1568/getInfo.php?workbook=14_09.xlsx&amp;sheet=U0&amp;row=6906&amp;col=6&amp;number=3.2&amp;sourceID=14","3.2")</f>
        <v>3.2</v>
      </c>
      <c r="G6906" s="4" t="str">
        <f>HYPERLINK("http://141.218.60.56/~jnz1568/getInfo.php?workbook=14_09.xlsx&amp;sheet=U0&amp;row=6906&amp;col=7&amp;number=0.00596&amp;sourceID=14","0.00596")</f>
        <v>0.00596</v>
      </c>
    </row>
    <row r="6907" spans="1:7">
      <c r="A6907" s="3"/>
      <c r="B6907" s="3"/>
      <c r="C6907" s="3"/>
      <c r="D6907" s="3"/>
      <c r="E6907" s="3">
        <v>4</v>
      </c>
      <c r="F6907" s="4" t="str">
        <f>HYPERLINK("http://141.218.60.56/~jnz1568/getInfo.php?workbook=14_09.xlsx&amp;sheet=U0&amp;row=6907&amp;col=6&amp;number=3.3&amp;sourceID=14","3.3")</f>
        <v>3.3</v>
      </c>
      <c r="G6907" s="4" t="str">
        <f>HYPERLINK("http://141.218.60.56/~jnz1568/getInfo.php?workbook=14_09.xlsx&amp;sheet=U0&amp;row=6907&amp;col=7&amp;number=0.00595&amp;sourceID=14","0.00595")</f>
        <v>0.00595</v>
      </c>
    </row>
    <row r="6908" spans="1:7">
      <c r="A6908" s="3"/>
      <c r="B6908" s="3"/>
      <c r="C6908" s="3"/>
      <c r="D6908" s="3"/>
      <c r="E6908" s="3">
        <v>5</v>
      </c>
      <c r="F6908" s="4" t="str">
        <f>HYPERLINK("http://141.218.60.56/~jnz1568/getInfo.php?workbook=14_09.xlsx&amp;sheet=U0&amp;row=6908&amp;col=6&amp;number=3.4&amp;sourceID=14","3.4")</f>
        <v>3.4</v>
      </c>
      <c r="G6908" s="4" t="str">
        <f>HYPERLINK("http://141.218.60.56/~jnz1568/getInfo.php?workbook=14_09.xlsx&amp;sheet=U0&amp;row=6908&amp;col=7&amp;number=0.00595&amp;sourceID=14","0.00595")</f>
        <v>0.00595</v>
      </c>
    </row>
    <row r="6909" spans="1:7">
      <c r="A6909" s="3"/>
      <c r="B6909" s="3"/>
      <c r="C6909" s="3"/>
      <c r="D6909" s="3"/>
      <c r="E6909" s="3">
        <v>6</v>
      </c>
      <c r="F6909" s="4" t="str">
        <f>HYPERLINK("http://141.218.60.56/~jnz1568/getInfo.php?workbook=14_09.xlsx&amp;sheet=U0&amp;row=6909&amp;col=6&amp;number=3.5&amp;sourceID=14","3.5")</f>
        <v>3.5</v>
      </c>
      <c r="G6909" s="4" t="str">
        <f>HYPERLINK("http://141.218.60.56/~jnz1568/getInfo.php?workbook=14_09.xlsx&amp;sheet=U0&amp;row=6909&amp;col=7&amp;number=0.00594&amp;sourceID=14","0.00594")</f>
        <v>0.00594</v>
      </c>
    </row>
    <row r="6910" spans="1:7">
      <c r="A6910" s="3"/>
      <c r="B6910" s="3"/>
      <c r="C6910" s="3"/>
      <c r="D6910" s="3"/>
      <c r="E6910" s="3">
        <v>7</v>
      </c>
      <c r="F6910" s="4" t="str">
        <f>HYPERLINK("http://141.218.60.56/~jnz1568/getInfo.php?workbook=14_09.xlsx&amp;sheet=U0&amp;row=6910&amp;col=6&amp;number=3.6&amp;sourceID=14","3.6")</f>
        <v>3.6</v>
      </c>
      <c r="G6910" s="4" t="str">
        <f>HYPERLINK("http://141.218.60.56/~jnz1568/getInfo.php?workbook=14_09.xlsx&amp;sheet=U0&amp;row=6910&amp;col=7&amp;number=0.00593&amp;sourceID=14","0.00593")</f>
        <v>0.00593</v>
      </c>
    </row>
    <row r="6911" spans="1:7">
      <c r="A6911" s="3"/>
      <c r="B6911" s="3"/>
      <c r="C6911" s="3"/>
      <c r="D6911" s="3"/>
      <c r="E6911" s="3">
        <v>8</v>
      </c>
      <c r="F6911" s="4" t="str">
        <f>HYPERLINK("http://141.218.60.56/~jnz1568/getInfo.php?workbook=14_09.xlsx&amp;sheet=U0&amp;row=6911&amp;col=6&amp;number=3.7&amp;sourceID=14","3.7")</f>
        <v>3.7</v>
      </c>
      <c r="G6911" s="4" t="str">
        <f>HYPERLINK("http://141.218.60.56/~jnz1568/getInfo.php?workbook=14_09.xlsx&amp;sheet=U0&amp;row=6911&amp;col=7&amp;number=0.00592&amp;sourceID=14","0.00592")</f>
        <v>0.00592</v>
      </c>
    </row>
    <row r="6912" spans="1:7">
      <c r="A6912" s="3"/>
      <c r="B6912" s="3"/>
      <c r="C6912" s="3"/>
      <c r="D6912" s="3"/>
      <c r="E6912" s="3">
        <v>9</v>
      </c>
      <c r="F6912" s="4" t="str">
        <f>HYPERLINK("http://141.218.60.56/~jnz1568/getInfo.php?workbook=14_09.xlsx&amp;sheet=U0&amp;row=6912&amp;col=6&amp;number=3.8&amp;sourceID=14","3.8")</f>
        <v>3.8</v>
      </c>
      <c r="G6912" s="4" t="str">
        <f>HYPERLINK("http://141.218.60.56/~jnz1568/getInfo.php?workbook=14_09.xlsx&amp;sheet=U0&amp;row=6912&amp;col=7&amp;number=0.0059&amp;sourceID=14","0.0059")</f>
        <v>0.0059</v>
      </c>
    </row>
    <row r="6913" spans="1:7">
      <c r="A6913" s="3"/>
      <c r="B6913" s="3"/>
      <c r="C6913" s="3"/>
      <c r="D6913" s="3"/>
      <c r="E6913" s="3">
        <v>10</v>
      </c>
      <c r="F6913" s="4" t="str">
        <f>HYPERLINK("http://141.218.60.56/~jnz1568/getInfo.php?workbook=14_09.xlsx&amp;sheet=U0&amp;row=6913&amp;col=6&amp;number=3.9&amp;sourceID=14","3.9")</f>
        <v>3.9</v>
      </c>
      <c r="G6913" s="4" t="str">
        <f>HYPERLINK("http://141.218.60.56/~jnz1568/getInfo.php?workbook=14_09.xlsx&amp;sheet=U0&amp;row=6913&amp;col=7&amp;number=0.00588&amp;sourceID=14","0.00588")</f>
        <v>0.00588</v>
      </c>
    </row>
    <row r="6914" spans="1:7">
      <c r="A6914" s="3"/>
      <c r="B6914" s="3"/>
      <c r="C6914" s="3"/>
      <c r="D6914" s="3"/>
      <c r="E6914" s="3">
        <v>11</v>
      </c>
      <c r="F6914" s="4" t="str">
        <f>HYPERLINK("http://141.218.60.56/~jnz1568/getInfo.php?workbook=14_09.xlsx&amp;sheet=U0&amp;row=6914&amp;col=6&amp;number=4&amp;sourceID=14","4")</f>
        <v>4</v>
      </c>
      <c r="G6914" s="4" t="str">
        <f>HYPERLINK("http://141.218.60.56/~jnz1568/getInfo.php?workbook=14_09.xlsx&amp;sheet=U0&amp;row=6914&amp;col=7&amp;number=0.00586&amp;sourceID=14","0.00586")</f>
        <v>0.00586</v>
      </c>
    </row>
    <row r="6915" spans="1:7">
      <c r="A6915" s="3"/>
      <c r="B6915" s="3"/>
      <c r="C6915" s="3"/>
      <c r="D6915" s="3"/>
      <c r="E6915" s="3">
        <v>12</v>
      </c>
      <c r="F6915" s="4" t="str">
        <f>HYPERLINK("http://141.218.60.56/~jnz1568/getInfo.php?workbook=14_09.xlsx&amp;sheet=U0&amp;row=6915&amp;col=6&amp;number=4.1&amp;sourceID=14","4.1")</f>
        <v>4.1</v>
      </c>
      <c r="G6915" s="4" t="str">
        <f>HYPERLINK("http://141.218.60.56/~jnz1568/getInfo.php?workbook=14_09.xlsx&amp;sheet=U0&amp;row=6915&amp;col=7&amp;number=0.00583&amp;sourceID=14","0.00583")</f>
        <v>0.00583</v>
      </c>
    </row>
    <row r="6916" spans="1:7">
      <c r="A6916" s="3"/>
      <c r="B6916" s="3"/>
      <c r="C6916" s="3"/>
      <c r="D6916" s="3"/>
      <c r="E6916" s="3">
        <v>13</v>
      </c>
      <c r="F6916" s="4" t="str">
        <f>HYPERLINK("http://141.218.60.56/~jnz1568/getInfo.php?workbook=14_09.xlsx&amp;sheet=U0&amp;row=6916&amp;col=6&amp;number=4.2&amp;sourceID=14","4.2")</f>
        <v>4.2</v>
      </c>
      <c r="G6916" s="4" t="str">
        <f>HYPERLINK("http://141.218.60.56/~jnz1568/getInfo.php?workbook=14_09.xlsx&amp;sheet=U0&amp;row=6916&amp;col=7&amp;number=0.00579&amp;sourceID=14","0.00579")</f>
        <v>0.00579</v>
      </c>
    </row>
    <row r="6917" spans="1:7">
      <c r="A6917" s="3"/>
      <c r="B6917" s="3"/>
      <c r="C6917" s="3"/>
      <c r="D6917" s="3"/>
      <c r="E6917" s="3">
        <v>14</v>
      </c>
      <c r="F6917" s="4" t="str">
        <f>HYPERLINK("http://141.218.60.56/~jnz1568/getInfo.php?workbook=14_09.xlsx&amp;sheet=U0&amp;row=6917&amp;col=6&amp;number=4.3&amp;sourceID=14","4.3")</f>
        <v>4.3</v>
      </c>
      <c r="G6917" s="4" t="str">
        <f>HYPERLINK("http://141.218.60.56/~jnz1568/getInfo.php?workbook=14_09.xlsx&amp;sheet=U0&amp;row=6917&amp;col=7&amp;number=0.00575&amp;sourceID=14","0.00575")</f>
        <v>0.00575</v>
      </c>
    </row>
    <row r="6918" spans="1:7">
      <c r="A6918" s="3"/>
      <c r="B6918" s="3"/>
      <c r="C6918" s="3"/>
      <c r="D6918" s="3"/>
      <c r="E6918" s="3">
        <v>15</v>
      </c>
      <c r="F6918" s="4" t="str">
        <f>HYPERLINK("http://141.218.60.56/~jnz1568/getInfo.php?workbook=14_09.xlsx&amp;sheet=U0&amp;row=6918&amp;col=6&amp;number=4.4&amp;sourceID=14","4.4")</f>
        <v>4.4</v>
      </c>
      <c r="G6918" s="4" t="str">
        <f>HYPERLINK("http://141.218.60.56/~jnz1568/getInfo.php?workbook=14_09.xlsx&amp;sheet=U0&amp;row=6918&amp;col=7&amp;number=0.00569&amp;sourceID=14","0.00569")</f>
        <v>0.00569</v>
      </c>
    </row>
    <row r="6919" spans="1:7">
      <c r="A6919" s="3"/>
      <c r="B6919" s="3"/>
      <c r="C6919" s="3"/>
      <c r="D6919" s="3"/>
      <c r="E6919" s="3">
        <v>16</v>
      </c>
      <c r="F6919" s="4" t="str">
        <f>HYPERLINK("http://141.218.60.56/~jnz1568/getInfo.php?workbook=14_09.xlsx&amp;sheet=U0&amp;row=6919&amp;col=6&amp;number=4.5&amp;sourceID=14","4.5")</f>
        <v>4.5</v>
      </c>
      <c r="G6919" s="4" t="str">
        <f>HYPERLINK("http://141.218.60.56/~jnz1568/getInfo.php?workbook=14_09.xlsx&amp;sheet=U0&amp;row=6919&amp;col=7&amp;number=0.00562&amp;sourceID=14","0.00562")</f>
        <v>0.00562</v>
      </c>
    </row>
    <row r="6920" spans="1:7">
      <c r="A6920" s="3"/>
      <c r="B6920" s="3"/>
      <c r="C6920" s="3"/>
      <c r="D6920" s="3"/>
      <c r="E6920" s="3">
        <v>17</v>
      </c>
      <c r="F6920" s="4" t="str">
        <f>HYPERLINK("http://141.218.60.56/~jnz1568/getInfo.php?workbook=14_09.xlsx&amp;sheet=U0&amp;row=6920&amp;col=6&amp;number=4.6&amp;sourceID=14","4.6")</f>
        <v>4.6</v>
      </c>
      <c r="G6920" s="4" t="str">
        <f>HYPERLINK("http://141.218.60.56/~jnz1568/getInfo.php?workbook=14_09.xlsx&amp;sheet=U0&amp;row=6920&amp;col=7&amp;number=0.00553&amp;sourceID=14","0.00553")</f>
        <v>0.00553</v>
      </c>
    </row>
    <row r="6921" spans="1:7">
      <c r="A6921" s="3"/>
      <c r="B6921" s="3"/>
      <c r="C6921" s="3"/>
      <c r="D6921" s="3"/>
      <c r="E6921" s="3">
        <v>18</v>
      </c>
      <c r="F6921" s="4" t="str">
        <f>HYPERLINK("http://141.218.60.56/~jnz1568/getInfo.php?workbook=14_09.xlsx&amp;sheet=U0&amp;row=6921&amp;col=6&amp;number=4.7&amp;sourceID=14","4.7")</f>
        <v>4.7</v>
      </c>
      <c r="G6921" s="4" t="str">
        <f>HYPERLINK("http://141.218.60.56/~jnz1568/getInfo.php?workbook=14_09.xlsx&amp;sheet=U0&amp;row=6921&amp;col=7&amp;number=0.00542&amp;sourceID=14","0.00542")</f>
        <v>0.00542</v>
      </c>
    </row>
    <row r="6922" spans="1:7">
      <c r="A6922" s="3"/>
      <c r="B6922" s="3"/>
      <c r="C6922" s="3"/>
      <c r="D6922" s="3"/>
      <c r="E6922" s="3">
        <v>19</v>
      </c>
      <c r="F6922" s="4" t="str">
        <f>HYPERLINK("http://141.218.60.56/~jnz1568/getInfo.php?workbook=14_09.xlsx&amp;sheet=U0&amp;row=6922&amp;col=6&amp;number=4.8&amp;sourceID=14","4.8")</f>
        <v>4.8</v>
      </c>
      <c r="G6922" s="4" t="str">
        <f>HYPERLINK("http://141.218.60.56/~jnz1568/getInfo.php?workbook=14_09.xlsx&amp;sheet=U0&amp;row=6922&amp;col=7&amp;number=0.00528&amp;sourceID=14","0.00528")</f>
        <v>0.00528</v>
      </c>
    </row>
    <row r="6923" spans="1:7">
      <c r="A6923" s="3"/>
      <c r="B6923" s="3"/>
      <c r="C6923" s="3"/>
      <c r="D6923" s="3"/>
      <c r="E6923" s="3">
        <v>20</v>
      </c>
      <c r="F6923" s="4" t="str">
        <f>HYPERLINK("http://141.218.60.56/~jnz1568/getInfo.php?workbook=14_09.xlsx&amp;sheet=U0&amp;row=6923&amp;col=6&amp;number=4.9&amp;sourceID=14","4.9")</f>
        <v>4.9</v>
      </c>
      <c r="G6923" s="4" t="str">
        <f>HYPERLINK("http://141.218.60.56/~jnz1568/getInfo.php?workbook=14_09.xlsx&amp;sheet=U0&amp;row=6923&amp;col=7&amp;number=0.00511&amp;sourceID=14","0.00511")</f>
        <v>0.00511</v>
      </c>
    </row>
    <row r="6924" spans="1:7">
      <c r="A6924" s="3">
        <v>14</v>
      </c>
      <c r="B6924" s="3">
        <v>9</v>
      </c>
      <c r="C6924" s="3">
        <v>2</v>
      </c>
      <c r="D6924" s="3">
        <v>155</v>
      </c>
      <c r="E6924" s="3">
        <v>1</v>
      </c>
      <c r="F6924" s="4" t="str">
        <f>HYPERLINK("http://141.218.60.56/~jnz1568/getInfo.php?workbook=14_09.xlsx&amp;sheet=U0&amp;row=6924&amp;col=6&amp;number=3&amp;sourceID=14","3")</f>
        <v>3</v>
      </c>
      <c r="G6924" s="4" t="str">
        <f>HYPERLINK("http://141.218.60.56/~jnz1568/getInfo.php?workbook=14_09.xlsx&amp;sheet=U0&amp;row=6924&amp;col=7&amp;number=0.00338&amp;sourceID=14","0.00338")</f>
        <v>0.00338</v>
      </c>
    </row>
    <row r="6925" spans="1:7">
      <c r="A6925" s="3"/>
      <c r="B6925" s="3"/>
      <c r="C6925" s="3"/>
      <c r="D6925" s="3"/>
      <c r="E6925" s="3">
        <v>2</v>
      </c>
      <c r="F6925" s="4" t="str">
        <f>HYPERLINK("http://141.218.60.56/~jnz1568/getInfo.php?workbook=14_09.xlsx&amp;sheet=U0&amp;row=6925&amp;col=6&amp;number=3.1&amp;sourceID=14","3.1")</f>
        <v>3.1</v>
      </c>
      <c r="G6925" s="4" t="str">
        <f>HYPERLINK("http://141.218.60.56/~jnz1568/getInfo.php?workbook=14_09.xlsx&amp;sheet=U0&amp;row=6925&amp;col=7&amp;number=0.00337&amp;sourceID=14","0.00337")</f>
        <v>0.00337</v>
      </c>
    </row>
    <row r="6926" spans="1:7">
      <c r="A6926" s="3"/>
      <c r="B6926" s="3"/>
      <c r="C6926" s="3"/>
      <c r="D6926" s="3"/>
      <c r="E6926" s="3">
        <v>3</v>
      </c>
      <c r="F6926" s="4" t="str">
        <f>HYPERLINK("http://141.218.60.56/~jnz1568/getInfo.php?workbook=14_09.xlsx&amp;sheet=U0&amp;row=6926&amp;col=6&amp;number=3.2&amp;sourceID=14","3.2")</f>
        <v>3.2</v>
      </c>
      <c r="G6926" s="4" t="str">
        <f>HYPERLINK("http://141.218.60.56/~jnz1568/getInfo.php?workbook=14_09.xlsx&amp;sheet=U0&amp;row=6926&amp;col=7&amp;number=0.00337&amp;sourceID=14","0.00337")</f>
        <v>0.00337</v>
      </c>
    </row>
    <row r="6927" spans="1:7">
      <c r="A6927" s="3"/>
      <c r="B6927" s="3"/>
      <c r="C6927" s="3"/>
      <c r="D6927" s="3"/>
      <c r="E6927" s="3">
        <v>4</v>
      </c>
      <c r="F6927" s="4" t="str">
        <f>HYPERLINK("http://141.218.60.56/~jnz1568/getInfo.php?workbook=14_09.xlsx&amp;sheet=U0&amp;row=6927&amp;col=6&amp;number=3.3&amp;sourceID=14","3.3")</f>
        <v>3.3</v>
      </c>
      <c r="G6927" s="4" t="str">
        <f>HYPERLINK("http://141.218.60.56/~jnz1568/getInfo.php?workbook=14_09.xlsx&amp;sheet=U0&amp;row=6927&amp;col=7&amp;number=0.00337&amp;sourceID=14","0.00337")</f>
        <v>0.00337</v>
      </c>
    </row>
    <row r="6928" spans="1:7">
      <c r="A6928" s="3"/>
      <c r="B6928" s="3"/>
      <c r="C6928" s="3"/>
      <c r="D6928" s="3"/>
      <c r="E6928" s="3">
        <v>5</v>
      </c>
      <c r="F6928" s="4" t="str">
        <f>HYPERLINK("http://141.218.60.56/~jnz1568/getInfo.php?workbook=14_09.xlsx&amp;sheet=U0&amp;row=6928&amp;col=6&amp;number=3.4&amp;sourceID=14","3.4")</f>
        <v>3.4</v>
      </c>
      <c r="G6928" s="4" t="str">
        <f>HYPERLINK("http://141.218.60.56/~jnz1568/getInfo.php?workbook=14_09.xlsx&amp;sheet=U0&amp;row=6928&amp;col=7&amp;number=0.00336&amp;sourceID=14","0.00336")</f>
        <v>0.00336</v>
      </c>
    </row>
    <row r="6929" spans="1:7">
      <c r="A6929" s="3"/>
      <c r="B6929" s="3"/>
      <c r="C6929" s="3"/>
      <c r="D6929" s="3"/>
      <c r="E6929" s="3">
        <v>6</v>
      </c>
      <c r="F6929" s="4" t="str">
        <f>HYPERLINK("http://141.218.60.56/~jnz1568/getInfo.php?workbook=14_09.xlsx&amp;sheet=U0&amp;row=6929&amp;col=6&amp;number=3.5&amp;sourceID=14","3.5")</f>
        <v>3.5</v>
      </c>
      <c r="G6929" s="4" t="str">
        <f>HYPERLINK("http://141.218.60.56/~jnz1568/getInfo.php?workbook=14_09.xlsx&amp;sheet=U0&amp;row=6929&amp;col=7&amp;number=0.00336&amp;sourceID=14","0.00336")</f>
        <v>0.00336</v>
      </c>
    </row>
    <row r="6930" spans="1:7">
      <c r="A6930" s="3"/>
      <c r="B6930" s="3"/>
      <c r="C6930" s="3"/>
      <c r="D6930" s="3"/>
      <c r="E6930" s="3">
        <v>7</v>
      </c>
      <c r="F6930" s="4" t="str">
        <f>HYPERLINK("http://141.218.60.56/~jnz1568/getInfo.php?workbook=14_09.xlsx&amp;sheet=U0&amp;row=6930&amp;col=6&amp;number=3.6&amp;sourceID=14","3.6")</f>
        <v>3.6</v>
      </c>
      <c r="G6930" s="4" t="str">
        <f>HYPERLINK("http://141.218.60.56/~jnz1568/getInfo.php?workbook=14_09.xlsx&amp;sheet=U0&amp;row=6930&amp;col=7&amp;number=0.00335&amp;sourceID=14","0.00335")</f>
        <v>0.00335</v>
      </c>
    </row>
    <row r="6931" spans="1:7">
      <c r="A6931" s="3"/>
      <c r="B6931" s="3"/>
      <c r="C6931" s="3"/>
      <c r="D6931" s="3"/>
      <c r="E6931" s="3">
        <v>8</v>
      </c>
      <c r="F6931" s="4" t="str">
        <f>HYPERLINK("http://141.218.60.56/~jnz1568/getInfo.php?workbook=14_09.xlsx&amp;sheet=U0&amp;row=6931&amp;col=6&amp;number=3.7&amp;sourceID=14","3.7")</f>
        <v>3.7</v>
      </c>
      <c r="G6931" s="4" t="str">
        <f>HYPERLINK("http://141.218.60.56/~jnz1568/getInfo.php?workbook=14_09.xlsx&amp;sheet=U0&amp;row=6931&amp;col=7&amp;number=0.00334&amp;sourceID=14","0.00334")</f>
        <v>0.00334</v>
      </c>
    </row>
    <row r="6932" spans="1:7">
      <c r="A6932" s="3"/>
      <c r="B6932" s="3"/>
      <c r="C6932" s="3"/>
      <c r="D6932" s="3"/>
      <c r="E6932" s="3">
        <v>9</v>
      </c>
      <c r="F6932" s="4" t="str">
        <f>HYPERLINK("http://141.218.60.56/~jnz1568/getInfo.php?workbook=14_09.xlsx&amp;sheet=U0&amp;row=6932&amp;col=6&amp;number=3.8&amp;sourceID=14","3.8")</f>
        <v>3.8</v>
      </c>
      <c r="G6932" s="4" t="str">
        <f>HYPERLINK("http://141.218.60.56/~jnz1568/getInfo.php?workbook=14_09.xlsx&amp;sheet=U0&amp;row=6932&amp;col=7&amp;number=0.00333&amp;sourceID=14","0.00333")</f>
        <v>0.00333</v>
      </c>
    </row>
    <row r="6933" spans="1:7">
      <c r="A6933" s="3"/>
      <c r="B6933" s="3"/>
      <c r="C6933" s="3"/>
      <c r="D6933" s="3"/>
      <c r="E6933" s="3">
        <v>10</v>
      </c>
      <c r="F6933" s="4" t="str">
        <f>HYPERLINK("http://141.218.60.56/~jnz1568/getInfo.php?workbook=14_09.xlsx&amp;sheet=U0&amp;row=6933&amp;col=6&amp;number=3.9&amp;sourceID=14","3.9")</f>
        <v>3.9</v>
      </c>
      <c r="G6933" s="4" t="str">
        <f>HYPERLINK("http://141.218.60.56/~jnz1568/getInfo.php?workbook=14_09.xlsx&amp;sheet=U0&amp;row=6933&amp;col=7&amp;number=0.00331&amp;sourceID=14","0.00331")</f>
        <v>0.00331</v>
      </c>
    </row>
    <row r="6934" spans="1:7">
      <c r="A6934" s="3"/>
      <c r="B6934" s="3"/>
      <c r="C6934" s="3"/>
      <c r="D6934" s="3"/>
      <c r="E6934" s="3">
        <v>11</v>
      </c>
      <c r="F6934" s="4" t="str">
        <f>HYPERLINK("http://141.218.60.56/~jnz1568/getInfo.php?workbook=14_09.xlsx&amp;sheet=U0&amp;row=6934&amp;col=6&amp;number=4&amp;sourceID=14","4")</f>
        <v>4</v>
      </c>
      <c r="G6934" s="4" t="str">
        <f>HYPERLINK("http://141.218.60.56/~jnz1568/getInfo.php?workbook=14_09.xlsx&amp;sheet=U0&amp;row=6934&amp;col=7&amp;number=0.00329&amp;sourceID=14","0.00329")</f>
        <v>0.00329</v>
      </c>
    </row>
    <row r="6935" spans="1:7">
      <c r="A6935" s="3"/>
      <c r="B6935" s="3"/>
      <c r="C6935" s="3"/>
      <c r="D6935" s="3"/>
      <c r="E6935" s="3">
        <v>12</v>
      </c>
      <c r="F6935" s="4" t="str">
        <f>HYPERLINK("http://141.218.60.56/~jnz1568/getInfo.php?workbook=14_09.xlsx&amp;sheet=U0&amp;row=6935&amp;col=6&amp;number=4.1&amp;sourceID=14","4.1")</f>
        <v>4.1</v>
      </c>
      <c r="G6935" s="4" t="str">
        <f>HYPERLINK("http://141.218.60.56/~jnz1568/getInfo.php?workbook=14_09.xlsx&amp;sheet=U0&amp;row=6935&amp;col=7&amp;number=0.00327&amp;sourceID=14","0.00327")</f>
        <v>0.00327</v>
      </c>
    </row>
    <row r="6936" spans="1:7">
      <c r="A6936" s="3"/>
      <c r="B6936" s="3"/>
      <c r="C6936" s="3"/>
      <c r="D6936" s="3"/>
      <c r="E6936" s="3">
        <v>13</v>
      </c>
      <c r="F6936" s="4" t="str">
        <f>HYPERLINK("http://141.218.60.56/~jnz1568/getInfo.php?workbook=14_09.xlsx&amp;sheet=U0&amp;row=6936&amp;col=6&amp;number=4.2&amp;sourceID=14","4.2")</f>
        <v>4.2</v>
      </c>
      <c r="G6936" s="4" t="str">
        <f>HYPERLINK("http://141.218.60.56/~jnz1568/getInfo.php?workbook=14_09.xlsx&amp;sheet=U0&amp;row=6936&amp;col=7&amp;number=0.00324&amp;sourceID=14","0.00324")</f>
        <v>0.00324</v>
      </c>
    </row>
    <row r="6937" spans="1:7">
      <c r="A6937" s="3"/>
      <c r="B6937" s="3"/>
      <c r="C6937" s="3"/>
      <c r="D6937" s="3"/>
      <c r="E6937" s="3">
        <v>14</v>
      </c>
      <c r="F6937" s="4" t="str">
        <f>HYPERLINK("http://141.218.60.56/~jnz1568/getInfo.php?workbook=14_09.xlsx&amp;sheet=U0&amp;row=6937&amp;col=6&amp;number=4.3&amp;sourceID=14","4.3")</f>
        <v>4.3</v>
      </c>
      <c r="G6937" s="4" t="str">
        <f>HYPERLINK("http://141.218.60.56/~jnz1568/getInfo.php?workbook=14_09.xlsx&amp;sheet=U0&amp;row=6937&amp;col=7&amp;number=0.00321&amp;sourceID=14","0.00321")</f>
        <v>0.00321</v>
      </c>
    </row>
    <row r="6938" spans="1:7">
      <c r="A6938" s="3"/>
      <c r="B6938" s="3"/>
      <c r="C6938" s="3"/>
      <c r="D6938" s="3"/>
      <c r="E6938" s="3">
        <v>15</v>
      </c>
      <c r="F6938" s="4" t="str">
        <f>HYPERLINK("http://141.218.60.56/~jnz1568/getInfo.php?workbook=14_09.xlsx&amp;sheet=U0&amp;row=6938&amp;col=6&amp;number=4.4&amp;sourceID=14","4.4")</f>
        <v>4.4</v>
      </c>
      <c r="G6938" s="4" t="str">
        <f>HYPERLINK("http://141.218.60.56/~jnz1568/getInfo.php?workbook=14_09.xlsx&amp;sheet=U0&amp;row=6938&amp;col=7&amp;number=0.00316&amp;sourceID=14","0.00316")</f>
        <v>0.00316</v>
      </c>
    </row>
    <row r="6939" spans="1:7">
      <c r="A6939" s="3"/>
      <c r="B6939" s="3"/>
      <c r="C6939" s="3"/>
      <c r="D6939" s="3"/>
      <c r="E6939" s="3">
        <v>16</v>
      </c>
      <c r="F6939" s="4" t="str">
        <f>HYPERLINK("http://141.218.60.56/~jnz1568/getInfo.php?workbook=14_09.xlsx&amp;sheet=U0&amp;row=6939&amp;col=6&amp;number=4.5&amp;sourceID=14","4.5")</f>
        <v>4.5</v>
      </c>
      <c r="G6939" s="4" t="str">
        <f>HYPERLINK("http://141.218.60.56/~jnz1568/getInfo.php?workbook=14_09.xlsx&amp;sheet=U0&amp;row=6939&amp;col=7&amp;number=0.00311&amp;sourceID=14","0.00311")</f>
        <v>0.00311</v>
      </c>
    </row>
    <row r="6940" spans="1:7">
      <c r="A6940" s="3"/>
      <c r="B6940" s="3"/>
      <c r="C6940" s="3"/>
      <c r="D6940" s="3"/>
      <c r="E6940" s="3">
        <v>17</v>
      </c>
      <c r="F6940" s="4" t="str">
        <f>HYPERLINK("http://141.218.60.56/~jnz1568/getInfo.php?workbook=14_09.xlsx&amp;sheet=U0&amp;row=6940&amp;col=6&amp;number=4.6&amp;sourceID=14","4.6")</f>
        <v>4.6</v>
      </c>
      <c r="G6940" s="4" t="str">
        <f>HYPERLINK("http://141.218.60.56/~jnz1568/getInfo.php?workbook=14_09.xlsx&amp;sheet=U0&amp;row=6940&amp;col=7&amp;number=0.00305&amp;sourceID=14","0.00305")</f>
        <v>0.00305</v>
      </c>
    </row>
    <row r="6941" spans="1:7">
      <c r="A6941" s="3"/>
      <c r="B6941" s="3"/>
      <c r="C6941" s="3"/>
      <c r="D6941" s="3"/>
      <c r="E6941" s="3">
        <v>18</v>
      </c>
      <c r="F6941" s="4" t="str">
        <f>HYPERLINK("http://141.218.60.56/~jnz1568/getInfo.php?workbook=14_09.xlsx&amp;sheet=U0&amp;row=6941&amp;col=6&amp;number=4.7&amp;sourceID=14","4.7")</f>
        <v>4.7</v>
      </c>
      <c r="G6941" s="4" t="str">
        <f>HYPERLINK("http://141.218.60.56/~jnz1568/getInfo.php?workbook=14_09.xlsx&amp;sheet=U0&amp;row=6941&amp;col=7&amp;number=0.00297&amp;sourceID=14","0.00297")</f>
        <v>0.00297</v>
      </c>
    </row>
    <row r="6942" spans="1:7">
      <c r="A6942" s="3"/>
      <c r="B6942" s="3"/>
      <c r="C6942" s="3"/>
      <c r="D6942" s="3"/>
      <c r="E6942" s="3">
        <v>19</v>
      </c>
      <c r="F6942" s="4" t="str">
        <f>HYPERLINK("http://141.218.60.56/~jnz1568/getInfo.php?workbook=14_09.xlsx&amp;sheet=U0&amp;row=6942&amp;col=6&amp;number=4.8&amp;sourceID=14","4.8")</f>
        <v>4.8</v>
      </c>
      <c r="G6942" s="4" t="str">
        <f>HYPERLINK("http://141.218.60.56/~jnz1568/getInfo.php?workbook=14_09.xlsx&amp;sheet=U0&amp;row=6942&amp;col=7&amp;number=0.00289&amp;sourceID=14","0.00289")</f>
        <v>0.00289</v>
      </c>
    </row>
    <row r="6943" spans="1:7">
      <c r="A6943" s="3"/>
      <c r="B6943" s="3"/>
      <c r="C6943" s="3"/>
      <c r="D6943" s="3"/>
      <c r="E6943" s="3">
        <v>20</v>
      </c>
      <c r="F6943" s="4" t="str">
        <f>HYPERLINK("http://141.218.60.56/~jnz1568/getInfo.php?workbook=14_09.xlsx&amp;sheet=U0&amp;row=6943&amp;col=6&amp;number=4.9&amp;sourceID=14","4.9")</f>
        <v>4.9</v>
      </c>
      <c r="G6943" s="4" t="str">
        <f>HYPERLINK("http://141.218.60.56/~jnz1568/getInfo.php?workbook=14_09.xlsx&amp;sheet=U0&amp;row=6943&amp;col=7&amp;number=0.0028&amp;sourceID=14","0.0028")</f>
        <v>0.0028</v>
      </c>
    </row>
    <row r="6944" spans="1:7">
      <c r="A6944" s="3">
        <v>14</v>
      </c>
      <c r="B6944" s="3">
        <v>9</v>
      </c>
      <c r="C6944" s="3">
        <v>2</v>
      </c>
      <c r="D6944" s="3">
        <v>156</v>
      </c>
      <c r="E6944" s="3">
        <v>1</v>
      </c>
      <c r="F6944" s="4" t="str">
        <f>HYPERLINK("http://141.218.60.56/~jnz1568/getInfo.php?workbook=14_09.xlsx&amp;sheet=U0&amp;row=6944&amp;col=6&amp;number=3&amp;sourceID=14","3")</f>
        <v>3</v>
      </c>
      <c r="G6944" s="4" t="str">
        <f>HYPERLINK("http://141.218.60.56/~jnz1568/getInfo.php?workbook=14_09.xlsx&amp;sheet=U0&amp;row=6944&amp;col=7&amp;number=0.0078&amp;sourceID=14","0.0078")</f>
        <v>0.0078</v>
      </c>
    </row>
    <row r="6945" spans="1:7">
      <c r="A6945" s="3"/>
      <c r="B6945" s="3"/>
      <c r="C6945" s="3"/>
      <c r="D6945" s="3"/>
      <c r="E6945" s="3">
        <v>2</v>
      </c>
      <c r="F6945" s="4" t="str">
        <f>HYPERLINK("http://141.218.60.56/~jnz1568/getInfo.php?workbook=14_09.xlsx&amp;sheet=U0&amp;row=6945&amp;col=6&amp;number=3.1&amp;sourceID=14","3.1")</f>
        <v>3.1</v>
      </c>
      <c r="G6945" s="4" t="str">
        <f>HYPERLINK("http://141.218.60.56/~jnz1568/getInfo.php?workbook=14_09.xlsx&amp;sheet=U0&amp;row=6945&amp;col=7&amp;number=0.0078&amp;sourceID=14","0.0078")</f>
        <v>0.0078</v>
      </c>
    </row>
    <row r="6946" spans="1:7">
      <c r="A6946" s="3"/>
      <c r="B6946" s="3"/>
      <c r="C6946" s="3"/>
      <c r="D6946" s="3"/>
      <c r="E6946" s="3">
        <v>3</v>
      </c>
      <c r="F6946" s="4" t="str">
        <f>HYPERLINK("http://141.218.60.56/~jnz1568/getInfo.php?workbook=14_09.xlsx&amp;sheet=U0&amp;row=6946&amp;col=6&amp;number=3.2&amp;sourceID=14","3.2")</f>
        <v>3.2</v>
      </c>
      <c r="G6946" s="4" t="str">
        <f>HYPERLINK("http://141.218.60.56/~jnz1568/getInfo.php?workbook=14_09.xlsx&amp;sheet=U0&amp;row=6946&amp;col=7&amp;number=0.00779&amp;sourceID=14","0.00779")</f>
        <v>0.00779</v>
      </c>
    </row>
    <row r="6947" spans="1:7">
      <c r="A6947" s="3"/>
      <c r="B6947" s="3"/>
      <c r="C6947" s="3"/>
      <c r="D6947" s="3"/>
      <c r="E6947" s="3">
        <v>4</v>
      </c>
      <c r="F6947" s="4" t="str">
        <f>HYPERLINK("http://141.218.60.56/~jnz1568/getInfo.php?workbook=14_09.xlsx&amp;sheet=U0&amp;row=6947&amp;col=6&amp;number=3.3&amp;sourceID=14","3.3")</f>
        <v>3.3</v>
      </c>
      <c r="G6947" s="4" t="str">
        <f>HYPERLINK("http://141.218.60.56/~jnz1568/getInfo.php?workbook=14_09.xlsx&amp;sheet=U0&amp;row=6947&amp;col=7&amp;number=0.00779&amp;sourceID=14","0.00779")</f>
        <v>0.00779</v>
      </c>
    </row>
    <row r="6948" spans="1:7">
      <c r="A6948" s="3"/>
      <c r="B6948" s="3"/>
      <c r="C6948" s="3"/>
      <c r="D6948" s="3"/>
      <c r="E6948" s="3">
        <v>5</v>
      </c>
      <c r="F6948" s="4" t="str">
        <f>HYPERLINK("http://141.218.60.56/~jnz1568/getInfo.php?workbook=14_09.xlsx&amp;sheet=U0&amp;row=6948&amp;col=6&amp;number=3.4&amp;sourceID=14","3.4")</f>
        <v>3.4</v>
      </c>
      <c r="G6948" s="4" t="str">
        <f>HYPERLINK("http://141.218.60.56/~jnz1568/getInfo.php?workbook=14_09.xlsx&amp;sheet=U0&amp;row=6948&amp;col=7&amp;number=0.00778&amp;sourceID=14","0.00778")</f>
        <v>0.00778</v>
      </c>
    </row>
    <row r="6949" spans="1:7">
      <c r="A6949" s="3"/>
      <c r="B6949" s="3"/>
      <c r="C6949" s="3"/>
      <c r="D6949" s="3"/>
      <c r="E6949" s="3">
        <v>6</v>
      </c>
      <c r="F6949" s="4" t="str">
        <f>HYPERLINK("http://141.218.60.56/~jnz1568/getInfo.php?workbook=14_09.xlsx&amp;sheet=U0&amp;row=6949&amp;col=6&amp;number=3.5&amp;sourceID=14","3.5")</f>
        <v>3.5</v>
      </c>
      <c r="G6949" s="4" t="str">
        <f>HYPERLINK("http://141.218.60.56/~jnz1568/getInfo.php?workbook=14_09.xlsx&amp;sheet=U0&amp;row=6949&amp;col=7&amp;number=0.00776&amp;sourceID=14","0.00776")</f>
        <v>0.00776</v>
      </c>
    </row>
    <row r="6950" spans="1:7">
      <c r="A6950" s="3"/>
      <c r="B6950" s="3"/>
      <c r="C6950" s="3"/>
      <c r="D6950" s="3"/>
      <c r="E6950" s="3">
        <v>7</v>
      </c>
      <c r="F6950" s="4" t="str">
        <f>HYPERLINK("http://141.218.60.56/~jnz1568/getInfo.php?workbook=14_09.xlsx&amp;sheet=U0&amp;row=6950&amp;col=6&amp;number=3.6&amp;sourceID=14","3.6")</f>
        <v>3.6</v>
      </c>
      <c r="G6950" s="4" t="str">
        <f>HYPERLINK("http://141.218.60.56/~jnz1568/getInfo.php?workbook=14_09.xlsx&amp;sheet=U0&amp;row=6950&amp;col=7&amp;number=0.00775&amp;sourceID=14","0.00775")</f>
        <v>0.00775</v>
      </c>
    </row>
    <row r="6951" spans="1:7">
      <c r="A6951" s="3"/>
      <c r="B6951" s="3"/>
      <c r="C6951" s="3"/>
      <c r="D6951" s="3"/>
      <c r="E6951" s="3">
        <v>8</v>
      </c>
      <c r="F6951" s="4" t="str">
        <f>HYPERLINK("http://141.218.60.56/~jnz1568/getInfo.php?workbook=14_09.xlsx&amp;sheet=U0&amp;row=6951&amp;col=6&amp;number=3.7&amp;sourceID=14","3.7")</f>
        <v>3.7</v>
      </c>
      <c r="G6951" s="4" t="str">
        <f>HYPERLINK("http://141.218.60.56/~jnz1568/getInfo.php?workbook=14_09.xlsx&amp;sheet=U0&amp;row=6951&amp;col=7&amp;number=0.00773&amp;sourceID=14","0.00773")</f>
        <v>0.00773</v>
      </c>
    </row>
    <row r="6952" spans="1:7">
      <c r="A6952" s="3"/>
      <c r="B6952" s="3"/>
      <c r="C6952" s="3"/>
      <c r="D6952" s="3"/>
      <c r="E6952" s="3">
        <v>9</v>
      </c>
      <c r="F6952" s="4" t="str">
        <f>HYPERLINK("http://141.218.60.56/~jnz1568/getInfo.php?workbook=14_09.xlsx&amp;sheet=U0&amp;row=6952&amp;col=6&amp;number=3.8&amp;sourceID=14","3.8")</f>
        <v>3.8</v>
      </c>
      <c r="G6952" s="4" t="str">
        <f>HYPERLINK("http://141.218.60.56/~jnz1568/getInfo.php?workbook=14_09.xlsx&amp;sheet=U0&amp;row=6952&amp;col=7&amp;number=0.00771&amp;sourceID=14","0.00771")</f>
        <v>0.00771</v>
      </c>
    </row>
    <row r="6953" spans="1:7">
      <c r="A6953" s="3"/>
      <c r="B6953" s="3"/>
      <c r="C6953" s="3"/>
      <c r="D6953" s="3"/>
      <c r="E6953" s="3">
        <v>10</v>
      </c>
      <c r="F6953" s="4" t="str">
        <f>HYPERLINK("http://141.218.60.56/~jnz1568/getInfo.php?workbook=14_09.xlsx&amp;sheet=U0&amp;row=6953&amp;col=6&amp;number=3.9&amp;sourceID=14","3.9")</f>
        <v>3.9</v>
      </c>
      <c r="G6953" s="4" t="str">
        <f>HYPERLINK("http://141.218.60.56/~jnz1568/getInfo.php?workbook=14_09.xlsx&amp;sheet=U0&amp;row=6953&amp;col=7&amp;number=0.00768&amp;sourceID=14","0.00768")</f>
        <v>0.00768</v>
      </c>
    </row>
    <row r="6954" spans="1:7">
      <c r="A6954" s="3"/>
      <c r="B6954" s="3"/>
      <c r="C6954" s="3"/>
      <c r="D6954" s="3"/>
      <c r="E6954" s="3">
        <v>11</v>
      </c>
      <c r="F6954" s="4" t="str">
        <f>HYPERLINK("http://141.218.60.56/~jnz1568/getInfo.php?workbook=14_09.xlsx&amp;sheet=U0&amp;row=6954&amp;col=6&amp;number=4&amp;sourceID=14","4")</f>
        <v>4</v>
      </c>
      <c r="G6954" s="4" t="str">
        <f>HYPERLINK("http://141.218.60.56/~jnz1568/getInfo.php?workbook=14_09.xlsx&amp;sheet=U0&amp;row=6954&amp;col=7&amp;number=0.00765&amp;sourceID=14","0.00765")</f>
        <v>0.00765</v>
      </c>
    </row>
    <row r="6955" spans="1:7">
      <c r="A6955" s="3"/>
      <c r="B6955" s="3"/>
      <c r="C6955" s="3"/>
      <c r="D6955" s="3"/>
      <c r="E6955" s="3">
        <v>12</v>
      </c>
      <c r="F6955" s="4" t="str">
        <f>HYPERLINK("http://141.218.60.56/~jnz1568/getInfo.php?workbook=14_09.xlsx&amp;sheet=U0&amp;row=6955&amp;col=6&amp;number=4.1&amp;sourceID=14","4.1")</f>
        <v>4.1</v>
      </c>
      <c r="G6955" s="4" t="str">
        <f>HYPERLINK("http://141.218.60.56/~jnz1568/getInfo.php?workbook=14_09.xlsx&amp;sheet=U0&amp;row=6955&amp;col=7&amp;number=0.0076&amp;sourceID=14","0.0076")</f>
        <v>0.0076</v>
      </c>
    </row>
    <row r="6956" spans="1:7">
      <c r="A6956" s="3"/>
      <c r="B6956" s="3"/>
      <c r="C6956" s="3"/>
      <c r="D6956" s="3"/>
      <c r="E6956" s="3">
        <v>13</v>
      </c>
      <c r="F6956" s="4" t="str">
        <f>HYPERLINK("http://141.218.60.56/~jnz1568/getInfo.php?workbook=14_09.xlsx&amp;sheet=U0&amp;row=6956&amp;col=6&amp;number=4.2&amp;sourceID=14","4.2")</f>
        <v>4.2</v>
      </c>
      <c r="G6956" s="4" t="str">
        <f>HYPERLINK("http://141.218.60.56/~jnz1568/getInfo.php?workbook=14_09.xlsx&amp;sheet=U0&amp;row=6956&amp;col=7&amp;number=0.00755&amp;sourceID=14","0.00755")</f>
        <v>0.00755</v>
      </c>
    </row>
    <row r="6957" spans="1:7">
      <c r="A6957" s="3"/>
      <c r="B6957" s="3"/>
      <c r="C6957" s="3"/>
      <c r="D6957" s="3"/>
      <c r="E6957" s="3">
        <v>14</v>
      </c>
      <c r="F6957" s="4" t="str">
        <f>HYPERLINK("http://141.218.60.56/~jnz1568/getInfo.php?workbook=14_09.xlsx&amp;sheet=U0&amp;row=6957&amp;col=6&amp;number=4.3&amp;sourceID=14","4.3")</f>
        <v>4.3</v>
      </c>
      <c r="G6957" s="4" t="str">
        <f>HYPERLINK("http://141.218.60.56/~jnz1568/getInfo.php?workbook=14_09.xlsx&amp;sheet=U0&amp;row=6957&amp;col=7&amp;number=0.00748&amp;sourceID=14","0.00748")</f>
        <v>0.00748</v>
      </c>
    </row>
    <row r="6958" spans="1:7">
      <c r="A6958" s="3"/>
      <c r="B6958" s="3"/>
      <c r="C6958" s="3"/>
      <c r="D6958" s="3"/>
      <c r="E6958" s="3">
        <v>15</v>
      </c>
      <c r="F6958" s="4" t="str">
        <f>HYPERLINK("http://141.218.60.56/~jnz1568/getInfo.php?workbook=14_09.xlsx&amp;sheet=U0&amp;row=6958&amp;col=6&amp;number=4.4&amp;sourceID=14","4.4")</f>
        <v>4.4</v>
      </c>
      <c r="G6958" s="4" t="str">
        <f>HYPERLINK("http://141.218.60.56/~jnz1568/getInfo.php?workbook=14_09.xlsx&amp;sheet=U0&amp;row=6958&amp;col=7&amp;number=0.00739&amp;sourceID=14","0.00739")</f>
        <v>0.00739</v>
      </c>
    </row>
    <row r="6959" spans="1:7">
      <c r="A6959" s="3"/>
      <c r="B6959" s="3"/>
      <c r="C6959" s="3"/>
      <c r="D6959" s="3"/>
      <c r="E6959" s="3">
        <v>16</v>
      </c>
      <c r="F6959" s="4" t="str">
        <f>HYPERLINK("http://141.218.60.56/~jnz1568/getInfo.php?workbook=14_09.xlsx&amp;sheet=U0&amp;row=6959&amp;col=6&amp;number=4.5&amp;sourceID=14","4.5")</f>
        <v>4.5</v>
      </c>
      <c r="G6959" s="4" t="str">
        <f>HYPERLINK("http://141.218.60.56/~jnz1568/getInfo.php?workbook=14_09.xlsx&amp;sheet=U0&amp;row=6959&amp;col=7&amp;number=0.00729&amp;sourceID=14","0.00729")</f>
        <v>0.00729</v>
      </c>
    </row>
    <row r="6960" spans="1:7">
      <c r="A6960" s="3"/>
      <c r="B6960" s="3"/>
      <c r="C6960" s="3"/>
      <c r="D6960" s="3"/>
      <c r="E6960" s="3">
        <v>17</v>
      </c>
      <c r="F6960" s="4" t="str">
        <f>HYPERLINK("http://141.218.60.56/~jnz1568/getInfo.php?workbook=14_09.xlsx&amp;sheet=U0&amp;row=6960&amp;col=6&amp;number=4.6&amp;sourceID=14","4.6")</f>
        <v>4.6</v>
      </c>
      <c r="G6960" s="4" t="str">
        <f>HYPERLINK("http://141.218.60.56/~jnz1568/getInfo.php?workbook=14_09.xlsx&amp;sheet=U0&amp;row=6960&amp;col=7&amp;number=0.00716&amp;sourceID=14","0.00716")</f>
        <v>0.00716</v>
      </c>
    </row>
    <row r="6961" spans="1:7">
      <c r="A6961" s="3"/>
      <c r="B6961" s="3"/>
      <c r="C6961" s="3"/>
      <c r="D6961" s="3"/>
      <c r="E6961" s="3">
        <v>18</v>
      </c>
      <c r="F6961" s="4" t="str">
        <f>HYPERLINK("http://141.218.60.56/~jnz1568/getInfo.php?workbook=14_09.xlsx&amp;sheet=U0&amp;row=6961&amp;col=6&amp;number=4.7&amp;sourceID=14","4.7")</f>
        <v>4.7</v>
      </c>
      <c r="G6961" s="4" t="str">
        <f>HYPERLINK("http://141.218.60.56/~jnz1568/getInfo.php?workbook=14_09.xlsx&amp;sheet=U0&amp;row=6961&amp;col=7&amp;number=0.00699&amp;sourceID=14","0.00699")</f>
        <v>0.00699</v>
      </c>
    </row>
    <row r="6962" spans="1:7">
      <c r="A6962" s="3"/>
      <c r="B6962" s="3"/>
      <c r="C6962" s="3"/>
      <c r="D6962" s="3"/>
      <c r="E6962" s="3">
        <v>19</v>
      </c>
      <c r="F6962" s="4" t="str">
        <f>HYPERLINK("http://141.218.60.56/~jnz1568/getInfo.php?workbook=14_09.xlsx&amp;sheet=U0&amp;row=6962&amp;col=6&amp;number=4.8&amp;sourceID=14","4.8")</f>
        <v>4.8</v>
      </c>
      <c r="G6962" s="4" t="str">
        <f>HYPERLINK("http://141.218.60.56/~jnz1568/getInfo.php?workbook=14_09.xlsx&amp;sheet=U0&amp;row=6962&amp;col=7&amp;number=0.0068&amp;sourceID=14","0.0068")</f>
        <v>0.0068</v>
      </c>
    </row>
    <row r="6963" spans="1:7">
      <c r="A6963" s="3"/>
      <c r="B6963" s="3"/>
      <c r="C6963" s="3"/>
      <c r="D6963" s="3"/>
      <c r="E6963" s="3">
        <v>20</v>
      </c>
      <c r="F6963" s="4" t="str">
        <f>HYPERLINK("http://141.218.60.56/~jnz1568/getInfo.php?workbook=14_09.xlsx&amp;sheet=U0&amp;row=6963&amp;col=6&amp;number=4.9&amp;sourceID=14","4.9")</f>
        <v>4.9</v>
      </c>
      <c r="G6963" s="4" t="str">
        <f>HYPERLINK("http://141.218.60.56/~jnz1568/getInfo.php?workbook=14_09.xlsx&amp;sheet=U0&amp;row=6963&amp;col=7&amp;number=0.00656&amp;sourceID=14","0.00656")</f>
        <v>0.00656</v>
      </c>
    </row>
    <row r="6964" spans="1:7">
      <c r="A6964" s="3">
        <v>14</v>
      </c>
      <c r="B6964" s="3">
        <v>9</v>
      </c>
      <c r="C6964" s="3">
        <v>2</v>
      </c>
      <c r="D6964" s="3">
        <v>157</v>
      </c>
      <c r="E6964" s="3">
        <v>1</v>
      </c>
      <c r="F6964" s="4" t="str">
        <f>HYPERLINK("http://141.218.60.56/~jnz1568/getInfo.php?workbook=14_09.xlsx&amp;sheet=U0&amp;row=6964&amp;col=6&amp;number=3&amp;sourceID=14","3")</f>
        <v>3</v>
      </c>
      <c r="G6964" s="4" t="str">
        <f>HYPERLINK("http://141.218.60.56/~jnz1568/getInfo.php?workbook=14_09.xlsx&amp;sheet=U0&amp;row=6964&amp;col=7&amp;number=0.0119&amp;sourceID=14","0.0119")</f>
        <v>0.0119</v>
      </c>
    </row>
    <row r="6965" spans="1:7">
      <c r="A6965" s="3"/>
      <c r="B6965" s="3"/>
      <c r="C6965" s="3"/>
      <c r="D6965" s="3"/>
      <c r="E6965" s="3">
        <v>2</v>
      </c>
      <c r="F6965" s="4" t="str">
        <f>HYPERLINK("http://141.218.60.56/~jnz1568/getInfo.php?workbook=14_09.xlsx&amp;sheet=U0&amp;row=6965&amp;col=6&amp;number=3.1&amp;sourceID=14","3.1")</f>
        <v>3.1</v>
      </c>
      <c r="G6965" s="4" t="str">
        <f>HYPERLINK("http://141.218.60.56/~jnz1568/getInfo.php?workbook=14_09.xlsx&amp;sheet=U0&amp;row=6965&amp;col=7&amp;number=0.0119&amp;sourceID=14","0.0119")</f>
        <v>0.0119</v>
      </c>
    </row>
    <row r="6966" spans="1:7">
      <c r="A6966" s="3"/>
      <c r="B6966" s="3"/>
      <c r="C6966" s="3"/>
      <c r="D6966" s="3"/>
      <c r="E6966" s="3">
        <v>3</v>
      </c>
      <c r="F6966" s="4" t="str">
        <f>HYPERLINK("http://141.218.60.56/~jnz1568/getInfo.php?workbook=14_09.xlsx&amp;sheet=U0&amp;row=6966&amp;col=6&amp;number=3.2&amp;sourceID=14","3.2")</f>
        <v>3.2</v>
      </c>
      <c r="G6966" s="4" t="str">
        <f>HYPERLINK("http://141.218.60.56/~jnz1568/getInfo.php?workbook=14_09.xlsx&amp;sheet=U0&amp;row=6966&amp;col=7&amp;number=0.0119&amp;sourceID=14","0.0119")</f>
        <v>0.0119</v>
      </c>
    </row>
    <row r="6967" spans="1:7">
      <c r="A6967" s="3"/>
      <c r="B6967" s="3"/>
      <c r="C6967" s="3"/>
      <c r="D6967" s="3"/>
      <c r="E6967" s="3">
        <v>4</v>
      </c>
      <c r="F6967" s="4" t="str">
        <f>HYPERLINK("http://141.218.60.56/~jnz1568/getInfo.php?workbook=14_09.xlsx&amp;sheet=U0&amp;row=6967&amp;col=6&amp;number=3.3&amp;sourceID=14","3.3")</f>
        <v>3.3</v>
      </c>
      <c r="G6967" s="4" t="str">
        <f>HYPERLINK("http://141.218.60.56/~jnz1568/getInfo.php?workbook=14_09.xlsx&amp;sheet=U0&amp;row=6967&amp;col=7&amp;number=0.0119&amp;sourceID=14","0.0119")</f>
        <v>0.0119</v>
      </c>
    </row>
    <row r="6968" spans="1:7">
      <c r="A6968" s="3"/>
      <c r="B6968" s="3"/>
      <c r="C6968" s="3"/>
      <c r="D6968" s="3"/>
      <c r="E6968" s="3">
        <v>5</v>
      </c>
      <c r="F6968" s="4" t="str">
        <f>HYPERLINK("http://141.218.60.56/~jnz1568/getInfo.php?workbook=14_09.xlsx&amp;sheet=U0&amp;row=6968&amp;col=6&amp;number=3.4&amp;sourceID=14","3.4")</f>
        <v>3.4</v>
      </c>
      <c r="G6968" s="4" t="str">
        <f>HYPERLINK("http://141.218.60.56/~jnz1568/getInfo.php?workbook=14_09.xlsx&amp;sheet=U0&amp;row=6968&amp;col=7&amp;number=0.0119&amp;sourceID=14","0.0119")</f>
        <v>0.0119</v>
      </c>
    </row>
    <row r="6969" spans="1:7">
      <c r="A6969" s="3"/>
      <c r="B6969" s="3"/>
      <c r="C6969" s="3"/>
      <c r="D6969" s="3"/>
      <c r="E6969" s="3">
        <v>6</v>
      </c>
      <c r="F6969" s="4" t="str">
        <f>HYPERLINK("http://141.218.60.56/~jnz1568/getInfo.php?workbook=14_09.xlsx&amp;sheet=U0&amp;row=6969&amp;col=6&amp;number=3.5&amp;sourceID=14","3.5")</f>
        <v>3.5</v>
      </c>
      <c r="G6969" s="4" t="str">
        <f>HYPERLINK("http://141.218.60.56/~jnz1568/getInfo.php?workbook=14_09.xlsx&amp;sheet=U0&amp;row=6969&amp;col=7&amp;number=0.0119&amp;sourceID=14","0.0119")</f>
        <v>0.0119</v>
      </c>
    </row>
    <row r="6970" spans="1:7">
      <c r="A6970" s="3"/>
      <c r="B6970" s="3"/>
      <c r="C6970" s="3"/>
      <c r="D6970" s="3"/>
      <c r="E6970" s="3">
        <v>7</v>
      </c>
      <c r="F6970" s="4" t="str">
        <f>HYPERLINK("http://141.218.60.56/~jnz1568/getInfo.php?workbook=14_09.xlsx&amp;sheet=U0&amp;row=6970&amp;col=6&amp;number=3.6&amp;sourceID=14","3.6")</f>
        <v>3.6</v>
      </c>
      <c r="G6970" s="4" t="str">
        <f>HYPERLINK("http://141.218.60.56/~jnz1568/getInfo.php?workbook=14_09.xlsx&amp;sheet=U0&amp;row=6970&amp;col=7&amp;number=0.0118&amp;sourceID=14","0.0118")</f>
        <v>0.0118</v>
      </c>
    </row>
    <row r="6971" spans="1:7">
      <c r="A6971" s="3"/>
      <c r="B6971" s="3"/>
      <c r="C6971" s="3"/>
      <c r="D6971" s="3"/>
      <c r="E6971" s="3">
        <v>8</v>
      </c>
      <c r="F6971" s="4" t="str">
        <f>HYPERLINK("http://141.218.60.56/~jnz1568/getInfo.php?workbook=14_09.xlsx&amp;sheet=U0&amp;row=6971&amp;col=6&amp;number=3.7&amp;sourceID=14","3.7")</f>
        <v>3.7</v>
      </c>
      <c r="G6971" s="4" t="str">
        <f>HYPERLINK("http://141.218.60.56/~jnz1568/getInfo.php?workbook=14_09.xlsx&amp;sheet=U0&amp;row=6971&amp;col=7&amp;number=0.0118&amp;sourceID=14","0.0118")</f>
        <v>0.0118</v>
      </c>
    </row>
    <row r="6972" spans="1:7">
      <c r="A6972" s="3"/>
      <c r="B6972" s="3"/>
      <c r="C6972" s="3"/>
      <c r="D6972" s="3"/>
      <c r="E6972" s="3">
        <v>9</v>
      </c>
      <c r="F6972" s="4" t="str">
        <f>HYPERLINK("http://141.218.60.56/~jnz1568/getInfo.php?workbook=14_09.xlsx&amp;sheet=U0&amp;row=6972&amp;col=6&amp;number=3.8&amp;sourceID=14","3.8")</f>
        <v>3.8</v>
      </c>
      <c r="G6972" s="4" t="str">
        <f>HYPERLINK("http://141.218.60.56/~jnz1568/getInfo.php?workbook=14_09.xlsx&amp;sheet=U0&amp;row=6972&amp;col=7&amp;number=0.0118&amp;sourceID=14","0.0118")</f>
        <v>0.0118</v>
      </c>
    </row>
    <row r="6973" spans="1:7">
      <c r="A6973" s="3"/>
      <c r="B6973" s="3"/>
      <c r="C6973" s="3"/>
      <c r="D6973" s="3"/>
      <c r="E6973" s="3">
        <v>10</v>
      </c>
      <c r="F6973" s="4" t="str">
        <f>HYPERLINK("http://141.218.60.56/~jnz1568/getInfo.php?workbook=14_09.xlsx&amp;sheet=U0&amp;row=6973&amp;col=6&amp;number=3.9&amp;sourceID=14","3.9")</f>
        <v>3.9</v>
      </c>
      <c r="G6973" s="4" t="str">
        <f>HYPERLINK("http://141.218.60.56/~jnz1568/getInfo.php?workbook=14_09.xlsx&amp;sheet=U0&amp;row=6973&amp;col=7&amp;number=0.0118&amp;sourceID=14","0.0118")</f>
        <v>0.0118</v>
      </c>
    </row>
    <row r="6974" spans="1:7">
      <c r="A6974" s="3"/>
      <c r="B6974" s="3"/>
      <c r="C6974" s="3"/>
      <c r="D6974" s="3"/>
      <c r="E6974" s="3">
        <v>11</v>
      </c>
      <c r="F6974" s="4" t="str">
        <f>HYPERLINK("http://141.218.60.56/~jnz1568/getInfo.php?workbook=14_09.xlsx&amp;sheet=U0&amp;row=6974&amp;col=6&amp;number=4&amp;sourceID=14","4")</f>
        <v>4</v>
      </c>
      <c r="G6974" s="4" t="str">
        <f>HYPERLINK("http://141.218.60.56/~jnz1568/getInfo.php?workbook=14_09.xlsx&amp;sheet=U0&amp;row=6974&amp;col=7&amp;number=0.0117&amp;sourceID=14","0.0117")</f>
        <v>0.0117</v>
      </c>
    </row>
    <row r="6975" spans="1:7">
      <c r="A6975" s="3"/>
      <c r="B6975" s="3"/>
      <c r="C6975" s="3"/>
      <c r="D6975" s="3"/>
      <c r="E6975" s="3">
        <v>12</v>
      </c>
      <c r="F6975" s="4" t="str">
        <f>HYPERLINK("http://141.218.60.56/~jnz1568/getInfo.php?workbook=14_09.xlsx&amp;sheet=U0&amp;row=6975&amp;col=6&amp;number=4.1&amp;sourceID=14","4.1")</f>
        <v>4.1</v>
      </c>
      <c r="G6975" s="4" t="str">
        <f>HYPERLINK("http://141.218.60.56/~jnz1568/getInfo.php?workbook=14_09.xlsx&amp;sheet=U0&amp;row=6975&amp;col=7&amp;number=0.0117&amp;sourceID=14","0.0117")</f>
        <v>0.0117</v>
      </c>
    </row>
    <row r="6976" spans="1:7">
      <c r="A6976" s="3"/>
      <c r="B6976" s="3"/>
      <c r="C6976" s="3"/>
      <c r="D6976" s="3"/>
      <c r="E6976" s="3">
        <v>13</v>
      </c>
      <c r="F6976" s="4" t="str">
        <f>HYPERLINK("http://141.218.60.56/~jnz1568/getInfo.php?workbook=14_09.xlsx&amp;sheet=U0&amp;row=6976&amp;col=6&amp;number=4.2&amp;sourceID=14","4.2")</f>
        <v>4.2</v>
      </c>
      <c r="G6976" s="4" t="str">
        <f>HYPERLINK("http://141.218.60.56/~jnz1568/getInfo.php?workbook=14_09.xlsx&amp;sheet=U0&amp;row=6976&amp;col=7&amp;number=0.0116&amp;sourceID=14","0.0116")</f>
        <v>0.0116</v>
      </c>
    </row>
    <row r="6977" spans="1:7">
      <c r="A6977" s="3"/>
      <c r="B6977" s="3"/>
      <c r="C6977" s="3"/>
      <c r="D6977" s="3"/>
      <c r="E6977" s="3">
        <v>14</v>
      </c>
      <c r="F6977" s="4" t="str">
        <f>HYPERLINK("http://141.218.60.56/~jnz1568/getInfo.php?workbook=14_09.xlsx&amp;sheet=U0&amp;row=6977&amp;col=6&amp;number=4.3&amp;sourceID=14","4.3")</f>
        <v>4.3</v>
      </c>
      <c r="G6977" s="4" t="str">
        <f>HYPERLINK("http://141.218.60.56/~jnz1568/getInfo.php?workbook=14_09.xlsx&amp;sheet=U0&amp;row=6977&amp;col=7&amp;number=0.0116&amp;sourceID=14","0.0116")</f>
        <v>0.0116</v>
      </c>
    </row>
    <row r="6978" spans="1:7">
      <c r="A6978" s="3"/>
      <c r="B6978" s="3"/>
      <c r="C6978" s="3"/>
      <c r="D6978" s="3"/>
      <c r="E6978" s="3">
        <v>15</v>
      </c>
      <c r="F6978" s="4" t="str">
        <f>HYPERLINK("http://141.218.60.56/~jnz1568/getInfo.php?workbook=14_09.xlsx&amp;sheet=U0&amp;row=6978&amp;col=6&amp;number=4.4&amp;sourceID=14","4.4")</f>
        <v>4.4</v>
      </c>
      <c r="G6978" s="4" t="str">
        <f>HYPERLINK("http://141.218.60.56/~jnz1568/getInfo.php?workbook=14_09.xlsx&amp;sheet=U0&amp;row=6978&amp;col=7&amp;number=0.0115&amp;sourceID=14","0.0115")</f>
        <v>0.0115</v>
      </c>
    </row>
    <row r="6979" spans="1:7">
      <c r="A6979" s="3"/>
      <c r="B6979" s="3"/>
      <c r="C6979" s="3"/>
      <c r="D6979" s="3"/>
      <c r="E6979" s="3">
        <v>16</v>
      </c>
      <c r="F6979" s="4" t="str">
        <f>HYPERLINK("http://141.218.60.56/~jnz1568/getInfo.php?workbook=14_09.xlsx&amp;sheet=U0&amp;row=6979&amp;col=6&amp;number=4.5&amp;sourceID=14","4.5")</f>
        <v>4.5</v>
      </c>
      <c r="G6979" s="4" t="str">
        <f>HYPERLINK("http://141.218.60.56/~jnz1568/getInfo.php?workbook=14_09.xlsx&amp;sheet=U0&amp;row=6979&amp;col=7&amp;number=0.0114&amp;sourceID=14","0.0114")</f>
        <v>0.0114</v>
      </c>
    </row>
    <row r="6980" spans="1:7">
      <c r="A6980" s="3"/>
      <c r="B6980" s="3"/>
      <c r="C6980" s="3"/>
      <c r="D6980" s="3"/>
      <c r="E6980" s="3">
        <v>17</v>
      </c>
      <c r="F6980" s="4" t="str">
        <f>HYPERLINK("http://141.218.60.56/~jnz1568/getInfo.php?workbook=14_09.xlsx&amp;sheet=U0&amp;row=6980&amp;col=6&amp;number=4.6&amp;sourceID=14","4.6")</f>
        <v>4.6</v>
      </c>
      <c r="G6980" s="4" t="str">
        <f>HYPERLINK("http://141.218.60.56/~jnz1568/getInfo.php?workbook=14_09.xlsx&amp;sheet=U0&amp;row=6980&amp;col=7&amp;number=0.0112&amp;sourceID=14","0.0112")</f>
        <v>0.0112</v>
      </c>
    </row>
    <row r="6981" spans="1:7">
      <c r="A6981" s="3"/>
      <c r="B6981" s="3"/>
      <c r="C6981" s="3"/>
      <c r="D6981" s="3"/>
      <c r="E6981" s="3">
        <v>18</v>
      </c>
      <c r="F6981" s="4" t="str">
        <f>HYPERLINK("http://141.218.60.56/~jnz1568/getInfo.php?workbook=14_09.xlsx&amp;sheet=U0&amp;row=6981&amp;col=6&amp;number=4.7&amp;sourceID=14","4.7")</f>
        <v>4.7</v>
      </c>
      <c r="G6981" s="4" t="str">
        <f>HYPERLINK("http://141.218.60.56/~jnz1568/getInfo.php?workbook=14_09.xlsx&amp;sheet=U0&amp;row=6981&amp;col=7&amp;number=0.0111&amp;sourceID=14","0.0111")</f>
        <v>0.0111</v>
      </c>
    </row>
    <row r="6982" spans="1:7">
      <c r="A6982" s="3"/>
      <c r="B6982" s="3"/>
      <c r="C6982" s="3"/>
      <c r="D6982" s="3"/>
      <c r="E6982" s="3">
        <v>19</v>
      </c>
      <c r="F6982" s="4" t="str">
        <f>HYPERLINK("http://141.218.60.56/~jnz1568/getInfo.php?workbook=14_09.xlsx&amp;sheet=U0&amp;row=6982&amp;col=6&amp;number=4.8&amp;sourceID=14","4.8")</f>
        <v>4.8</v>
      </c>
      <c r="G6982" s="4" t="str">
        <f>HYPERLINK("http://141.218.60.56/~jnz1568/getInfo.php?workbook=14_09.xlsx&amp;sheet=U0&amp;row=6982&amp;col=7&amp;number=0.0109&amp;sourceID=14","0.0109")</f>
        <v>0.0109</v>
      </c>
    </row>
    <row r="6983" spans="1:7">
      <c r="A6983" s="3"/>
      <c r="B6983" s="3"/>
      <c r="C6983" s="3"/>
      <c r="D6983" s="3"/>
      <c r="E6983" s="3">
        <v>20</v>
      </c>
      <c r="F6983" s="4" t="str">
        <f>HYPERLINK("http://141.218.60.56/~jnz1568/getInfo.php?workbook=14_09.xlsx&amp;sheet=U0&amp;row=6983&amp;col=6&amp;number=4.9&amp;sourceID=14","4.9")</f>
        <v>4.9</v>
      </c>
      <c r="G6983" s="4" t="str">
        <f>HYPERLINK("http://141.218.60.56/~jnz1568/getInfo.php?workbook=14_09.xlsx&amp;sheet=U0&amp;row=6983&amp;col=7&amp;number=0.0106&amp;sourceID=14","0.0106")</f>
        <v>0.0106</v>
      </c>
    </row>
    <row r="6984" spans="1:7">
      <c r="A6984" s="3">
        <v>14</v>
      </c>
      <c r="B6984" s="3">
        <v>9</v>
      </c>
      <c r="C6984" s="3">
        <v>2</v>
      </c>
      <c r="D6984" s="3">
        <v>158</v>
      </c>
      <c r="E6984" s="3">
        <v>1</v>
      </c>
      <c r="F6984" s="4" t="str">
        <f>HYPERLINK("http://141.218.60.56/~jnz1568/getInfo.php?workbook=14_09.xlsx&amp;sheet=U0&amp;row=6984&amp;col=6&amp;number=3&amp;sourceID=14","3")</f>
        <v>3</v>
      </c>
      <c r="G6984" s="4" t="str">
        <f>HYPERLINK("http://141.218.60.56/~jnz1568/getInfo.php?workbook=14_09.xlsx&amp;sheet=U0&amp;row=6984&amp;col=7&amp;number=0.00503&amp;sourceID=14","0.00503")</f>
        <v>0.00503</v>
      </c>
    </row>
    <row r="6985" spans="1:7">
      <c r="A6985" s="3"/>
      <c r="B6985" s="3"/>
      <c r="C6985" s="3"/>
      <c r="D6985" s="3"/>
      <c r="E6985" s="3">
        <v>2</v>
      </c>
      <c r="F6985" s="4" t="str">
        <f>HYPERLINK("http://141.218.60.56/~jnz1568/getInfo.php?workbook=14_09.xlsx&amp;sheet=U0&amp;row=6985&amp;col=6&amp;number=3.1&amp;sourceID=14","3.1")</f>
        <v>3.1</v>
      </c>
      <c r="G6985" s="4" t="str">
        <f>HYPERLINK("http://141.218.60.56/~jnz1568/getInfo.php?workbook=14_09.xlsx&amp;sheet=U0&amp;row=6985&amp;col=7&amp;number=0.00503&amp;sourceID=14","0.00503")</f>
        <v>0.00503</v>
      </c>
    </row>
    <row r="6986" spans="1:7">
      <c r="A6986" s="3"/>
      <c r="B6986" s="3"/>
      <c r="C6986" s="3"/>
      <c r="D6986" s="3"/>
      <c r="E6986" s="3">
        <v>3</v>
      </c>
      <c r="F6986" s="4" t="str">
        <f>HYPERLINK("http://141.218.60.56/~jnz1568/getInfo.php?workbook=14_09.xlsx&amp;sheet=U0&amp;row=6986&amp;col=6&amp;number=3.2&amp;sourceID=14","3.2")</f>
        <v>3.2</v>
      </c>
      <c r="G6986" s="4" t="str">
        <f>HYPERLINK("http://141.218.60.56/~jnz1568/getInfo.php?workbook=14_09.xlsx&amp;sheet=U0&amp;row=6986&amp;col=7&amp;number=0.00502&amp;sourceID=14","0.00502")</f>
        <v>0.00502</v>
      </c>
    </row>
    <row r="6987" spans="1:7">
      <c r="A6987" s="3"/>
      <c r="B6987" s="3"/>
      <c r="C6987" s="3"/>
      <c r="D6987" s="3"/>
      <c r="E6987" s="3">
        <v>4</v>
      </c>
      <c r="F6987" s="4" t="str">
        <f>HYPERLINK("http://141.218.60.56/~jnz1568/getInfo.php?workbook=14_09.xlsx&amp;sheet=U0&amp;row=6987&amp;col=6&amp;number=3.3&amp;sourceID=14","3.3")</f>
        <v>3.3</v>
      </c>
      <c r="G6987" s="4" t="str">
        <f>HYPERLINK("http://141.218.60.56/~jnz1568/getInfo.php?workbook=14_09.xlsx&amp;sheet=U0&amp;row=6987&amp;col=7&amp;number=0.00502&amp;sourceID=14","0.00502")</f>
        <v>0.00502</v>
      </c>
    </row>
    <row r="6988" spans="1:7">
      <c r="A6988" s="3"/>
      <c r="B6988" s="3"/>
      <c r="C6988" s="3"/>
      <c r="D6988" s="3"/>
      <c r="E6988" s="3">
        <v>5</v>
      </c>
      <c r="F6988" s="4" t="str">
        <f>HYPERLINK("http://141.218.60.56/~jnz1568/getInfo.php?workbook=14_09.xlsx&amp;sheet=U0&amp;row=6988&amp;col=6&amp;number=3.4&amp;sourceID=14","3.4")</f>
        <v>3.4</v>
      </c>
      <c r="G6988" s="4" t="str">
        <f>HYPERLINK("http://141.218.60.56/~jnz1568/getInfo.php?workbook=14_09.xlsx&amp;sheet=U0&amp;row=6988&amp;col=7&amp;number=0.00501&amp;sourceID=14","0.00501")</f>
        <v>0.00501</v>
      </c>
    </row>
    <row r="6989" spans="1:7">
      <c r="A6989" s="3"/>
      <c r="B6989" s="3"/>
      <c r="C6989" s="3"/>
      <c r="D6989" s="3"/>
      <c r="E6989" s="3">
        <v>6</v>
      </c>
      <c r="F6989" s="4" t="str">
        <f>HYPERLINK("http://141.218.60.56/~jnz1568/getInfo.php?workbook=14_09.xlsx&amp;sheet=U0&amp;row=6989&amp;col=6&amp;number=3.5&amp;sourceID=14","3.5")</f>
        <v>3.5</v>
      </c>
      <c r="G6989" s="4" t="str">
        <f>HYPERLINK("http://141.218.60.56/~jnz1568/getInfo.php?workbook=14_09.xlsx&amp;sheet=U0&amp;row=6989&amp;col=7&amp;number=0.005&amp;sourceID=14","0.005")</f>
        <v>0.005</v>
      </c>
    </row>
    <row r="6990" spans="1:7">
      <c r="A6990" s="3"/>
      <c r="B6990" s="3"/>
      <c r="C6990" s="3"/>
      <c r="D6990" s="3"/>
      <c r="E6990" s="3">
        <v>7</v>
      </c>
      <c r="F6990" s="4" t="str">
        <f>HYPERLINK("http://141.218.60.56/~jnz1568/getInfo.php?workbook=14_09.xlsx&amp;sheet=U0&amp;row=6990&amp;col=6&amp;number=3.6&amp;sourceID=14","3.6")</f>
        <v>3.6</v>
      </c>
      <c r="G6990" s="4" t="str">
        <f>HYPERLINK("http://141.218.60.56/~jnz1568/getInfo.php?workbook=14_09.xlsx&amp;sheet=U0&amp;row=6990&amp;col=7&amp;number=0.00499&amp;sourceID=14","0.00499")</f>
        <v>0.00499</v>
      </c>
    </row>
    <row r="6991" spans="1:7">
      <c r="A6991" s="3"/>
      <c r="B6991" s="3"/>
      <c r="C6991" s="3"/>
      <c r="D6991" s="3"/>
      <c r="E6991" s="3">
        <v>8</v>
      </c>
      <c r="F6991" s="4" t="str">
        <f>HYPERLINK("http://141.218.60.56/~jnz1568/getInfo.php?workbook=14_09.xlsx&amp;sheet=U0&amp;row=6991&amp;col=6&amp;number=3.7&amp;sourceID=14","3.7")</f>
        <v>3.7</v>
      </c>
      <c r="G6991" s="4" t="str">
        <f>HYPERLINK("http://141.218.60.56/~jnz1568/getInfo.php?workbook=14_09.xlsx&amp;sheet=U0&amp;row=6991&amp;col=7&amp;number=0.00498&amp;sourceID=14","0.00498")</f>
        <v>0.00498</v>
      </c>
    </row>
    <row r="6992" spans="1:7">
      <c r="A6992" s="3"/>
      <c r="B6992" s="3"/>
      <c r="C6992" s="3"/>
      <c r="D6992" s="3"/>
      <c r="E6992" s="3">
        <v>9</v>
      </c>
      <c r="F6992" s="4" t="str">
        <f>HYPERLINK("http://141.218.60.56/~jnz1568/getInfo.php?workbook=14_09.xlsx&amp;sheet=U0&amp;row=6992&amp;col=6&amp;number=3.8&amp;sourceID=14","3.8")</f>
        <v>3.8</v>
      </c>
      <c r="G6992" s="4" t="str">
        <f>HYPERLINK("http://141.218.60.56/~jnz1568/getInfo.php?workbook=14_09.xlsx&amp;sheet=U0&amp;row=6992&amp;col=7&amp;number=0.00496&amp;sourceID=14","0.00496")</f>
        <v>0.00496</v>
      </c>
    </row>
    <row r="6993" spans="1:7">
      <c r="A6993" s="3"/>
      <c r="B6993" s="3"/>
      <c r="C6993" s="3"/>
      <c r="D6993" s="3"/>
      <c r="E6993" s="3">
        <v>10</v>
      </c>
      <c r="F6993" s="4" t="str">
        <f>HYPERLINK("http://141.218.60.56/~jnz1568/getInfo.php?workbook=14_09.xlsx&amp;sheet=U0&amp;row=6993&amp;col=6&amp;number=3.9&amp;sourceID=14","3.9")</f>
        <v>3.9</v>
      </c>
      <c r="G6993" s="4" t="str">
        <f>HYPERLINK("http://141.218.60.56/~jnz1568/getInfo.php?workbook=14_09.xlsx&amp;sheet=U0&amp;row=6993&amp;col=7&amp;number=0.00494&amp;sourceID=14","0.00494")</f>
        <v>0.00494</v>
      </c>
    </row>
    <row r="6994" spans="1:7">
      <c r="A6994" s="3"/>
      <c r="B6994" s="3"/>
      <c r="C6994" s="3"/>
      <c r="D6994" s="3"/>
      <c r="E6994" s="3">
        <v>11</v>
      </c>
      <c r="F6994" s="4" t="str">
        <f>HYPERLINK("http://141.218.60.56/~jnz1568/getInfo.php?workbook=14_09.xlsx&amp;sheet=U0&amp;row=6994&amp;col=6&amp;number=4&amp;sourceID=14","4")</f>
        <v>4</v>
      </c>
      <c r="G6994" s="4" t="str">
        <f>HYPERLINK("http://141.218.60.56/~jnz1568/getInfo.php?workbook=14_09.xlsx&amp;sheet=U0&amp;row=6994&amp;col=7&amp;number=0.00492&amp;sourceID=14","0.00492")</f>
        <v>0.00492</v>
      </c>
    </row>
    <row r="6995" spans="1:7">
      <c r="A6995" s="3"/>
      <c r="B6995" s="3"/>
      <c r="C6995" s="3"/>
      <c r="D6995" s="3"/>
      <c r="E6995" s="3">
        <v>12</v>
      </c>
      <c r="F6995" s="4" t="str">
        <f>HYPERLINK("http://141.218.60.56/~jnz1568/getInfo.php?workbook=14_09.xlsx&amp;sheet=U0&amp;row=6995&amp;col=6&amp;number=4.1&amp;sourceID=14","4.1")</f>
        <v>4.1</v>
      </c>
      <c r="G6995" s="4" t="str">
        <f>HYPERLINK("http://141.218.60.56/~jnz1568/getInfo.php?workbook=14_09.xlsx&amp;sheet=U0&amp;row=6995&amp;col=7&amp;number=0.00489&amp;sourceID=14","0.00489")</f>
        <v>0.00489</v>
      </c>
    </row>
    <row r="6996" spans="1:7">
      <c r="A6996" s="3"/>
      <c r="B6996" s="3"/>
      <c r="C6996" s="3"/>
      <c r="D6996" s="3"/>
      <c r="E6996" s="3">
        <v>13</v>
      </c>
      <c r="F6996" s="4" t="str">
        <f>HYPERLINK("http://141.218.60.56/~jnz1568/getInfo.php?workbook=14_09.xlsx&amp;sheet=U0&amp;row=6996&amp;col=6&amp;number=4.2&amp;sourceID=14","4.2")</f>
        <v>4.2</v>
      </c>
      <c r="G6996" s="4" t="str">
        <f>HYPERLINK("http://141.218.60.56/~jnz1568/getInfo.php?workbook=14_09.xlsx&amp;sheet=U0&amp;row=6996&amp;col=7&amp;number=0.00485&amp;sourceID=14","0.00485")</f>
        <v>0.00485</v>
      </c>
    </row>
    <row r="6997" spans="1:7">
      <c r="A6997" s="3"/>
      <c r="B6997" s="3"/>
      <c r="C6997" s="3"/>
      <c r="D6997" s="3"/>
      <c r="E6997" s="3">
        <v>14</v>
      </c>
      <c r="F6997" s="4" t="str">
        <f>HYPERLINK("http://141.218.60.56/~jnz1568/getInfo.php?workbook=14_09.xlsx&amp;sheet=U0&amp;row=6997&amp;col=6&amp;number=4.3&amp;sourceID=14","4.3")</f>
        <v>4.3</v>
      </c>
      <c r="G6997" s="4" t="str">
        <f>HYPERLINK("http://141.218.60.56/~jnz1568/getInfo.php?workbook=14_09.xlsx&amp;sheet=U0&amp;row=6997&amp;col=7&amp;number=0.0048&amp;sourceID=14","0.0048")</f>
        <v>0.0048</v>
      </c>
    </row>
    <row r="6998" spans="1:7">
      <c r="A6998" s="3"/>
      <c r="B6998" s="3"/>
      <c r="C6998" s="3"/>
      <c r="D6998" s="3"/>
      <c r="E6998" s="3">
        <v>15</v>
      </c>
      <c r="F6998" s="4" t="str">
        <f>HYPERLINK("http://141.218.60.56/~jnz1568/getInfo.php?workbook=14_09.xlsx&amp;sheet=U0&amp;row=6998&amp;col=6&amp;number=4.4&amp;sourceID=14","4.4")</f>
        <v>4.4</v>
      </c>
      <c r="G6998" s="4" t="str">
        <f>HYPERLINK("http://141.218.60.56/~jnz1568/getInfo.php?workbook=14_09.xlsx&amp;sheet=U0&amp;row=6998&amp;col=7&amp;number=0.00473&amp;sourceID=14","0.00473")</f>
        <v>0.00473</v>
      </c>
    </row>
    <row r="6999" spans="1:7">
      <c r="A6999" s="3"/>
      <c r="B6999" s="3"/>
      <c r="C6999" s="3"/>
      <c r="D6999" s="3"/>
      <c r="E6999" s="3">
        <v>16</v>
      </c>
      <c r="F6999" s="4" t="str">
        <f>HYPERLINK("http://141.218.60.56/~jnz1568/getInfo.php?workbook=14_09.xlsx&amp;sheet=U0&amp;row=6999&amp;col=6&amp;number=4.5&amp;sourceID=14","4.5")</f>
        <v>4.5</v>
      </c>
      <c r="G6999" s="4" t="str">
        <f>HYPERLINK("http://141.218.60.56/~jnz1568/getInfo.php?workbook=14_09.xlsx&amp;sheet=U0&amp;row=6999&amp;col=7&amp;number=0.00466&amp;sourceID=14","0.00466")</f>
        <v>0.00466</v>
      </c>
    </row>
    <row r="7000" spans="1:7">
      <c r="A7000" s="3"/>
      <c r="B7000" s="3"/>
      <c r="C7000" s="3"/>
      <c r="D7000" s="3"/>
      <c r="E7000" s="3">
        <v>17</v>
      </c>
      <c r="F7000" s="4" t="str">
        <f>HYPERLINK("http://141.218.60.56/~jnz1568/getInfo.php?workbook=14_09.xlsx&amp;sheet=U0&amp;row=7000&amp;col=6&amp;number=4.6&amp;sourceID=14","4.6")</f>
        <v>4.6</v>
      </c>
      <c r="G7000" s="4" t="str">
        <f>HYPERLINK("http://141.218.60.56/~jnz1568/getInfo.php?workbook=14_09.xlsx&amp;sheet=U0&amp;row=7000&amp;col=7&amp;number=0.00456&amp;sourceID=14","0.00456")</f>
        <v>0.00456</v>
      </c>
    </row>
    <row r="7001" spans="1:7">
      <c r="A7001" s="3"/>
      <c r="B7001" s="3"/>
      <c r="C7001" s="3"/>
      <c r="D7001" s="3"/>
      <c r="E7001" s="3">
        <v>18</v>
      </c>
      <c r="F7001" s="4" t="str">
        <f>HYPERLINK("http://141.218.60.56/~jnz1568/getInfo.php?workbook=14_09.xlsx&amp;sheet=U0&amp;row=7001&amp;col=6&amp;number=4.7&amp;sourceID=14","4.7")</f>
        <v>4.7</v>
      </c>
      <c r="G7001" s="4" t="str">
        <f>HYPERLINK("http://141.218.60.56/~jnz1568/getInfo.php?workbook=14_09.xlsx&amp;sheet=U0&amp;row=7001&amp;col=7&amp;number=0.00445&amp;sourceID=14","0.00445")</f>
        <v>0.00445</v>
      </c>
    </row>
    <row r="7002" spans="1:7">
      <c r="A7002" s="3"/>
      <c r="B7002" s="3"/>
      <c r="C7002" s="3"/>
      <c r="D7002" s="3"/>
      <c r="E7002" s="3">
        <v>19</v>
      </c>
      <c r="F7002" s="4" t="str">
        <f>HYPERLINK("http://141.218.60.56/~jnz1568/getInfo.php?workbook=14_09.xlsx&amp;sheet=U0&amp;row=7002&amp;col=6&amp;number=4.8&amp;sourceID=14","4.8")</f>
        <v>4.8</v>
      </c>
      <c r="G7002" s="4" t="str">
        <f>HYPERLINK("http://141.218.60.56/~jnz1568/getInfo.php?workbook=14_09.xlsx&amp;sheet=U0&amp;row=7002&amp;col=7&amp;number=0.00431&amp;sourceID=14","0.00431")</f>
        <v>0.00431</v>
      </c>
    </row>
    <row r="7003" spans="1:7">
      <c r="A7003" s="3"/>
      <c r="B7003" s="3"/>
      <c r="C7003" s="3"/>
      <c r="D7003" s="3"/>
      <c r="E7003" s="3">
        <v>20</v>
      </c>
      <c r="F7003" s="4" t="str">
        <f>HYPERLINK("http://141.218.60.56/~jnz1568/getInfo.php?workbook=14_09.xlsx&amp;sheet=U0&amp;row=7003&amp;col=6&amp;number=4.9&amp;sourceID=14","4.9")</f>
        <v>4.9</v>
      </c>
      <c r="G7003" s="4" t="str">
        <f>HYPERLINK("http://141.218.60.56/~jnz1568/getInfo.php?workbook=14_09.xlsx&amp;sheet=U0&amp;row=7003&amp;col=7&amp;number=0.00415&amp;sourceID=14","0.00415")</f>
        <v>0.00415</v>
      </c>
    </row>
    <row r="7004" spans="1:7">
      <c r="A7004" s="3">
        <v>14</v>
      </c>
      <c r="B7004" s="3">
        <v>9</v>
      </c>
      <c r="C7004" s="3">
        <v>2</v>
      </c>
      <c r="D7004" s="3">
        <v>159</v>
      </c>
      <c r="E7004" s="3">
        <v>1</v>
      </c>
      <c r="F7004" s="4" t="str">
        <f>HYPERLINK("http://141.218.60.56/~jnz1568/getInfo.php?workbook=14_09.xlsx&amp;sheet=U0&amp;row=7004&amp;col=6&amp;number=3&amp;sourceID=14","3")</f>
        <v>3</v>
      </c>
      <c r="G7004" s="4" t="str">
        <f>HYPERLINK("http://141.218.60.56/~jnz1568/getInfo.php?workbook=14_09.xlsx&amp;sheet=U0&amp;row=7004&amp;col=7&amp;number=0.00988&amp;sourceID=14","0.00988")</f>
        <v>0.00988</v>
      </c>
    </row>
    <row r="7005" spans="1:7">
      <c r="A7005" s="3"/>
      <c r="B7005" s="3"/>
      <c r="C7005" s="3"/>
      <c r="D7005" s="3"/>
      <c r="E7005" s="3">
        <v>2</v>
      </c>
      <c r="F7005" s="4" t="str">
        <f>HYPERLINK("http://141.218.60.56/~jnz1568/getInfo.php?workbook=14_09.xlsx&amp;sheet=U0&amp;row=7005&amp;col=6&amp;number=3.1&amp;sourceID=14","3.1")</f>
        <v>3.1</v>
      </c>
      <c r="G7005" s="4" t="str">
        <f>HYPERLINK("http://141.218.60.56/~jnz1568/getInfo.php?workbook=14_09.xlsx&amp;sheet=U0&amp;row=7005&amp;col=7&amp;number=0.00986&amp;sourceID=14","0.00986")</f>
        <v>0.00986</v>
      </c>
    </row>
    <row r="7006" spans="1:7">
      <c r="A7006" s="3"/>
      <c r="B7006" s="3"/>
      <c r="C7006" s="3"/>
      <c r="D7006" s="3"/>
      <c r="E7006" s="3">
        <v>3</v>
      </c>
      <c r="F7006" s="4" t="str">
        <f>HYPERLINK("http://141.218.60.56/~jnz1568/getInfo.php?workbook=14_09.xlsx&amp;sheet=U0&amp;row=7006&amp;col=6&amp;number=3.2&amp;sourceID=14","3.2")</f>
        <v>3.2</v>
      </c>
      <c r="G7006" s="4" t="str">
        <f>HYPERLINK("http://141.218.60.56/~jnz1568/getInfo.php?workbook=14_09.xlsx&amp;sheet=U0&amp;row=7006&amp;col=7&amp;number=0.00985&amp;sourceID=14","0.00985")</f>
        <v>0.00985</v>
      </c>
    </row>
    <row r="7007" spans="1:7">
      <c r="A7007" s="3"/>
      <c r="B7007" s="3"/>
      <c r="C7007" s="3"/>
      <c r="D7007" s="3"/>
      <c r="E7007" s="3">
        <v>4</v>
      </c>
      <c r="F7007" s="4" t="str">
        <f>HYPERLINK("http://141.218.60.56/~jnz1568/getInfo.php?workbook=14_09.xlsx&amp;sheet=U0&amp;row=7007&amp;col=6&amp;number=3.3&amp;sourceID=14","3.3")</f>
        <v>3.3</v>
      </c>
      <c r="G7007" s="4" t="str">
        <f>HYPERLINK("http://141.218.60.56/~jnz1568/getInfo.php?workbook=14_09.xlsx&amp;sheet=U0&amp;row=7007&amp;col=7&amp;number=0.00983&amp;sourceID=14","0.00983")</f>
        <v>0.00983</v>
      </c>
    </row>
    <row r="7008" spans="1:7">
      <c r="A7008" s="3"/>
      <c r="B7008" s="3"/>
      <c r="C7008" s="3"/>
      <c r="D7008" s="3"/>
      <c r="E7008" s="3">
        <v>5</v>
      </c>
      <c r="F7008" s="4" t="str">
        <f>HYPERLINK("http://141.218.60.56/~jnz1568/getInfo.php?workbook=14_09.xlsx&amp;sheet=U0&amp;row=7008&amp;col=6&amp;number=3.4&amp;sourceID=14","3.4")</f>
        <v>3.4</v>
      </c>
      <c r="G7008" s="4" t="str">
        <f>HYPERLINK("http://141.218.60.56/~jnz1568/getInfo.php?workbook=14_09.xlsx&amp;sheet=U0&amp;row=7008&amp;col=7&amp;number=0.00981&amp;sourceID=14","0.00981")</f>
        <v>0.00981</v>
      </c>
    </row>
    <row r="7009" spans="1:7">
      <c r="A7009" s="3"/>
      <c r="B7009" s="3"/>
      <c r="C7009" s="3"/>
      <c r="D7009" s="3"/>
      <c r="E7009" s="3">
        <v>6</v>
      </c>
      <c r="F7009" s="4" t="str">
        <f>HYPERLINK("http://141.218.60.56/~jnz1568/getInfo.php?workbook=14_09.xlsx&amp;sheet=U0&amp;row=7009&amp;col=6&amp;number=3.5&amp;sourceID=14","3.5")</f>
        <v>3.5</v>
      </c>
      <c r="G7009" s="4" t="str">
        <f>HYPERLINK("http://141.218.60.56/~jnz1568/getInfo.php?workbook=14_09.xlsx&amp;sheet=U0&amp;row=7009&amp;col=7&amp;number=0.00978&amp;sourceID=14","0.00978")</f>
        <v>0.00978</v>
      </c>
    </row>
    <row r="7010" spans="1:7">
      <c r="A7010" s="3"/>
      <c r="B7010" s="3"/>
      <c r="C7010" s="3"/>
      <c r="D7010" s="3"/>
      <c r="E7010" s="3">
        <v>7</v>
      </c>
      <c r="F7010" s="4" t="str">
        <f>HYPERLINK("http://141.218.60.56/~jnz1568/getInfo.php?workbook=14_09.xlsx&amp;sheet=U0&amp;row=7010&amp;col=6&amp;number=3.6&amp;sourceID=14","3.6")</f>
        <v>3.6</v>
      </c>
      <c r="G7010" s="4" t="str">
        <f>HYPERLINK("http://141.218.60.56/~jnz1568/getInfo.php?workbook=14_09.xlsx&amp;sheet=U0&amp;row=7010&amp;col=7&amp;number=0.00974&amp;sourceID=14","0.00974")</f>
        <v>0.00974</v>
      </c>
    </row>
    <row r="7011" spans="1:7">
      <c r="A7011" s="3"/>
      <c r="B7011" s="3"/>
      <c r="C7011" s="3"/>
      <c r="D7011" s="3"/>
      <c r="E7011" s="3">
        <v>8</v>
      </c>
      <c r="F7011" s="4" t="str">
        <f>HYPERLINK("http://141.218.60.56/~jnz1568/getInfo.php?workbook=14_09.xlsx&amp;sheet=U0&amp;row=7011&amp;col=6&amp;number=3.7&amp;sourceID=14","3.7")</f>
        <v>3.7</v>
      </c>
      <c r="G7011" s="4" t="str">
        <f>HYPERLINK("http://141.218.60.56/~jnz1568/getInfo.php?workbook=14_09.xlsx&amp;sheet=U0&amp;row=7011&amp;col=7&amp;number=0.00969&amp;sourceID=14","0.00969")</f>
        <v>0.00969</v>
      </c>
    </row>
    <row r="7012" spans="1:7">
      <c r="A7012" s="3"/>
      <c r="B7012" s="3"/>
      <c r="C7012" s="3"/>
      <c r="D7012" s="3"/>
      <c r="E7012" s="3">
        <v>9</v>
      </c>
      <c r="F7012" s="4" t="str">
        <f>HYPERLINK("http://141.218.60.56/~jnz1568/getInfo.php?workbook=14_09.xlsx&amp;sheet=U0&amp;row=7012&amp;col=6&amp;number=3.8&amp;sourceID=14","3.8")</f>
        <v>3.8</v>
      </c>
      <c r="G7012" s="4" t="str">
        <f>HYPERLINK("http://141.218.60.56/~jnz1568/getInfo.php?workbook=14_09.xlsx&amp;sheet=U0&amp;row=7012&amp;col=7&amp;number=0.00963&amp;sourceID=14","0.00963")</f>
        <v>0.00963</v>
      </c>
    </row>
    <row r="7013" spans="1:7">
      <c r="A7013" s="3"/>
      <c r="B7013" s="3"/>
      <c r="C7013" s="3"/>
      <c r="D7013" s="3"/>
      <c r="E7013" s="3">
        <v>10</v>
      </c>
      <c r="F7013" s="4" t="str">
        <f>HYPERLINK("http://141.218.60.56/~jnz1568/getInfo.php?workbook=14_09.xlsx&amp;sheet=U0&amp;row=7013&amp;col=6&amp;number=3.9&amp;sourceID=14","3.9")</f>
        <v>3.9</v>
      </c>
      <c r="G7013" s="4" t="str">
        <f>HYPERLINK("http://141.218.60.56/~jnz1568/getInfo.php?workbook=14_09.xlsx&amp;sheet=U0&amp;row=7013&amp;col=7&amp;number=0.00956&amp;sourceID=14","0.00956")</f>
        <v>0.00956</v>
      </c>
    </row>
    <row r="7014" spans="1:7">
      <c r="A7014" s="3"/>
      <c r="B7014" s="3"/>
      <c r="C7014" s="3"/>
      <c r="D7014" s="3"/>
      <c r="E7014" s="3">
        <v>11</v>
      </c>
      <c r="F7014" s="4" t="str">
        <f>HYPERLINK("http://141.218.60.56/~jnz1568/getInfo.php?workbook=14_09.xlsx&amp;sheet=U0&amp;row=7014&amp;col=6&amp;number=4&amp;sourceID=14","4")</f>
        <v>4</v>
      </c>
      <c r="G7014" s="4" t="str">
        <f>HYPERLINK("http://141.218.60.56/~jnz1568/getInfo.php?workbook=14_09.xlsx&amp;sheet=U0&amp;row=7014&amp;col=7&amp;number=0.00946&amp;sourceID=14","0.00946")</f>
        <v>0.00946</v>
      </c>
    </row>
    <row r="7015" spans="1:7">
      <c r="A7015" s="3"/>
      <c r="B7015" s="3"/>
      <c r="C7015" s="3"/>
      <c r="D7015" s="3"/>
      <c r="E7015" s="3">
        <v>12</v>
      </c>
      <c r="F7015" s="4" t="str">
        <f>HYPERLINK("http://141.218.60.56/~jnz1568/getInfo.php?workbook=14_09.xlsx&amp;sheet=U0&amp;row=7015&amp;col=6&amp;number=4.1&amp;sourceID=14","4.1")</f>
        <v>4.1</v>
      </c>
      <c r="G7015" s="4" t="str">
        <f>HYPERLINK("http://141.218.60.56/~jnz1568/getInfo.php?workbook=14_09.xlsx&amp;sheet=U0&amp;row=7015&amp;col=7&amp;number=0.00935&amp;sourceID=14","0.00935")</f>
        <v>0.00935</v>
      </c>
    </row>
    <row r="7016" spans="1:7">
      <c r="A7016" s="3"/>
      <c r="B7016" s="3"/>
      <c r="C7016" s="3"/>
      <c r="D7016" s="3"/>
      <c r="E7016" s="3">
        <v>13</v>
      </c>
      <c r="F7016" s="4" t="str">
        <f>HYPERLINK("http://141.218.60.56/~jnz1568/getInfo.php?workbook=14_09.xlsx&amp;sheet=U0&amp;row=7016&amp;col=6&amp;number=4.2&amp;sourceID=14","4.2")</f>
        <v>4.2</v>
      </c>
      <c r="G7016" s="4" t="str">
        <f>HYPERLINK("http://141.218.60.56/~jnz1568/getInfo.php?workbook=14_09.xlsx&amp;sheet=U0&amp;row=7016&amp;col=7&amp;number=0.0092&amp;sourceID=14","0.0092")</f>
        <v>0.0092</v>
      </c>
    </row>
    <row r="7017" spans="1:7">
      <c r="A7017" s="3"/>
      <c r="B7017" s="3"/>
      <c r="C7017" s="3"/>
      <c r="D7017" s="3"/>
      <c r="E7017" s="3">
        <v>14</v>
      </c>
      <c r="F7017" s="4" t="str">
        <f>HYPERLINK("http://141.218.60.56/~jnz1568/getInfo.php?workbook=14_09.xlsx&amp;sheet=U0&amp;row=7017&amp;col=6&amp;number=4.3&amp;sourceID=14","4.3")</f>
        <v>4.3</v>
      </c>
      <c r="G7017" s="4" t="str">
        <f>HYPERLINK("http://141.218.60.56/~jnz1568/getInfo.php?workbook=14_09.xlsx&amp;sheet=U0&amp;row=7017&amp;col=7&amp;number=0.00903&amp;sourceID=14","0.00903")</f>
        <v>0.00903</v>
      </c>
    </row>
    <row r="7018" spans="1:7">
      <c r="A7018" s="3"/>
      <c r="B7018" s="3"/>
      <c r="C7018" s="3"/>
      <c r="D7018" s="3"/>
      <c r="E7018" s="3">
        <v>15</v>
      </c>
      <c r="F7018" s="4" t="str">
        <f>HYPERLINK("http://141.218.60.56/~jnz1568/getInfo.php?workbook=14_09.xlsx&amp;sheet=U0&amp;row=7018&amp;col=6&amp;number=4.4&amp;sourceID=14","4.4")</f>
        <v>4.4</v>
      </c>
      <c r="G7018" s="4" t="str">
        <f>HYPERLINK("http://141.218.60.56/~jnz1568/getInfo.php?workbook=14_09.xlsx&amp;sheet=U0&amp;row=7018&amp;col=7&amp;number=0.00881&amp;sourceID=14","0.00881")</f>
        <v>0.00881</v>
      </c>
    </row>
    <row r="7019" spans="1:7">
      <c r="A7019" s="3"/>
      <c r="B7019" s="3"/>
      <c r="C7019" s="3"/>
      <c r="D7019" s="3"/>
      <c r="E7019" s="3">
        <v>16</v>
      </c>
      <c r="F7019" s="4" t="str">
        <f>HYPERLINK("http://141.218.60.56/~jnz1568/getInfo.php?workbook=14_09.xlsx&amp;sheet=U0&amp;row=7019&amp;col=6&amp;number=4.5&amp;sourceID=14","4.5")</f>
        <v>4.5</v>
      </c>
      <c r="G7019" s="4" t="str">
        <f>HYPERLINK("http://141.218.60.56/~jnz1568/getInfo.php?workbook=14_09.xlsx&amp;sheet=U0&amp;row=7019&amp;col=7&amp;number=0.00854&amp;sourceID=14","0.00854")</f>
        <v>0.00854</v>
      </c>
    </row>
    <row r="7020" spans="1:7">
      <c r="A7020" s="3"/>
      <c r="B7020" s="3"/>
      <c r="C7020" s="3"/>
      <c r="D7020" s="3"/>
      <c r="E7020" s="3">
        <v>17</v>
      </c>
      <c r="F7020" s="4" t="str">
        <f>HYPERLINK("http://141.218.60.56/~jnz1568/getInfo.php?workbook=14_09.xlsx&amp;sheet=U0&amp;row=7020&amp;col=6&amp;number=4.6&amp;sourceID=14","4.6")</f>
        <v>4.6</v>
      </c>
      <c r="G7020" s="4" t="str">
        <f>HYPERLINK("http://141.218.60.56/~jnz1568/getInfo.php?workbook=14_09.xlsx&amp;sheet=U0&amp;row=7020&amp;col=7&amp;number=0.00822&amp;sourceID=14","0.00822")</f>
        <v>0.00822</v>
      </c>
    </row>
    <row r="7021" spans="1:7">
      <c r="A7021" s="3"/>
      <c r="B7021" s="3"/>
      <c r="C7021" s="3"/>
      <c r="D7021" s="3"/>
      <c r="E7021" s="3">
        <v>18</v>
      </c>
      <c r="F7021" s="4" t="str">
        <f>HYPERLINK("http://141.218.60.56/~jnz1568/getInfo.php?workbook=14_09.xlsx&amp;sheet=U0&amp;row=7021&amp;col=6&amp;number=4.7&amp;sourceID=14","4.7")</f>
        <v>4.7</v>
      </c>
      <c r="G7021" s="4" t="str">
        <f>HYPERLINK("http://141.218.60.56/~jnz1568/getInfo.php?workbook=14_09.xlsx&amp;sheet=U0&amp;row=7021&amp;col=7&amp;number=0.00784&amp;sourceID=14","0.00784")</f>
        <v>0.00784</v>
      </c>
    </row>
    <row r="7022" spans="1:7">
      <c r="A7022" s="3"/>
      <c r="B7022" s="3"/>
      <c r="C7022" s="3"/>
      <c r="D7022" s="3"/>
      <c r="E7022" s="3">
        <v>19</v>
      </c>
      <c r="F7022" s="4" t="str">
        <f>HYPERLINK("http://141.218.60.56/~jnz1568/getInfo.php?workbook=14_09.xlsx&amp;sheet=U0&amp;row=7022&amp;col=6&amp;number=4.8&amp;sourceID=14","4.8")</f>
        <v>4.8</v>
      </c>
      <c r="G7022" s="4" t="str">
        <f>HYPERLINK("http://141.218.60.56/~jnz1568/getInfo.php?workbook=14_09.xlsx&amp;sheet=U0&amp;row=7022&amp;col=7&amp;number=0.00741&amp;sourceID=14","0.00741")</f>
        <v>0.00741</v>
      </c>
    </row>
    <row r="7023" spans="1:7">
      <c r="A7023" s="3"/>
      <c r="B7023" s="3"/>
      <c r="C7023" s="3"/>
      <c r="D7023" s="3"/>
      <c r="E7023" s="3">
        <v>20</v>
      </c>
      <c r="F7023" s="4" t="str">
        <f>HYPERLINK("http://141.218.60.56/~jnz1568/getInfo.php?workbook=14_09.xlsx&amp;sheet=U0&amp;row=7023&amp;col=6&amp;number=4.9&amp;sourceID=14","4.9")</f>
        <v>4.9</v>
      </c>
      <c r="G7023" s="4" t="str">
        <f>HYPERLINK("http://141.218.60.56/~jnz1568/getInfo.php?workbook=14_09.xlsx&amp;sheet=U0&amp;row=7023&amp;col=7&amp;number=0.00693&amp;sourceID=14","0.00693")</f>
        <v>0.00693</v>
      </c>
    </row>
    <row r="7024" spans="1:7">
      <c r="A7024" s="3">
        <v>14</v>
      </c>
      <c r="B7024" s="3">
        <v>9</v>
      </c>
      <c r="C7024" s="3">
        <v>2</v>
      </c>
      <c r="D7024" s="3">
        <v>160</v>
      </c>
      <c r="E7024" s="3">
        <v>1</v>
      </c>
      <c r="F7024" s="4" t="str">
        <f>HYPERLINK("http://141.218.60.56/~jnz1568/getInfo.php?workbook=14_09.xlsx&amp;sheet=U0&amp;row=7024&amp;col=6&amp;number=3&amp;sourceID=14","3")</f>
        <v>3</v>
      </c>
      <c r="G7024" s="4" t="str">
        <f>HYPERLINK("http://141.218.60.56/~jnz1568/getInfo.php?workbook=14_09.xlsx&amp;sheet=U0&amp;row=7024&amp;col=7&amp;number=0.0211&amp;sourceID=14","0.0211")</f>
        <v>0.0211</v>
      </c>
    </row>
    <row r="7025" spans="1:7">
      <c r="A7025" s="3"/>
      <c r="B7025" s="3"/>
      <c r="C7025" s="3"/>
      <c r="D7025" s="3"/>
      <c r="E7025" s="3">
        <v>2</v>
      </c>
      <c r="F7025" s="4" t="str">
        <f>HYPERLINK("http://141.218.60.56/~jnz1568/getInfo.php?workbook=14_09.xlsx&amp;sheet=U0&amp;row=7025&amp;col=6&amp;number=3.1&amp;sourceID=14","3.1")</f>
        <v>3.1</v>
      </c>
      <c r="G7025" s="4" t="str">
        <f>HYPERLINK("http://141.218.60.56/~jnz1568/getInfo.php?workbook=14_09.xlsx&amp;sheet=U0&amp;row=7025&amp;col=7&amp;number=0.0211&amp;sourceID=14","0.0211")</f>
        <v>0.0211</v>
      </c>
    </row>
    <row r="7026" spans="1:7">
      <c r="A7026" s="3"/>
      <c r="B7026" s="3"/>
      <c r="C7026" s="3"/>
      <c r="D7026" s="3"/>
      <c r="E7026" s="3">
        <v>3</v>
      </c>
      <c r="F7026" s="4" t="str">
        <f>HYPERLINK("http://141.218.60.56/~jnz1568/getInfo.php?workbook=14_09.xlsx&amp;sheet=U0&amp;row=7026&amp;col=6&amp;number=3.2&amp;sourceID=14","3.2")</f>
        <v>3.2</v>
      </c>
      <c r="G7026" s="4" t="str">
        <f>HYPERLINK("http://141.218.60.56/~jnz1568/getInfo.php?workbook=14_09.xlsx&amp;sheet=U0&amp;row=7026&amp;col=7&amp;number=0.0211&amp;sourceID=14","0.0211")</f>
        <v>0.0211</v>
      </c>
    </row>
    <row r="7027" spans="1:7">
      <c r="A7027" s="3"/>
      <c r="B7027" s="3"/>
      <c r="C7027" s="3"/>
      <c r="D7027" s="3"/>
      <c r="E7027" s="3">
        <v>4</v>
      </c>
      <c r="F7027" s="4" t="str">
        <f>HYPERLINK("http://141.218.60.56/~jnz1568/getInfo.php?workbook=14_09.xlsx&amp;sheet=U0&amp;row=7027&amp;col=6&amp;number=3.3&amp;sourceID=14","3.3")</f>
        <v>3.3</v>
      </c>
      <c r="G7027" s="4" t="str">
        <f>HYPERLINK("http://141.218.60.56/~jnz1568/getInfo.php?workbook=14_09.xlsx&amp;sheet=U0&amp;row=7027&amp;col=7&amp;number=0.021&amp;sourceID=14","0.021")</f>
        <v>0.021</v>
      </c>
    </row>
    <row r="7028" spans="1:7">
      <c r="A7028" s="3"/>
      <c r="B7028" s="3"/>
      <c r="C7028" s="3"/>
      <c r="D7028" s="3"/>
      <c r="E7028" s="3">
        <v>5</v>
      </c>
      <c r="F7028" s="4" t="str">
        <f>HYPERLINK("http://141.218.60.56/~jnz1568/getInfo.php?workbook=14_09.xlsx&amp;sheet=U0&amp;row=7028&amp;col=6&amp;number=3.4&amp;sourceID=14","3.4")</f>
        <v>3.4</v>
      </c>
      <c r="G7028" s="4" t="str">
        <f>HYPERLINK("http://141.218.60.56/~jnz1568/getInfo.php?workbook=14_09.xlsx&amp;sheet=U0&amp;row=7028&amp;col=7&amp;number=0.021&amp;sourceID=14","0.021")</f>
        <v>0.021</v>
      </c>
    </row>
    <row r="7029" spans="1:7">
      <c r="A7029" s="3"/>
      <c r="B7029" s="3"/>
      <c r="C7029" s="3"/>
      <c r="D7029" s="3"/>
      <c r="E7029" s="3">
        <v>6</v>
      </c>
      <c r="F7029" s="4" t="str">
        <f>HYPERLINK("http://141.218.60.56/~jnz1568/getInfo.php?workbook=14_09.xlsx&amp;sheet=U0&amp;row=7029&amp;col=6&amp;number=3.5&amp;sourceID=14","3.5")</f>
        <v>3.5</v>
      </c>
      <c r="G7029" s="4" t="str">
        <f>HYPERLINK("http://141.218.60.56/~jnz1568/getInfo.php?workbook=14_09.xlsx&amp;sheet=U0&amp;row=7029&amp;col=7&amp;number=0.021&amp;sourceID=14","0.021")</f>
        <v>0.021</v>
      </c>
    </row>
    <row r="7030" spans="1:7">
      <c r="A7030" s="3"/>
      <c r="B7030" s="3"/>
      <c r="C7030" s="3"/>
      <c r="D7030" s="3"/>
      <c r="E7030" s="3">
        <v>7</v>
      </c>
      <c r="F7030" s="4" t="str">
        <f>HYPERLINK("http://141.218.60.56/~jnz1568/getInfo.php?workbook=14_09.xlsx&amp;sheet=U0&amp;row=7030&amp;col=6&amp;number=3.6&amp;sourceID=14","3.6")</f>
        <v>3.6</v>
      </c>
      <c r="G7030" s="4" t="str">
        <f>HYPERLINK("http://141.218.60.56/~jnz1568/getInfo.php?workbook=14_09.xlsx&amp;sheet=U0&amp;row=7030&amp;col=7&amp;number=0.021&amp;sourceID=14","0.021")</f>
        <v>0.021</v>
      </c>
    </row>
    <row r="7031" spans="1:7">
      <c r="A7031" s="3"/>
      <c r="B7031" s="3"/>
      <c r="C7031" s="3"/>
      <c r="D7031" s="3"/>
      <c r="E7031" s="3">
        <v>8</v>
      </c>
      <c r="F7031" s="4" t="str">
        <f>HYPERLINK("http://141.218.60.56/~jnz1568/getInfo.php?workbook=14_09.xlsx&amp;sheet=U0&amp;row=7031&amp;col=6&amp;number=3.7&amp;sourceID=14","3.7")</f>
        <v>3.7</v>
      </c>
      <c r="G7031" s="4" t="str">
        <f>HYPERLINK("http://141.218.60.56/~jnz1568/getInfo.php?workbook=14_09.xlsx&amp;sheet=U0&amp;row=7031&amp;col=7&amp;number=0.021&amp;sourceID=14","0.021")</f>
        <v>0.021</v>
      </c>
    </row>
    <row r="7032" spans="1:7">
      <c r="A7032" s="3"/>
      <c r="B7032" s="3"/>
      <c r="C7032" s="3"/>
      <c r="D7032" s="3"/>
      <c r="E7032" s="3">
        <v>9</v>
      </c>
      <c r="F7032" s="4" t="str">
        <f>HYPERLINK("http://141.218.60.56/~jnz1568/getInfo.php?workbook=14_09.xlsx&amp;sheet=U0&amp;row=7032&amp;col=6&amp;number=3.8&amp;sourceID=14","3.8")</f>
        <v>3.8</v>
      </c>
      <c r="G7032" s="4" t="str">
        <f>HYPERLINK("http://141.218.60.56/~jnz1568/getInfo.php?workbook=14_09.xlsx&amp;sheet=U0&amp;row=7032&amp;col=7&amp;number=0.0209&amp;sourceID=14","0.0209")</f>
        <v>0.0209</v>
      </c>
    </row>
    <row r="7033" spans="1:7">
      <c r="A7033" s="3"/>
      <c r="B7033" s="3"/>
      <c r="C7033" s="3"/>
      <c r="D7033" s="3"/>
      <c r="E7033" s="3">
        <v>10</v>
      </c>
      <c r="F7033" s="4" t="str">
        <f>HYPERLINK("http://141.218.60.56/~jnz1568/getInfo.php?workbook=14_09.xlsx&amp;sheet=U0&amp;row=7033&amp;col=6&amp;number=3.9&amp;sourceID=14","3.9")</f>
        <v>3.9</v>
      </c>
      <c r="G7033" s="4" t="str">
        <f>HYPERLINK("http://141.218.60.56/~jnz1568/getInfo.php?workbook=14_09.xlsx&amp;sheet=U0&amp;row=7033&amp;col=7&amp;number=0.0209&amp;sourceID=14","0.0209")</f>
        <v>0.0209</v>
      </c>
    </row>
    <row r="7034" spans="1:7">
      <c r="A7034" s="3"/>
      <c r="B7034" s="3"/>
      <c r="C7034" s="3"/>
      <c r="D7034" s="3"/>
      <c r="E7034" s="3">
        <v>11</v>
      </c>
      <c r="F7034" s="4" t="str">
        <f>HYPERLINK("http://141.218.60.56/~jnz1568/getInfo.php?workbook=14_09.xlsx&amp;sheet=U0&amp;row=7034&amp;col=6&amp;number=4&amp;sourceID=14","4")</f>
        <v>4</v>
      </c>
      <c r="G7034" s="4" t="str">
        <f>HYPERLINK("http://141.218.60.56/~jnz1568/getInfo.php?workbook=14_09.xlsx&amp;sheet=U0&amp;row=7034&amp;col=7&amp;number=0.0209&amp;sourceID=14","0.0209")</f>
        <v>0.0209</v>
      </c>
    </row>
    <row r="7035" spans="1:7">
      <c r="A7035" s="3"/>
      <c r="B7035" s="3"/>
      <c r="C7035" s="3"/>
      <c r="D7035" s="3"/>
      <c r="E7035" s="3">
        <v>12</v>
      </c>
      <c r="F7035" s="4" t="str">
        <f>HYPERLINK("http://141.218.60.56/~jnz1568/getInfo.php?workbook=14_09.xlsx&amp;sheet=U0&amp;row=7035&amp;col=6&amp;number=4.1&amp;sourceID=14","4.1")</f>
        <v>4.1</v>
      </c>
      <c r="G7035" s="4" t="str">
        <f>HYPERLINK("http://141.218.60.56/~jnz1568/getInfo.php?workbook=14_09.xlsx&amp;sheet=U0&amp;row=7035&amp;col=7&amp;number=0.0208&amp;sourceID=14","0.0208")</f>
        <v>0.0208</v>
      </c>
    </row>
    <row r="7036" spans="1:7">
      <c r="A7036" s="3"/>
      <c r="B7036" s="3"/>
      <c r="C7036" s="3"/>
      <c r="D7036" s="3"/>
      <c r="E7036" s="3">
        <v>13</v>
      </c>
      <c r="F7036" s="4" t="str">
        <f>HYPERLINK("http://141.218.60.56/~jnz1568/getInfo.php?workbook=14_09.xlsx&amp;sheet=U0&amp;row=7036&amp;col=6&amp;number=4.2&amp;sourceID=14","4.2")</f>
        <v>4.2</v>
      </c>
      <c r="G7036" s="4" t="str">
        <f>HYPERLINK("http://141.218.60.56/~jnz1568/getInfo.php?workbook=14_09.xlsx&amp;sheet=U0&amp;row=7036&amp;col=7&amp;number=0.0207&amp;sourceID=14","0.0207")</f>
        <v>0.0207</v>
      </c>
    </row>
    <row r="7037" spans="1:7">
      <c r="A7037" s="3"/>
      <c r="B7037" s="3"/>
      <c r="C7037" s="3"/>
      <c r="D7037" s="3"/>
      <c r="E7037" s="3">
        <v>14</v>
      </c>
      <c r="F7037" s="4" t="str">
        <f>HYPERLINK("http://141.218.60.56/~jnz1568/getInfo.php?workbook=14_09.xlsx&amp;sheet=U0&amp;row=7037&amp;col=6&amp;number=4.3&amp;sourceID=14","4.3")</f>
        <v>4.3</v>
      </c>
      <c r="G7037" s="4" t="str">
        <f>HYPERLINK("http://141.218.60.56/~jnz1568/getInfo.php?workbook=14_09.xlsx&amp;sheet=U0&amp;row=7037&amp;col=7&amp;number=0.0206&amp;sourceID=14","0.0206")</f>
        <v>0.0206</v>
      </c>
    </row>
    <row r="7038" spans="1:7">
      <c r="A7038" s="3"/>
      <c r="B7038" s="3"/>
      <c r="C7038" s="3"/>
      <c r="D7038" s="3"/>
      <c r="E7038" s="3">
        <v>15</v>
      </c>
      <c r="F7038" s="4" t="str">
        <f>HYPERLINK("http://141.218.60.56/~jnz1568/getInfo.php?workbook=14_09.xlsx&amp;sheet=U0&amp;row=7038&amp;col=6&amp;number=4.4&amp;sourceID=14","4.4")</f>
        <v>4.4</v>
      </c>
      <c r="G7038" s="4" t="str">
        <f>HYPERLINK("http://141.218.60.56/~jnz1568/getInfo.php?workbook=14_09.xlsx&amp;sheet=U0&amp;row=7038&amp;col=7&amp;number=0.0205&amp;sourceID=14","0.0205")</f>
        <v>0.0205</v>
      </c>
    </row>
    <row r="7039" spans="1:7">
      <c r="A7039" s="3"/>
      <c r="B7039" s="3"/>
      <c r="C7039" s="3"/>
      <c r="D7039" s="3"/>
      <c r="E7039" s="3">
        <v>16</v>
      </c>
      <c r="F7039" s="4" t="str">
        <f>HYPERLINK("http://141.218.60.56/~jnz1568/getInfo.php?workbook=14_09.xlsx&amp;sheet=U0&amp;row=7039&amp;col=6&amp;number=4.5&amp;sourceID=14","4.5")</f>
        <v>4.5</v>
      </c>
      <c r="G7039" s="4" t="str">
        <f>HYPERLINK("http://141.218.60.56/~jnz1568/getInfo.php?workbook=14_09.xlsx&amp;sheet=U0&amp;row=7039&amp;col=7&amp;number=0.0203&amp;sourceID=14","0.0203")</f>
        <v>0.0203</v>
      </c>
    </row>
    <row r="7040" spans="1:7">
      <c r="A7040" s="3"/>
      <c r="B7040" s="3"/>
      <c r="C7040" s="3"/>
      <c r="D7040" s="3"/>
      <c r="E7040" s="3">
        <v>17</v>
      </c>
      <c r="F7040" s="4" t="str">
        <f>HYPERLINK("http://141.218.60.56/~jnz1568/getInfo.php?workbook=14_09.xlsx&amp;sheet=U0&amp;row=7040&amp;col=6&amp;number=4.6&amp;sourceID=14","4.6")</f>
        <v>4.6</v>
      </c>
      <c r="G7040" s="4" t="str">
        <f>HYPERLINK("http://141.218.60.56/~jnz1568/getInfo.php?workbook=14_09.xlsx&amp;sheet=U0&amp;row=7040&amp;col=7&amp;number=0.0202&amp;sourceID=14","0.0202")</f>
        <v>0.0202</v>
      </c>
    </row>
    <row r="7041" spans="1:7">
      <c r="A7041" s="3"/>
      <c r="B7041" s="3"/>
      <c r="C7041" s="3"/>
      <c r="D7041" s="3"/>
      <c r="E7041" s="3">
        <v>18</v>
      </c>
      <c r="F7041" s="4" t="str">
        <f>HYPERLINK("http://141.218.60.56/~jnz1568/getInfo.php?workbook=14_09.xlsx&amp;sheet=U0&amp;row=7041&amp;col=6&amp;number=4.7&amp;sourceID=14","4.7")</f>
        <v>4.7</v>
      </c>
      <c r="G7041" s="4" t="str">
        <f>HYPERLINK("http://141.218.60.56/~jnz1568/getInfo.php?workbook=14_09.xlsx&amp;sheet=U0&amp;row=7041&amp;col=7&amp;number=0.02&amp;sourceID=14","0.02")</f>
        <v>0.02</v>
      </c>
    </row>
    <row r="7042" spans="1:7">
      <c r="A7042" s="3"/>
      <c r="B7042" s="3"/>
      <c r="C7042" s="3"/>
      <c r="D7042" s="3"/>
      <c r="E7042" s="3">
        <v>19</v>
      </c>
      <c r="F7042" s="4" t="str">
        <f>HYPERLINK("http://141.218.60.56/~jnz1568/getInfo.php?workbook=14_09.xlsx&amp;sheet=U0&amp;row=7042&amp;col=6&amp;number=4.8&amp;sourceID=14","4.8")</f>
        <v>4.8</v>
      </c>
      <c r="G7042" s="4" t="str">
        <f>HYPERLINK("http://141.218.60.56/~jnz1568/getInfo.php?workbook=14_09.xlsx&amp;sheet=U0&amp;row=7042&amp;col=7&amp;number=0.0197&amp;sourceID=14","0.0197")</f>
        <v>0.0197</v>
      </c>
    </row>
    <row r="7043" spans="1:7">
      <c r="A7043" s="3"/>
      <c r="B7043" s="3"/>
      <c r="C7043" s="3"/>
      <c r="D7043" s="3"/>
      <c r="E7043" s="3">
        <v>20</v>
      </c>
      <c r="F7043" s="4" t="str">
        <f>HYPERLINK("http://141.218.60.56/~jnz1568/getInfo.php?workbook=14_09.xlsx&amp;sheet=U0&amp;row=7043&amp;col=6&amp;number=4.9&amp;sourceID=14","4.9")</f>
        <v>4.9</v>
      </c>
      <c r="G7043" s="4" t="str">
        <f>HYPERLINK("http://141.218.60.56/~jnz1568/getInfo.php?workbook=14_09.xlsx&amp;sheet=U0&amp;row=7043&amp;col=7&amp;number=0.0194&amp;sourceID=14","0.0194")</f>
        <v>0.0194</v>
      </c>
    </row>
    <row r="7044" spans="1:7">
      <c r="A7044" s="3">
        <v>14</v>
      </c>
      <c r="B7044" s="3">
        <v>9</v>
      </c>
      <c r="C7044" s="3">
        <v>2</v>
      </c>
      <c r="D7044" s="3">
        <v>161</v>
      </c>
      <c r="E7044" s="3">
        <v>1</v>
      </c>
      <c r="F7044" s="4" t="str">
        <f>HYPERLINK("http://141.218.60.56/~jnz1568/getInfo.php?workbook=14_09.xlsx&amp;sheet=U0&amp;row=7044&amp;col=6&amp;number=3&amp;sourceID=14","3")</f>
        <v>3</v>
      </c>
      <c r="G7044" s="4" t="str">
        <f>HYPERLINK("http://141.218.60.56/~jnz1568/getInfo.php?workbook=14_09.xlsx&amp;sheet=U0&amp;row=7044&amp;col=7&amp;number=0.00883&amp;sourceID=14","0.00883")</f>
        <v>0.00883</v>
      </c>
    </row>
    <row r="7045" spans="1:7">
      <c r="A7045" s="3"/>
      <c r="B7045" s="3"/>
      <c r="C7045" s="3"/>
      <c r="D7045" s="3"/>
      <c r="E7045" s="3">
        <v>2</v>
      </c>
      <c r="F7045" s="4" t="str">
        <f>HYPERLINK("http://141.218.60.56/~jnz1568/getInfo.php?workbook=14_09.xlsx&amp;sheet=U0&amp;row=7045&amp;col=6&amp;number=3.1&amp;sourceID=14","3.1")</f>
        <v>3.1</v>
      </c>
      <c r="G7045" s="4" t="str">
        <f>HYPERLINK("http://141.218.60.56/~jnz1568/getInfo.php?workbook=14_09.xlsx&amp;sheet=U0&amp;row=7045&amp;col=7&amp;number=0.00882&amp;sourceID=14","0.00882")</f>
        <v>0.00882</v>
      </c>
    </row>
    <row r="7046" spans="1:7">
      <c r="A7046" s="3"/>
      <c r="B7046" s="3"/>
      <c r="C7046" s="3"/>
      <c r="D7046" s="3"/>
      <c r="E7046" s="3">
        <v>3</v>
      </c>
      <c r="F7046" s="4" t="str">
        <f>HYPERLINK("http://141.218.60.56/~jnz1568/getInfo.php?workbook=14_09.xlsx&amp;sheet=U0&amp;row=7046&amp;col=6&amp;number=3.2&amp;sourceID=14","3.2")</f>
        <v>3.2</v>
      </c>
      <c r="G7046" s="4" t="str">
        <f>HYPERLINK("http://141.218.60.56/~jnz1568/getInfo.php?workbook=14_09.xlsx&amp;sheet=U0&amp;row=7046&amp;col=7&amp;number=0.00881&amp;sourceID=14","0.00881")</f>
        <v>0.00881</v>
      </c>
    </row>
    <row r="7047" spans="1:7">
      <c r="A7047" s="3"/>
      <c r="B7047" s="3"/>
      <c r="C7047" s="3"/>
      <c r="D7047" s="3"/>
      <c r="E7047" s="3">
        <v>4</v>
      </c>
      <c r="F7047" s="4" t="str">
        <f>HYPERLINK("http://141.218.60.56/~jnz1568/getInfo.php?workbook=14_09.xlsx&amp;sheet=U0&amp;row=7047&amp;col=6&amp;number=3.3&amp;sourceID=14","3.3")</f>
        <v>3.3</v>
      </c>
      <c r="G7047" s="4" t="str">
        <f>HYPERLINK("http://141.218.60.56/~jnz1568/getInfo.php?workbook=14_09.xlsx&amp;sheet=U0&amp;row=7047&amp;col=7&amp;number=0.0088&amp;sourceID=14","0.0088")</f>
        <v>0.0088</v>
      </c>
    </row>
    <row r="7048" spans="1:7">
      <c r="A7048" s="3"/>
      <c r="B7048" s="3"/>
      <c r="C7048" s="3"/>
      <c r="D7048" s="3"/>
      <c r="E7048" s="3">
        <v>5</v>
      </c>
      <c r="F7048" s="4" t="str">
        <f>HYPERLINK("http://141.218.60.56/~jnz1568/getInfo.php?workbook=14_09.xlsx&amp;sheet=U0&amp;row=7048&amp;col=6&amp;number=3.4&amp;sourceID=14","3.4")</f>
        <v>3.4</v>
      </c>
      <c r="G7048" s="4" t="str">
        <f>HYPERLINK("http://141.218.60.56/~jnz1568/getInfo.php?workbook=14_09.xlsx&amp;sheet=U0&amp;row=7048&amp;col=7&amp;number=0.00878&amp;sourceID=14","0.00878")</f>
        <v>0.00878</v>
      </c>
    </row>
    <row r="7049" spans="1:7">
      <c r="A7049" s="3"/>
      <c r="B7049" s="3"/>
      <c r="C7049" s="3"/>
      <c r="D7049" s="3"/>
      <c r="E7049" s="3">
        <v>6</v>
      </c>
      <c r="F7049" s="4" t="str">
        <f>HYPERLINK("http://141.218.60.56/~jnz1568/getInfo.php?workbook=14_09.xlsx&amp;sheet=U0&amp;row=7049&amp;col=6&amp;number=3.5&amp;sourceID=14","3.5")</f>
        <v>3.5</v>
      </c>
      <c r="G7049" s="4" t="str">
        <f>HYPERLINK("http://141.218.60.56/~jnz1568/getInfo.php?workbook=14_09.xlsx&amp;sheet=U0&amp;row=7049&amp;col=7&amp;number=0.00876&amp;sourceID=14","0.00876")</f>
        <v>0.00876</v>
      </c>
    </row>
    <row r="7050" spans="1:7">
      <c r="A7050" s="3"/>
      <c r="B7050" s="3"/>
      <c r="C7050" s="3"/>
      <c r="D7050" s="3"/>
      <c r="E7050" s="3">
        <v>7</v>
      </c>
      <c r="F7050" s="4" t="str">
        <f>HYPERLINK("http://141.218.60.56/~jnz1568/getInfo.php?workbook=14_09.xlsx&amp;sheet=U0&amp;row=7050&amp;col=6&amp;number=3.6&amp;sourceID=14","3.6")</f>
        <v>3.6</v>
      </c>
      <c r="G7050" s="4" t="str">
        <f>HYPERLINK("http://141.218.60.56/~jnz1568/getInfo.php?workbook=14_09.xlsx&amp;sheet=U0&amp;row=7050&amp;col=7&amp;number=0.00874&amp;sourceID=14","0.00874")</f>
        <v>0.00874</v>
      </c>
    </row>
    <row r="7051" spans="1:7">
      <c r="A7051" s="3"/>
      <c r="B7051" s="3"/>
      <c r="C7051" s="3"/>
      <c r="D7051" s="3"/>
      <c r="E7051" s="3">
        <v>8</v>
      </c>
      <c r="F7051" s="4" t="str">
        <f>HYPERLINK("http://141.218.60.56/~jnz1568/getInfo.php?workbook=14_09.xlsx&amp;sheet=U0&amp;row=7051&amp;col=6&amp;number=3.7&amp;sourceID=14","3.7")</f>
        <v>3.7</v>
      </c>
      <c r="G7051" s="4" t="str">
        <f>HYPERLINK("http://141.218.60.56/~jnz1568/getInfo.php?workbook=14_09.xlsx&amp;sheet=U0&amp;row=7051&amp;col=7&amp;number=0.00871&amp;sourceID=14","0.00871")</f>
        <v>0.00871</v>
      </c>
    </row>
    <row r="7052" spans="1:7">
      <c r="A7052" s="3"/>
      <c r="B7052" s="3"/>
      <c r="C7052" s="3"/>
      <c r="D7052" s="3"/>
      <c r="E7052" s="3">
        <v>9</v>
      </c>
      <c r="F7052" s="4" t="str">
        <f>HYPERLINK("http://141.218.60.56/~jnz1568/getInfo.php?workbook=14_09.xlsx&amp;sheet=U0&amp;row=7052&amp;col=6&amp;number=3.8&amp;sourceID=14","3.8")</f>
        <v>3.8</v>
      </c>
      <c r="G7052" s="4" t="str">
        <f>HYPERLINK("http://141.218.60.56/~jnz1568/getInfo.php?workbook=14_09.xlsx&amp;sheet=U0&amp;row=7052&amp;col=7&amp;number=0.00867&amp;sourceID=14","0.00867")</f>
        <v>0.00867</v>
      </c>
    </row>
    <row r="7053" spans="1:7">
      <c r="A7053" s="3"/>
      <c r="B7053" s="3"/>
      <c r="C7053" s="3"/>
      <c r="D7053" s="3"/>
      <c r="E7053" s="3">
        <v>10</v>
      </c>
      <c r="F7053" s="4" t="str">
        <f>HYPERLINK("http://141.218.60.56/~jnz1568/getInfo.php?workbook=14_09.xlsx&amp;sheet=U0&amp;row=7053&amp;col=6&amp;number=3.9&amp;sourceID=14","3.9")</f>
        <v>3.9</v>
      </c>
      <c r="G7053" s="4" t="str">
        <f>HYPERLINK("http://141.218.60.56/~jnz1568/getInfo.php?workbook=14_09.xlsx&amp;sheet=U0&amp;row=7053&amp;col=7&amp;number=0.00862&amp;sourceID=14","0.00862")</f>
        <v>0.00862</v>
      </c>
    </row>
    <row r="7054" spans="1:7">
      <c r="A7054" s="3"/>
      <c r="B7054" s="3"/>
      <c r="C7054" s="3"/>
      <c r="D7054" s="3"/>
      <c r="E7054" s="3">
        <v>11</v>
      </c>
      <c r="F7054" s="4" t="str">
        <f>HYPERLINK("http://141.218.60.56/~jnz1568/getInfo.php?workbook=14_09.xlsx&amp;sheet=U0&amp;row=7054&amp;col=6&amp;number=4&amp;sourceID=14","4")</f>
        <v>4</v>
      </c>
      <c r="G7054" s="4" t="str">
        <f>HYPERLINK("http://141.218.60.56/~jnz1568/getInfo.php?workbook=14_09.xlsx&amp;sheet=U0&amp;row=7054&amp;col=7&amp;number=0.00856&amp;sourceID=14","0.00856")</f>
        <v>0.00856</v>
      </c>
    </row>
    <row r="7055" spans="1:7">
      <c r="A7055" s="3"/>
      <c r="B7055" s="3"/>
      <c r="C7055" s="3"/>
      <c r="D7055" s="3"/>
      <c r="E7055" s="3">
        <v>12</v>
      </c>
      <c r="F7055" s="4" t="str">
        <f>HYPERLINK("http://141.218.60.56/~jnz1568/getInfo.php?workbook=14_09.xlsx&amp;sheet=U0&amp;row=7055&amp;col=6&amp;number=4.1&amp;sourceID=14","4.1")</f>
        <v>4.1</v>
      </c>
      <c r="G7055" s="4" t="str">
        <f>HYPERLINK("http://141.218.60.56/~jnz1568/getInfo.php?workbook=14_09.xlsx&amp;sheet=U0&amp;row=7055&amp;col=7&amp;number=0.00848&amp;sourceID=14","0.00848")</f>
        <v>0.00848</v>
      </c>
    </row>
    <row r="7056" spans="1:7">
      <c r="A7056" s="3"/>
      <c r="B7056" s="3"/>
      <c r="C7056" s="3"/>
      <c r="D7056" s="3"/>
      <c r="E7056" s="3">
        <v>13</v>
      </c>
      <c r="F7056" s="4" t="str">
        <f>HYPERLINK("http://141.218.60.56/~jnz1568/getInfo.php?workbook=14_09.xlsx&amp;sheet=U0&amp;row=7056&amp;col=6&amp;number=4.2&amp;sourceID=14","4.2")</f>
        <v>4.2</v>
      </c>
      <c r="G7056" s="4" t="str">
        <f>HYPERLINK("http://141.218.60.56/~jnz1568/getInfo.php?workbook=14_09.xlsx&amp;sheet=U0&amp;row=7056&amp;col=7&amp;number=0.00839&amp;sourceID=14","0.00839")</f>
        <v>0.00839</v>
      </c>
    </row>
    <row r="7057" spans="1:7">
      <c r="A7057" s="3"/>
      <c r="B7057" s="3"/>
      <c r="C7057" s="3"/>
      <c r="D7057" s="3"/>
      <c r="E7057" s="3">
        <v>14</v>
      </c>
      <c r="F7057" s="4" t="str">
        <f>HYPERLINK("http://141.218.60.56/~jnz1568/getInfo.php?workbook=14_09.xlsx&amp;sheet=U0&amp;row=7057&amp;col=6&amp;number=4.3&amp;sourceID=14","4.3")</f>
        <v>4.3</v>
      </c>
      <c r="G7057" s="4" t="str">
        <f>HYPERLINK("http://141.218.60.56/~jnz1568/getInfo.php?workbook=14_09.xlsx&amp;sheet=U0&amp;row=7057&amp;col=7&amp;number=0.00827&amp;sourceID=14","0.00827")</f>
        <v>0.00827</v>
      </c>
    </row>
    <row r="7058" spans="1:7">
      <c r="A7058" s="3"/>
      <c r="B7058" s="3"/>
      <c r="C7058" s="3"/>
      <c r="D7058" s="3"/>
      <c r="E7058" s="3">
        <v>15</v>
      </c>
      <c r="F7058" s="4" t="str">
        <f>HYPERLINK("http://141.218.60.56/~jnz1568/getInfo.php?workbook=14_09.xlsx&amp;sheet=U0&amp;row=7058&amp;col=6&amp;number=4.4&amp;sourceID=14","4.4")</f>
        <v>4.4</v>
      </c>
      <c r="G7058" s="4" t="str">
        <f>HYPERLINK("http://141.218.60.56/~jnz1568/getInfo.php?workbook=14_09.xlsx&amp;sheet=U0&amp;row=7058&amp;col=7&amp;number=0.00813&amp;sourceID=14","0.00813")</f>
        <v>0.00813</v>
      </c>
    </row>
    <row r="7059" spans="1:7">
      <c r="A7059" s="3"/>
      <c r="B7059" s="3"/>
      <c r="C7059" s="3"/>
      <c r="D7059" s="3"/>
      <c r="E7059" s="3">
        <v>16</v>
      </c>
      <c r="F7059" s="4" t="str">
        <f>HYPERLINK("http://141.218.60.56/~jnz1568/getInfo.php?workbook=14_09.xlsx&amp;sheet=U0&amp;row=7059&amp;col=6&amp;number=4.5&amp;sourceID=14","4.5")</f>
        <v>4.5</v>
      </c>
      <c r="G7059" s="4" t="str">
        <f>HYPERLINK("http://141.218.60.56/~jnz1568/getInfo.php?workbook=14_09.xlsx&amp;sheet=U0&amp;row=7059&amp;col=7&amp;number=0.00795&amp;sourceID=14","0.00795")</f>
        <v>0.00795</v>
      </c>
    </row>
    <row r="7060" spans="1:7">
      <c r="A7060" s="3"/>
      <c r="B7060" s="3"/>
      <c r="C7060" s="3"/>
      <c r="D7060" s="3"/>
      <c r="E7060" s="3">
        <v>17</v>
      </c>
      <c r="F7060" s="4" t="str">
        <f>HYPERLINK("http://141.218.60.56/~jnz1568/getInfo.php?workbook=14_09.xlsx&amp;sheet=U0&amp;row=7060&amp;col=6&amp;number=4.6&amp;sourceID=14","4.6")</f>
        <v>4.6</v>
      </c>
      <c r="G7060" s="4" t="str">
        <f>HYPERLINK("http://141.218.60.56/~jnz1568/getInfo.php?workbook=14_09.xlsx&amp;sheet=U0&amp;row=7060&amp;col=7&amp;number=0.00773&amp;sourceID=14","0.00773")</f>
        <v>0.00773</v>
      </c>
    </row>
    <row r="7061" spans="1:7">
      <c r="A7061" s="3"/>
      <c r="B7061" s="3"/>
      <c r="C7061" s="3"/>
      <c r="D7061" s="3"/>
      <c r="E7061" s="3">
        <v>18</v>
      </c>
      <c r="F7061" s="4" t="str">
        <f>HYPERLINK("http://141.218.60.56/~jnz1568/getInfo.php?workbook=14_09.xlsx&amp;sheet=U0&amp;row=7061&amp;col=6&amp;number=4.7&amp;sourceID=14","4.7")</f>
        <v>4.7</v>
      </c>
      <c r="G7061" s="4" t="str">
        <f>HYPERLINK("http://141.218.60.56/~jnz1568/getInfo.php?workbook=14_09.xlsx&amp;sheet=U0&amp;row=7061&amp;col=7&amp;number=0.00748&amp;sourceID=14","0.00748")</f>
        <v>0.00748</v>
      </c>
    </row>
    <row r="7062" spans="1:7">
      <c r="A7062" s="3"/>
      <c r="B7062" s="3"/>
      <c r="C7062" s="3"/>
      <c r="D7062" s="3"/>
      <c r="E7062" s="3">
        <v>19</v>
      </c>
      <c r="F7062" s="4" t="str">
        <f>HYPERLINK("http://141.218.60.56/~jnz1568/getInfo.php?workbook=14_09.xlsx&amp;sheet=U0&amp;row=7062&amp;col=6&amp;number=4.8&amp;sourceID=14","4.8")</f>
        <v>4.8</v>
      </c>
      <c r="G7062" s="4" t="str">
        <f>HYPERLINK("http://141.218.60.56/~jnz1568/getInfo.php?workbook=14_09.xlsx&amp;sheet=U0&amp;row=7062&amp;col=7&amp;number=0.00718&amp;sourceID=14","0.00718")</f>
        <v>0.00718</v>
      </c>
    </row>
    <row r="7063" spans="1:7">
      <c r="A7063" s="3"/>
      <c r="B7063" s="3"/>
      <c r="C7063" s="3"/>
      <c r="D7063" s="3"/>
      <c r="E7063" s="3">
        <v>20</v>
      </c>
      <c r="F7063" s="4" t="str">
        <f>HYPERLINK("http://141.218.60.56/~jnz1568/getInfo.php?workbook=14_09.xlsx&amp;sheet=U0&amp;row=7063&amp;col=6&amp;number=4.9&amp;sourceID=14","4.9")</f>
        <v>4.9</v>
      </c>
      <c r="G7063" s="4" t="str">
        <f>HYPERLINK("http://141.218.60.56/~jnz1568/getInfo.php?workbook=14_09.xlsx&amp;sheet=U0&amp;row=7063&amp;col=7&amp;number=0.00684&amp;sourceID=14","0.00684")</f>
        <v>0.00684</v>
      </c>
    </row>
    <row r="7064" spans="1:7">
      <c r="A7064" s="3">
        <v>14</v>
      </c>
      <c r="B7064" s="3">
        <v>9</v>
      </c>
      <c r="C7064" s="3">
        <v>2</v>
      </c>
      <c r="D7064" s="3">
        <v>162</v>
      </c>
      <c r="E7064" s="3">
        <v>1</v>
      </c>
      <c r="F7064" s="4" t="str">
        <f>HYPERLINK("http://141.218.60.56/~jnz1568/getInfo.php?workbook=14_09.xlsx&amp;sheet=U0&amp;row=7064&amp;col=6&amp;number=3&amp;sourceID=14","3")</f>
        <v>3</v>
      </c>
      <c r="G7064" s="4" t="str">
        <f>HYPERLINK("http://141.218.60.56/~jnz1568/getInfo.php?workbook=14_09.xlsx&amp;sheet=U0&amp;row=7064&amp;col=7&amp;number=0.00838&amp;sourceID=14","0.00838")</f>
        <v>0.00838</v>
      </c>
    </row>
    <row r="7065" spans="1:7">
      <c r="A7065" s="3"/>
      <c r="B7065" s="3"/>
      <c r="C7065" s="3"/>
      <c r="D7065" s="3"/>
      <c r="E7065" s="3">
        <v>2</v>
      </c>
      <c r="F7065" s="4" t="str">
        <f>HYPERLINK("http://141.218.60.56/~jnz1568/getInfo.php?workbook=14_09.xlsx&amp;sheet=U0&amp;row=7065&amp;col=6&amp;number=3.1&amp;sourceID=14","3.1")</f>
        <v>3.1</v>
      </c>
      <c r="G7065" s="4" t="str">
        <f>HYPERLINK("http://141.218.60.56/~jnz1568/getInfo.php?workbook=14_09.xlsx&amp;sheet=U0&amp;row=7065&amp;col=7&amp;number=0.00838&amp;sourceID=14","0.00838")</f>
        <v>0.00838</v>
      </c>
    </row>
    <row r="7066" spans="1:7">
      <c r="A7066" s="3"/>
      <c r="B7066" s="3"/>
      <c r="C7066" s="3"/>
      <c r="D7066" s="3"/>
      <c r="E7066" s="3">
        <v>3</v>
      </c>
      <c r="F7066" s="4" t="str">
        <f>HYPERLINK("http://141.218.60.56/~jnz1568/getInfo.php?workbook=14_09.xlsx&amp;sheet=U0&amp;row=7066&amp;col=6&amp;number=3.2&amp;sourceID=14","3.2")</f>
        <v>3.2</v>
      </c>
      <c r="G7066" s="4" t="str">
        <f>HYPERLINK("http://141.218.60.56/~jnz1568/getInfo.php?workbook=14_09.xlsx&amp;sheet=U0&amp;row=7066&amp;col=7&amp;number=0.00837&amp;sourceID=14","0.00837")</f>
        <v>0.00837</v>
      </c>
    </row>
    <row r="7067" spans="1:7">
      <c r="A7067" s="3"/>
      <c r="B7067" s="3"/>
      <c r="C7067" s="3"/>
      <c r="D7067" s="3"/>
      <c r="E7067" s="3">
        <v>4</v>
      </c>
      <c r="F7067" s="4" t="str">
        <f>HYPERLINK("http://141.218.60.56/~jnz1568/getInfo.php?workbook=14_09.xlsx&amp;sheet=U0&amp;row=7067&amp;col=6&amp;number=3.3&amp;sourceID=14","3.3")</f>
        <v>3.3</v>
      </c>
      <c r="G7067" s="4" t="str">
        <f>HYPERLINK("http://141.218.60.56/~jnz1568/getInfo.php?workbook=14_09.xlsx&amp;sheet=U0&amp;row=7067&amp;col=7&amp;number=0.00836&amp;sourceID=14","0.00836")</f>
        <v>0.00836</v>
      </c>
    </row>
    <row r="7068" spans="1:7">
      <c r="A7068" s="3"/>
      <c r="B7068" s="3"/>
      <c r="C7068" s="3"/>
      <c r="D7068" s="3"/>
      <c r="E7068" s="3">
        <v>5</v>
      </c>
      <c r="F7068" s="4" t="str">
        <f>HYPERLINK("http://141.218.60.56/~jnz1568/getInfo.php?workbook=14_09.xlsx&amp;sheet=U0&amp;row=7068&amp;col=6&amp;number=3.4&amp;sourceID=14","3.4")</f>
        <v>3.4</v>
      </c>
      <c r="G7068" s="4" t="str">
        <f>HYPERLINK("http://141.218.60.56/~jnz1568/getInfo.php?workbook=14_09.xlsx&amp;sheet=U0&amp;row=7068&amp;col=7&amp;number=0.00835&amp;sourceID=14","0.00835")</f>
        <v>0.00835</v>
      </c>
    </row>
    <row r="7069" spans="1:7">
      <c r="A7069" s="3"/>
      <c r="B7069" s="3"/>
      <c r="C7069" s="3"/>
      <c r="D7069" s="3"/>
      <c r="E7069" s="3">
        <v>6</v>
      </c>
      <c r="F7069" s="4" t="str">
        <f>HYPERLINK("http://141.218.60.56/~jnz1568/getInfo.php?workbook=14_09.xlsx&amp;sheet=U0&amp;row=7069&amp;col=6&amp;number=3.5&amp;sourceID=14","3.5")</f>
        <v>3.5</v>
      </c>
      <c r="G7069" s="4" t="str">
        <f>HYPERLINK("http://141.218.60.56/~jnz1568/getInfo.php?workbook=14_09.xlsx&amp;sheet=U0&amp;row=7069&amp;col=7&amp;number=0.00833&amp;sourceID=14","0.00833")</f>
        <v>0.00833</v>
      </c>
    </row>
    <row r="7070" spans="1:7">
      <c r="A7070" s="3"/>
      <c r="B7070" s="3"/>
      <c r="C7070" s="3"/>
      <c r="D7070" s="3"/>
      <c r="E7070" s="3">
        <v>7</v>
      </c>
      <c r="F7070" s="4" t="str">
        <f>HYPERLINK("http://141.218.60.56/~jnz1568/getInfo.php?workbook=14_09.xlsx&amp;sheet=U0&amp;row=7070&amp;col=6&amp;number=3.6&amp;sourceID=14","3.6")</f>
        <v>3.6</v>
      </c>
      <c r="G7070" s="4" t="str">
        <f>HYPERLINK("http://141.218.60.56/~jnz1568/getInfo.php?workbook=14_09.xlsx&amp;sheet=U0&amp;row=7070&amp;col=7&amp;number=0.00832&amp;sourceID=14","0.00832")</f>
        <v>0.00832</v>
      </c>
    </row>
    <row r="7071" spans="1:7">
      <c r="A7071" s="3"/>
      <c r="B7071" s="3"/>
      <c r="C7071" s="3"/>
      <c r="D7071" s="3"/>
      <c r="E7071" s="3">
        <v>8</v>
      </c>
      <c r="F7071" s="4" t="str">
        <f>HYPERLINK("http://141.218.60.56/~jnz1568/getInfo.php?workbook=14_09.xlsx&amp;sheet=U0&amp;row=7071&amp;col=6&amp;number=3.7&amp;sourceID=14","3.7")</f>
        <v>3.7</v>
      </c>
      <c r="G7071" s="4" t="str">
        <f>HYPERLINK("http://141.218.60.56/~jnz1568/getInfo.php?workbook=14_09.xlsx&amp;sheet=U0&amp;row=7071&amp;col=7&amp;number=0.00829&amp;sourceID=14","0.00829")</f>
        <v>0.00829</v>
      </c>
    </row>
    <row r="7072" spans="1:7">
      <c r="A7072" s="3"/>
      <c r="B7072" s="3"/>
      <c r="C7072" s="3"/>
      <c r="D7072" s="3"/>
      <c r="E7072" s="3">
        <v>9</v>
      </c>
      <c r="F7072" s="4" t="str">
        <f>HYPERLINK("http://141.218.60.56/~jnz1568/getInfo.php?workbook=14_09.xlsx&amp;sheet=U0&amp;row=7072&amp;col=6&amp;number=3.8&amp;sourceID=14","3.8")</f>
        <v>3.8</v>
      </c>
      <c r="G7072" s="4" t="str">
        <f>HYPERLINK("http://141.218.60.56/~jnz1568/getInfo.php?workbook=14_09.xlsx&amp;sheet=U0&amp;row=7072&amp;col=7&amp;number=0.00826&amp;sourceID=14","0.00826")</f>
        <v>0.00826</v>
      </c>
    </row>
    <row r="7073" spans="1:7">
      <c r="A7073" s="3"/>
      <c r="B7073" s="3"/>
      <c r="C7073" s="3"/>
      <c r="D7073" s="3"/>
      <c r="E7073" s="3">
        <v>10</v>
      </c>
      <c r="F7073" s="4" t="str">
        <f>HYPERLINK("http://141.218.60.56/~jnz1568/getInfo.php?workbook=14_09.xlsx&amp;sheet=U0&amp;row=7073&amp;col=6&amp;number=3.9&amp;sourceID=14","3.9")</f>
        <v>3.9</v>
      </c>
      <c r="G7073" s="4" t="str">
        <f>HYPERLINK("http://141.218.60.56/~jnz1568/getInfo.php?workbook=14_09.xlsx&amp;sheet=U0&amp;row=7073&amp;col=7&amp;number=0.00823&amp;sourceID=14","0.00823")</f>
        <v>0.00823</v>
      </c>
    </row>
    <row r="7074" spans="1:7">
      <c r="A7074" s="3"/>
      <c r="B7074" s="3"/>
      <c r="C7074" s="3"/>
      <c r="D7074" s="3"/>
      <c r="E7074" s="3">
        <v>11</v>
      </c>
      <c r="F7074" s="4" t="str">
        <f>HYPERLINK("http://141.218.60.56/~jnz1568/getInfo.php?workbook=14_09.xlsx&amp;sheet=U0&amp;row=7074&amp;col=6&amp;number=4&amp;sourceID=14","4")</f>
        <v>4</v>
      </c>
      <c r="G7074" s="4" t="str">
        <f>HYPERLINK("http://141.218.60.56/~jnz1568/getInfo.php?workbook=14_09.xlsx&amp;sheet=U0&amp;row=7074&amp;col=7&amp;number=0.00818&amp;sourceID=14","0.00818")</f>
        <v>0.00818</v>
      </c>
    </row>
    <row r="7075" spans="1:7">
      <c r="A7075" s="3"/>
      <c r="B7075" s="3"/>
      <c r="C7075" s="3"/>
      <c r="D7075" s="3"/>
      <c r="E7075" s="3">
        <v>12</v>
      </c>
      <c r="F7075" s="4" t="str">
        <f>HYPERLINK("http://141.218.60.56/~jnz1568/getInfo.php?workbook=14_09.xlsx&amp;sheet=U0&amp;row=7075&amp;col=6&amp;number=4.1&amp;sourceID=14","4.1")</f>
        <v>4.1</v>
      </c>
      <c r="G7075" s="4" t="str">
        <f>HYPERLINK("http://141.218.60.56/~jnz1568/getInfo.php?workbook=14_09.xlsx&amp;sheet=U0&amp;row=7075&amp;col=7&amp;number=0.00813&amp;sourceID=14","0.00813")</f>
        <v>0.00813</v>
      </c>
    </row>
    <row r="7076" spans="1:7">
      <c r="A7076" s="3"/>
      <c r="B7076" s="3"/>
      <c r="C7076" s="3"/>
      <c r="D7076" s="3"/>
      <c r="E7076" s="3">
        <v>13</v>
      </c>
      <c r="F7076" s="4" t="str">
        <f>HYPERLINK("http://141.218.60.56/~jnz1568/getInfo.php?workbook=14_09.xlsx&amp;sheet=U0&amp;row=7076&amp;col=6&amp;number=4.2&amp;sourceID=14","4.2")</f>
        <v>4.2</v>
      </c>
      <c r="G7076" s="4" t="str">
        <f>HYPERLINK("http://141.218.60.56/~jnz1568/getInfo.php?workbook=14_09.xlsx&amp;sheet=U0&amp;row=7076&amp;col=7&amp;number=0.00806&amp;sourceID=14","0.00806")</f>
        <v>0.00806</v>
      </c>
    </row>
    <row r="7077" spans="1:7">
      <c r="A7077" s="3"/>
      <c r="B7077" s="3"/>
      <c r="C7077" s="3"/>
      <c r="D7077" s="3"/>
      <c r="E7077" s="3">
        <v>14</v>
      </c>
      <c r="F7077" s="4" t="str">
        <f>HYPERLINK("http://141.218.60.56/~jnz1568/getInfo.php?workbook=14_09.xlsx&amp;sheet=U0&amp;row=7077&amp;col=6&amp;number=4.3&amp;sourceID=14","4.3")</f>
        <v>4.3</v>
      </c>
      <c r="G7077" s="4" t="str">
        <f>HYPERLINK("http://141.218.60.56/~jnz1568/getInfo.php?workbook=14_09.xlsx&amp;sheet=U0&amp;row=7077&amp;col=7&amp;number=0.00797&amp;sourceID=14","0.00797")</f>
        <v>0.00797</v>
      </c>
    </row>
    <row r="7078" spans="1:7">
      <c r="A7078" s="3"/>
      <c r="B7078" s="3"/>
      <c r="C7078" s="3"/>
      <c r="D7078" s="3"/>
      <c r="E7078" s="3">
        <v>15</v>
      </c>
      <c r="F7078" s="4" t="str">
        <f>HYPERLINK("http://141.218.60.56/~jnz1568/getInfo.php?workbook=14_09.xlsx&amp;sheet=U0&amp;row=7078&amp;col=6&amp;number=4.4&amp;sourceID=14","4.4")</f>
        <v>4.4</v>
      </c>
      <c r="G7078" s="4" t="str">
        <f>HYPERLINK("http://141.218.60.56/~jnz1568/getInfo.php?workbook=14_09.xlsx&amp;sheet=U0&amp;row=7078&amp;col=7&amp;number=0.00787&amp;sourceID=14","0.00787")</f>
        <v>0.00787</v>
      </c>
    </row>
    <row r="7079" spans="1:7">
      <c r="A7079" s="3"/>
      <c r="B7079" s="3"/>
      <c r="C7079" s="3"/>
      <c r="D7079" s="3"/>
      <c r="E7079" s="3">
        <v>16</v>
      </c>
      <c r="F7079" s="4" t="str">
        <f>HYPERLINK("http://141.218.60.56/~jnz1568/getInfo.php?workbook=14_09.xlsx&amp;sheet=U0&amp;row=7079&amp;col=6&amp;number=4.5&amp;sourceID=14","4.5")</f>
        <v>4.5</v>
      </c>
      <c r="G7079" s="4" t="str">
        <f>HYPERLINK("http://141.218.60.56/~jnz1568/getInfo.php?workbook=14_09.xlsx&amp;sheet=U0&amp;row=7079&amp;col=7&amp;number=0.00774&amp;sourceID=14","0.00774")</f>
        <v>0.00774</v>
      </c>
    </row>
    <row r="7080" spans="1:7">
      <c r="A7080" s="3"/>
      <c r="B7080" s="3"/>
      <c r="C7080" s="3"/>
      <c r="D7080" s="3"/>
      <c r="E7080" s="3">
        <v>17</v>
      </c>
      <c r="F7080" s="4" t="str">
        <f>HYPERLINK("http://141.218.60.56/~jnz1568/getInfo.php?workbook=14_09.xlsx&amp;sheet=U0&amp;row=7080&amp;col=6&amp;number=4.6&amp;sourceID=14","4.6")</f>
        <v>4.6</v>
      </c>
      <c r="G7080" s="4" t="str">
        <f>HYPERLINK("http://141.218.60.56/~jnz1568/getInfo.php?workbook=14_09.xlsx&amp;sheet=U0&amp;row=7080&amp;col=7&amp;number=0.00758&amp;sourceID=14","0.00758")</f>
        <v>0.00758</v>
      </c>
    </row>
    <row r="7081" spans="1:7">
      <c r="A7081" s="3"/>
      <c r="B7081" s="3"/>
      <c r="C7081" s="3"/>
      <c r="D7081" s="3"/>
      <c r="E7081" s="3">
        <v>18</v>
      </c>
      <c r="F7081" s="4" t="str">
        <f>HYPERLINK("http://141.218.60.56/~jnz1568/getInfo.php?workbook=14_09.xlsx&amp;sheet=U0&amp;row=7081&amp;col=6&amp;number=4.7&amp;sourceID=14","4.7")</f>
        <v>4.7</v>
      </c>
      <c r="G7081" s="4" t="str">
        <f>HYPERLINK("http://141.218.60.56/~jnz1568/getInfo.php?workbook=14_09.xlsx&amp;sheet=U0&amp;row=7081&amp;col=7&amp;number=0.00739&amp;sourceID=14","0.00739")</f>
        <v>0.00739</v>
      </c>
    </row>
    <row r="7082" spans="1:7">
      <c r="A7082" s="3"/>
      <c r="B7082" s="3"/>
      <c r="C7082" s="3"/>
      <c r="D7082" s="3"/>
      <c r="E7082" s="3">
        <v>19</v>
      </c>
      <c r="F7082" s="4" t="str">
        <f>HYPERLINK("http://141.218.60.56/~jnz1568/getInfo.php?workbook=14_09.xlsx&amp;sheet=U0&amp;row=7082&amp;col=6&amp;number=4.8&amp;sourceID=14","4.8")</f>
        <v>4.8</v>
      </c>
      <c r="G7082" s="4" t="str">
        <f>HYPERLINK("http://141.218.60.56/~jnz1568/getInfo.php?workbook=14_09.xlsx&amp;sheet=U0&amp;row=7082&amp;col=7&amp;number=0.00717&amp;sourceID=14","0.00717")</f>
        <v>0.00717</v>
      </c>
    </row>
    <row r="7083" spans="1:7">
      <c r="A7083" s="3"/>
      <c r="B7083" s="3"/>
      <c r="C7083" s="3"/>
      <c r="D7083" s="3"/>
      <c r="E7083" s="3">
        <v>20</v>
      </c>
      <c r="F7083" s="4" t="str">
        <f>HYPERLINK("http://141.218.60.56/~jnz1568/getInfo.php?workbook=14_09.xlsx&amp;sheet=U0&amp;row=7083&amp;col=6&amp;number=4.9&amp;sourceID=14","4.9")</f>
        <v>4.9</v>
      </c>
      <c r="G7083" s="4" t="str">
        <f>HYPERLINK("http://141.218.60.56/~jnz1568/getInfo.php?workbook=14_09.xlsx&amp;sheet=U0&amp;row=7083&amp;col=7&amp;number=0.00692&amp;sourceID=14","0.00692")</f>
        <v>0.00692</v>
      </c>
    </row>
    <row r="7084" spans="1:7">
      <c r="A7084" s="3">
        <v>14</v>
      </c>
      <c r="B7084" s="3">
        <v>9</v>
      </c>
      <c r="C7084" s="3">
        <v>2</v>
      </c>
      <c r="D7084" s="3">
        <v>163</v>
      </c>
      <c r="E7084" s="3">
        <v>1</v>
      </c>
      <c r="F7084" s="4" t="str">
        <f>HYPERLINK("http://141.218.60.56/~jnz1568/getInfo.php?workbook=14_09.xlsx&amp;sheet=U0&amp;row=7084&amp;col=6&amp;number=3&amp;sourceID=14","3")</f>
        <v>3</v>
      </c>
      <c r="G7084" s="4" t="str">
        <f>HYPERLINK("http://141.218.60.56/~jnz1568/getInfo.php?workbook=14_09.xlsx&amp;sheet=U0&amp;row=7084&amp;col=7&amp;number=0.0152&amp;sourceID=14","0.0152")</f>
        <v>0.0152</v>
      </c>
    </row>
    <row r="7085" spans="1:7">
      <c r="A7085" s="3"/>
      <c r="B7085" s="3"/>
      <c r="C7085" s="3"/>
      <c r="D7085" s="3"/>
      <c r="E7085" s="3">
        <v>2</v>
      </c>
      <c r="F7085" s="4" t="str">
        <f>HYPERLINK("http://141.218.60.56/~jnz1568/getInfo.php?workbook=14_09.xlsx&amp;sheet=U0&amp;row=7085&amp;col=6&amp;number=3.1&amp;sourceID=14","3.1")</f>
        <v>3.1</v>
      </c>
      <c r="G7085" s="4" t="str">
        <f>HYPERLINK("http://141.218.60.56/~jnz1568/getInfo.php?workbook=14_09.xlsx&amp;sheet=U0&amp;row=7085&amp;col=7&amp;number=0.0152&amp;sourceID=14","0.0152")</f>
        <v>0.0152</v>
      </c>
    </row>
    <row r="7086" spans="1:7">
      <c r="A7086" s="3"/>
      <c r="B7086" s="3"/>
      <c r="C7086" s="3"/>
      <c r="D7086" s="3"/>
      <c r="E7086" s="3">
        <v>3</v>
      </c>
      <c r="F7086" s="4" t="str">
        <f>HYPERLINK("http://141.218.60.56/~jnz1568/getInfo.php?workbook=14_09.xlsx&amp;sheet=U0&amp;row=7086&amp;col=6&amp;number=3.2&amp;sourceID=14","3.2")</f>
        <v>3.2</v>
      </c>
      <c r="G7086" s="4" t="str">
        <f>HYPERLINK("http://141.218.60.56/~jnz1568/getInfo.php?workbook=14_09.xlsx&amp;sheet=U0&amp;row=7086&amp;col=7&amp;number=0.0152&amp;sourceID=14","0.0152")</f>
        <v>0.0152</v>
      </c>
    </row>
    <row r="7087" spans="1:7">
      <c r="A7087" s="3"/>
      <c r="B7087" s="3"/>
      <c r="C7087" s="3"/>
      <c r="D7087" s="3"/>
      <c r="E7087" s="3">
        <v>4</v>
      </c>
      <c r="F7087" s="4" t="str">
        <f>HYPERLINK("http://141.218.60.56/~jnz1568/getInfo.php?workbook=14_09.xlsx&amp;sheet=U0&amp;row=7087&amp;col=6&amp;number=3.3&amp;sourceID=14","3.3")</f>
        <v>3.3</v>
      </c>
      <c r="G7087" s="4" t="str">
        <f>HYPERLINK("http://141.218.60.56/~jnz1568/getInfo.php?workbook=14_09.xlsx&amp;sheet=U0&amp;row=7087&amp;col=7&amp;number=0.0152&amp;sourceID=14","0.0152")</f>
        <v>0.0152</v>
      </c>
    </row>
    <row r="7088" spans="1:7">
      <c r="A7088" s="3"/>
      <c r="B7088" s="3"/>
      <c r="C7088" s="3"/>
      <c r="D7088" s="3"/>
      <c r="E7088" s="3">
        <v>5</v>
      </c>
      <c r="F7088" s="4" t="str">
        <f>HYPERLINK("http://141.218.60.56/~jnz1568/getInfo.php?workbook=14_09.xlsx&amp;sheet=U0&amp;row=7088&amp;col=6&amp;number=3.4&amp;sourceID=14","3.4")</f>
        <v>3.4</v>
      </c>
      <c r="G7088" s="4" t="str">
        <f>HYPERLINK("http://141.218.60.56/~jnz1568/getInfo.php?workbook=14_09.xlsx&amp;sheet=U0&amp;row=7088&amp;col=7&amp;number=0.0152&amp;sourceID=14","0.0152")</f>
        <v>0.0152</v>
      </c>
    </row>
    <row r="7089" spans="1:7">
      <c r="A7089" s="3"/>
      <c r="B7089" s="3"/>
      <c r="C7089" s="3"/>
      <c r="D7089" s="3"/>
      <c r="E7089" s="3">
        <v>6</v>
      </c>
      <c r="F7089" s="4" t="str">
        <f>HYPERLINK("http://141.218.60.56/~jnz1568/getInfo.php?workbook=14_09.xlsx&amp;sheet=U0&amp;row=7089&amp;col=6&amp;number=3.5&amp;sourceID=14","3.5")</f>
        <v>3.5</v>
      </c>
      <c r="G7089" s="4" t="str">
        <f>HYPERLINK("http://141.218.60.56/~jnz1568/getInfo.php?workbook=14_09.xlsx&amp;sheet=U0&amp;row=7089&amp;col=7&amp;number=0.0152&amp;sourceID=14","0.0152")</f>
        <v>0.0152</v>
      </c>
    </row>
    <row r="7090" spans="1:7">
      <c r="A7090" s="3"/>
      <c r="B7090" s="3"/>
      <c r="C7090" s="3"/>
      <c r="D7090" s="3"/>
      <c r="E7090" s="3">
        <v>7</v>
      </c>
      <c r="F7090" s="4" t="str">
        <f>HYPERLINK("http://141.218.60.56/~jnz1568/getInfo.php?workbook=14_09.xlsx&amp;sheet=U0&amp;row=7090&amp;col=6&amp;number=3.6&amp;sourceID=14","3.6")</f>
        <v>3.6</v>
      </c>
      <c r="G7090" s="4" t="str">
        <f>HYPERLINK("http://141.218.60.56/~jnz1568/getInfo.php?workbook=14_09.xlsx&amp;sheet=U0&amp;row=7090&amp;col=7&amp;number=0.0151&amp;sourceID=14","0.0151")</f>
        <v>0.0151</v>
      </c>
    </row>
    <row r="7091" spans="1:7">
      <c r="A7091" s="3"/>
      <c r="B7091" s="3"/>
      <c r="C7091" s="3"/>
      <c r="D7091" s="3"/>
      <c r="E7091" s="3">
        <v>8</v>
      </c>
      <c r="F7091" s="4" t="str">
        <f>HYPERLINK("http://141.218.60.56/~jnz1568/getInfo.php?workbook=14_09.xlsx&amp;sheet=U0&amp;row=7091&amp;col=6&amp;number=3.7&amp;sourceID=14","3.7")</f>
        <v>3.7</v>
      </c>
      <c r="G7091" s="4" t="str">
        <f>HYPERLINK("http://141.218.60.56/~jnz1568/getInfo.php?workbook=14_09.xlsx&amp;sheet=U0&amp;row=7091&amp;col=7&amp;number=0.0151&amp;sourceID=14","0.0151")</f>
        <v>0.0151</v>
      </c>
    </row>
    <row r="7092" spans="1:7">
      <c r="A7092" s="3"/>
      <c r="B7092" s="3"/>
      <c r="C7092" s="3"/>
      <c r="D7092" s="3"/>
      <c r="E7092" s="3">
        <v>9</v>
      </c>
      <c r="F7092" s="4" t="str">
        <f>HYPERLINK("http://141.218.60.56/~jnz1568/getInfo.php?workbook=14_09.xlsx&amp;sheet=U0&amp;row=7092&amp;col=6&amp;number=3.8&amp;sourceID=14","3.8")</f>
        <v>3.8</v>
      </c>
      <c r="G7092" s="4" t="str">
        <f>HYPERLINK("http://141.218.60.56/~jnz1568/getInfo.php?workbook=14_09.xlsx&amp;sheet=U0&amp;row=7092&amp;col=7&amp;number=0.0151&amp;sourceID=14","0.0151")</f>
        <v>0.0151</v>
      </c>
    </row>
    <row r="7093" spans="1:7">
      <c r="A7093" s="3"/>
      <c r="B7093" s="3"/>
      <c r="C7093" s="3"/>
      <c r="D7093" s="3"/>
      <c r="E7093" s="3">
        <v>10</v>
      </c>
      <c r="F7093" s="4" t="str">
        <f>HYPERLINK("http://141.218.60.56/~jnz1568/getInfo.php?workbook=14_09.xlsx&amp;sheet=U0&amp;row=7093&amp;col=6&amp;number=3.9&amp;sourceID=14","3.9")</f>
        <v>3.9</v>
      </c>
      <c r="G7093" s="4" t="str">
        <f>HYPERLINK("http://141.218.60.56/~jnz1568/getInfo.php?workbook=14_09.xlsx&amp;sheet=U0&amp;row=7093&amp;col=7&amp;number=0.0151&amp;sourceID=14","0.0151")</f>
        <v>0.0151</v>
      </c>
    </row>
    <row r="7094" spans="1:7">
      <c r="A7094" s="3"/>
      <c r="B7094" s="3"/>
      <c r="C7094" s="3"/>
      <c r="D7094" s="3"/>
      <c r="E7094" s="3">
        <v>11</v>
      </c>
      <c r="F7094" s="4" t="str">
        <f>HYPERLINK("http://141.218.60.56/~jnz1568/getInfo.php?workbook=14_09.xlsx&amp;sheet=U0&amp;row=7094&amp;col=6&amp;number=4&amp;sourceID=14","4")</f>
        <v>4</v>
      </c>
      <c r="G7094" s="4" t="str">
        <f>HYPERLINK("http://141.218.60.56/~jnz1568/getInfo.php?workbook=14_09.xlsx&amp;sheet=U0&amp;row=7094&amp;col=7&amp;number=0.0151&amp;sourceID=14","0.0151")</f>
        <v>0.0151</v>
      </c>
    </row>
    <row r="7095" spans="1:7">
      <c r="A7095" s="3"/>
      <c r="B7095" s="3"/>
      <c r="C7095" s="3"/>
      <c r="D7095" s="3"/>
      <c r="E7095" s="3">
        <v>12</v>
      </c>
      <c r="F7095" s="4" t="str">
        <f>HYPERLINK("http://141.218.60.56/~jnz1568/getInfo.php?workbook=14_09.xlsx&amp;sheet=U0&amp;row=7095&amp;col=6&amp;number=4.1&amp;sourceID=14","4.1")</f>
        <v>4.1</v>
      </c>
      <c r="G7095" s="4" t="str">
        <f>HYPERLINK("http://141.218.60.56/~jnz1568/getInfo.php?workbook=14_09.xlsx&amp;sheet=U0&amp;row=7095&amp;col=7&amp;number=0.015&amp;sourceID=14","0.015")</f>
        <v>0.015</v>
      </c>
    </row>
    <row r="7096" spans="1:7">
      <c r="A7096" s="3"/>
      <c r="B7096" s="3"/>
      <c r="C7096" s="3"/>
      <c r="D7096" s="3"/>
      <c r="E7096" s="3">
        <v>13</v>
      </c>
      <c r="F7096" s="4" t="str">
        <f>HYPERLINK("http://141.218.60.56/~jnz1568/getInfo.php?workbook=14_09.xlsx&amp;sheet=U0&amp;row=7096&amp;col=6&amp;number=4.2&amp;sourceID=14","4.2")</f>
        <v>4.2</v>
      </c>
      <c r="G7096" s="4" t="str">
        <f>HYPERLINK("http://141.218.60.56/~jnz1568/getInfo.php?workbook=14_09.xlsx&amp;sheet=U0&amp;row=7096&amp;col=7&amp;number=0.015&amp;sourceID=14","0.015")</f>
        <v>0.015</v>
      </c>
    </row>
    <row r="7097" spans="1:7">
      <c r="A7097" s="3"/>
      <c r="B7097" s="3"/>
      <c r="C7097" s="3"/>
      <c r="D7097" s="3"/>
      <c r="E7097" s="3">
        <v>14</v>
      </c>
      <c r="F7097" s="4" t="str">
        <f>HYPERLINK("http://141.218.60.56/~jnz1568/getInfo.php?workbook=14_09.xlsx&amp;sheet=U0&amp;row=7097&amp;col=6&amp;number=4.3&amp;sourceID=14","4.3")</f>
        <v>4.3</v>
      </c>
      <c r="G7097" s="4" t="str">
        <f>HYPERLINK("http://141.218.60.56/~jnz1568/getInfo.php?workbook=14_09.xlsx&amp;sheet=U0&amp;row=7097&amp;col=7&amp;number=0.015&amp;sourceID=14","0.015")</f>
        <v>0.015</v>
      </c>
    </row>
    <row r="7098" spans="1:7">
      <c r="A7098" s="3"/>
      <c r="B7098" s="3"/>
      <c r="C7098" s="3"/>
      <c r="D7098" s="3"/>
      <c r="E7098" s="3">
        <v>15</v>
      </c>
      <c r="F7098" s="4" t="str">
        <f>HYPERLINK("http://141.218.60.56/~jnz1568/getInfo.php?workbook=14_09.xlsx&amp;sheet=U0&amp;row=7098&amp;col=6&amp;number=4.4&amp;sourceID=14","4.4")</f>
        <v>4.4</v>
      </c>
      <c r="G7098" s="4" t="str">
        <f>HYPERLINK("http://141.218.60.56/~jnz1568/getInfo.php?workbook=14_09.xlsx&amp;sheet=U0&amp;row=7098&amp;col=7&amp;number=0.0149&amp;sourceID=14","0.0149")</f>
        <v>0.0149</v>
      </c>
    </row>
    <row r="7099" spans="1:7">
      <c r="A7099" s="3"/>
      <c r="B7099" s="3"/>
      <c r="C7099" s="3"/>
      <c r="D7099" s="3"/>
      <c r="E7099" s="3">
        <v>16</v>
      </c>
      <c r="F7099" s="4" t="str">
        <f>HYPERLINK("http://141.218.60.56/~jnz1568/getInfo.php?workbook=14_09.xlsx&amp;sheet=U0&amp;row=7099&amp;col=6&amp;number=4.5&amp;sourceID=14","4.5")</f>
        <v>4.5</v>
      </c>
      <c r="G7099" s="4" t="str">
        <f>HYPERLINK("http://141.218.60.56/~jnz1568/getInfo.php?workbook=14_09.xlsx&amp;sheet=U0&amp;row=7099&amp;col=7&amp;number=0.0148&amp;sourceID=14","0.0148")</f>
        <v>0.0148</v>
      </c>
    </row>
    <row r="7100" spans="1:7">
      <c r="A7100" s="3"/>
      <c r="B7100" s="3"/>
      <c r="C7100" s="3"/>
      <c r="D7100" s="3"/>
      <c r="E7100" s="3">
        <v>17</v>
      </c>
      <c r="F7100" s="4" t="str">
        <f>HYPERLINK("http://141.218.60.56/~jnz1568/getInfo.php?workbook=14_09.xlsx&amp;sheet=U0&amp;row=7100&amp;col=6&amp;number=4.6&amp;sourceID=14","4.6")</f>
        <v>4.6</v>
      </c>
      <c r="G7100" s="4" t="str">
        <f>HYPERLINK("http://141.218.60.56/~jnz1568/getInfo.php?workbook=14_09.xlsx&amp;sheet=U0&amp;row=7100&amp;col=7&amp;number=0.0147&amp;sourceID=14","0.0147")</f>
        <v>0.0147</v>
      </c>
    </row>
    <row r="7101" spans="1:7">
      <c r="A7101" s="3"/>
      <c r="B7101" s="3"/>
      <c r="C7101" s="3"/>
      <c r="D7101" s="3"/>
      <c r="E7101" s="3">
        <v>18</v>
      </c>
      <c r="F7101" s="4" t="str">
        <f>HYPERLINK("http://141.218.60.56/~jnz1568/getInfo.php?workbook=14_09.xlsx&amp;sheet=U0&amp;row=7101&amp;col=6&amp;number=4.7&amp;sourceID=14","4.7")</f>
        <v>4.7</v>
      </c>
      <c r="G7101" s="4" t="str">
        <f>HYPERLINK("http://141.218.60.56/~jnz1568/getInfo.php?workbook=14_09.xlsx&amp;sheet=U0&amp;row=7101&amp;col=7&amp;number=0.0146&amp;sourceID=14","0.0146")</f>
        <v>0.0146</v>
      </c>
    </row>
    <row r="7102" spans="1:7">
      <c r="A7102" s="3"/>
      <c r="B7102" s="3"/>
      <c r="C7102" s="3"/>
      <c r="D7102" s="3"/>
      <c r="E7102" s="3">
        <v>19</v>
      </c>
      <c r="F7102" s="4" t="str">
        <f>HYPERLINK("http://141.218.60.56/~jnz1568/getInfo.php?workbook=14_09.xlsx&amp;sheet=U0&amp;row=7102&amp;col=6&amp;number=4.8&amp;sourceID=14","4.8")</f>
        <v>4.8</v>
      </c>
      <c r="G7102" s="4" t="str">
        <f>HYPERLINK("http://141.218.60.56/~jnz1568/getInfo.php?workbook=14_09.xlsx&amp;sheet=U0&amp;row=7102&amp;col=7&amp;number=0.0145&amp;sourceID=14","0.0145")</f>
        <v>0.0145</v>
      </c>
    </row>
    <row r="7103" spans="1:7">
      <c r="A7103" s="3"/>
      <c r="B7103" s="3"/>
      <c r="C7103" s="3"/>
      <c r="D7103" s="3"/>
      <c r="E7103" s="3">
        <v>20</v>
      </c>
      <c r="F7103" s="4" t="str">
        <f>HYPERLINK("http://141.218.60.56/~jnz1568/getInfo.php?workbook=14_09.xlsx&amp;sheet=U0&amp;row=7103&amp;col=6&amp;number=4.9&amp;sourceID=14","4.9")</f>
        <v>4.9</v>
      </c>
      <c r="G7103" s="4" t="str">
        <f>HYPERLINK("http://141.218.60.56/~jnz1568/getInfo.php?workbook=14_09.xlsx&amp;sheet=U0&amp;row=7103&amp;col=7&amp;number=0.0144&amp;sourceID=14","0.0144")</f>
        <v>0.0144</v>
      </c>
    </row>
    <row r="7104" spans="1:7">
      <c r="A7104" s="3">
        <v>14</v>
      </c>
      <c r="B7104" s="3">
        <v>9</v>
      </c>
      <c r="C7104" s="3">
        <v>2</v>
      </c>
      <c r="D7104" s="3">
        <v>164</v>
      </c>
      <c r="E7104" s="3">
        <v>1</v>
      </c>
      <c r="F7104" s="4" t="str">
        <f>HYPERLINK("http://141.218.60.56/~jnz1568/getInfo.php?workbook=14_09.xlsx&amp;sheet=U0&amp;row=7104&amp;col=6&amp;number=3&amp;sourceID=14","3")</f>
        <v>3</v>
      </c>
      <c r="G7104" s="4" t="str">
        <f>HYPERLINK("http://141.218.60.56/~jnz1568/getInfo.php?workbook=14_09.xlsx&amp;sheet=U0&amp;row=7104&amp;col=7&amp;number=0.00267&amp;sourceID=14","0.00267")</f>
        <v>0.00267</v>
      </c>
    </row>
    <row r="7105" spans="1:7">
      <c r="A7105" s="3"/>
      <c r="B7105" s="3"/>
      <c r="C7105" s="3"/>
      <c r="D7105" s="3"/>
      <c r="E7105" s="3">
        <v>2</v>
      </c>
      <c r="F7105" s="4" t="str">
        <f>HYPERLINK("http://141.218.60.56/~jnz1568/getInfo.php?workbook=14_09.xlsx&amp;sheet=U0&amp;row=7105&amp;col=6&amp;number=3.1&amp;sourceID=14","3.1")</f>
        <v>3.1</v>
      </c>
      <c r="G7105" s="4" t="str">
        <f>HYPERLINK("http://141.218.60.56/~jnz1568/getInfo.php?workbook=14_09.xlsx&amp;sheet=U0&amp;row=7105&amp;col=7&amp;number=0.00267&amp;sourceID=14","0.00267")</f>
        <v>0.00267</v>
      </c>
    </row>
    <row r="7106" spans="1:7">
      <c r="A7106" s="3"/>
      <c r="B7106" s="3"/>
      <c r="C7106" s="3"/>
      <c r="D7106" s="3"/>
      <c r="E7106" s="3">
        <v>3</v>
      </c>
      <c r="F7106" s="4" t="str">
        <f>HYPERLINK("http://141.218.60.56/~jnz1568/getInfo.php?workbook=14_09.xlsx&amp;sheet=U0&amp;row=7106&amp;col=6&amp;number=3.2&amp;sourceID=14","3.2")</f>
        <v>3.2</v>
      </c>
      <c r="G7106" s="4" t="str">
        <f>HYPERLINK("http://141.218.60.56/~jnz1568/getInfo.php?workbook=14_09.xlsx&amp;sheet=U0&amp;row=7106&amp;col=7&amp;number=0.00266&amp;sourceID=14","0.00266")</f>
        <v>0.00266</v>
      </c>
    </row>
    <row r="7107" spans="1:7">
      <c r="A7107" s="3"/>
      <c r="B7107" s="3"/>
      <c r="C7107" s="3"/>
      <c r="D7107" s="3"/>
      <c r="E7107" s="3">
        <v>4</v>
      </c>
      <c r="F7107" s="4" t="str">
        <f>HYPERLINK("http://141.218.60.56/~jnz1568/getInfo.php?workbook=14_09.xlsx&amp;sheet=U0&amp;row=7107&amp;col=6&amp;number=3.3&amp;sourceID=14","3.3")</f>
        <v>3.3</v>
      </c>
      <c r="G7107" s="4" t="str">
        <f>HYPERLINK("http://141.218.60.56/~jnz1568/getInfo.php?workbook=14_09.xlsx&amp;sheet=U0&amp;row=7107&amp;col=7&amp;number=0.00266&amp;sourceID=14","0.00266")</f>
        <v>0.00266</v>
      </c>
    </row>
    <row r="7108" spans="1:7">
      <c r="A7108" s="3"/>
      <c r="B7108" s="3"/>
      <c r="C7108" s="3"/>
      <c r="D7108" s="3"/>
      <c r="E7108" s="3">
        <v>5</v>
      </c>
      <c r="F7108" s="4" t="str">
        <f>HYPERLINK("http://141.218.60.56/~jnz1568/getInfo.php?workbook=14_09.xlsx&amp;sheet=U0&amp;row=7108&amp;col=6&amp;number=3.4&amp;sourceID=14","3.4")</f>
        <v>3.4</v>
      </c>
      <c r="G7108" s="4" t="str">
        <f>HYPERLINK("http://141.218.60.56/~jnz1568/getInfo.php?workbook=14_09.xlsx&amp;sheet=U0&amp;row=7108&amp;col=7&amp;number=0.00265&amp;sourceID=14","0.00265")</f>
        <v>0.00265</v>
      </c>
    </row>
    <row r="7109" spans="1:7">
      <c r="A7109" s="3"/>
      <c r="B7109" s="3"/>
      <c r="C7109" s="3"/>
      <c r="D7109" s="3"/>
      <c r="E7109" s="3">
        <v>6</v>
      </c>
      <c r="F7109" s="4" t="str">
        <f>HYPERLINK("http://141.218.60.56/~jnz1568/getInfo.php?workbook=14_09.xlsx&amp;sheet=U0&amp;row=7109&amp;col=6&amp;number=3.5&amp;sourceID=14","3.5")</f>
        <v>3.5</v>
      </c>
      <c r="G7109" s="4" t="str">
        <f>HYPERLINK("http://141.218.60.56/~jnz1568/getInfo.php?workbook=14_09.xlsx&amp;sheet=U0&amp;row=7109&amp;col=7&amp;number=0.00264&amp;sourceID=14","0.00264")</f>
        <v>0.00264</v>
      </c>
    </row>
    <row r="7110" spans="1:7">
      <c r="A7110" s="3"/>
      <c r="B7110" s="3"/>
      <c r="C7110" s="3"/>
      <c r="D7110" s="3"/>
      <c r="E7110" s="3">
        <v>7</v>
      </c>
      <c r="F7110" s="4" t="str">
        <f>HYPERLINK("http://141.218.60.56/~jnz1568/getInfo.php?workbook=14_09.xlsx&amp;sheet=U0&amp;row=7110&amp;col=6&amp;number=3.6&amp;sourceID=14","3.6")</f>
        <v>3.6</v>
      </c>
      <c r="G7110" s="4" t="str">
        <f>HYPERLINK("http://141.218.60.56/~jnz1568/getInfo.php?workbook=14_09.xlsx&amp;sheet=U0&amp;row=7110&amp;col=7&amp;number=0.00263&amp;sourceID=14","0.00263")</f>
        <v>0.00263</v>
      </c>
    </row>
    <row r="7111" spans="1:7">
      <c r="A7111" s="3"/>
      <c r="B7111" s="3"/>
      <c r="C7111" s="3"/>
      <c r="D7111" s="3"/>
      <c r="E7111" s="3">
        <v>8</v>
      </c>
      <c r="F7111" s="4" t="str">
        <f>HYPERLINK("http://141.218.60.56/~jnz1568/getInfo.php?workbook=14_09.xlsx&amp;sheet=U0&amp;row=7111&amp;col=6&amp;number=3.7&amp;sourceID=14","3.7")</f>
        <v>3.7</v>
      </c>
      <c r="G7111" s="4" t="str">
        <f>HYPERLINK("http://141.218.60.56/~jnz1568/getInfo.php?workbook=14_09.xlsx&amp;sheet=U0&amp;row=7111&amp;col=7&amp;number=0.00262&amp;sourceID=14","0.00262")</f>
        <v>0.00262</v>
      </c>
    </row>
    <row r="7112" spans="1:7">
      <c r="A7112" s="3"/>
      <c r="B7112" s="3"/>
      <c r="C7112" s="3"/>
      <c r="D7112" s="3"/>
      <c r="E7112" s="3">
        <v>9</v>
      </c>
      <c r="F7112" s="4" t="str">
        <f>HYPERLINK("http://141.218.60.56/~jnz1568/getInfo.php?workbook=14_09.xlsx&amp;sheet=U0&amp;row=7112&amp;col=6&amp;number=3.8&amp;sourceID=14","3.8")</f>
        <v>3.8</v>
      </c>
      <c r="G7112" s="4" t="str">
        <f>HYPERLINK("http://141.218.60.56/~jnz1568/getInfo.php?workbook=14_09.xlsx&amp;sheet=U0&amp;row=7112&amp;col=7&amp;number=0.0026&amp;sourceID=14","0.0026")</f>
        <v>0.0026</v>
      </c>
    </row>
    <row r="7113" spans="1:7">
      <c r="A7113" s="3"/>
      <c r="B7113" s="3"/>
      <c r="C7113" s="3"/>
      <c r="D7113" s="3"/>
      <c r="E7113" s="3">
        <v>10</v>
      </c>
      <c r="F7113" s="4" t="str">
        <f>HYPERLINK("http://141.218.60.56/~jnz1568/getInfo.php?workbook=14_09.xlsx&amp;sheet=U0&amp;row=7113&amp;col=6&amp;number=3.9&amp;sourceID=14","3.9")</f>
        <v>3.9</v>
      </c>
      <c r="G7113" s="4" t="str">
        <f>HYPERLINK("http://141.218.60.56/~jnz1568/getInfo.php?workbook=14_09.xlsx&amp;sheet=U0&amp;row=7113&amp;col=7&amp;number=0.00258&amp;sourceID=14","0.00258")</f>
        <v>0.00258</v>
      </c>
    </row>
    <row r="7114" spans="1:7">
      <c r="A7114" s="3"/>
      <c r="B7114" s="3"/>
      <c r="C7114" s="3"/>
      <c r="D7114" s="3"/>
      <c r="E7114" s="3">
        <v>11</v>
      </c>
      <c r="F7114" s="4" t="str">
        <f>HYPERLINK("http://141.218.60.56/~jnz1568/getInfo.php?workbook=14_09.xlsx&amp;sheet=U0&amp;row=7114&amp;col=6&amp;number=4&amp;sourceID=14","4")</f>
        <v>4</v>
      </c>
      <c r="G7114" s="4" t="str">
        <f>HYPERLINK("http://141.218.60.56/~jnz1568/getInfo.php?workbook=14_09.xlsx&amp;sheet=U0&amp;row=7114&amp;col=7&amp;number=0.00255&amp;sourceID=14","0.00255")</f>
        <v>0.00255</v>
      </c>
    </row>
    <row r="7115" spans="1:7">
      <c r="A7115" s="3"/>
      <c r="B7115" s="3"/>
      <c r="C7115" s="3"/>
      <c r="D7115" s="3"/>
      <c r="E7115" s="3">
        <v>12</v>
      </c>
      <c r="F7115" s="4" t="str">
        <f>HYPERLINK("http://141.218.60.56/~jnz1568/getInfo.php?workbook=14_09.xlsx&amp;sheet=U0&amp;row=7115&amp;col=6&amp;number=4.1&amp;sourceID=14","4.1")</f>
        <v>4.1</v>
      </c>
      <c r="G7115" s="4" t="str">
        <f>HYPERLINK("http://141.218.60.56/~jnz1568/getInfo.php?workbook=14_09.xlsx&amp;sheet=U0&amp;row=7115&amp;col=7&amp;number=0.00252&amp;sourceID=14","0.00252")</f>
        <v>0.00252</v>
      </c>
    </row>
    <row r="7116" spans="1:7">
      <c r="A7116" s="3"/>
      <c r="B7116" s="3"/>
      <c r="C7116" s="3"/>
      <c r="D7116" s="3"/>
      <c r="E7116" s="3">
        <v>13</v>
      </c>
      <c r="F7116" s="4" t="str">
        <f>HYPERLINK("http://141.218.60.56/~jnz1568/getInfo.php?workbook=14_09.xlsx&amp;sheet=U0&amp;row=7116&amp;col=6&amp;number=4.2&amp;sourceID=14","4.2")</f>
        <v>4.2</v>
      </c>
      <c r="G7116" s="4" t="str">
        <f>HYPERLINK("http://141.218.60.56/~jnz1568/getInfo.php?workbook=14_09.xlsx&amp;sheet=U0&amp;row=7116&amp;col=7&amp;number=0.00248&amp;sourceID=14","0.00248")</f>
        <v>0.00248</v>
      </c>
    </row>
    <row r="7117" spans="1:7">
      <c r="A7117" s="3"/>
      <c r="B7117" s="3"/>
      <c r="C7117" s="3"/>
      <c r="D7117" s="3"/>
      <c r="E7117" s="3">
        <v>14</v>
      </c>
      <c r="F7117" s="4" t="str">
        <f>HYPERLINK("http://141.218.60.56/~jnz1568/getInfo.php?workbook=14_09.xlsx&amp;sheet=U0&amp;row=7117&amp;col=6&amp;number=4.3&amp;sourceID=14","4.3")</f>
        <v>4.3</v>
      </c>
      <c r="G7117" s="4" t="str">
        <f>HYPERLINK("http://141.218.60.56/~jnz1568/getInfo.php?workbook=14_09.xlsx&amp;sheet=U0&amp;row=7117&amp;col=7&amp;number=0.00243&amp;sourceID=14","0.00243")</f>
        <v>0.00243</v>
      </c>
    </row>
    <row r="7118" spans="1:7">
      <c r="A7118" s="3"/>
      <c r="B7118" s="3"/>
      <c r="C7118" s="3"/>
      <c r="D7118" s="3"/>
      <c r="E7118" s="3">
        <v>15</v>
      </c>
      <c r="F7118" s="4" t="str">
        <f>HYPERLINK("http://141.218.60.56/~jnz1568/getInfo.php?workbook=14_09.xlsx&amp;sheet=U0&amp;row=7118&amp;col=6&amp;number=4.4&amp;sourceID=14","4.4")</f>
        <v>4.4</v>
      </c>
      <c r="G7118" s="4" t="str">
        <f>HYPERLINK("http://141.218.60.56/~jnz1568/getInfo.php?workbook=14_09.xlsx&amp;sheet=U0&amp;row=7118&amp;col=7&amp;number=0.00236&amp;sourceID=14","0.00236")</f>
        <v>0.00236</v>
      </c>
    </row>
    <row r="7119" spans="1:7">
      <c r="A7119" s="3"/>
      <c r="B7119" s="3"/>
      <c r="C7119" s="3"/>
      <c r="D7119" s="3"/>
      <c r="E7119" s="3">
        <v>16</v>
      </c>
      <c r="F7119" s="4" t="str">
        <f>HYPERLINK("http://141.218.60.56/~jnz1568/getInfo.php?workbook=14_09.xlsx&amp;sheet=U0&amp;row=7119&amp;col=6&amp;number=4.5&amp;sourceID=14","4.5")</f>
        <v>4.5</v>
      </c>
      <c r="G7119" s="4" t="str">
        <f>HYPERLINK("http://141.218.60.56/~jnz1568/getInfo.php?workbook=14_09.xlsx&amp;sheet=U0&amp;row=7119&amp;col=7&amp;number=0.00229&amp;sourceID=14","0.00229")</f>
        <v>0.00229</v>
      </c>
    </row>
    <row r="7120" spans="1:7">
      <c r="A7120" s="3"/>
      <c r="B7120" s="3"/>
      <c r="C7120" s="3"/>
      <c r="D7120" s="3"/>
      <c r="E7120" s="3">
        <v>17</v>
      </c>
      <c r="F7120" s="4" t="str">
        <f>HYPERLINK("http://141.218.60.56/~jnz1568/getInfo.php?workbook=14_09.xlsx&amp;sheet=U0&amp;row=7120&amp;col=6&amp;number=4.6&amp;sourceID=14","4.6")</f>
        <v>4.6</v>
      </c>
      <c r="G7120" s="4" t="str">
        <f>HYPERLINK("http://141.218.60.56/~jnz1568/getInfo.php?workbook=14_09.xlsx&amp;sheet=U0&amp;row=7120&amp;col=7&amp;number=0.0022&amp;sourceID=14","0.0022")</f>
        <v>0.0022</v>
      </c>
    </row>
    <row r="7121" spans="1:7">
      <c r="A7121" s="3"/>
      <c r="B7121" s="3"/>
      <c r="C7121" s="3"/>
      <c r="D7121" s="3"/>
      <c r="E7121" s="3">
        <v>18</v>
      </c>
      <c r="F7121" s="4" t="str">
        <f>HYPERLINK("http://141.218.60.56/~jnz1568/getInfo.php?workbook=14_09.xlsx&amp;sheet=U0&amp;row=7121&amp;col=6&amp;number=4.7&amp;sourceID=14","4.7")</f>
        <v>4.7</v>
      </c>
      <c r="G7121" s="4" t="str">
        <f>HYPERLINK("http://141.218.60.56/~jnz1568/getInfo.php?workbook=14_09.xlsx&amp;sheet=U0&amp;row=7121&amp;col=7&amp;number=0.00209&amp;sourceID=14","0.00209")</f>
        <v>0.00209</v>
      </c>
    </row>
    <row r="7122" spans="1:7">
      <c r="A7122" s="3"/>
      <c r="B7122" s="3"/>
      <c r="C7122" s="3"/>
      <c r="D7122" s="3"/>
      <c r="E7122" s="3">
        <v>19</v>
      </c>
      <c r="F7122" s="4" t="str">
        <f>HYPERLINK("http://141.218.60.56/~jnz1568/getInfo.php?workbook=14_09.xlsx&amp;sheet=U0&amp;row=7122&amp;col=6&amp;number=4.8&amp;sourceID=14","4.8")</f>
        <v>4.8</v>
      </c>
      <c r="G7122" s="4" t="str">
        <f>HYPERLINK("http://141.218.60.56/~jnz1568/getInfo.php?workbook=14_09.xlsx&amp;sheet=U0&amp;row=7122&amp;col=7&amp;number=0.00198&amp;sourceID=14","0.00198")</f>
        <v>0.00198</v>
      </c>
    </row>
    <row r="7123" spans="1:7">
      <c r="A7123" s="3"/>
      <c r="B7123" s="3"/>
      <c r="C7123" s="3"/>
      <c r="D7123" s="3"/>
      <c r="E7123" s="3">
        <v>20</v>
      </c>
      <c r="F7123" s="4" t="str">
        <f>HYPERLINK("http://141.218.60.56/~jnz1568/getInfo.php?workbook=14_09.xlsx&amp;sheet=U0&amp;row=7123&amp;col=6&amp;number=4.9&amp;sourceID=14","4.9")</f>
        <v>4.9</v>
      </c>
      <c r="G7123" s="4" t="str">
        <f>HYPERLINK("http://141.218.60.56/~jnz1568/getInfo.php?workbook=14_09.xlsx&amp;sheet=U0&amp;row=7123&amp;col=7&amp;number=0.00186&amp;sourceID=14","0.00186")</f>
        <v>0.00186</v>
      </c>
    </row>
    <row r="7124" spans="1:7">
      <c r="A7124" s="3">
        <v>14</v>
      </c>
      <c r="B7124" s="3">
        <v>9</v>
      </c>
      <c r="C7124" s="3">
        <v>2</v>
      </c>
      <c r="D7124" s="3">
        <v>165</v>
      </c>
      <c r="E7124" s="3">
        <v>1</v>
      </c>
      <c r="F7124" s="4" t="str">
        <f>HYPERLINK("http://141.218.60.56/~jnz1568/getInfo.php?workbook=14_09.xlsx&amp;sheet=U0&amp;row=7124&amp;col=6&amp;number=3&amp;sourceID=14","3")</f>
        <v>3</v>
      </c>
      <c r="G7124" s="4" t="str">
        <f>HYPERLINK("http://141.218.60.56/~jnz1568/getInfo.php?workbook=14_09.xlsx&amp;sheet=U0&amp;row=7124&amp;col=7&amp;number=0.00203&amp;sourceID=14","0.00203")</f>
        <v>0.00203</v>
      </c>
    </row>
    <row r="7125" spans="1:7">
      <c r="A7125" s="3"/>
      <c r="B7125" s="3"/>
      <c r="C7125" s="3"/>
      <c r="D7125" s="3"/>
      <c r="E7125" s="3">
        <v>2</v>
      </c>
      <c r="F7125" s="4" t="str">
        <f>HYPERLINK("http://141.218.60.56/~jnz1568/getInfo.php?workbook=14_09.xlsx&amp;sheet=U0&amp;row=7125&amp;col=6&amp;number=3.1&amp;sourceID=14","3.1")</f>
        <v>3.1</v>
      </c>
      <c r="G7125" s="4" t="str">
        <f>HYPERLINK("http://141.218.60.56/~jnz1568/getInfo.php?workbook=14_09.xlsx&amp;sheet=U0&amp;row=7125&amp;col=7&amp;number=0.00203&amp;sourceID=14","0.00203")</f>
        <v>0.00203</v>
      </c>
    </row>
    <row r="7126" spans="1:7">
      <c r="A7126" s="3"/>
      <c r="B7126" s="3"/>
      <c r="C7126" s="3"/>
      <c r="D7126" s="3"/>
      <c r="E7126" s="3">
        <v>3</v>
      </c>
      <c r="F7126" s="4" t="str">
        <f>HYPERLINK("http://141.218.60.56/~jnz1568/getInfo.php?workbook=14_09.xlsx&amp;sheet=U0&amp;row=7126&amp;col=6&amp;number=3.2&amp;sourceID=14","3.2")</f>
        <v>3.2</v>
      </c>
      <c r="G7126" s="4" t="str">
        <f>HYPERLINK("http://141.218.60.56/~jnz1568/getInfo.php?workbook=14_09.xlsx&amp;sheet=U0&amp;row=7126&amp;col=7&amp;number=0.00203&amp;sourceID=14","0.00203")</f>
        <v>0.00203</v>
      </c>
    </row>
    <row r="7127" spans="1:7">
      <c r="A7127" s="3"/>
      <c r="B7127" s="3"/>
      <c r="C7127" s="3"/>
      <c r="D7127" s="3"/>
      <c r="E7127" s="3">
        <v>4</v>
      </c>
      <c r="F7127" s="4" t="str">
        <f>HYPERLINK("http://141.218.60.56/~jnz1568/getInfo.php?workbook=14_09.xlsx&amp;sheet=U0&amp;row=7127&amp;col=6&amp;number=3.3&amp;sourceID=14","3.3")</f>
        <v>3.3</v>
      </c>
      <c r="G7127" s="4" t="str">
        <f>HYPERLINK("http://141.218.60.56/~jnz1568/getInfo.php?workbook=14_09.xlsx&amp;sheet=U0&amp;row=7127&amp;col=7&amp;number=0.00202&amp;sourceID=14","0.00202")</f>
        <v>0.00202</v>
      </c>
    </row>
    <row r="7128" spans="1:7">
      <c r="A7128" s="3"/>
      <c r="B7128" s="3"/>
      <c r="C7128" s="3"/>
      <c r="D7128" s="3"/>
      <c r="E7128" s="3">
        <v>5</v>
      </c>
      <c r="F7128" s="4" t="str">
        <f>HYPERLINK("http://141.218.60.56/~jnz1568/getInfo.php?workbook=14_09.xlsx&amp;sheet=U0&amp;row=7128&amp;col=6&amp;number=3.4&amp;sourceID=14","3.4")</f>
        <v>3.4</v>
      </c>
      <c r="G7128" s="4" t="str">
        <f>HYPERLINK("http://141.218.60.56/~jnz1568/getInfo.php?workbook=14_09.xlsx&amp;sheet=U0&amp;row=7128&amp;col=7&amp;number=0.00202&amp;sourceID=14","0.00202")</f>
        <v>0.00202</v>
      </c>
    </row>
    <row r="7129" spans="1:7">
      <c r="A7129" s="3"/>
      <c r="B7129" s="3"/>
      <c r="C7129" s="3"/>
      <c r="D7129" s="3"/>
      <c r="E7129" s="3">
        <v>6</v>
      </c>
      <c r="F7129" s="4" t="str">
        <f>HYPERLINK("http://141.218.60.56/~jnz1568/getInfo.php?workbook=14_09.xlsx&amp;sheet=U0&amp;row=7129&amp;col=6&amp;number=3.5&amp;sourceID=14","3.5")</f>
        <v>3.5</v>
      </c>
      <c r="G7129" s="4" t="str">
        <f>HYPERLINK("http://141.218.60.56/~jnz1568/getInfo.php?workbook=14_09.xlsx&amp;sheet=U0&amp;row=7129&amp;col=7&amp;number=0.00201&amp;sourceID=14","0.00201")</f>
        <v>0.00201</v>
      </c>
    </row>
    <row r="7130" spans="1:7">
      <c r="A7130" s="3"/>
      <c r="B7130" s="3"/>
      <c r="C7130" s="3"/>
      <c r="D7130" s="3"/>
      <c r="E7130" s="3">
        <v>7</v>
      </c>
      <c r="F7130" s="4" t="str">
        <f>HYPERLINK("http://141.218.60.56/~jnz1568/getInfo.php?workbook=14_09.xlsx&amp;sheet=U0&amp;row=7130&amp;col=6&amp;number=3.6&amp;sourceID=14","3.6")</f>
        <v>3.6</v>
      </c>
      <c r="G7130" s="4" t="str">
        <f>HYPERLINK("http://141.218.60.56/~jnz1568/getInfo.php?workbook=14_09.xlsx&amp;sheet=U0&amp;row=7130&amp;col=7&amp;number=0.002&amp;sourceID=14","0.002")</f>
        <v>0.002</v>
      </c>
    </row>
    <row r="7131" spans="1:7">
      <c r="A7131" s="3"/>
      <c r="B7131" s="3"/>
      <c r="C7131" s="3"/>
      <c r="D7131" s="3"/>
      <c r="E7131" s="3">
        <v>8</v>
      </c>
      <c r="F7131" s="4" t="str">
        <f>HYPERLINK("http://141.218.60.56/~jnz1568/getInfo.php?workbook=14_09.xlsx&amp;sheet=U0&amp;row=7131&amp;col=6&amp;number=3.7&amp;sourceID=14","3.7")</f>
        <v>3.7</v>
      </c>
      <c r="G7131" s="4" t="str">
        <f>HYPERLINK("http://141.218.60.56/~jnz1568/getInfo.php?workbook=14_09.xlsx&amp;sheet=U0&amp;row=7131&amp;col=7&amp;number=0.002&amp;sourceID=14","0.002")</f>
        <v>0.002</v>
      </c>
    </row>
    <row r="7132" spans="1:7">
      <c r="A7132" s="3"/>
      <c r="B7132" s="3"/>
      <c r="C7132" s="3"/>
      <c r="D7132" s="3"/>
      <c r="E7132" s="3">
        <v>9</v>
      </c>
      <c r="F7132" s="4" t="str">
        <f>HYPERLINK("http://141.218.60.56/~jnz1568/getInfo.php?workbook=14_09.xlsx&amp;sheet=U0&amp;row=7132&amp;col=6&amp;number=3.8&amp;sourceID=14","3.8")</f>
        <v>3.8</v>
      </c>
      <c r="G7132" s="4" t="str">
        <f>HYPERLINK("http://141.218.60.56/~jnz1568/getInfo.php?workbook=14_09.xlsx&amp;sheet=U0&amp;row=7132&amp;col=7&amp;number=0.00198&amp;sourceID=14","0.00198")</f>
        <v>0.00198</v>
      </c>
    </row>
    <row r="7133" spans="1:7">
      <c r="A7133" s="3"/>
      <c r="B7133" s="3"/>
      <c r="C7133" s="3"/>
      <c r="D7133" s="3"/>
      <c r="E7133" s="3">
        <v>10</v>
      </c>
      <c r="F7133" s="4" t="str">
        <f>HYPERLINK("http://141.218.60.56/~jnz1568/getInfo.php?workbook=14_09.xlsx&amp;sheet=U0&amp;row=7133&amp;col=6&amp;number=3.9&amp;sourceID=14","3.9")</f>
        <v>3.9</v>
      </c>
      <c r="G7133" s="4" t="str">
        <f>HYPERLINK("http://141.218.60.56/~jnz1568/getInfo.php?workbook=14_09.xlsx&amp;sheet=U0&amp;row=7133&amp;col=7&amp;number=0.00197&amp;sourceID=14","0.00197")</f>
        <v>0.00197</v>
      </c>
    </row>
    <row r="7134" spans="1:7">
      <c r="A7134" s="3"/>
      <c r="B7134" s="3"/>
      <c r="C7134" s="3"/>
      <c r="D7134" s="3"/>
      <c r="E7134" s="3">
        <v>11</v>
      </c>
      <c r="F7134" s="4" t="str">
        <f>HYPERLINK("http://141.218.60.56/~jnz1568/getInfo.php?workbook=14_09.xlsx&amp;sheet=U0&amp;row=7134&amp;col=6&amp;number=4&amp;sourceID=14","4")</f>
        <v>4</v>
      </c>
      <c r="G7134" s="4" t="str">
        <f>HYPERLINK("http://141.218.60.56/~jnz1568/getInfo.php?workbook=14_09.xlsx&amp;sheet=U0&amp;row=7134&amp;col=7&amp;number=0.00195&amp;sourceID=14","0.00195")</f>
        <v>0.00195</v>
      </c>
    </row>
    <row r="7135" spans="1:7">
      <c r="A7135" s="3"/>
      <c r="B7135" s="3"/>
      <c r="C7135" s="3"/>
      <c r="D7135" s="3"/>
      <c r="E7135" s="3">
        <v>12</v>
      </c>
      <c r="F7135" s="4" t="str">
        <f>HYPERLINK("http://141.218.60.56/~jnz1568/getInfo.php?workbook=14_09.xlsx&amp;sheet=U0&amp;row=7135&amp;col=6&amp;number=4.1&amp;sourceID=14","4.1")</f>
        <v>4.1</v>
      </c>
      <c r="G7135" s="4" t="str">
        <f>HYPERLINK("http://141.218.60.56/~jnz1568/getInfo.php?workbook=14_09.xlsx&amp;sheet=U0&amp;row=7135&amp;col=7&amp;number=0.00193&amp;sourceID=14","0.00193")</f>
        <v>0.00193</v>
      </c>
    </row>
    <row r="7136" spans="1:7">
      <c r="A7136" s="3"/>
      <c r="B7136" s="3"/>
      <c r="C7136" s="3"/>
      <c r="D7136" s="3"/>
      <c r="E7136" s="3">
        <v>13</v>
      </c>
      <c r="F7136" s="4" t="str">
        <f>HYPERLINK("http://141.218.60.56/~jnz1568/getInfo.php?workbook=14_09.xlsx&amp;sheet=U0&amp;row=7136&amp;col=6&amp;number=4.2&amp;sourceID=14","4.2")</f>
        <v>4.2</v>
      </c>
      <c r="G7136" s="4" t="str">
        <f>HYPERLINK("http://141.218.60.56/~jnz1568/getInfo.php?workbook=14_09.xlsx&amp;sheet=U0&amp;row=7136&amp;col=7&amp;number=0.0019&amp;sourceID=14","0.0019")</f>
        <v>0.0019</v>
      </c>
    </row>
    <row r="7137" spans="1:7">
      <c r="A7137" s="3"/>
      <c r="B7137" s="3"/>
      <c r="C7137" s="3"/>
      <c r="D7137" s="3"/>
      <c r="E7137" s="3">
        <v>14</v>
      </c>
      <c r="F7137" s="4" t="str">
        <f>HYPERLINK("http://141.218.60.56/~jnz1568/getInfo.php?workbook=14_09.xlsx&amp;sheet=U0&amp;row=7137&amp;col=6&amp;number=4.3&amp;sourceID=14","4.3")</f>
        <v>4.3</v>
      </c>
      <c r="G7137" s="4" t="str">
        <f>HYPERLINK("http://141.218.60.56/~jnz1568/getInfo.php?workbook=14_09.xlsx&amp;sheet=U0&amp;row=7137&amp;col=7&amp;number=0.00187&amp;sourceID=14","0.00187")</f>
        <v>0.00187</v>
      </c>
    </row>
    <row r="7138" spans="1:7">
      <c r="A7138" s="3"/>
      <c r="B7138" s="3"/>
      <c r="C7138" s="3"/>
      <c r="D7138" s="3"/>
      <c r="E7138" s="3">
        <v>15</v>
      </c>
      <c r="F7138" s="4" t="str">
        <f>HYPERLINK("http://141.218.60.56/~jnz1568/getInfo.php?workbook=14_09.xlsx&amp;sheet=U0&amp;row=7138&amp;col=6&amp;number=4.4&amp;sourceID=14","4.4")</f>
        <v>4.4</v>
      </c>
      <c r="G7138" s="4" t="str">
        <f>HYPERLINK("http://141.218.60.56/~jnz1568/getInfo.php?workbook=14_09.xlsx&amp;sheet=U0&amp;row=7138&amp;col=7&amp;number=0.00183&amp;sourceID=14","0.00183")</f>
        <v>0.00183</v>
      </c>
    </row>
    <row r="7139" spans="1:7">
      <c r="A7139" s="3"/>
      <c r="B7139" s="3"/>
      <c r="C7139" s="3"/>
      <c r="D7139" s="3"/>
      <c r="E7139" s="3">
        <v>16</v>
      </c>
      <c r="F7139" s="4" t="str">
        <f>HYPERLINK("http://141.218.60.56/~jnz1568/getInfo.php?workbook=14_09.xlsx&amp;sheet=U0&amp;row=7139&amp;col=6&amp;number=4.5&amp;sourceID=14","4.5")</f>
        <v>4.5</v>
      </c>
      <c r="G7139" s="4" t="str">
        <f>HYPERLINK("http://141.218.60.56/~jnz1568/getInfo.php?workbook=14_09.xlsx&amp;sheet=U0&amp;row=7139&amp;col=7&amp;number=0.00177&amp;sourceID=14","0.00177")</f>
        <v>0.00177</v>
      </c>
    </row>
    <row r="7140" spans="1:7">
      <c r="A7140" s="3"/>
      <c r="B7140" s="3"/>
      <c r="C7140" s="3"/>
      <c r="D7140" s="3"/>
      <c r="E7140" s="3">
        <v>17</v>
      </c>
      <c r="F7140" s="4" t="str">
        <f>HYPERLINK("http://141.218.60.56/~jnz1568/getInfo.php?workbook=14_09.xlsx&amp;sheet=U0&amp;row=7140&amp;col=6&amp;number=4.6&amp;sourceID=14","4.6")</f>
        <v>4.6</v>
      </c>
      <c r="G7140" s="4" t="str">
        <f>HYPERLINK("http://141.218.60.56/~jnz1568/getInfo.php?workbook=14_09.xlsx&amp;sheet=U0&amp;row=7140&amp;col=7&amp;number=0.00171&amp;sourceID=14","0.00171")</f>
        <v>0.00171</v>
      </c>
    </row>
    <row r="7141" spans="1:7">
      <c r="A7141" s="3"/>
      <c r="B7141" s="3"/>
      <c r="C7141" s="3"/>
      <c r="D7141" s="3"/>
      <c r="E7141" s="3">
        <v>18</v>
      </c>
      <c r="F7141" s="4" t="str">
        <f>HYPERLINK("http://141.218.60.56/~jnz1568/getInfo.php?workbook=14_09.xlsx&amp;sheet=U0&amp;row=7141&amp;col=6&amp;number=4.7&amp;sourceID=14","4.7")</f>
        <v>4.7</v>
      </c>
      <c r="G7141" s="4" t="str">
        <f>HYPERLINK("http://141.218.60.56/~jnz1568/getInfo.php?workbook=14_09.xlsx&amp;sheet=U0&amp;row=7141&amp;col=7&amp;number=0.00163&amp;sourceID=14","0.00163")</f>
        <v>0.00163</v>
      </c>
    </row>
    <row r="7142" spans="1:7">
      <c r="A7142" s="3"/>
      <c r="B7142" s="3"/>
      <c r="C7142" s="3"/>
      <c r="D7142" s="3"/>
      <c r="E7142" s="3">
        <v>19</v>
      </c>
      <c r="F7142" s="4" t="str">
        <f>HYPERLINK("http://141.218.60.56/~jnz1568/getInfo.php?workbook=14_09.xlsx&amp;sheet=U0&amp;row=7142&amp;col=6&amp;number=4.8&amp;sourceID=14","4.8")</f>
        <v>4.8</v>
      </c>
      <c r="G7142" s="4" t="str">
        <f>HYPERLINK("http://141.218.60.56/~jnz1568/getInfo.php?workbook=14_09.xlsx&amp;sheet=U0&amp;row=7142&amp;col=7&amp;number=0.00154&amp;sourceID=14","0.00154")</f>
        <v>0.00154</v>
      </c>
    </row>
    <row r="7143" spans="1:7">
      <c r="A7143" s="3"/>
      <c r="B7143" s="3"/>
      <c r="C7143" s="3"/>
      <c r="D7143" s="3"/>
      <c r="E7143" s="3">
        <v>20</v>
      </c>
      <c r="F7143" s="4" t="str">
        <f>HYPERLINK("http://141.218.60.56/~jnz1568/getInfo.php?workbook=14_09.xlsx&amp;sheet=U0&amp;row=7143&amp;col=6&amp;number=4.9&amp;sourceID=14","4.9")</f>
        <v>4.9</v>
      </c>
      <c r="G7143" s="4" t="str">
        <f>HYPERLINK("http://141.218.60.56/~jnz1568/getInfo.php?workbook=14_09.xlsx&amp;sheet=U0&amp;row=7143&amp;col=7&amp;number=0.00144&amp;sourceID=14","0.00144")</f>
        <v>0.00144</v>
      </c>
    </row>
    <row r="7144" spans="1:7">
      <c r="A7144" s="3">
        <v>14</v>
      </c>
      <c r="B7144" s="3">
        <v>9</v>
      </c>
      <c r="C7144" s="3">
        <v>2</v>
      </c>
      <c r="D7144" s="3">
        <v>166</v>
      </c>
      <c r="E7144" s="3">
        <v>1</v>
      </c>
      <c r="F7144" s="4" t="str">
        <f>HYPERLINK("http://141.218.60.56/~jnz1568/getInfo.php?workbook=14_09.xlsx&amp;sheet=U0&amp;row=7144&amp;col=6&amp;number=3&amp;sourceID=14","3")</f>
        <v>3</v>
      </c>
      <c r="G7144" s="4" t="str">
        <f>HYPERLINK("http://141.218.60.56/~jnz1568/getInfo.php?workbook=14_09.xlsx&amp;sheet=U0&amp;row=7144&amp;col=7&amp;number=0.0125&amp;sourceID=14","0.0125")</f>
        <v>0.0125</v>
      </c>
    </row>
    <row r="7145" spans="1:7">
      <c r="A7145" s="3"/>
      <c r="B7145" s="3"/>
      <c r="C7145" s="3"/>
      <c r="D7145" s="3"/>
      <c r="E7145" s="3">
        <v>2</v>
      </c>
      <c r="F7145" s="4" t="str">
        <f>HYPERLINK("http://141.218.60.56/~jnz1568/getInfo.php?workbook=14_09.xlsx&amp;sheet=U0&amp;row=7145&amp;col=6&amp;number=3.1&amp;sourceID=14","3.1")</f>
        <v>3.1</v>
      </c>
      <c r="G7145" s="4" t="str">
        <f>HYPERLINK("http://141.218.60.56/~jnz1568/getInfo.php?workbook=14_09.xlsx&amp;sheet=U0&amp;row=7145&amp;col=7&amp;number=0.0125&amp;sourceID=14","0.0125")</f>
        <v>0.0125</v>
      </c>
    </row>
    <row r="7146" spans="1:7">
      <c r="A7146" s="3"/>
      <c r="B7146" s="3"/>
      <c r="C7146" s="3"/>
      <c r="D7146" s="3"/>
      <c r="E7146" s="3">
        <v>3</v>
      </c>
      <c r="F7146" s="4" t="str">
        <f>HYPERLINK("http://141.218.60.56/~jnz1568/getInfo.php?workbook=14_09.xlsx&amp;sheet=U0&amp;row=7146&amp;col=6&amp;number=3.2&amp;sourceID=14","3.2")</f>
        <v>3.2</v>
      </c>
      <c r="G7146" s="4" t="str">
        <f>HYPERLINK("http://141.218.60.56/~jnz1568/getInfo.php?workbook=14_09.xlsx&amp;sheet=U0&amp;row=7146&amp;col=7&amp;number=0.0125&amp;sourceID=14","0.0125")</f>
        <v>0.0125</v>
      </c>
    </row>
    <row r="7147" spans="1:7">
      <c r="A7147" s="3"/>
      <c r="B7147" s="3"/>
      <c r="C7147" s="3"/>
      <c r="D7147" s="3"/>
      <c r="E7147" s="3">
        <v>4</v>
      </c>
      <c r="F7147" s="4" t="str">
        <f>HYPERLINK("http://141.218.60.56/~jnz1568/getInfo.php?workbook=14_09.xlsx&amp;sheet=U0&amp;row=7147&amp;col=6&amp;number=3.3&amp;sourceID=14","3.3")</f>
        <v>3.3</v>
      </c>
      <c r="G7147" s="4" t="str">
        <f>HYPERLINK("http://141.218.60.56/~jnz1568/getInfo.php?workbook=14_09.xlsx&amp;sheet=U0&amp;row=7147&amp;col=7&amp;number=0.0125&amp;sourceID=14","0.0125")</f>
        <v>0.0125</v>
      </c>
    </row>
    <row r="7148" spans="1:7">
      <c r="A7148" s="3"/>
      <c r="B7148" s="3"/>
      <c r="C7148" s="3"/>
      <c r="D7148" s="3"/>
      <c r="E7148" s="3">
        <v>5</v>
      </c>
      <c r="F7148" s="4" t="str">
        <f>HYPERLINK("http://141.218.60.56/~jnz1568/getInfo.php?workbook=14_09.xlsx&amp;sheet=U0&amp;row=7148&amp;col=6&amp;number=3.4&amp;sourceID=14","3.4")</f>
        <v>3.4</v>
      </c>
      <c r="G7148" s="4" t="str">
        <f>HYPERLINK("http://141.218.60.56/~jnz1568/getInfo.php?workbook=14_09.xlsx&amp;sheet=U0&amp;row=7148&amp;col=7&amp;number=0.0124&amp;sourceID=14","0.0124")</f>
        <v>0.0124</v>
      </c>
    </row>
    <row r="7149" spans="1:7">
      <c r="A7149" s="3"/>
      <c r="B7149" s="3"/>
      <c r="C7149" s="3"/>
      <c r="D7149" s="3"/>
      <c r="E7149" s="3">
        <v>6</v>
      </c>
      <c r="F7149" s="4" t="str">
        <f>HYPERLINK("http://141.218.60.56/~jnz1568/getInfo.php?workbook=14_09.xlsx&amp;sheet=U0&amp;row=7149&amp;col=6&amp;number=3.5&amp;sourceID=14","3.5")</f>
        <v>3.5</v>
      </c>
      <c r="G7149" s="4" t="str">
        <f>HYPERLINK("http://141.218.60.56/~jnz1568/getInfo.php?workbook=14_09.xlsx&amp;sheet=U0&amp;row=7149&amp;col=7&amp;number=0.0124&amp;sourceID=14","0.0124")</f>
        <v>0.0124</v>
      </c>
    </row>
    <row r="7150" spans="1:7">
      <c r="A7150" s="3"/>
      <c r="B7150" s="3"/>
      <c r="C7150" s="3"/>
      <c r="D7150" s="3"/>
      <c r="E7150" s="3">
        <v>7</v>
      </c>
      <c r="F7150" s="4" t="str">
        <f>HYPERLINK("http://141.218.60.56/~jnz1568/getInfo.php?workbook=14_09.xlsx&amp;sheet=U0&amp;row=7150&amp;col=6&amp;number=3.6&amp;sourceID=14","3.6")</f>
        <v>3.6</v>
      </c>
      <c r="G7150" s="4" t="str">
        <f>HYPERLINK("http://141.218.60.56/~jnz1568/getInfo.php?workbook=14_09.xlsx&amp;sheet=U0&amp;row=7150&amp;col=7&amp;number=0.0123&amp;sourceID=14","0.0123")</f>
        <v>0.0123</v>
      </c>
    </row>
    <row r="7151" spans="1:7">
      <c r="A7151" s="3"/>
      <c r="B7151" s="3"/>
      <c r="C7151" s="3"/>
      <c r="D7151" s="3"/>
      <c r="E7151" s="3">
        <v>8</v>
      </c>
      <c r="F7151" s="4" t="str">
        <f>HYPERLINK("http://141.218.60.56/~jnz1568/getInfo.php?workbook=14_09.xlsx&amp;sheet=U0&amp;row=7151&amp;col=6&amp;number=3.7&amp;sourceID=14","3.7")</f>
        <v>3.7</v>
      </c>
      <c r="G7151" s="4" t="str">
        <f>HYPERLINK("http://141.218.60.56/~jnz1568/getInfo.php?workbook=14_09.xlsx&amp;sheet=U0&amp;row=7151&amp;col=7&amp;number=0.0123&amp;sourceID=14","0.0123")</f>
        <v>0.0123</v>
      </c>
    </row>
    <row r="7152" spans="1:7">
      <c r="A7152" s="3"/>
      <c r="B7152" s="3"/>
      <c r="C7152" s="3"/>
      <c r="D7152" s="3"/>
      <c r="E7152" s="3">
        <v>9</v>
      </c>
      <c r="F7152" s="4" t="str">
        <f>HYPERLINK("http://141.218.60.56/~jnz1568/getInfo.php?workbook=14_09.xlsx&amp;sheet=U0&amp;row=7152&amp;col=6&amp;number=3.8&amp;sourceID=14","3.8")</f>
        <v>3.8</v>
      </c>
      <c r="G7152" s="4" t="str">
        <f>HYPERLINK("http://141.218.60.56/~jnz1568/getInfo.php?workbook=14_09.xlsx&amp;sheet=U0&amp;row=7152&amp;col=7&amp;number=0.0122&amp;sourceID=14","0.0122")</f>
        <v>0.0122</v>
      </c>
    </row>
    <row r="7153" spans="1:7">
      <c r="A7153" s="3"/>
      <c r="B7153" s="3"/>
      <c r="C7153" s="3"/>
      <c r="D7153" s="3"/>
      <c r="E7153" s="3">
        <v>10</v>
      </c>
      <c r="F7153" s="4" t="str">
        <f>HYPERLINK("http://141.218.60.56/~jnz1568/getInfo.php?workbook=14_09.xlsx&amp;sheet=U0&amp;row=7153&amp;col=6&amp;number=3.9&amp;sourceID=14","3.9")</f>
        <v>3.9</v>
      </c>
      <c r="G7153" s="4" t="str">
        <f>HYPERLINK("http://141.218.60.56/~jnz1568/getInfo.php?workbook=14_09.xlsx&amp;sheet=U0&amp;row=7153&amp;col=7&amp;number=0.0121&amp;sourceID=14","0.0121")</f>
        <v>0.0121</v>
      </c>
    </row>
    <row r="7154" spans="1:7">
      <c r="A7154" s="3"/>
      <c r="B7154" s="3"/>
      <c r="C7154" s="3"/>
      <c r="D7154" s="3"/>
      <c r="E7154" s="3">
        <v>11</v>
      </c>
      <c r="F7154" s="4" t="str">
        <f>HYPERLINK("http://141.218.60.56/~jnz1568/getInfo.php?workbook=14_09.xlsx&amp;sheet=U0&amp;row=7154&amp;col=6&amp;number=4&amp;sourceID=14","4")</f>
        <v>4</v>
      </c>
      <c r="G7154" s="4" t="str">
        <f>HYPERLINK("http://141.218.60.56/~jnz1568/getInfo.php?workbook=14_09.xlsx&amp;sheet=U0&amp;row=7154&amp;col=7&amp;number=0.012&amp;sourceID=14","0.012")</f>
        <v>0.012</v>
      </c>
    </row>
    <row r="7155" spans="1:7">
      <c r="A7155" s="3"/>
      <c r="B7155" s="3"/>
      <c r="C7155" s="3"/>
      <c r="D7155" s="3"/>
      <c r="E7155" s="3">
        <v>12</v>
      </c>
      <c r="F7155" s="4" t="str">
        <f>HYPERLINK("http://141.218.60.56/~jnz1568/getInfo.php?workbook=14_09.xlsx&amp;sheet=U0&amp;row=7155&amp;col=6&amp;number=4.1&amp;sourceID=14","4.1")</f>
        <v>4.1</v>
      </c>
      <c r="G7155" s="4" t="str">
        <f>HYPERLINK("http://141.218.60.56/~jnz1568/getInfo.php?workbook=14_09.xlsx&amp;sheet=U0&amp;row=7155&amp;col=7&amp;number=0.0118&amp;sourceID=14","0.0118")</f>
        <v>0.0118</v>
      </c>
    </row>
    <row r="7156" spans="1:7">
      <c r="A7156" s="3"/>
      <c r="B7156" s="3"/>
      <c r="C7156" s="3"/>
      <c r="D7156" s="3"/>
      <c r="E7156" s="3">
        <v>13</v>
      </c>
      <c r="F7156" s="4" t="str">
        <f>HYPERLINK("http://141.218.60.56/~jnz1568/getInfo.php?workbook=14_09.xlsx&amp;sheet=U0&amp;row=7156&amp;col=6&amp;number=4.2&amp;sourceID=14","4.2")</f>
        <v>4.2</v>
      </c>
      <c r="G7156" s="4" t="str">
        <f>HYPERLINK("http://141.218.60.56/~jnz1568/getInfo.php?workbook=14_09.xlsx&amp;sheet=U0&amp;row=7156&amp;col=7&amp;number=0.0116&amp;sourceID=14","0.0116")</f>
        <v>0.0116</v>
      </c>
    </row>
    <row r="7157" spans="1:7">
      <c r="A7157" s="3"/>
      <c r="B7157" s="3"/>
      <c r="C7157" s="3"/>
      <c r="D7157" s="3"/>
      <c r="E7157" s="3">
        <v>14</v>
      </c>
      <c r="F7157" s="4" t="str">
        <f>HYPERLINK("http://141.218.60.56/~jnz1568/getInfo.php?workbook=14_09.xlsx&amp;sheet=U0&amp;row=7157&amp;col=6&amp;number=4.3&amp;sourceID=14","4.3")</f>
        <v>4.3</v>
      </c>
      <c r="G7157" s="4" t="str">
        <f>HYPERLINK("http://141.218.60.56/~jnz1568/getInfo.php?workbook=14_09.xlsx&amp;sheet=U0&amp;row=7157&amp;col=7&amp;number=0.0113&amp;sourceID=14","0.0113")</f>
        <v>0.0113</v>
      </c>
    </row>
    <row r="7158" spans="1:7">
      <c r="A7158" s="3"/>
      <c r="B7158" s="3"/>
      <c r="C7158" s="3"/>
      <c r="D7158" s="3"/>
      <c r="E7158" s="3">
        <v>15</v>
      </c>
      <c r="F7158" s="4" t="str">
        <f>HYPERLINK("http://141.218.60.56/~jnz1568/getInfo.php?workbook=14_09.xlsx&amp;sheet=U0&amp;row=7158&amp;col=6&amp;number=4.4&amp;sourceID=14","4.4")</f>
        <v>4.4</v>
      </c>
      <c r="G7158" s="4" t="str">
        <f>HYPERLINK("http://141.218.60.56/~jnz1568/getInfo.php?workbook=14_09.xlsx&amp;sheet=U0&amp;row=7158&amp;col=7&amp;number=0.011&amp;sourceID=14","0.011")</f>
        <v>0.011</v>
      </c>
    </row>
    <row r="7159" spans="1:7">
      <c r="A7159" s="3"/>
      <c r="B7159" s="3"/>
      <c r="C7159" s="3"/>
      <c r="D7159" s="3"/>
      <c r="E7159" s="3">
        <v>16</v>
      </c>
      <c r="F7159" s="4" t="str">
        <f>HYPERLINK("http://141.218.60.56/~jnz1568/getInfo.php?workbook=14_09.xlsx&amp;sheet=U0&amp;row=7159&amp;col=6&amp;number=4.5&amp;sourceID=14","4.5")</f>
        <v>4.5</v>
      </c>
      <c r="G7159" s="4" t="str">
        <f>HYPERLINK("http://141.218.60.56/~jnz1568/getInfo.php?workbook=14_09.xlsx&amp;sheet=U0&amp;row=7159&amp;col=7&amp;number=0.0107&amp;sourceID=14","0.0107")</f>
        <v>0.0107</v>
      </c>
    </row>
    <row r="7160" spans="1:7">
      <c r="A7160" s="3"/>
      <c r="B7160" s="3"/>
      <c r="C7160" s="3"/>
      <c r="D7160" s="3"/>
      <c r="E7160" s="3">
        <v>17</v>
      </c>
      <c r="F7160" s="4" t="str">
        <f>HYPERLINK("http://141.218.60.56/~jnz1568/getInfo.php?workbook=14_09.xlsx&amp;sheet=U0&amp;row=7160&amp;col=6&amp;number=4.6&amp;sourceID=14","4.6")</f>
        <v>4.6</v>
      </c>
      <c r="G7160" s="4" t="str">
        <f>HYPERLINK("http://141.218.60.56/~jnz1568/getInfo.php?workbook=14_09.xlsx&amp;sheet=U0&amp;row=7160&amp;col=7&amp;number=0.0102&amp;sourceID=14","0.0102")</f>
        <v>0.0102</v>
      </c>
    </row>
    <row r="7161" spans="1:7">
      <c r="A7161" s="3"/>
      <c r="B7161" s="3"/>
      <c r="C7161" s="3"/>
      <c r="D7161" s="3"/>
      <c r="E7161" s="3">
        <v>18</v>
      </c>
      <c r="F7161" s="4" t="str">
        <f>HYPERLINK("http://141.218.60.56/~jnz1568/getInfo.php?workbook=14_09.xlsx&amp;sheet=U0&amp;row=7161&amp;col=6&amp;number=4.7&amp;sourceID=14","4.7")</f>
        <v>4.7</v>
      </c>
      <c r="G7161" s="4" t="str">
        <f>HYPERLINK("http://141.218.60.56/~jnz1568/getInfo.php?workbook=14_09.xlsx&amp;sheet=U0&amp;row=7161&amp;col=7&amp;number=0.00967&amp;sourceID=14","0.00967")</f>
        <v>0.00967</v>
      </c>
    </row>
    <row r="7162" spans="1:7">
      <c r="A7162" s="3"/>
      <c r="B7162" s="3"/>
      <c r="C7162" s="3"/>
      <c r="D7162" s="3"/>
      <c r="E7162" s="3">
        <v>19</v>
      </c>
      <c r="F7162" s="4" t="str">
        <f>HYPERLINK("http://141.218.60.56/~jnz1568/getInfo.php?workbook=14_09.xlsx&amp;sheet=U0&amp;row=7162&amp;col=6&amp;number=4.8&amp;sourceID=14","4.8")</f>
        <v>4.8</v>
      </c>
      <c r="G7162" s="4" t="str">
        <f>HYPERLINK("http://141.218.60.56/~jnz1568/getInfo.php?workbook=14_09.xlsx&amp;sheet=U0&amp;row=7162&amp;col=7&amp;number=0.00905&amp;sourceID=14","0.00905")</f>
        <v>0.00905</v>
      </c>
    </row>
    <row r="7163" spans="1:7">
      <c r="A7163" s="3"/>
      <c r="B7163" s="3"/>
      <c r="C7163" s="3"/>
      <c r="D7163" s="3"/>
      <c r="E7163" s="3">
        <v>20</v>
      </c>
      <c r="F7163" s="4" t="str">
        <f>HYPERLINK("http://141.218.60.56/~jnz1568/getInfo.php?workbook=14_09.xlsx&amp;sheet=U0&amp;row=7163&amp;col=6&amp;number=4.9&amp;sourceID=14","4.9")</f>
        <v>4.9</v>
      </c>
      <c r="G7163" s="4" t="str">
        <f>HYPERLINK("http://141.218.60.56/~jnz1568/getInfo.php?workbook=14_09.xlsx&amp;sheet=U0&amp;row=7163&amp;col=7&amp;number=0.00836&amp;sourceID=14","0.00836")</f>
        <v>0.00836</v>
      </c>
    </row>
    <row r="7164" spans="1:7">
      <c r="A7164" s="3">
        <v>14</v>
      </c>
      <c r="B7164" s="3">
        <v>9</v>
      </c>
      <c r="C7164" s="3">
        <v>2</v>
      </c>
      <c r="D7164" s="3">
        <v>167</v>
      </c>
      <c r="E7164" s="3">
        <v>1</v>
      </c>
      <c r="F7164" s="4" t="str">
        <f>HYPERLINK("http://141.218.60.56/~jnz1568/getInfo.php?workbook=14_09.xlsx&amp;sheet=U0&amp;row=7164&amp;col=6&amp;number=3&amp;sourceID=14","3")</f>
        <v>3</v>
      </c>
      <c r="G7164" s="4" t="str">
        <f>HYPERLINK("http://141.218.60.56/~jnz1568/getInfo.php?workbook=14_09.xlsx&amp;sheet=U0&amp;row=7164&amp;col=7&amp;number=0.0261&amp;sourceID=14","0.0261")</f>
        <v>0.0261</v>
      </c>
    </row>
    <row r="7165" spans="1:7">
      <c r="A7165" s="3"/>
      <c r="B7165" s="3"/>
      <c r="C7165" s="3"/>
      <c r="D7165" s="3"/>
      <c r="E7165" s="3">
        <v>2</v>
      </c>
      <c r="F7165" s="4" t="str">
        <f>HYPERLINK("http://141.218.60.56/~jnz1568/getInfo.php?workbook=14_09.xlsx&amp;sheet=U0&amp;row=7165&amp;col=6&amp;number=3.1&amp;sourceID=14","3.1")</f>
        <v>3.1</v>
      </c>
      <c r="G7165" s="4" t="str">
        <f>HYPERLINK("http://141.218.60.56/~jnz1568/getInfo.php?workbook=14_09.xlsx&amp;sheet=U0&amp;row=7165&amp;col=7&amp;number=0.0261&amp;sourceID=14","0.0261")</f>
        <v>0.0261</v>
      </c>
    </row>
    <row r="7166" spans="1:7">
      <c r="A7166" s="3"/>
      <c r="B7166" s="3"/>
      <c r="C7166" s="3"/>
      <c r="D7166" s="3"/>
      <c r="E7166" s="3">
        <v>3</v>
      </c>
      <c r="F7166" s="4" t="str">
        <f>HYPERLINK("http://141.218.60.56/~jnz1568/getInfo.php?workbook=14_09.xlsx&amp;sheet=U0&amp;row=7166&amp;col=6&amp;number=3.2&amp;sourceID=14","3.2")</f>
        <v>3.2</v>
      </c>
      <c r="G7166" s="4" t="str">
        <f>HYPERLINK("http://141.218.60.56/~jnz1568/getInfo.php?workbook=14_09.xlsx&amp;sheet=U0&amp;row=7166&amp;col=7&amp;number=0.0261&amp;sourceID=14","0.0261")</f>
        <v>0.0261</v>
      </c>
    </row>
    <row r="7167" spans="1:7">
      <c r="A7167" s="3"/>
      <c r="B7167" s="3"/>
      <c r="C7167" s="3"/>
      <c r="D7167" s="3"/>
      <c r="E7167" s="3">
        <v>4</v>
      </c>
      <c r="F7167" s="4" t="str">
        <f>HYPERLINK("http://141.218.60.56/~jnz1568/getInfo.php?workbook=14_09.xlsx&amp;sheet=U0&amp;row=7167&amp;col=6&amp;number=3.3&amp;sourceID=14","3.3")</f>
        <v>3.3</v>
      </c>
      <c r="G7167" s="4" t="str">
        <f>HYPERLINK("http://141.218.60.56/~jnz1568/getInfo.php?workbook=14_09.xlsx&amp;sheet=U0&amp;row=7167&amp;col=7&amp;number=0.0261&amp;sourceID=14","0.0261")</f>
        <v>0.0261</v>
      </c>
    </row>
    <row r="7168" spans="1:7">
      <c r="A7168" s="3"/>
      <c r="B7168" s="3"/>
      <c r="C7168" s="3"/>
      <c r="D7168" s="3"/>
      <c r="E7168" s="3">
        <v>5</v>
      </c>
      <c r="F7168" s="4" t="str">
        <f>HYPERLINK("http://141.218.60.56/~jnz1568/getInfo.php?workbook=14_09.xlsx&amp;sheet=U0&amp;row=7168&amp;col=6&amp;number=3.4&amp;sourceID=14","3.4")</f>
        <v>3.4</v>
      </c>
      <c r="G7168" s="4" t="str">
        <f>HYPERLINK("http://141.218.60.56/~jnz1568/getInfo.php?workbook=14_09.xlsx&amp;sheet=U0&amp;row=7168&amp;col=7&amp;number=0.0261&amp;sourceID=14","0.0261")</f>
        <v>0.0261</v>
      </c>
    </row>
    <row r="7169" spans="1:7">
      <c r="A7169" s="3"/>
      <c r="B7169" s="3"/>
      <c r="C7169" s="3"/>
      <c r="D7169" s="3"/>
      <c r="E7169" s="3">
        <v>6</v>
      </c>
      <c r="F7169" s="4" t="str">
        <f>HYPERLINK("http://141.218.60.56/~jnz1568/getInfo.php?workbook=14_09.xlsx&amp;sheet=U0&amp;row=7169&amp;col=6&amp;number=3.5&amp;sourceID=14","3.5")</f>
        <v>3.5</v>
      </c>
      <c r="G7169" s="4" t="str">
        <f>HYPERLINK("http://141.218.60.56/~jnz1568/getInfo.php?workbook=14_09.xlsx&amp;sheet=U0&amp;row=7169&amp;col=7&amp;number=0.0261&amp;sourceID=14","0.0261")</f>
        <v>0.0261</v>
      </c>
    </row>
    <row r="7170" spans="1:7">
      <c r="A7170" s="3"/>
      <c r="B7170" s="3"/>
      <c r="C7170" s="3"/>
      <c r="D7170" s="3"/>
      <c r="E7170" s="3">
        <v>7</v>
      </c>
      <c r="F7170" s="4" t="str">
        <f>HYPERLINK("http://141.218.60.56/~jnz1568/getInfo.php?workbook=14_09.xlsx&amp;sheet=U0&amp;row=7170&amp;col=6&amp;number=3.6&amp;sourceID=14","3.6")</f>
        <v>3.6</v>
      </c>
      <c r="G7170" s="4" t="str">
        <f>HYPERLINK("http://141.218.60.56/~jnz1568/getInfo.php?workbook=14_09.xlsx&amp;sheet=U0&amp;row=7170&amp;col=7&amp;number=0.026&amp;sourceID=14","0.026")</f>
        <v>0.026</v>
      </c>
    </row>
    <row r="7171" spans="1:7">
      <c r="A7171" s="3"/>
      <c r="B7171" s="3"/>
      <c r="C7171" s="3"/>
      <c r="D7171" s="3"/>
      <c r="E7171" s="3">
        <v>8</v>
      </c>
      <c r="F7171" s="4" t="str">
        <f>HYPERLINK("http://141.218.60.56/~jnz1568/getInfo.php?workbook=14_09.xlsx&amp;sheet=U0&amp;row=7171&amp;col=6&amp;number=3.7&amp;sourceID=14","3.7")</f>
        <v>3.7</v>
      </c>
      <c r="G7171" s="4" t="str">
        <f>HYPERLINK("http://141.218.60.56/~jnz1568/getInfo.php?workbook=14_09.xlsx&amp;sheet=U0&amp;row=7171&amp;col=7&amp;number=0.026&amp;sourceID=14","0.026")</f>
        <v>0.026</v>
      </c>
    </row>
    <row r="7172" spans="1:7">
      <c r="A7172" s="3"/>
      <c r="B7172" s="3"/>
      <c r="C7172" s="3"/>
      <c r="D7172" s="3"/>
      <c r="E7172" s="3">
        <v>9</v>
      </c>
      <c r="F7172" s="4" t="str">
        <f>HYPERLINK("http://141.218.60.56/~jnz1568/getInfo.php?workbook=14_09.xlsx&amp;sheet=U0&amp;row=7172&amp;col=6&amp;number=3.8&amp;sourceID=14","3.8")</f>
        <v>3.8</v>
      </c>
      <c r="G7172" s="4" t="str">
        <f>HYPERLINK("http://141.218.60.56/~jnz1568/getInfo.php?workbook=14_09.xlsx&amp;sheet=U0&amp;row=7172&amp;col=7&amp;number=0.026&amp;sourceID=14","0.026")</f>
        <v>0.026</v>
      </c>
    </row>
    <row r="7173" spans="1:7">
      <c r="A7173" s="3"/>
      <c r="B7173" s="3"/>
      <c r="C7173" s="3"/>
      <c r="D7173" s="3"/>
      <c r="E7173" s="3">
        <v>10</v>
      </c>
      <c r="F7173" s="4" t="str">
        <f>HYPERLINK("http://141.218.60.56/~jnz1568/getInfo.php?workbook=14_09.xlsx&amp;sheet=U0&amp;row=7173&amp;col=6&amp;number=3.9&amp;sourceID=14","3.9")</f>
        <v>3.9</v>
      </c>
      <c r="G7173" s="4" t="str">
        <f>HYPERLINK("http://141.218.60.56/~jnz1568/getInfo.php?workbook=14_09.xlsx&amp;sheet=U0&amp;row=7173&amp;col=7&amp;number=0.0259&amp;sourceID=14","0.0259")</f>
        <v>0.0259</v>
      </c>
    </row>
    <row r="7174" spans="1:7">
      <c r="A7174" s="3"/>
      <c r="B7174" s="3"/>
      <c r="C7174" s="3"/>
      <c r="D7174" s="3"/>
      <c r="E7174" s="3">
        <v>11</v>
      </c>
      <c r="F7174" s="4" t="str">
        <f>HYPERLINK("http://141.218.60.56/~jnz1568/getInfo.php?workbook=14_09.xlsx&amp;sheet=U0&amp;row=7174&amp;col=6&amp;number=4&amp;sourceID=14","4")</f>
        <v>4</v>
      </c>
      <c r="G7174" s="4" t="str">
        <f>HYPERLINK("http://141.218.60.56/~jnz1568/getInfo.php?workbook=14_09.xlsx&amp;sheet=U0&amp;row=7174&amp;col=7&amp;number=0.0259&amp;sourceID=14","0.0259")</f>
        <v>0.0259</v>
      </c>
    </row>
    <row r="7175" spans="1:7">
      <c r="A7175" s="3"/>
      <c r="B7175" s="3"/>
      <c r="C7175" s="3"/>
      <c r="D7175" s="3"/>
      <c r="E7175" s="3">
        <v>12</v>
      </c>
      <c r="F7175" s="4" t="str">
        <f>HYPERLINK("http://141.218.60.56/~jnz1568/getInfo.php?workbook=14_09.xlsx&amp;sheet=U0&amp;row=7175&amp;col=6&amp;number=4.1&amp;sourceID=14","4.1")</f>
        <v>4.1</v>
      </c>
      <c r="G7175" s="4" t="str">
        <f>HYPERLINK("http://141.218.60.56/~jnz1568/getInfo.php?workbook=14_09.xlsx&amp;sheet=U0&amp;row=7175&amp;col=7&amp;number=0.0258&amp;sourceID=14","0.0258")</f>
        <v>0.0258</v>
      </c>
    </row>
    <row r="7176" spans="1:7">
      <c r="A7176" s="3"/>
      <c r="B7176" s="3"/>
      <c r="C7176" s="3"/>
      <c r="D7176" s="3"/>
      <c r="E7176" s="3">
        <v>13</v>
      </c>
      <c r="F7176" s="4" t="str">
        <f>HYPERLINK("http://141.218.60.56/~jnz1568/getInfo.php?workbook=14_09.xlsx&amp;sheet=U0&amp;row=7176&amp;col=6&amp;number=4.2&amp;sourceID=14","4.2")</f>
        <v>4.2</v>
      </c>
      <c r="G7176" s="4" t="str">
        <f>HYPERLINK("http://141.218.60.56/~jnz1568/getInfo.php?workbook=14_09.xlsx&amp;sheet=U0&amp;row=7176&amp;col=7&amp;number=0.0257&amp;sourceID=14","0.0257")</f>
        <v>0.0257</v>
      </c>
    </row>
    <row r="7177" spans="1:7">
      <c r="A7177" s="3"/>
      <c r="B7177" s="3"/>
      <c r="C7177" s="3"/>
      <c r="D7177" s="3"/>
      <c r="E7177" s="3">
        <v>14</v>
      </c>
      <c r="F7177" s="4" t="str">
        <f>HYPERLINK("http://141.218.60.56/~jnz1568/getInfo.php?workbook=14_09.xlsx&amp;sheet=U0&amp;row=7177&amp;col=6&amp;number=4.3&amp;sourceID=14","4.3")</f>
        <v>4.3</v>
      </c>
      <c r="G7177" s="4" t="str">
        <f>HYPERLINK("http://141.218.60.56/~jnz1568/getInfo.php?workbook=14_09.xlsx&amp;sheet=U0&amp;row=7177&amp;col=7&amp;number=0.0256&amp;sourceID=14","0.0256")</f>
        <v>0.0256</v>
      </c>
    </row>
    <row r="7178" spans="1:7">
      <c r="A7178" s="3"/>
      <c r="B7178" s="3"/>
      <c r="C7178" s="3"/>
      <c r="D7178" s="3"/>
      <c r="E7178" s="3">
        <v>15</v>
      </c>
      <c r="F7178" s="4" t="str">
        <f>HYPERLINK("http://141.218.60.56/~jnz1568/getInfo.php?workbook=14_09.xlsx&amp;sheet=U0&amp;row=7178&amp;col=6&amp;number=4.4&amp;sourceID=14","4.4")</f>
        <v>4.4</v>
      </c>
      <c r="G7178" s="4" t="str">
        <f>HYPERLINK("http://141.218.60.56/~jnz1568/getInfo.php?workbook=14_09.xlsx&amp;sheet=U0&amp;row=7178&amp;col=7&amp;number=0.0255&amp;sourceID=14","0.0255")</f>
        <v>0.0255</v>
      </c>
    </row>
    <row r="7179" spans="1:7">
      <c r="A7179" s="3"/>
      <c r="B7179" s="3"/>
      <c r="C7179" s="3"/>
      <c r="D7179" s="3"/>
      <c r="E7179" s="3">
        <v>16</v>
      </c>
      <c r="F7179" s="4" t="str">
        <f>HYPERLINK("http://141.218.60.56/~jnz1568/getInfo.php?workbook=14_09.xlsx&amp;sheet=U0&amp;row=7179&amp;col=6&amp;number=4.5&amp;sourceID=14","4.5")</f>
        <v>4.5</v>
      </c>
      <c r="G7179" s="4" t="str">
        <f>HYPERLINK("http://141.218.60.56/~jnz1568/getInfo.php?workbook=14_09.xlsx&amp;sheet=U0&amp;row=7179&amp;col=7&amp;number=0.0253&amp;sourceID=14","0.0253")</f>
        <v>0.0253</v>
      </c>
    </row>
    <row r="7180" spans="1:7">
      <c r="A7180" s="3"/>
      <c r="B7180" s="3"/>
      <c r="C7180" s="3"/>
      <c r="D7180" s="3"/>
      <c r="E7180" s="3">
        <v>17</v>
      </c>
      <c r="F7180" s="4" t="str">
        <f>HYPERLINK("http://141.218.60.56/~jnz1568/getInfo.php?workbook=14_09.xlsx&amp;sheet=U0&amp;row=7180&amp;col=6&amp;number=4.6&amp;sourceID=14","4.6")</f>
        <v>4.6</v>
      </c>
      <c r="G7180" s="4" t="str">
        <f>HYPERLINK("http://141.218.60.56/~jnz1568/getInfo.php?workbook=14_09.xlsx&amp;sheet=U0&amp;row=7180&amp;col=7&amp;number=0.0251&amp;sourceID=14","0.0251")</f>
        <v>0.0251</v>
      </c>
    </row>
    <row r="7181" spans="1:7">
      <c r="A7181" s="3"/>
      <c r="B7181" s="3"/>
      <c r="C7181" s="3"/>
      <c r="D7181" s="3"/>
      <c r="E7181" s="3">
        <v>18</v>
      </c>
      <c r="F7181" s="4" t="str">
        <f>HYPERLINK("http://141.218.60.56/~jnz1568/getInfo.php?workbook=14_09.xlsx&amp;sheet=U0&amp;row=7181&amp;col=6&amp;number=4.7&amp;sourceID=14","4.7")</f>
        <v>4.7</v>
      </c>
      <c r="G7181" s="4" t="str">
        <f>HYPERLINK("http://141.218.60.56/~jnz1568/getInfo.php?workbook=14_09.xlsx&amp;sheet=U0&amp;row=7181&amp;col=7&amp;number=0.0249&amp;sourceID=14","0.0249")</f>
        <v>0.0249</v>
      </c>
    </row>
    <row r="7182" spans="1:7">
      <c r="A7182" s="3"/>
      <c r="B7182" s="3"/>
      <c r="C7182" s="3"/>
      <c r="D7182" s="3"/>
      <c r="E7182" s="3">
        <v>19</v>
      </c>
      <c r="F7182" s="4" t="str">
        <f>HYPERLINK("http://141.218.60.56/~jnz1568/getInfo.php?workbook=14_09.xlsx&amp;sheet=U0&amp;row=7182&amp;col=6&amp;number=4.8&amp;sourceID=14","4.8")</f>
        <v>4.8</v>
      </c>
      <c r="G7182" s="4" t="str">
        <f>HYPERLINK("http://141.218.60.56/~jnz1568/getInfo.php?workbook=14_09.xlsx&amp;sheet=U0&amp;row=7182&amp;col=7&amp;number=0.0247&amp;sourceID=14","0.0247")</f>
        <v>0.0247</v>
      </c>
    </row>
    <row r="7183" spans="1:7">
      <c r="A7183" s="3"/>
      <c r="B7183" s="3"/>
      <c r="C7183" s="3"/>
      <c r="D7183" s="3"/>
      <c r="E7183" s="3">
        <v>20</v>
      </c>
      <c r="F7183" s="4" t="str">
        <f>HYPERLINK("http://141.218.60.56/~jnz1568/getInfo.php?workbook=14_09.xlsx&amp;sheet=U0&amp;row=7183&amp;col=6&amp;number=4.9&amp;sourceID=14","4.9")</f>
        <v>4.9</v>
      </c>
      <c r="G7183" s="4" t="str">
        <f>HYPERLINK("http://141.218.60.56/~jnz1568/getInfo.php?workbook=14_09.xlsx&amp;sheet=U0&amp;row=7183&amp;col=7&amp;number=0.0244&amp;sourceID=14","0.0244")</f>
        <v>0.0244</v>
      </c>
    </row>
    <row r="7184" spans="1:7">
      <c r="A7184" s="3">
        <v>14</v>
      </c>
      <c r="B7184" s="3">
        <v>9</v>
      </c>
      <c r="C7184" s="3">
        <v>2</v>
      </c>
      <c r="D7184" s="3">
        <v>168</v>
      </c>
      <c r="E7184" s="3">
        <v>1</v>
      </c>
      <c r="F7184" s="4" t="str">
        <f>HYPERLINK("http://141.218.60.56/~jnz1568/getInfo.php?workbook=14_09.xlsx&amp;sheet=U0&amp;row=7184&amp;col=6&amp;number=3&amp;sourceID=14","3")</f>
        <v>3</v>
      </c>
      <c r="G7184" s="4" t="str">
        <f>HYPERLINK("http://141.218.60.56/~jnz1568/getInfo.php?workbook=14_09.xlsx&amp;sheet=U0&amp;row=7184&amp;col=7&amp;number=0.000377&amp;sourceID=14","0.000377")</f>
        <v>0.000377</v>
      </c>
    </row>
    <row r="7185" spans="1:7">
      <c r="A7185" s="3"/>
      <c r="B7185" s="3"/>
      <c r="C7185" s="3"/>
      <c r="D7185" s="3"/>
      <c r="E7185" s="3">
        <v>2</v>
      </c>
      <c r="F7185" s="4" t="str">
        <f>HYPERLINK("http://141.218.60.56/~jnz1568/getInfo.php?workbook=14_09.xlsx&amp;sheet=U0&amp;row=7185&amp;col=6&amp;number=3.1&amp;sourceID=14","3.1")</f>
        <v>3.1</v>
      </c>
      <c r="G7185" s="4" t="str">
        <f>HYPERLINK("http://141.218.60.56/~jnz1568/getInfo.php?workbook=14_09.xlsx&amp;sheet=U0&amp;row=7185&amp;col=7&amp;number=0.000376&amp;sourceID=14","0.000376")</f>
        <v>0.000376</v>
      </c>
    </row>
    <row r="7186" spans="1:7">
      <c r="A7186" s="3"/>
      <c r="B7186" s="3"/>
      <c r="C7186" s="3"/>
      <c r="D7186" s="3"/>
      <c r="E7186" s="3">
        <v>3</v>
      </c>
      <c r="F7186" s="4" t="str">
        <f>HYPERLINK("http://141.218.60.56/~jnz1568/getInfo.php?workbook=14_09.xlsx&amp;sheet=U0&amp;row=7186&amp;col=6&amp;number=3.2&amp;sourceID=14","3.2")</f>
        <v>3.2</v>
      </c>
      <c r="G7186" s="4" t="str">
        <f>HYPERLINK("http://141.218.60.56/~jnz1568/getInfo.php?workbook=14_09.xlsx&amp;sheet=U0&amp;row=7186&amp;col=7&amp;number=0.000375&amp;sourceID=14","0.000375")</f>
        <v>0.000375</v>
      </c>
    </row>
    <row r="7187" spans="1:7">
      <c r="A7187" s="3"/>
      <c r="B7187" s="3"/>
      <c r="C7187" s="3"/>
      <c r="D7187" s="3"/>
      <c r="E7187" s="3">
        <v>4</v>
      </c>
      <c r="F7187" s="4" t="str">
        <f>HYPERLINK("http://141.218.60.56/~jnz1568/getInfo.php?workbook=14_09.xlsx&amp;sheet=U0&amp;row=7187&amp;col=6&amp;number=3.3&amp;sourceID=14","3.3")</f>
        <v>3.3</v>
      </c>
      <c r="G7187" s="4" t="str">
        <f>HYPERLINK("http://141.218.60.56/~jnz1568/getInfo.php?workbook=14_09.xlsx&amp;sheet=U0&amp;row=7187&amp;col=7&amp;number=0.000374&amp;sourceID=14","0.000374")</f>
        <v>0.000374</v>
      </c>
    </row>
    <row r="7188" spans="1:7">
      <c r="A7188" s="3"/>
      <c r="B7188" s="3"/>
      <c r="C7188" s="3"/>
      <c r="D7188" s="3"/>
      <c r="E7188" s="3">
        <v>5</v>
      </c>
      <c r="F7188" s="4" t="str">
        <f>HYPERLINK("http://141.218.60.56/~jnz1568/getInfo.php?workbook=14_09.xlsx&amp;sheet=U0&amp;row=7188&amp;col=6&amp;number=3.4&amp;sourceID=14","3.4")</f>
        <v>3.4</v>
      </c>
      <c r="G7188" s="4" t="str">
        <f>HYPERLINK("http://141.218.60.56/~jnz1568/getInfo.php?workbook=14_09.xlsx&amp;sheet=U0&amp;row=7188&amp;col=7&amp;number=0.000372&amp;sourceID=14","0.000372")</f>
        <v>0.000372</v>
      </c>
    </row>
    <row r="7189" spans="1:7">
      <c r="A7189" s="3"/>
      <c r="B7189" s="3"/>
      <c r="C7189" s="3"/>
      <c r="D7189" s="3"/>
      <c r="E7189" s="3">
        <v>6</v>
      </c>
      <c r="F7189" s="4" t="str">
        <f>HYPERLINK("http://141.218.60.56/~jnz1568/getInfo.php?workbook=14_09.xlsx&amp;sheet=U0&amp;row=7189&amp;col=6&amp;number=3.5&amp;sourceID=14","3.5")</f>
        <v>3.5</v>
      </c>
      <c r="G7189" s="4" t="str">
        <f>HYPERLINK("http://141.218.60.56/~jnz1568/getInfo.php?workbook=14_09.xlsx&amp;sheet=U0&amp;row=7189&amp;col=7&amp;number=0.000371&amp;sourceID=14","0.000371")</f>
        <v>0.000371</v>
      </c>
    </row>
    <row r="7190" spans="1:7">
      <c r="A7190" s="3"/>
      <c r="B7190" s="3"/>
      <c r="C7190" s="3"/>
      <c r="D7190" s="3"/>
      <c r="E7190" s="3">
        <v>7</v>
      </c>
      <c r="F7190" s="4" t="str">
        <f>HYPERLINK("http://141.218.60.56/~jnz1568/getInfo.php?workbook=14_09.xlsx&amp;sheet=U0&amp;row=7190&amp;col=6&amp;number=3.6&amp;sourceID=14","3.6")</f>
        <v>3.6</v>
      </c>
      <c r="G7190" s="4" t="str">
        <f>HYPERLINK("http://141.218.60.56/~jnz1568/getInfo.php?workbook=14_09.xlsx&amp;sheet=U0&amp;row=7190&amp;col=7&amp;number=0.000369&amp;sourceID=14","0.000369")</f>
        <v>0.000369</v>
      </c>
    </row>
    <row r="7191" spans="1:7">
      <c r="A7191" s="3"/>
      <c r="B7191" s="3"/>
      <c r="C7191" s="3"/>
      <c r="D7191" s="3"/>
      <c r="E7191" s="3">
        <v>8</v>
      </c>
      <c r="F7191" s="4" t="str">
        <f>HYPERLINK("http://141.218.60.56/~jnz1568/getInfo.php?workbook=14_09.xlsx&amp;sheet=U0&amp;row=7191&amp;col=6&amp;number=3.7&amp;sourceID=14","3.7")</f>
        <v>3.7</v>
      </c>
      <c r="G7191" s="4" t="str">
        <f>HYPERLINK("http://141.218.60.56/~jnz1568/getInfo.php?workbook=14_09.xlsx&amp;sheet=U0&amp;row=7191&amp;col=7&amp;number=0.000366&amp;sourceID=14","0.000366")</f>
        <v>0.000366</v>
      </c>
    </row>
    <row r="7192" spans="1:7">
      <c r="A7192" s="3"/>
      <c r="B7192" s="3"/>
      <c r="C7192" s="3"/>
      <c r="D7192" s="3"/>
      <c r="E7192" s="3">
        <v>9</v>
      </c>
      <c r="F7192" s="4" t="str">
        <f>HYPERLINK("http://141.218.60.56/~jnz1568/getInfo.php?workbook=14_09.xlsx&amp;sheet=U0&amp;row=7192&amp;col=6&amp;number=3.8&amp;sourceID=14","3.8")</f>
        <v>3.8</v>
      </c>
      <c r="G7192" s="4" t="str">
        <f>HYPERLINK("http://141.218.60.56/~jnz1568/getInfo.php?workbook=14_09.xlsx&amp;sheet=U0&amp;row=7192&amp;col=7&amp;number=0.000362&amp;sourceID=14","0.000362")</f>
        <v>0.000362</v>
      </c>
    </row>
    <row r="7193" spans="1:7">
      <c r="A7193" s="3"/>
      <c r="B7193" s="3"/>
      <c r="C7193" s="3"/>
      <c r="D7193" s="3"/>
      <c r="E7193" s="3">
        <v>10</v>
      </c>
      <c r="F7193" s="4" t="str">
        <f>HYPERLINK("http://141.218.60.56/~jnz1568/getInfo.php?workbook=14_09.xlsx&amp;sheet=U0&amp;row=7193&amp;col=6&amp;number=3.9&amp;sourceID=14","3.9")</f>
        <v>3.9</v>
      </c>
      <c r="G7193" s="4" t="str">
        <f>HYPERLINK("http://141.218.60.56/~jnz1568/getInfo.php?workbook=14_09.xlsx&amp;sheet=U0&amp;row=7193&amp;col=7&amp;number=0.000358&amp;sourceID=14","0.000358")</f>
        <v>0.000358</v>
      </c>
    </row>
    <row r="7194" spans="1:7">
      <c r="A7194" s="3"/>
      <c r="B7194" s="3"/>
      <c r="C7194" s="3"/>
      <c r="D7194" s="3"/>
      <c r="E7194" s="3">
        <v>11</v>
      </c>
      <c r="F7194" s="4" t="str">
        <f>HYPERLINK("http://141.218.60.56/~jnz1568/getInfo.php?workbook=14_09.xlsx&amp;sheet=U0&amp;row=7194&amp;col=6&amp;number=4&amp;sourceID=14","4")</f>
        <v>4</v>
      </c>
      <c r="G7194" s="4" t="str">
        <f>HYPERLINK("http://141.218.60.56/~jnz1568/getInfo.php?workbook=14_09.xlsx&amp;sheet=U0&amp;row=7194&amp;col=7&amp;number=0.000353&amp;sourceID=14","0.000353")</f>
        <v>0.000353</v>
      </c>
    </row>
    <row r="7195" spans="1:7">
      <c r="A7195" s="3"/>
      <c r="B7195" s="3"/>
      <c r="C7195" s="3"/>
      <c r="D7195" s="3"/>
      <c r="E7195" s="3">
        <v>12</v>
      </c>
      <c r="F7195" s="4" t="str">
        <f>HYPERLINK("http://141.218.60.56/~jnz1568/getInfo.php?workbook=14_09.xlsx&amp;sheet=U0&amp;row=7195&amp;col=6&amp;number=4.1&amp;sourceID=14","4.1")</f>
        <v>4.1</v>
      </c>
      <c r="G7195" s="4" t="str">
        <f>HYPERLINK("http://141.218.60.56/~jnz1568/getInfo.php?workbook=14_09.xlsx&amp;sheet=U0&amp;row=7195&amp;col=7&amp;number=0.000346&amp;sourceID=14","0.000346")</f>
        <v>0.000346</v>
      </c>
    </row>
    <row r="7196" spans="1:7">
      <c r="A7196" s="3"/>
      <c r="B7196" s="3"/>
      <c r="C7196" s="3"/>
      <c r="D7196" s="3"/>
      <c r="E7196" s="3">
        <v>13</v>
      </c>
      <c r="F7196" s="4" t="str">
        <f>HYPERLINK("http://141.218.60.56/~jnz1568/getInfo.php?workbook=14_09.xlsx&amp;sheet=U0&amp;row=7196&amp;col=6&amp;number=4.2&amp;sourceID=14","4.2")</f>
        <v>4.2</v>
      </c>
      <c r="G7196" s="4" t="str">
        <f>HYPERLINK("http://141.218.60.56/~jnz1568/getInfo.php?workbook=14_09.xlsx&amp;sheet=U0&amp;row=7196&amp;col=7&amp;number=0.000338&amp;sourceID=14","0.000338")</f>
        <v>0.000338</v>
      </c>
    </row>
    <row r="7197" spans="1:7">
      <c r="A7197" s="3"/>
      <c r="B7197" s="3"/>
      <c r="C7197" s="3"/>
      <c r="D7197" s="3"/>
      <c r="E7197" s="3">
        <v>14</v>
      </c>
      <c r="F7197" s="4" t="str">
        <f>HYPERLINK("http://141.218.60.56/~jnz1568/getInfo.php?workbook=14_09.xlsx&amp;sheet=U0&amp;row=7197&amp;col=6&amp;number=4.3&amp;sourceID=14","4.3")</f>
        <v>4.3</v>
      </c>
      <c r="G7197" s="4" t="str">
        <f>HYPERLINK("http://141.218.60.56/~jnz1568/getInfo.php?workbook=14_09.xlsx&amp;sheet=U0&amp;row=7197&amp;col=7&amp;number=0.000328&amp;sourceID=14","0.000328")</f>
        <v>0.000328</v>
      </c>
    </row>
    <row r="7198" spans="1:7">
      <c r="A7198" s="3"/>
      <c r="B7198" s="3"/>
      <c r="C7198" s="3"/>
      <c r="D7198" s="3"/>
      <c r="E7198" s="3">
        <v>15</v>
      </c>
      <c r="F7198" s="4" t="str">
        <f>HYPERLINK("http://141.218.60.56/~jnz1568/getInfo.php?workbook=14_09.xlsx&amp;sheet=U0&amp;row=7198&amp;col=6&amp;number=4.4&amp;sourceID=14","4.4")</f>
        <v>4.4</v>
      </c>
      <c r="G7198" s="4" t="str">
        <f>HYPERLINK("http://141.218.60.56/~jnz1568/getInfo.php?workbook=14_09.xlsx&amp;sheet=U0&amp;row=7198&amp;col=7&amp;number=0.000316&amp;sourceID=14","0.000316")</f>
        <v>0.000316</v>
      </c>
    </row>
    <row r="7199" spans="1:7">
      <c r="A7199" s="3"/>
      <c r="B7199" s="3"/>
      <c r="C7199" s="3"/>
      <c r="D7199" s="3"/>
      <c r="E7199" s="3">
        <v>16</v>
      </c>
      <c r="F7199" s="4" t="str">
        <f>HYPERLINK("http://141.218.60.56/~jnz1568/getInfo.php?workbook=14_09.xlsx&amp;sheet=U0&amp;row=7199&amp;col=6&amp;number=4.5&amp;sourceID=14","4.5")</f>
        <v>4.5</v>
      </c>
      <c r="G7199" s="4" t="str">
        <f>HYPERLINK("http://141.218.60.56/~jnz1568/getInfo.php?workbook=14_09.xlsx&amp;sheet=U0&amp;row=7199&amp;col=7&amp;number=0.000302&amp;sourceID=14","0.000302")</f>
        <v>0.000302</v>
      </c>
    </row>
    <row r="7200" spans="1:7">
      <c r="A7200" s="3"/>
      <c r="B7200" s="3"/>
      <c r="C7200" s="3"/>
      <c r="D7200" s="3"/>
      <c r="E7200" s="3">
        <v>17</v>
      </c>
      <c r="F7200" s="4" t="str">
        <f>HYPERLINK("http://141.218.60.56/~jnz1568/getInfo.php?workbook=14_09.xlsx&amp;sheet=U0&amp;row=7200&amp;col=6&amp;number=4.6&amp;sourceID=14","4.6")</f>
        <v>4.6</v>
      </c>
      <c r="G7200" s="4" t="str">
        <f>HYPERLINK("http://141.218.60.56/~jnz1568/getInfo.php?workbook=14_09.xlsx&amp;sheet=U0&amp;row=7200&amp;col=7&amp;number=0.000286&amp;sourceID=14","0.000286")</f>
        <v>0.000286</v>
      </c>
    </row>
    <row r="7201" spans="1:7">
      <c r="A7201" s="3"/>
      <c r="B7201" s="3"/>
      <c r="C7201" s="3"/>
      <c r="D7201" s="3"/>
      <c r="E7201" s="3">
        <v>18</v>
      </c>
      <c r="F7201" s="4" t="str">
        <f>HYPERLINK("http://141.218.60.56/~jnz1568/getInfo.php?workbook=14_09.xlsx&amp;sheet=U0&amp;row=7201&amp;col=6&amp;number=4.7&amp;sourceID=14","4.7")</f>
        <v>4.7</v>
      </c>
      <c r="G7201" s="4" t="str">
        <f>HYPERLINK("http://141.218.60.56/~jnz1568/getInfo.php?workbook=14_09.xlsx&amp;sheet=U0&amp;row=7201&amp;col=7&amp;number=0.000268&amp;sourceID=14","0.000268")</f>
        <v>0.000268</v>
      </c>
    </row>
    <row r="7202" spans="1:7">
      <c r="A7202" s="3"/>
      <c r="B7202" s="3"/>
      <c r="C7202" s="3"/>
      <c r="D7202" s="3"/>
      <c r="E7202" s="3">
        <v>19</v>
      </c>
      <c r="F7202" s="4" t="str">
        <f>HYPERLINK("http://141.218.60.56/~jnz1568/getInfo.php?workbook=14_09.xlsx&amp;sheet=U0&amp;row=7202&amp;col=6&amp;number=4.8&amp;sourceID=14","4.8")</f>
        <v>4.8</v>
      </c>
      <c r="G7202" s="4" t="str">
        <f>HYPERLINK("http://141.218.60.56/~jnz1568/getInfo.php?workbook=14_09.xlsx&amp;sheet=U0&amp;row=7202&amp;col=7&amp;number=0.00025&amp;sourceID=14","0.00025")</f>
        <v>0.00025</v>
      </c>
    </row>
    <row r="7203" spans="1:7">
      <c r="A7203" s="3"/>
      <c r="B7203" s="3"/>
      <c r="C7203" s="3"/>
      <c r="D7203" s="3"/>
      <c r="E7203" s="3">
        <v>20</v>
      </c>
      <c r="F7203" s="4" t="str">
        <f>HYPERLINK("http://141.218.60.56/~jnz1568/getInfo.php?workbook=14_09.xlsx&amp;sheet=U0&amp;row=7203&amp;col=6&amp;number=4.9&amp;sourceID=14","4.9")</f>
        <v>4.9</v>
      </c>
      <c r="G7203" s="4" t="str">
        <f>HYPERLINK("http://141.218.60.56/~jnz1568/getInfo.php?workbook=14_09.xlsx&amp;sheet=U0&amp;row=7203&amp;col=7&amp;number=0.000234&amp;sourceID=14","0.000234")</f>
        <v>0.000234</v>
      </c>
    </row>
    <row r="7204" spans="1:7">
      <c r="A7204" s="3">
        <v>14</v>
      </c>
      <c r="B7204" s="3">
        <v>9</v>
      </c>
      <c r="C7204" s="3">
        <v>2</v>
      </c>
      <c r="D7204" s="3">
        <v>169</v>
      </c>
      <c r="E7204" s="3">
        <v>1</v>
      </c>
      <c r="F7204" s="4" t="str">
        <f>HYPERLINK("http://141.218.60.56/~jnz1568/getInfo.php?workbook=14_09.xlsx&amp;sheet=U0&amp;row=7204&amp;col=6&amp;number=3&amp;sourceID=14","3")</f>
        <v>3</v>
      </c>
      <c r="G7204" s="4" t="str">
        <f>HYPERLINK("http://141.218.60.56/~jnz1568/getInfo.php?workbook=14_09.xlsx&amp;sheet=U0&amp;row=7204&amp;col=7&amp;number=0.00167&amp;sourceID=14","0.00167")</f>
        <v>0.00167</v>
      </c>
    </row>
    <row r="7205" spans="1:7">
      <c r="A7205" s="3"/>
      <c r="B7205" s="3"/>
      <c r="C7205" s="3"/>
      <c r="D7205" s="3"/>
      <c r="E7205" s="3">
        <v>2</v>
      </c>
      <c r="F7205" s="4" t="str">
        <f>HYPERLINK("http://141.218.60.56/~jnz1568/getInfo.php?workbook=14_09.xlsx&amp;sheet=U0&amp;row=7205&amp;col=6&amp;number=3.1&amp;sourceID=14","3.1")</f>
        <v>3.1</v>
      </c>
      <c r="G7205" s="4" t="str">
        <f>HYPERLINK("http://141.218.60.56/~jnz1568/getInfo.php?workbook=14_09.xlsx&amp;sheet=U0&amp;row=7205&amp;col=7&amp;number=0.00167&amp;sourceID=14","0.00167")</f>
        <v>0.00167</v>
      </c>
    </row>
    <row r="7206" spans="1:7">
      <c r="A7206" s="3"/>
      <c r="B7206" s="3"/>
      <c r="C7206" s="3"/>
      <c r="D7206" s="3"/>
      <c r="E7206" s="3">
        <v>3</v>
      </c>
      <c r="F7206" s="4" t="str">
        <f>HYPERLINK("http://141.218.60.56/~jnz1568/getInfo.php?workbook=14_09.xlsx&amp;sheet=U0&amp;row=7206&amp;col=6&amp;number=3.2&amp;sourceID=14","3.2")</f>
        <v>3.2</v>
      </c>
      <c r="G7206" s="4" t="str">
        <f>HYPERLINK("http://141.218.60.56/~jnz1568/getInfo.php?workbook=14_09.xlsx&amp;sheet=U0&amp;row=7206&amp;col=7&amp;number=0.00166&amp;sourceID=14","0.00166")</f>
        <v>0.00166</v>
      </c>
    </row>
    <row r="7207" spans="1:7">
      <c r="A7207" s="3"/>
      <c r="B7207" s="3"/>
      <c r="C7207" s="3"/>
      <c r="D7207" s="3"/>
      <c r="E7207" s="3">
        <v>4</v>
      </c>
      <c r="F7207" s="4" t="str">
        <f>HYPERLINK("http://141.218.60.56/~jnz1568/getInfo.php?workbook=14_09.xlsx&amp;sheet=U0&amp;row=7207&amp;col=6&amp;number=3.3&amp;sourceID=14","3.3")</f>
        <v>3.3</v>
      </c>
      <c r="G7207" s="4" t="str">
        <f>HYPERLINK("http://141.218.60.56/~jnz1568/getInfo.php?workbook=14_09.xlsx&amp;sheet=U0&amp;row=7207&amp;col=7&amp;number=0.00166&amp;sourceID=14","0.00166")</f>
        <v>0.00166</v>
      </c>
    </row>
    <row r="7208" spans="1:7">
      <c r="A7208" s="3"/>
      <c r="B7208" s="3"/>
      <c r="C7208" s="3"/>
      <c r="D7208" s="3"/>
      <c r="E7208" s="3">
        <v>5</v>
      </c>
      <c r="F7208" s="4" t="str">
        <f>HYPERLINK("http://141.218.60.56/~jnz1568/getInfo.php?workbook=14_09.xlsx&amp;sheet=U0&amp;row=7208&amp;col=6&amp;number=3.4&amp;sourceID=14","3.4")</f>
        <v>3.4</v>
      </c>
      <c r="G7208" s="4" t="str">
        <f>HYPERLINK("http://141.218.60.56/~jnz1568/getInfo.php?workbook=14_09.xlsx&amp;sheet=U0&amp;row=7208&amp;col=7&amp;number=0.00166&amp;sourceID=14","0.00166")</f>
        <v>0.00166</v>
      </c>
    </row>
    <row r="7209" spans="1:7">
      <c r="A7209" s="3"/>
      <c r="B7209" s="3"/>
      <c r="C7209" s="3"/>
      <c r="D7209" s="3"/>
      <c r="E7209" s="3">
        <v>6</v>
      </c>
      <c r="F7209" s="4" t="str">
        <f>HYPERLINK("http://141.218.60.56/~jnz1568/getInfo.php?workbook=14_09.xlsx&amp;sheet=U0&amp;row=7209&amp;col=6&amp;number=3.5&amp;sourceID=14","3.5")</f>
        <v>3.5</v>
      </c>
      <c r="G7209" s="4" t="str">
        <f>HYPERLINK("http://141.218.60.56/~jnz1568/getInfo.php?workbook=14_09.xlsx&amp;sheet=U0&amp;row=7209&amp;col=7&amp;number=0.00165&amp;sourceID=14","0.00165")</f>
        <v>0.00165</v>
      </c>
    </row>
    <row r="7210" spans="1:7">
      <c r="A7210" s="3"/>
      <c r="B7210" s="3"/>
      <c r="C7210" s="3"/>
      <c r="D7210" s="3"/>
      <c r="E7210" s="3">
        <v>7</v>
      </c>
      <c r="F7210" s="4" t="str">
        <f>HYPERLINK("http://141.218.60.56/~jnz1568/getInfo.php?workbook=14_09.xlsx&amp;sheet=U0&amp;row=7210&amp;col=6&amp;number=3.6&amp;sourceID=14","3.6")</f>
        <v>3.6</v>
      </c>
      <c r="G7210" s="4" t="str">
        <f>HYPERLINK("http://141.218.60.56/~jnz1568/getInfo.php?workbook=14_09.xlsx&amp;sheet=U0&amp;row=7210&amp;col=7&amp;number=0.00165&amp;sourceID=14","0.00165")</f>
        <v>0.00165</v>
      </c>
    </row>
    <row r="7211" spans="1:7">
      <c r="A7211" s="3"/>
      <c r="B7211" s="3"/>
      <c r="C7211" s="3"/>
      <c r="D7211" s="3"/>
      <c r="E7211" s="3">
        <v>8</v>
      </c>
      <c r="F7211" s="4" t="str">
        <f>HYPERLINK("http://141.218.60.56/~jnz1568/getInfo.php?workbook=14_09.xlsx&amp;sheet=U0&amp;row=7211&amp;col=6&amp;number=3.7&amp;sourceID=14","3.7")</f>
        <v>3.7</v>
      </c>
      <c r="G7211" s="4" t="str">
        <f>HYPERLINK("http://141.218.60.56/~jnz1568/getInfo.php?workbook=14_09.xlsx&amp;sheet=U0&amp;row=7211&amp;col=7&amp;number=0.00164&amp;sourceID=14","0.00164")</f>
        <v>0.00164</v>
      </c>
    </row>
    <row r="7212" spans="1:7">
      <c r="A7212" s="3"/>
      <c r="B7212" s="3"/>
      <c r="C7212" s="3"/>
      <c r="D7212" s="3"/>
      <c r="E7212" s="3">
        <v>9</v>
      </c>
      <c r="F7212" s="4" t="str">
        <f>HYPERLINK("http://141.218.60.56/~jnz1568/getInfo.php?workbook=14_09.xlsx&amp;sheet=U0&amp;row=7212&amp;col=6&amp;number=3.8&amp;sourceID=14","3.8")</f>
        <v>3.8</v>
      </c>
      <c r="G7212" s="4" t="str">
        <f>HYPERLINK("http://141.218.60.56/~jnz1568/getInfo.php?workbook=14_09.xlsx&amp;sheet=U0&amp;row=7212&amp;col=7&amp;number=0.00163&amp;sourceID=14","0.00163")</f>
        <v>0.00163</v>
      </c>
    </row>
    <row r="7213" spans="1:7">
      <c r="A7213" s="3"/>
      <c r="B7213" s="3"/>
      <c r="C7213" s="3"/>
      <c r="D7213" s="3"/>
      <c r="E7213" s="3">
        <v>10</v>
      </c>
      <c r="F7213" s="4" t="str">
        <f>HYPERLINK("http://141.218.60.56/~jnz1568/getInfo.php?workbook=14_09.xlsx&amp;sheet=U0&amp;row=7213&amp;col=6&amp;number=3.9&amp;sourceID=14","3.9")</f>
        <v>3.9</v>
      </c>
      <c r="G7213" s="4" t="str">
        <f>HYPERLINK("http://141.218.60.56/~jnz1568/getInfo.php?workbook=14_09.xlsx&amp;sheet=U0&amp;row=7213&amp;col=7&amp;number=0.00162&amp;sourceID=14","0.00162")</f>
        <v>0.00162</v>
      </c>
    </row>
    <row r="7214" spans="1:7">
      <c r="A7214" s="3"/>
      <c r="B7214" s="3"/>
      <c r="C7214" s="3"/>
      <c r="D7214" s="3"/>
      <c r="E7214" s="3">
        <v>11</v>
      </c>
      <c r="F7214" s="4" t="str">
        <f>HYPERLINK("http://141.218.60.56/~jnz1568/getInfo.php?workbook=14_09.xlsx&amp;sheet=U0&amp;row=7214&amp;col=6&amp;number=4&amp;sourceID=14","4")</f>
        <v>4</v>
      </c>
      <c r="G7214" s="4" t="str">
        <f>HYPERLINK("http://141.218.60.56/~jnz1568/getInfo.php?workbook=14_09.xlsx&amp;sheet=U0&amp;row=7214&amp;col=7&amp;number=0.0016&amp;sourceID=14","0.0016")</f>
        <v>0.0016</v>
      </c>
    </row>
    <row r="7215" spans="1:7">
      <c r="A7215" s="3"/>
      <c r="B7215" s="3"/>
      <c r="C7215" s="3"/>
      <c r="D7215" s="3"/>
      <c r="E7215" s="3">
        <v>12</v>
      </c>
      <c r="F7215" s="4" t="str">
        <f>HYPERLINK("http://141.218.60.56/~jnz1568/getInfo.php?workbook=14_09.xlsx&amp;sheet=U0&amp;row=7215&amp;col=6&amp;number=4.1&amp;sourceID=14","4.1")</f>
        <v>4.1</v>
      </c>
      <c r="G7215" s="4" t="str">
        <f>HYPERLINK("http://141.218.60.56/~jnz1568/getInfo.php?workbook=14_09.xlsx&amp;sheet=U0&amp;row=7215&amp;col=7&amp;number=0.00159&amp;sourceID=14","0.00159")</f>
        <v>0.00159</v>
      </c>
    </row>
    <row r="7216" spans="1:7">
      <c r="A7216" s="3"/>
      <c r="B7216" s="3"/>
      <c r="C7216" s="3"/>
      <c r="D7216" s="3"/>
      <c r="E7216" s="3">
        <v>13</v>
      </c>
      <c r="F7216" s="4" t="str">
        <f>HYPERLINK("http://141.218.60.56/~jnz1568/getInfo.php?workbook=14_09.xlsx&amp;sheet=U0&amp;row=7216&amp;col=6&amp;number=4.2&amp;sourceID=14","4.2")</f>
        <v>4.2</v>
      </c>
      <c r="G7216" s="4" t="str">
        <f>HYPERLINK("http://141.218.60.56/~jnz1568/getInfo.php?workbook=14_09.xlsx&amp;sheet=U0&amp;row=7216&amp;col=7&amp;number=0.00156&amp;sourceID=14","0.00156")</f>
        <v>0.00156</v>
      </c>
    </row>
    <row r="7217" spans="1:7">
      <c r="A7217" s="3"/>
      <c r="B7217" s="3"/>
      <c r="C7217" s="3"/>
      <c r="D7217" s="3"/>
      <c r="E7217" s="3">
        <v>14</v>
      </c>
      <c r="F7217" s="4" t="str">
        <f>HYPERLINK("http://141.218.60.56/~jnz1568/getInfo.php?workbook=14_09.xlsx&amp;sheet=U0&amp;row=7217&amp;col=6&amp;number=4.3&amp;sourceID=14","4.3")</f>
        <v>4.3</v>
      </c>
      <c r="G7217" s="4" t="str">
        <f>HYPERLINK("http://141.218.60.56/~jnz1568/getInfo.php?workbook=14_09.xlsx&amp;sheet=U0&amp;row=7217&amp;col=7&amp;number=0.00154&amp;sourceID=14","0.00154")</f>
        <v>0.00154</v>
      </c>
    </row>
    <row r="7218" spans="1:7">
      <c r="A7218" s="3"/>
      <c r="B7218" s="3"/>
      <c r="C7218" s="3"/>
      <c r="D7218" s="3"/>
      <c r="E7218" s="3">
        <v>15</v>
      </c>
      <c r="F7218" s="4" t="str">
        <f>HYPERLINK("http://141.218.60.56/~jnz1568/getInfo.php?workbook=14_09.xlsx&amp;sheet=U0&amp;row=7218&amp;col=6&amp;number=4.4&amp;sourceID=14","4.4")</f>
        <v>4.4</v>
      </c>
      <c r="G7218" s="4" t="str">
        <f>HYPERLINK("http://141.218.60.56/~jnz1568/getInfo.php?workbook=14_09.xlsx&amp;sheet=U0&amp;row=7218&amp;col=7&amp;number=0.0015&amp;sourceID=14","0.0015")</f>
        <v>0.0015</v>
      </c>
    </row>
    <row r="7219" spans="1:7">
      <c r="A7219" s="3"/>
      <c r="B7219" s="3"/>
      <c r="C7219" s="3"/>
      <c r="D7219" s="3"/>
      <c r="E7219" s="3">
        <v>16</v>
      </c>
      <c r="F7219" s="4" t="str">
        <f>HYPERLINK("http://141.218.60.56/~jnz1568/getInfo.php?workbook=14_09.xlsx&amp;sheet=U0&amp;row=7219&amp;col=6&amp;number=4.5&amp;sourceID=14","4.5")</f>
        <v>4.5</v>
      </c>
      <c r="G7219" s="4" t="str">
        <f>HYPERLINK("http://141.218.60.56/~jnz1568/getInfo.php?workbook=14_09.xlsx&amp;sheet=U0&amp;row=7219&amp;col=7&amp;number=0.00147&amp;sourceID=14","0.00147")</f>
        <v>0.00147</v>
      </c>
    </row>
    <row r="7220" spans="1:7">
      <c r="A7220" s="3"/>
      <c r="B7220" s="3"/>
      <c r="C7220" s="3"/>
      <c r="D7220" s="3"/>
      <c r="E7220" s="3">
        <v>17</v>
      </c>
      <c r="F7220" s="4" t="str">
        <f>HYPERLINK("http://141.218.60.56/~jnz1568/getInfo.php?workbook=14_09.xlsx&amp;sheet=U0&amp;row=7220&amp;col=6&amp;number=4.6&amp;sourceID=14","4.6")</f>
        <v>4.6</v>
      </c>
      <c r="G7220" s="4" t="str">
        <f>HYPERLINK("http://141.218.60.56/~jnz1568/getInfo.php?workbook=14_09.xlsx&amp;sheet=U0&amp;row=7220&amp;col=7&amp;number=0.00142&amp;sourceID=14","0.00142")</f>
        <v>0.00142</v>
      </c>
    </row>
    <row r="7221" spans="1:7">
      <c r="A7221" s="3"/>
      <c r="B7221" s="3"/>
      <c r="C7221" s="3"/>
      <c r="D7221" s="3"/>
      <c r="E7221" s="3">
        <v>18</v>
      </c>
      <c r="F7221" s="4" t="str">
        <f>HYPERLINK("http://141.218.60.56/~jnz1568/getInfo.php?workbook=14_09.xlsx&amp;sheet=U0&amp;row=7221&amp;col=6&amp;number=4.7&amp;sourceID=14","4.7")</f>
        <v>4.7</v>
      </c>
      <c r="G7221" s="4" t="str">
        <f>HYPERLINK("http://141.218.60.56/~jnz1568/getInfo.php?workbook=14_09.xlsx&amp;sheet=U0&amp;row=7221&amp;col=7&amp;number=0.00137&amp;sourceID=14","0.00137")</f>
        <v>0.00137</v>
      </c>
    </row>
    <row r="7222" spans="1:7">
      <c r="A7222" s="3"/>
      <c r="B7222" s="3"/>
      <c r="C7222" s="3"/>
      <c r="D7222" s="3"/>
      <c r="E7222" s="3">
        <v>19</v>
      </c>
      <c r="F7222" s="4" t="str">
        <f>HYPERLINK("http://141.218.60.56/~jnz1568/getInfo.php?workbook=14_09.xlsx&amp;sheet=U0&amp;row=7222&amp;col=6&amp;number=4.8&amp;sourceID=14","4.8")</f>
        <v>4.8</v>
      </c>
      <c r="G7222" s="4" t="str">
        <f>HYPERLINK("http://141.218.60.56/~jnz1568/getInfo.php?workbook=14_09.xlsx&amp;sheet=U0&amp;row=7222&amp;col=7&amp;number=0.00132&amp;sourceID=14","0.00132")</f>
        <v>0.00132</v>
      </c>
    </row>
    <row r="7223" spans="1:7">
      <c r="A7223" s="3"/>
      <c r="B7223" s="3"/>
      <c r="C7223" s="3"/>
      <c r="D7223" s="3"/>
      <c r="E7223" s="3">
        <v>20</v>
      </c>
      <c r="F7223" s="4" t="str">
        <f>HYPERLINK("http://141.218.60.56/~jnz1568/getInfo.php?workbook=14_09.xlsx&amp;sheet=U0&amp;row=7223&amp;col=6&amp;number=4.9&amp;sourceID=14","4.9")</f>
        <v>4.9</v>
      </c>
      <c r="G7223" s="4" t="str">
        <f>HYPERLINK("http://141.218.60.56/~jnz1568/getInfo.php?workbook=14_09.xlsx&amp;sheet=U0&amp;row=7223&amp;col=7&amp;number=0.00128&amp;sourceID=14","0.00128")</f>
        <v>0.00128</v>
      </c>
    </row>
    <row r="7224" spans="1:7">
      <c r="A7224" s="3">
        <v>14</v>
      </c>
      <c r="B7224" s="3">
        <v>9</v>
      </c>
      <c r="C7224" s="3">
        <v>2</v>
      </c>
      <c r="D7224" s="3">
        <v>170</v>
      </c>
      <c r="E7224" s="3">
        <v>1</v>
      </c>
      <c r="F7224" s="4" t="str">
        <f>HYPERLINK("http://141.218.60.56/~jnz1568/getInfo.php?workbook=14_09.xlsx&amp;sheet=U0&amp;row=7224&amp;col=6&amp;number=3&amp;sourceID=14","3")</f>
        <v>3</v>
      </c>
      <c r="G7224" s="4" t="str">
        <f>HYPERLINK("http://141.218.60.56/~jnz1568/getInfo.php?workbook=14_09.xlsx&amp;sheet=U0&amp;row=7224&amp;col=7&amp;number=0.00481&amp;sourceID=14","0.00481")</f>
        <v>0.00481</v>
      </c>
    </row>
    <row r="7225" spans="1:7">
      <c r="A7225" s="3"/>
      <c r="B7225" s="3"/>
      <c r="C7225" s="3"/>
      <c r="D7225" s="3"/>
      <c r="E7225" s="3">
        <v>2</v>
      </c>
      <c r="F7225" s="4" t="str">
        <f>HYPERLINK("http://141.218.60.56/~jnz1568/getInfo.php?workbook=14_09.xlsx&amp;sheet=U0&amp;row=7225&amp;col=6&amp;number=3.1&amp;sourceID=14","3.1")</f>
        <v>3.1</v>
      </c>
      <c r="G7225" s="4" t="str">
        <f>HYPERLINK("http://141.218.60.56/~jnz1568/getInfo.php?workbook=14_09.xlsx&amp;sheet=U0&amp;row=7225&amp;col=7&amp;number=0.00481&amp;sourceID=14","0.00481")</f>
        <v>0.00481</v>
      </c>
    </row>
    <row r="7226" spans="1:7">
      <c r="A7226" s="3"/>
      <c r="B7226" s="3"/>
      <c r="C7226" s="3"/>
      <c r="D7226" s="3"/>
      <c r="E7226" s="3">
        <v>3</v>
      </c>
      <c r="F7226" s="4" t="str">
        <f>HYPERLINK("http://141.218.60.56/~jnz1568/getInfo.php?workbook=14_09.xlsx&amp;sheet=U0&amp;row=7226&amp;col=6&amp;number=3.2&amp;sourceID=14","3.2")</f>
        <v>3.2</v>
      </c>
      <c r="G7226" s="4" t="str">
        <f>HYPERLINK("http://141.218.60.56/~jnz1568/getInfo.php?workbook=14_09.xlsx&amp;sheet=U0&amp;row=7226&amp;col=7&amp;number=0.00481&amp;sourceID=14","0.00481")</f>
        <v>0.00481</v>
      </c>
    </row>
    <row r="7227" spans="1:7">
      <c r="A7227" s="3"/>
      <c r="B7227" s="3"/>
      <c r="C7227" s="3"/>
      <c r="D7227" s="3"/>
      <c r="E7227" s="3">
        <v>4</v>
      </c>
      <c r="F7227" s="4" t="str">
        <f>HYPERLINK("http://141.218.60.56/~jnz1568/getInfo.php?workbook=14_09.xlsx&amp;sheet=U0&amp;row=7227&amp;col=6&amp;number=3.3&amp;sourceID=14","3.3")</f>
        <v>3.3</v>
      </c>
      <c r="G7227" s="4" t="str">
        <f>HYPERLINK("http://141.218.60.56/~jnz1568/getInfo.php?workbook=14_09.xlsx&amp;sheet=U0&amp;row=7227&amp;col=7&amp;number=0.0048&amp;sourceID=14","0.0048")</f>
        <v>0.0048</v>
      </c>
    </row>
    <row r="7228" spans="1:7">
      <c r="A7228" s="3"/>
      <c r="B7228" s="3"/>
      <c r="C7228" s="3"/>
      <c r="D7228" s="3"/>
      <c r="E7228" s="3">
        <v>5</v>
      </c>
      <c r="F7228" s="4" t="str">
        <f>HYPERLINK("http://141.218.60.56/~jnz1568/getInfo.php?workbook=14_09.xlsx&amp;sheet=U0&amp;row=7228&amp;col=6&amp;number=3.4&amp;sourceID=14","3.4")</f>
        <v>3.4</v>
      </c>
      <c r="G7228" s="4" t="str">
        <f>HYPERLINK("http://141.218.60.56/~jnz1568/getInfo.php?workbook=14_09.xlsx&amp;sheet=U0&amp;row=7228&amp;col=7&amp;number=0.0048&amp;sourceID=14","0.0048")</f>
        <v>0.0048</v>
      </c>
    </row>
    <row r="7229" spans="1:7">
      <c r="A7229" s="3"/>
      <c r="B7229" s="3"/>
      <c r="C7229" s="3"/>
      <c r="D7229" s="3"/>
      <c r="E7229" s="3">
        <v>6</v>
      </c>
      <c r="F7229" s="4" t="str">
        <f>HYPERLINK("http://141.218.60.56/~jnz1568/getInfo.php?workbook=14_09.xlsx&amp;sheet=U0&amp;row=7229&amp;col=6&amp;number=3.5&amp;sourceID=14","3.5")</f>
        <v>3.5</v>
      </c>
      <c r="G7229" s="4" t="str">
        <f>HYPERLINK("http://141.218.60.56/~jnz1568/getInfo.php?workbook=14_09.xlsx&amp;sheet=U0&amp;row=7229&amp;col=7&amp;number=0.0048&amp;sourceID=14","0.0048")</f>
        <v>0.0048</v>
      </c>
    </row>
    <row r="7230" spans="1:7">
      <c r="A7230" s="3"/>
      <c r="B7230" s="3"/>
      <c r="C7230" s="3"/>
      <c r="D7230" s="3"/>
      <c r="E7230" s="3">
        <v>7</v>
      </c>
      <c r="F7230" s="4" t="str">
        <f>HYPERLINK("http://141.218.60.56/~jnz1568/getInfo.php?workbook=14_09.xlsx&amp;sheet=U0&amp;row=7230&amp;col=6&amp;number=3.6&amp;sourceID=14","3.6")</f>
        <v>3.6</v>
      </c>
      <c r="G7230" s="4" t="str">
        <f>HYPERLINK("http://141.218.60.56/~jnz1568/getInfo.php?workbook=14_09.xlsx&amp;sheet=U0&amp;row=7230&amp;col=7&amp;number=0.00479&amp;sourceID=14","0.00479")</f>
        <v>0.00479</v>
      </c>
    </row>
    <row r="7231" spans="1:7">
      <c r="A7231" s="3"/>
      <c r="B7231" s="3"/>
      <c r="C7231" s="3"/>
      <c r="D7231" s="3"/>
      <c r="E7231" s="3">
        <v>8</v>
      </c>
      <c r="F7231" s="4" t="str">
        <f>HYPERLINK("http://141.218.60.56/~jnz1568/getInfo.php?workbook=14_09.xlsx&amp;sheet=U0&amp;row=7231&amp;col=6&amp;number=3.7&amp;sourceID=14","3.7")</f>
        <v>3.7</v>
      </c>
      <c r="G7231" s="4" t="str">
        <f>HYPERLINK("http://141.218.60.56/~jnz1568/getInfo.php?workbook=14_09.xlsx&amp;sheet=U0&amp;row=7231&amp;col=7&amp;number=0.00478&amp;sourceID=14","0.00478")</f>
        <v>0.00478</v>
      </c>
    </row>
    <row r="7232" spans="1:7">
      <c r="A7232" s="3"/>
      <c r="B7232" s="3"/>
      <c r="C7232" s="3"/>
      <c r="D7232" s="3"/>
      <c r="E7232" s="3">
        <v>9</v>
      </c>
      <c r="F7232" s="4" t="str">
        <f>HYPERLINK("http://141.218.60.56/~jnz1568/getInfo.php?workbook=14_09.xlsx&amp;sheet=U0&amp;row=7232&amp;col=6&amp;number=3.8&amp;sourceID=14","3.8")</f>
        <v>3.8</v>
      </c>
      <c r="G7232" s="4" t="str">
        <f>HYPERLINK("http://141.218.60.56/~jnz1568/getInfo.php?workbook=14_09.xlsx&amp;sheet=U0&amp;row=7232&amp;col=7&amp;number=0.00478&amp;sourceID=14","0.00478")</f>
        <v>0.00478</v>
      </c>
    </row>
    <row r="7233" spans="1:7">
      <c r="A7233" s="3"/>
      <c r="B7233" s="3"/>
      <c r="C7233" s="3"/>
      <c r="D7233" s="3"/>
      <c r="E7233" s="3">
        <v>10</v>
      </c>
      <c r="F7233" s="4" t="str">
        <f>HYPERLINK("http://141.218.60.56/~jnz1568/getInfo.php?workbook=14_09.xlsx&amp;sheet=U0&amp;row=7233&amp;col=6&amp;number=3.9&amp;sourceID=14","3.9")</f>
        <v>3.9</v>
      </c>
      <c r="G7233" s="4" t="str">
        <f>HYPERLINK("http://141.218.60.56/~jnz1568/getInfo.php?workbook=14_09.xlsx&amp;sheet=U0&amp;row=7233&amp;col=7&amp;number=0.00476&amp;sourceID=14","0.00476")</f>
        <v>0.00476</v>
      </c>
    </row>
    <row r="7234" spans="1:7">
      <c r="A7234" s="3"/>
      <c r="B7234" s="3"/>
      <c r="C7234" s="3"/>
      <c r="D7234" s="3"/>
      <c r="E7234" s="3">
        <v>11</v>
      </c>
      <c r="F7234" s="4" t="str">
        <f>HYPERLINK("http://141.218.60.56/~jnz1568/getInfo.php?workbook=14_09.xlsx&amp;sheet=U0&amp;row=7234&amp;col=6&amp;number=4&amp;sourceID=14","4")</f>
        <v>4</v>
      </c>
      <c r="G7234" s="4" t="str">
        <f>HYPERLINK("http://141.218.60.56/~jnz1568/getInfo.php?workbook=14_09.xlsx&amp;sheet=U0&amp;row=7234&amp;col=7&amp;number=0.00475&amp;sourceID=14","0.00475")</f>
        <v>0.00475</v>
      </c>
    </row>
    <row r="7235" spans="1:7">
      <c r="A7235" s="3"/>
      <c r="B7235" s="3"/>
      <c r="C7235" s="3"/>
      <c r="D7235" s="3"/>
      <c r="E7235" s="3">
        <v>12</v>
      </c>
      <c r="F7235" s="4" t="str">
        <f>HYPERLINK("http://141.218.60.56/~jnz1568/getInfo.php?workbook=14_09.xlsx&amp;sheet=U0&amp;row=7235&amp;col=6&amp;number=4.1&amp;sourceID=14","4.1")</f>
        <v>4.1</v>
      </c>
      <c r="G7235" s="4" t="str">
        <f>HYPERLINK("http://141.218.60.56/~jnz1568/getInfo.php?workbook=14_09.xlsx&amp;sheet=U0&amp;row=7235&amp;col=7&amp;number=0.00473&amp;sourceID=14","0.00473")</f>
        <v>0.00473</v>
      </c>
    </row>
    <row r="7236" spans="1:7">
      <c r="A7236" s="3"/>
      <c r="B7236" s="3"/>
      <c r="C7236" s="3"/>
      <c r="D7236" s="3"/>
      <c r="E7236" s="3">
        <v>13</v>
      </c>
      <c r="F7236" s="4" t="str">
        <f>HYPERLINK("http://141.218.60.56/~jnz1568/getInfo.php?workbook=14_09.xlsx&amp;sheet=U0&amp;row=7236&amp;col=6&amp;number=4.2&amp;sourceID=14","4.2")</f>
        <v>4.2</v>
      </c>
      <c r="G7236" s="4" t="str">
        <f>HYPERLINK("http://141.218.60.56/~jnz1568/getInfo.php?workbook=14_09.xlsx&amp;sheet=U0&amp;row=7236&amp;col=7&amp;number=0.00471&amp;sourceID=14","0.00471")</f>
        <v>0.00471</v>
      </c>
    </row>
    <row r="7237" spans="1:7">
      <c r="A7237" s="3"/>
      <c r="B7237" s="3"/>
      <c r="C7237" s="3"/>
      <c r="D7237" s="3"/>
      <c r="E7237" s="3">
        <v>14</v>
      </c>
      <c r="F7237" s="4" t="str">
        <f>HYPERLINK("http://141.218.60.56/~jnz1568/getInfo.php?workbook=14_09.xlsx&amp;sheet=U0&amp;row=7237&amp;col=6&amp;number=4.3&amp;sourceID=14","4.3")</f>
        <v>4.3</v>
      </c>
      <c r="G7237" s="4" t="str">
        <f>HYPERLINK("http://141.218.60.56/~jnz1568/getInfo.php?workbook=14_09.xlsx&amp;sheet=U0&amp;row=7237&amp;col=7&amp;number=0.00469&amp;sourceID=14","0.00469")</f>
        <v>0.00469</v>
      </c>
    </row>
    <row r="7238" spans="1:7">
      <c r="A7238" s="3"/>
      <c r="B7238" s="3"/>
      <c r="C7238" s="3"/>
      <c r="D7238" s="3"/>
      <c r="E7238" s="3">
        <v>15</v>
      </c>
      <c r="F7238" s="4" t="str">
        <f>HYPERLINK("http://141.218.60.56/~jnz1568/getInfo.php?workbook=14_09.xlsx&amp;sheet=U0&amp;row=7238&amp;col=6&amp;number=4.4&amp;sourceID=14","4.4")</f>
        <v>4.4</v>
      </c>
      <c r="G7238" s="4" t="str">
        <f>HYPERLINK("http://141.218.60.56/~jnz1568/getInfo.php?workbook=14_09.xlsx&amp;sheet=U0&amp;row=7238&amp;col=7&amp;number=0.00465&amp;sourceID=14","0.00465")</f>
        <v>0.00465</v>
      </c>
    </row>
    <row r="7239" spans="1:7">
      <c r="A7239" s="3"/>
      <c r="B7239" s="3"/>
      <c r="C7239" s="3"/>
      <c r="D7239" s="3"/>
      <c r="E7239" s="3">
        <v>16</v>
      </c>
      <c r="F7239" s="4" t="str">
        <f>HYPERLINK("http://141.218.60.56/~jnz1568/getInfo.php?workbook=14_09.xlsx&amp;sheet=U0&amp;row=7239&amp;col=6&amp;number=4.5&amp;sourceID=14","4.5")</f>
        <v>4.5</v>
      </c>
      <c r="G7239" s="4" t="str">
        <f>HYPERLINK("http://141.218.60.56/~jnz1568/getInfo.php?workbook=14_09.xlsx&amp;sheet=U0&amp;row=7239&amp;col=7&amp;number=0.00461&amp;sourceID=14","0.00461")</f>
        <v>0.00461</v>
      </c>
    </row>
    <row r="7240" spans="1:7">
      <c r="A7240" s="3"/>
      <c r="B7240" s="3"/>
      <c r="C7240" s="3"/>
      <c r="D7240" s="3"/>
      <c r="E7240" s="3">
        <v>17</v>
      </c>
      <c r="F7240" s="4" t="str">
        <f>HYPERLINK("http://141.218.60.56/~jnz1568/getInfo.php?workbook=14_09.xlsx&amp;sheet=U0&amp;row=7240&amp;col=6&amp;number=4.6&amp;sourceID=14","4.6")</f>
        <v>4.6</v>
      </c>
      <c r="G7240" s="4" t="str">
        <f>HYPERLINK("http://141.218.60.56/~jnz1568/getInfo.php?workbook=14_09.xlsx&amp;sheet=U0&amp;row=7240&amp;col=7&amp;number=0.00456&amp;sourceID=14","0.00456")</f>
        <v>0.00456</v>
      </c>
    </row>
    <row r="7241" spans="1:7">
      <c r="A7241" s="3"/>
      <c r="B7241" s="3"/>
      <c r="C7241" s="3"/>
      <c r="D7241" s="3"/>
      <c r="E7241" s="3">
        <v>18</v>
      </c>
      <c r="F7241" s="4" t="str">
        <f>HYPERLINK("http://141.218.60.56/~jnz1568/getInfo.php?workbook=14_09.xlsx&amp;sheet=U0&amp;row=7241&amp;col=6&amp;number=4.7&amp;sourceID=14","4.7")</f>
        <v>4.7</v>
      </c>
      <c r="G7241" s="4" t="str">
        <f>HYPERLINK("http://141.218.60.56/~jnz1568/getInfo.php?workbook=14_09.xlsx&amp;sheet=U0&amp;row=7241&amp;col=7&amp;number=0.0045&amp;sourceID=14","0.0045")</f>
        <v>0.0045</v>
      </c>
    </row>
    <row r="7242" spans="1:7">
      <c r="A7242" s="3"/>
      <c r="B7242" s="3"/>
      <c r="C7242" s="3"/>
      <c r="D7242" s="3"/>
      <c r="E7242" s="3">
        <v>19</v>
      </c>
      <c r="F7242" s="4" t="str">
        <f>HYPERLINK("http://141.218.60.56/~jnz1568/getInfo.php?workbook=14_09.xlsx&amp;sheet=U0&amp;row=7242&amp;col=6&amp;number=4.8&amp;sourceID=14","4.8")</f>
        <v>4.8</v>
      </c>
      <c r="G7242" s="4" t="str">
        <f>HYPERLINK("http://141.218.60.56/~jnz1568/getInfo.php?workbook=14_09.xlsx&amp;sheet=U0&amp;row=7242&amp;col=7&amp;number=0.00443&amp;sourceID=14","0.00443")</f>
        <v>0.00443</v>
      </c>
    </row>
    <row r="7243" spans="1:7">
      <c r="A7243" s="3"/>
      <c r="B7243" s="3"/>
      <c r="C7243" s="3"/>
      <c r="D7243" s="3"/>
      <c r="E7243" s="3">
        <v>20</v>
      </c>
      <c r="F7243" s="4" t="str">
        <f>HYPERLINK("http://141.218.60.56/~jnz1568/getInfo.php?workbook=14_09.xlsx&amp;sheet=U0&amp;row=7243&amp;col=6&amp;number=4.9&amp;sourceID=14","4.9")</f>
        <v>4.9</v>
      </c>
      <c r="G7243" s="4" t="str">
        <f>HYPERLINK("http://141.218.60.56/~jnz1568/getInfo.php?workbook=14_09.xlsx&amp;sheet=U0&amp;row=7243&amp;col=7&amp;number=0.00434&amp;sourceID=14","0.00434")</f>
        <v>0.00434</v>
      </c>
    </row>
    <row r="7244" spans="1:7">
      <c r="A7244" s="3">
        <v>14</v>
      </c>
      <c r="B7244" s="3">
        <v>9</v>
      </c>
      <c r="C7244" s="3">
        <v>2</v>
      </c>
      <c r="D7244" s="3">
        <v>171</v>
      </c>
      <c r="E7244" s="3">
        <v>1</v>
      </c>
      <c r="F7244" s="4" t="str">
        <f>HYPERLINK("http://141.218.60.56/~jnz1568/getInfo.php?workbook=14_09.xlsx&amp;sheet=U0&amp;row=7244&amp;col=6&amp;number=3&amp;sourceID=14","3")</f>
        <v>3</v>
      </c>
      <c r="G7244" s="4" t="str">
        <f>HYPERLINK("http://141.218.60.56/~jnz1568/getInfo.php?workbook=14_09.xlsx&amp;sheet=U0&amp;row=7244&amp;col=7&amp;number=0.00188&amp;sourceID=14","0.00188")</f>
        <v>0.00188</v>
      </c>
    </row>
    <row r="7245" spans="1:7">
      <c r="A7245" s="3"/>
      <c r="B7245" s="3"/>
      <c r="C7245" s="3"/>
      <c r="D7245" s="3"/>
      <c r="E7245" s="3">
        <v>2</v>
      </c>
      <c r="F7245" s="4" t="str">
        <f>HYPERLINK("http://141.218.60.56/~jnz1568/getInfo.php?workbook=14_09.xlsx&amp;sheet=U0&amp;row=7245&amp;col=6&amp;number=3.1&amp;sourceID=14","3.1")</f>
        <v>3.1</v>
      </c>
      <c r="G7245" s="4" t="str">
        <f>HYPERLINK("http://141.218.60.56/~jnz1568/getInfo.php?workbook=14_09.xlsx&amp;sheet=U0&amp;row=7245&amp;col=7&amp;number=0.00188&amp;sourceID=14","0.00188")</f>
        <v>0.00188</v>
      </c>
    </row>
    <row r="7246" spans="1:7">
      <c r="A7246" s="3"/>
      <c r="B7246" s="3"/>
      <c r="C7246" s="3"/>
      <c r="D7246" s="3"/>
      <c r="E7246" s="3">
        <v>3</v>
      </c>
      <c r="F7246" s="4" t="str">
        <f>HYPERLINK("http://141.218.60.56/~jnz1568/getInfo.php?workbook=14_09.xlsx&amp;sheet=U0&amp;row=7246&amp;col=6&amp;number=3.2&amp;sourceID=14","3.2")</f>
        <v>3.2</v>
      </c>
      <c r="G7246" s="4" t="str">
        <f>HYPERLINK("http://141.218.60.56/~jnz1568/getInfo.php?workbook=14_09.xlsx&amp;sheet=U0&amp;row=7246&amp;col=7&amp;number=0.00187&amp;sourceID=14","0.00187")</f>
        <v>0.00187</v>
      </c>
    </row>
    <row r="7247" spans="1:7">
      <c r="A7247" s="3"/>
      <c r="B7247" s="3"/>
      <c r="C7247" s="3"/>
      <c r="D7247" s="3"/>
      <c r="E7247" s="3">
        <v>4</v>
      </c>
      <c r="F7247" s="4" t="str">
        <f>HYPERLINK("http://141.218.60.56/~jnz1568/getInfo.php?workbook=14_09.xlsx&amp;sheet=U0&amp;row=7247&amp;col=6&amp;number=3.3&amp;sourceID=14","3.3")</f>
        <v>3.3</v>
      </c>
      <c r="G7247" s="4" t="str">
        <f>HYPERLINK("http://141.218.60.56/~jnz1568/getInfo.php?workbook=14_09.xlsx&amp;sheet=U0&amp;row=7247&amp;col=7&amp;number=0.00186&amp;sourceID=14","0.00186")</f>
        <v>0.00186</v>
      </c>
    </row>
    <row r="7248" spans="1:7">
      <c r="A7248" s="3"/>
      <c r="B7248" s="3"/>
      <c r="C7248" s="3"/>
      <c r="D7248" s="3"/>
      <c r="E7248" s="3">
        <v>5</v>
      </c>
      <c r="F7248" s="4" t="str">
        <f>HYPERLINK("http://141.218.60.56/~jnz1568/getInfo.php?workbook=14_09.xlsx&amp;sheet=U0&amp;row=7248&amp;col=6&amp;number=3.4&amp;sourceID=14","3.4")</f>
        <v>3.4</v>
      </c>
      <c r="G7248" s="4" t="str">
        <f>HYPERLINK("http://141.218.60.56/~jnz1568/getInfo.php?workbook=14_09.xlsx&amp;sheet=U0&amp;row=7248&amp;col=7&amp;number=0.00185&amp;sourceID=14","0.00185")</f>
        <v>0.00185</v>
      </c>
    </row>
    <row r="7249" spans="1:7">
      <c r="A7249" s="3"/>
      <c r="B7249" s="3"/>
      <c r="C7249" s="3"/>
      <c r="D7249" s="3"/>
      <c r="E7249" s="3">
        <v>6</v>
      </c>
      <c r="F7249" s="4" t="str">
        <f>HYPERLINK("http://141.218.60.56/~jnz1568/getInfo.php?workbook=14_09.xlsx&amp;sheet=U0&amp;row=7249&amp;col=6&amp;number=3.5&amp;sourceID=14","3.5")</f>
        <v>3.5</v>
      </c>
      <c r="G7249" s="4" t="str">
        <f>HYPERLINK("http://141.218.60.56/~jnz1568/getInfo.php?workbook=14_09.xlsx&amp;sheet=U0&amp;row=7249&amp;col=7&amp;number=0.00184&amp;sourceID=14","0.00184")</f>
        <v>0.00184</v>
      </c>
    </row>
    <row r="7250" spans="1:7">
      <c r="A7250" s="3"/>
      <c r="B7250" s="3"/>
      <c r="C7250" s="3"/>
      <c r="D7250" s="3"/>
      <c r="E7250" s="3">
        <v>7</v>
      </c>
      <c r="F7250" s="4" t="str">
        <f>HYPERLINK("http://141.218.60.56/~jnz1568/getInfo.php?workbook=14_09.xlsx&amp;sheet=U0&amp;row=7250&amp;col=6&amp;number=3.6&amp;sourceID=14","3.6")</f>
        <v>3.6</v>
      </c>
      <c r="G7250" s="4" t="str">
        <f>HYPERLINK("http://141.218.60.56/~jnz1568/getInfo.php?workbook=14_09.xlsx&amp;sheet=U0&amp;row=7250&amp;col=7&amp;number=0.00182&amp;sourceID=14","0.00182")</f>
        <v>0.00182</v>
      </c>
    </row>
    <row r="7251" spans="1:7">
      <c r="A7251" s="3"/>
      <c r="B7251" s="3"/>
      <c r="C7251" s="3"/>
      <c r="D7251" s="3"/>
      <c r="E7251" s="3">
        <v>8</v>
      </c>
      <c r="F7251" s="4" t="str">
        <f>HYPERLINK("http://141.218.60.56/~jnz1568/getInfo.php?workbook=14_09.xlsx&amp;sheet=U0&amp;row=7251&amp;col=6&amp;number=3.7&amp;sourceID=14","3.7")</f>
        <v>3.7</v>
      </c>
      <c r="G7251" s="4" t="str">
        <f>HYPERLINK("http://141.218.60.56/~jnz1568/getInfo.php?workbook=14_09.xlsx&amp;sheet=U0&amp;row=7251&amp;col=7&amp;number=0.0018&amp;sourceID=14","0.0018")</f>
        <v>0.0018</v>
      </c>
    </row>
    <row r="7252" spans="1:7">
      <c r="A7252" s="3"/>
      <c r="B7252" s="3"/>
      <c r="C7252" s="3"/>
      <c r="D7252" s="3"/>
      <c r="E7252" s="3">
        <v>9</v>
      </c>
      <c r="F7252" s="4" t="str">
        <f>HYPERLINK("http://141.218.60.56/~jnz1568/getInfo.php?workbook=14_09.xlsx&amp;sheet=U0&amp;row=7252&amp;col=6&amp;number=3.8&amp;sourceID=14","3.8")</f>
        <v>3.8</v>
      </c>
      <c r="G7252" s="4" t="str">
        <f>HYPERLINK("http://141.218.60.56/~jnz1568/getInfo.php?workbook=14_09.xlsx&amp;sheet=U0&amp;row=7252&amp;col=7&amp;number=0.00177&amp;sourceID=14","0.00177")</f>
        <v>0.00177</v>
      </c>
    </row>
    <row r="7253" spans="1:7">
      <c r="A7253" s="3"/>
      <c r="B7253" s="3"/>
      <c r="C7253" s="3"/>
      <c r="D7253" s="3"/>
      <c r="E7253" s="3">
        <v>10</v>
      </c>
      <c r="F7253" s="4" t="str">
        <f>HYPERLINK("http://141.218.60.56/~jnz1568/getInfo.php?workbook=14_09.xlsx&amp;sheet=U0&amp;row=7253&amp;col=6&amp;number=3.9&amp;sourceID=14","3.9")</f>
        <v>3.9</v>
      </c>
      <c r="G7253" s="4" t="str">
        <f>HYPERLINK("http://141.218.60.56/~jnz1568/getInfo.php?workbook=14_09.xlsx&amp;sheet=U0&amp;row=7253&amp;col=7&amp;number=0.00174&amp;sourceID=14","0.00174")</f>
        <v>0.00174</v>
      </c>
    </row>
    <row r="7254" spans="1:7">
      <c r="A7254" s="3"/>
      <c r="B7254" s="3"/>
      <c r="C7254" s="3"/>
      <c r="D7254" s="3"/>
      <c r="E7254" s="3">
        <v>11</v>
      </c>
      <c r="F7254" s="4" t="str">
        <f>HYPERLINK("http://141.218.60.56/~jnz1568/getInfo.php?workbook=14_09.xlsx&amp;sheet=U0&amp;row=7254&amp;col=6&amp;number=4&amp;sourceID=14","4")</f>
        <v>4</v>
      </c>
      <c r="G7254" s="4" t="str">
        <f>HYPERLINK("http://141.218.60.56/~jnz1568/getInfo.php?workbook=14_09.xlsx&amp;sheet=U0&amp;row=7254&amp;col=7&amp;number=0.0017&amp;sourceID=14","0.0017")</f>
        <v>0.0017</v>
      </c>
    </row>
    <row r="7255" spans="1:7">
      <c r="A7255" s="3"/>
      <c r="B7255" s="3"/>
      <c r="C7255" s="3"/>
      <c r="D7255" s="3"/>
      <c r="E7255" s="3">
        <v>12</v>
      </c>
      <c r="F7255" s="4" t="str">
        <f>HYPERLINK("http://141.218.60.56/~jnz1568/getInfo.php?workbook=14_09.xlsx&amp;sheet=U0&amp;row=7255&amp;col=6&amp;number=4.1&amp;sourceID=14","4.1")</f>
        <v>4.1</v>
      </c>
      <c r="G7255" s="4" t="str">
        <f>HYPERLINK("http://141.218.60.56/~jnz1568/getInfo.php?workbook=14_09.xlsx&amp;sheet=U0&amp;row=7255&amp;col=7&amp;number=0.00165&amp;sourceID=14","0.00165")</f>
        <v>0.00165</v>
      </c>
    </row>
    <row r="7256" spans="1:7">
      <c r="A7256" s="3"/>
      <c r="B7256" s="3"/>
      <c r="C7256" s="3"/>
      <c r="D7256" s="3"/>
      <c r="E7256" s="3">
        <v>13</v>
      </c>
      <c r="F7256" s="4" t="str">
        <f>HYPERLINK("http://141.218.60.56/~jnz1568/getInfo.php?workbook=14_09.xlsx&amp;sheet=U0&amp;row=7256&amp;col=6&amp;number=4.2&amp;sourceID=14","4.2")</f>
        <v>4.2</v>
      </c>
      <c r="G7256" s="4" t="str">
        <f>HYPERLINK("http://141.218.60.56/~jnz1568/getInfo.php?workbook=14_09.xlsx&amp;sheet=U0&amp;row=7256&amp;col=7&amp;number=0.00158&amp;sourceID=14","0.00158")</f>
        <v>0.00158</v>
      </c>
    </row>
    <row r="7257" spans="1:7">
      <c r="A7257" s="3"/>
      <c r="B7257" s="3"/>
      <c r="C7257" s="3"/>
      <c r="D7257" s="3"/>
      <c r="E7257" s="3">
        <v>14</v>
      </c>
      <c r="F7257" s="4" t="str">
        <f>HYPERLINK("http://141.218.60.56/~jnz1568/getInfo.php?workbook=14_09.xlsx&amp;sheet=U0&amp;row=7257&amp;col=6&amp;number=4.3&amp;sourceID=14","4.3")</f>
        <v>4.3</v>
      </c>
      <c r="G7257" s="4" t="str">
        <f>HYPERLINK("http://141.218.60.56/~jnz1568/getInfo.php?workbook=14_09.xlsx&amp;sheet=U0&amp;row=7257&amp;col=7&amp;number=0.00151&amp;sourceID=14","0.00151")</f>
        <v>0.00151</v>
      </c>
    </row>
    <row r="7258" spans="1:7">
      <c r="A7258" s="3"/>
      <c r="B7258" s="3"/>
      <c r="C7258" s="3"/>
      <c r="D7258" s="3"/>
      <c r="E7258" s="3">
        <v>15</v>
      </c>
      <c r="F7258" s="4" t="str">
        <f>HYPERLINK("http://141.218.60.56/~jnz1568/getInfo.php?workbook=14_09.xlsx&amp;sheet=U0&amp;row=7258&amp;col=6&amp;number=4.4&amp;sourceID=14","4.4")</f>
        <v>4.4</v>
      </c>
      <c r="G7258" s="4" t="str">
        <f>HYPERLINK("http://141.218.60.56/~jnz1568/getInfo.php?workbook=14_09.xlsx&amp;sheet=U0&amp;row=7258&amp;col=7&amp;number=0.00142&amp;sourceID=14","0.00142")</f>
        <v>0.00142</v>
      </c>
    </row>
    <row r="7259" spans="1:7">
      <c r="A7259" s="3"/>
      <c r="B7259" s="3"/>
      <c r="C7259" s="3"/>
      <c r="D7259" s="3"/>
      <c r="E7259" s="3">
        <v>16</v>
      </c>
      <c r="F7259" s="4" t="str">
        <f>HYPERLINK("http://141.218.60.56/~jnz1568/getInfo.php?workbook=14_09.xlsx&amp;sheet=U0&amp;row=7259&amp;col=6&amp;number=4.5&amp;sourceID=14","4.5")</f>
        <v>4.5</v>
      </c>
      <c r="G7259" s="4" t="str">
        <f>HYPERLINK("http://141.218.60.56/~jnz1568/getInfo.php?workbook=14_09.xlsx&amp;sheet=U0&amp;row=7259&amp;col=7&amp;number=0.00131&amp;sourceID=14","0.00131")</f>
        <v>0.00131</v>
      </c>
    </row>
    <row r="7260" spans="1:7">
      <c r="A7260" s="3"/>
      <c r="B7260" s="3"/>
      <c r="C7260" s="3"/>
      <c r="D7260" s="3"/>
      <c r="E7260" s="3">
        <v>17</v>
      </c>
      <c r="F7260" s="4" t="str">
        <f>HYPERLINK("http://141.218.60.56/~jnz1568/getInfo.php?workbook=14_09.xlsx&amp;sheet=U0&amp;row=7260&amp;col=6&amp;number=4.6&amp;sourceID=14","4.6")</f>
        <v>4.6</v>
      </c>
      <c r="G7260" s="4" t="str">
        <f>HYPERLINK("http://141.218.60.56/~jnz1568/getInfo.php?workbook=14_09.xlsx&amp;sheet=U0&amp;row=7260&amp;col=7&amp;number=0.00118&amp;sourceID=14","0.00118")</f>
        <v>0.00118</v>
      </c>
    </row>
    <row r="7261" spans="1:7">
      <c r="A7261" s="3"/>
      <c r="B7261" s="3"/>
      <c r="C7261" s="3"/>
      <c r="D7261" s="3"/>
      <c r="E7261" s="3">
        <v>18</v>
      </c>
      <c r="F7261" s="4" t="str">
        <f>HYPERLINK("http://141.218.60.56/~jnz1568/getInfo.php?workbook=14_09.xlsx&amp;sheet=U0&amp;row=7261&amp;col=6&amp;number=4.7&amp;sourceID=14","4.7")</f>
        <v>4.7</v>
      </c>
      <c r="G7261" s="4" t="str">
        <f>HYPERLINK("http://141.218.60.56/~jnz1568/getInfo.php?workbook=14_09.xlsx&amp;sheet=U0&amp;row=7261&amp;col=7&amp;number=0.00105&amp;sourceID=14","0.00105")</f>
        <v>0.00105</v>
      </c>
    </row>
    <row r="7262" spans="1:7">
      <c r="A7262" s="3"/>
      <c r="B7262" s="3"/>
      <c r="C7262" s="3"/>
      <c r="D7262" s="3"/>
      <c r="E7262" s="3">
        <v>19</v>
      </c>
      <c r="F7262" s="4" t="str">
        <f>HYPERLINK("http://141.218.60.56/~jnz1568/getInfo.php?workbook=14_09.xlsx&amp;sheet=U0&amp;row=7262&amp;col=6&amp;number=4.8&amp;sourceID=14","4.8")</f>
        <v>4.8</v>
      </c>
      <c r="G7262" s="4" t="str">
        <f>HYPERLINK("http://141.218.60.56/~jnz1568/getInfo.php?workbook=14_09.xlsx&amp;sheet=U0&amp;row=7262&amp;col=7&amp;number=0.000914&amp;sourceID=14","0.000914")</f>
        <v>0.000914</v>
      </c>
    </row>
    <row r="7263" spans="1:7">
      <c r="A7263" s="3"/>
      <c r="B7263" s="3"/>
      <c r="C7263" s="3"/>
      <c r="D7263" s="3"/>
      <c r="E7263" s="3">
        <v>20</v>
      </c>
      <c r="F7263" s="4" t="str">
        <f>HYPERLINK("http://141.218.60.56/~jnz1568/getInfo.php?workbook=14_09.xlsx&amp;sheet=U0&amp;row=7263&amp;col=6&amp;number=4.9&amp;sourceID=14","4.9")</f>
        <v>4.9</v>
      </c>
      <c r="G7263" s="4" t="str">
        <f>HYPERLINK("http://141.218.60.56/~jnz1568/getInfo.php?workbook=14_09.xlsx&amp;sheet=U0&amp;row=7263&amp;col=7&amp;number=0.000796&amp;sourceID=14","0.000796")</f>
        <v>0.000796</v>
      </c>
    </row>
    <row r="7264" spans="1:7">
      <c r="A7264" s="3">
        <v>14</v>
      </c>
      <c r="B7264" s="3">
        <v>9</v>
      </c>
      <c r="C7264" s="3">
        <v>2</v>
      </c>
      <c r="D7264" s="3">
        <v>172</v>
      </c>
      <c r="E7264" s="3">
        <v>1</v>
      </c>
      <c r="F7264" s="4" t="str">
        <f>HYPERLINK("http://141.218.60.56/~jnz1568/getInfo.php?workbook=14_09.xlsx&amp;sheet=U0&amp;row=7264&amp;col=6&amp;number=3&amp;sourceID=14","3")</f>
        <v>3</v>
      </c>
      <c r="G7264" s="4" t="str">
        <f>HYPERLINK("http://141.218.60.56/~jnz1568/getInfo.php?workbook=14_09.xlsx&amp;sheet=U0&amp;row=7264&amp;col=7&amp;number=0.00401&amp;sourceID=14","0.00401")</f>
        <v>0.00401</v>
      </c>
    </row>
    <row r="7265" spans="1:7">
      <c r="A7265" s="3"/>
      <c r="B7265" s="3"/>
      <c r="C7265" s="3"/>
      <c r="D7265" s="3"/>
      <c r="E7265" s="3">
        <v>2</v>
      </c>
      <c r="F7265" s="4" t="str">
        <f>HYPERLINK("http://141.218.60.56/~jnz1568/getInfo.php?workbook=14_09.xlsx&amp;sheet=U0&amp;row=7265&amp;col=6&amp;number=3.1&amp;sourceID=14","3.1")</f>
        <v>3.1</v>
      </c>
      <c r="G7265" s="4" t="str">
        <f>HYPERLINK("http://141.218.60.56/~jnz1568/getInfo.php?workbook=14_09.xlsx&amp;sheet=U0&amp;row=7265&amp;col=7&amp;number=0.00401&amp;sourceID=14","0.00401")</f>
        <v>0.00401</v>
      </c>
    </row>
    <row r="7266" spans="1:7">
      <c r="A7266" s="3"/>
      <c r="B7266" s="3"/>
      <c r="C7266" s="3"/>
      <c r="D7266" s="3"/>
      <c r="E7266" s="3">
        <v>3</v>
      </c>
      <c r="F7266" s="4" t="str">
        <f>HYPERLINK("http://141.218.60.56/~jnz1568/getInfo.php?workbook=14_09.xlsx&amp;sheet=U0&amp;row=7266&amp;col=6&amp;number=3.2&amp;sourceID=14","3.2")</f>
        <v>3.2</v>
      </c>
      <c r="G7266" s="4" t="str">
        <f>HYPERLINK("http://141.218.60.56/~jnz1568/getInfo.php?workbook=14_09.xlsx&amp;sheet=U0&amp;row=7266&amp;col=7&amp;number=0.00401&amp;sourceID=14","0.00401")</f>
        <v>0.00401</v>
      </c>
    </row>
    <row r="7267" spans="1:7">
      <c r="A7267" s="3"/>
      <c r="B7267" s="3"/>
      <c r="C7267" s="3"/>
      <c r="D7267" s="3"/>
      <c r="E7267" s="3">
        <v>4</v>
      </c>
      <c r="F7267" s="4" t="str">
        <f>HYPERLINK("http://141.218.60.56/~jnz1568/getInfo.php?workbook=14_09.xlsx&amp;sheet=U0&amp;row=7267&amp;col=6&amp;number=3.3&amp;sourceID=14","3.3")</f>
        <v>3.3</v>
      </c>
      <c r="G7267" s="4" t="str">
        <f>HYPERLINK("http://141.218.60.56/~jnz1568/getInfo.php?workbook=14_09.xlsx&amp;sheet=U0&amp;row=7267&amp;col=7&amp;number=0.004&amp;sourceID=14","0.004")</f>
        <v>0.004</v>
      </c>
    </row>
    <row r="7268" spans="1:7">
      <c r="A7268" s="3"/>
      <c r="B7268" s="3"/>
      <c r="C7268" s="3"/>
      <c r="D7268" s="3"/>
      <c r="E7268" s="3">
        <v>5</v>
      </c>
      <c r="F7268" s="4" t="str">
        <f>HYPERLINK("http://141.218.60.56/~jnz1568/getInfo.php?workbook=14_09.xlsx&amp;sheet=U0&amp;row=7268&amp;col=6&amp;number=3.4&amp;sourceID=14","3.4")</f>
        <v>3.4</v>
      </c>
      <c r="G7268" s="4" t="str">
        <f>HYPERLINK("http://141.218.60.56/~jnz1568/getInfo.php?workbook=14_09.xlsx&amp;sheet=U0&amp;row=7268&amp;col=7&amp;number=0.004&amp;sourceID=14","0.004")</f>
        <v>0.004</v>
      </c>
    </row>
    <row r="7269" spans="1:7">
      <c r="A7269" s="3"/>
      <c r="B7269" s="3"/>
      <c r="C7269" s="3"/>
      <c r="D7269" s="3"/>
      <c r="E7269" s="3">
        <v>6</v>
      </c>
      <c r="F7269" s="4" t="str">
        <f>HYPERLINK("http://141.218.60.56/~jnz1568/getInfo.php?workbook=14_09.xlsx&amp;sheet=U0&amp;row=7269&amp;col=6&amp;number=3.5&amp;sourceID=14","3.5")</f>
        <v>3.5</v>
      </c>
      <c r="G7269" s="4" t="str">
        <f>HYPERLINK("http://141.218.60.56/~jnz1568/getInfo.php?workbook=14_09.xlsx&amp;sheet=U0&amp;row=7269&amp;col=7&amp;number=0.00399&amp;sourceID=14","0.00399")</f>
        <v>0.00399</v>
      </c>
    </row>
    <row r="7270" spans="1:7">
      <c r="A7270" s="3"/>
      <c r="B7270" s="3"/>
      <c r="C7270" s="3"/>
      <c r="D7270" s="3"/>
      <c r="E7270" s="3">
        <v>7</v>
      </c>
      <c r="F7270" s="4" t="str">
        <f>HYPERLINK("http://141.218.60.56/~jnz1568/getInfo.php?workbook=14_09.xlsx&amp;sheet=U0&amp;row=7270&amp;col=6&amp;number=3.6&amp;sourceID=14","3.6")</f>
        <v>3.6</v>
      </c>
      <c r="G7270" s="4" t="str">
        <f>HYPERLINK("http://141.218.60.56/~jnz1568/getInfo.php?workbook=14_09.xlsx&amp;sheet=U0&amp;row=7270&amp;col=7&amp;number=0.00399&amp;sourceID=14","0.00399")</f>
        <v>0.00399</v>
      </c>
    </row>
    <row r="7271" spans="1:7">
      <c r="A7271" s="3"/>
      <c r="B7271" s="3"/>
      <c r="C7271" s="3"/>
      <c r="D7271" s="3"/>
      <c r="E7271" s="3">
        <v>8</v>
      </c>
      <c r="F7271" s="4" t="str">
        <f>HYPERLINK("http://141.218.60.56/~jnz1568/getInfo.php?workbook=14_09.xlsx&amp;sheet=U0&amp;row=7271&amp;col=6&amp;number=3.7&amp;sourceID=14","3.7")</f>
        <v>3.7</v>
      </c>
      <c r="G7271" s="4" t="str">
        <f>HYPERLINK("http://141.218.60.56/~jnz1568/getInfo.php?workbook=14_09.xlsx&amp;sheet=U0&amp;row=7271&amp;col=7&amp;number=0.00398&amp;sourceID=14","0.00398")</f>
        <v>0.00398</v>
      </c>
    </row>
    <row r="7272" spans="1:7">
      <c r="A7272" s="3"/>
      <c r="B7272" s="3"/>
      <c r="C7272" s="3"/>
      <c r="D7272" s="3"/>
      <c r="E7272" s="3">
        <v>9</v>
      </c>
      <c r="F7272" s="4" t="str">
        <f>HYPERLINK("http://141.218.60.56/~jnz1568/getInfo.php?workbook=14_09.xlsx&amp;sheet=U0&amp;row=7272&amp;col=6&amp;number=3.8&amp;sourceID=14","3.8")</f>
        <v>3.8</v>
      </c>
      <c r="G7272" s="4" t="str">
        <f>HYPERLINK("http://141.218.60.56/~jnz1568/getInfo.php?workbook=14_09.xlsx&amp;sheet=U0&amp;row=7272&amp;col=7&amp;number=0.00397&amp;sourceID=14","0.00397")</f>
        <v>0.00397</v>
      </c>
    </row>
    <row r="7273" spans="1:7">
      <c r="A7273" s="3"/>
      <c r="B7273" s="3"/>
      <c r="C7273" s="3"/>
      <c r="D7273" s="3"/>
      <c r="E7273" s="3">
        <v>10</v>
      </c>
      <c r="F7273" s="4" t="str">
        <f>HYPERLINK("http://141.218.60.56/~jnz1568/getInfo.php?workbook=14_09.xlsx&amp;sheet=U0&amp;row=7273&amp;col=6&amp;number=3.9&amp;sourceID=14","3.9")</f>
        <v>3.9</v>
      </c>
      <c r="G7273" s="4" t="str">
        <f>HYPERLINK("http://141.218.60.56/~jnz1568/getInfo.php?workbook=14_09.xlsx&amp;sheet=U0&amp;row=7273&amp;col=7&amp;number=0.00395&amp;sourceID=14","0.00395")</f>
        <v>0.00395</v>
      </c>
    </row>
    <row r="7274" spans="1:7">
      <c r="A7274" s="3"/>
      <c r="B7274" s="3"/>
      <c r="C7274" s="3"/>
      <c r="D7274" s="3"/>
      <c r="E7274" s="3">
        <v>11</v>
      </c>
      <c r="F7274" s="4" t="str">
        <f>HYPERLINK("http://141.218.60.56/~jnz1568/getInfo.php?workbook=14_09.xlsx&amp;sheet=U0&amp;row=7274&amp;col=6&amp;number=4&amp;sourceID=14","4")</f>
        <v>4</v>
      </c>
      <c r="G7274" s="4" t="str">
        <f>HYPERLINK("http://141.218.60.56/~jnz1568/getInfo.php?workbook=14_09.xlsx&amp;sheet=U0&amp;row=7274&amp;col=7&amp;number=0.00394&amp;sourceID=14","0.00394")</f>
        <v>0.00394</v>
      </c>
    </row>
    <row r="7275" spans="1:7">
      <c r="A7275" s="3"/>
      <c r="B7275" s="3"/>
      <c r="C7275" s="3"/>
      <c r="D7275" s="3"/>
      <c r="E7275" s="3">
        <v>12</v>
      </c>
      <c r="F7275" s="4" t="str">
        <f>HYPERLINK("http://141.218.60.56/~jnz1568/getInfo.php?workbook=14_09.xlsx&amp;sheet=U0&amp;row=7275&amp;col=6&amp;number=4.1&amp;sourceID=14","4.1")</f>
        <v>4.1</v>
      </c>
      <c r="G7275" s="4" t="str">
        <f>HYPERLINK("http://141.218.60.56/~jnz1568/getInfo.php?workbook=14_09.xlsx&amp;sheet=U0&amp;row=7275&amp;col=7&amp;number=0.00391&amp;sourceID=14","0.00391")</f>
        <v>0.00391</v>
      </c>
    </row>
    <row r="7276" spans="1:7">
      <c r="A7276" s="3"/>
      <c r="B7276" s="3"/>
      <c r="C7276" s="3"/>
      <c r="D7276" s="3"/>
      <c r="E7276" s="3">
        <v>13</v>
      </c>
      <c r="F7276" s="4" t="str">
        <f>HYPERLINK("http://141.218.60.56/~jnz1568/getInfo.php?workbook=14_09.xlsx&amp;sheet=U0&amp;row=7276&amp;col=6&amp;number=4.2&amp;sourceID=14","4.2")</f>
        <v>4.2</v>
      </c>
      <c r="G7276" s="4" t="str">
        <f>HYPERLINK("http://141.218.60.56/~jnz1568/getInfo.php?workbook=14_09.xlsx&amp;sheet=U0&amp;row=7276&amp;col=7&amp;number=0.00389&amp;sourceID=14","0.00389")</f>
        <v>0.00389</v>
      </c>
    </row>
    <row r="7277" spans="1:7">
      <c r="A7277" s="3"/>
      <c r="B7277" s="3"/>
      <c r="C7277" s="3"/>
      <c r="D7277" s="3"/>
      <c r="E7277" s="3">
        <v>14</v>
      </c>
      <c r="F7277" s="4" t="str">
        <f>HYPERLINK("http://141.218.60.56/~jnz1568/getInfo.php?workbook=14_09.xlsx&amp;sheet=U0&amp;row=7277&amp;col=6&amp;number=4.3&amp;sourceID=14","4.3")</f>
        <v>4.3</v>
      </c>
      <c r="G7277" s="4" t="str">
        <f>HYPERLINK("http://141.218.60.56/~jnz1568/getInfo.php?workbook=14_09.xlsx&amp;sheet=U0&amp;row=7277&amp;col=7&amp;number=0.00385&amp;sourceID=14","0.00385")</f>
        <v>0.00385</v>
      </c>
    </row>
    <row r="7278" spans="1:7">
      <c r="A7278" s="3"/>
      <c r="B7278" s="3"/>
      <c r="C7278" s="3"/>
      <c r="D7278" s="3"/>
      <c r="E7278" s="3">
        <v>15</v>
      </c>
      <c r="F7278" s="4" t="str">
        <f>HYPERLINK("http://141.218.60.56/~jnz1568/getInfo.php?workbook=14_09.xlsx&amp;sheet=U0&amp;row=7278&amp;col=6&amp;number=4.4&amp;sourceID=14","4.4")</f>
        <v>4.4</v>
      </c>
      <c r="G7278" s="4" t="str">
        <f>HYPERLINK("http://141.218.60.56/~jnz1568/getInfo.php?workbook=14_09.xlsx&amp;sheet=U0&amp;row=7278&amp;col=7&amp;number=0.00381&amp;sourceID=14","0.00381")</f>
        <v>0.00381</v>
      </c>
    </row>
    <row r="7279" spans="1:7">
      <c r="A7279" s="3"/>
      <c r="B7279" s="3"/>
      <c r="C7279" s="3"/>
      <c r="D7279" s="3"/>
      <c r="E7279" s="3">
        <v>16</v>
      </c>
      <c r="F7279" s="4" t="str">
        <f>HYPERLINK("http://141.218.60.56/~jnz1568/getInfo.php?workbook=14_09.xlsx&amp;sheet=U0&amp;row=7279&amp;col=6&amp;number=4.5&amp;sourceID=14","4.5")</f>
        <v>4.5</v>
      </c>
      <c r="G7279" s="4" t="str">
        <f>HYPERLINK("http://141.218.60.56/~jnz1568/getInfo.php?workbook=14_09.xlsx&amp;sheet=U0&amp;row=7279&amp;col=7&amp;number=0.00376&amp;sourceID=14","0.00376")</f>
        <v>0.00376</v>
      </c>
    </row>
    <row r="7280" spans="1:7">
      <c r="A7280" s="3"/>
      <c r="B7280" s="3"/>
      <c r="C7280" s="3"/>
      <c r="D7280" s="3"/>
      <c r="E7280" s="3">
        <v>17</v>
      </c>
      <c r="F7280" s="4" t="str">
        <f>HYPERLINK("http://141.218.60.56/~jnz1568/getInfo.php?workbook=14_09.xlsx&amp;sheet=U0&amp;row=7280&amp;col=6&amp;number=4.6&amp;sourceID=14","4.6")</f>
        <v>4.6</v>
      </c>
      <c r="G7280" s="4" t="str">
        <f>HYPERLINK("http://141.218.60.56/~jnz1568/getInfo.php?workbook=14_09.xlsx&amp;sheet=U0&amp;row=7280&amp;col=7&amp;number=0.0037&amp;sourceID=14","0.0037")</f>
        <v>0.0037</v>
      </c>
    </row>
    <row r="7281" spans="1:7">
      <c r="A7281" s="3"/>
      <c r="B7281" s="3"/>
      <c r="C7281" s="3"/>
      <c r="D7281" s="3"/>
      <c r="E7281" s="3">
        <v>18</v>
      </c>
      <c r="F7281" s="4" t="str">
        <f>HYPERLINK("http://141.218.60.56/~jnz1568/getInfo.php?workbook=14_09.xlsx&amp;sheet=U0&amp;row=7281&amp;col=6&amp;number=4.7&amp;sourceID=14","4.7")</f>
        <v>4.7</v>
      </c>
      <c r="G7281" s="4" t="str">
        <f>HYPERLINK("http://141.218.60.56/~jnz1568/getInfo.php?workbook=14_09.xlsx&amp;sheet=U0&amp;row=7281&amp;col=7&amp;number=0.00363&amp;sourceID=14","0.00363")</f>
        <v>0.00363</v>
      </c>
    </row>
    <row r="7282" spans="1:7">
      <c r="A7282" s="3"/>
      <c r="B7282" s="3"/>
      <c r="C7282" s="3"/>
      <c r="D7282" s="3"/>
      <c r="E7282" s="3">
        <v>19</v>
      </c>
      <c r="F7282" s="4" t="str">
        <f>HYPERLINK("http://141.218.60.56/~jnz1568/getInfo.php?workbook=14_09.xlsx&amp;sheet=U0&amp;row=7282&amp;col=6&amp;number=4.8&amp;sourceID=14","4.8")</f>
        <v>4.8</v>
      </c>
      <c r="G7282" s="4" t="str">
        <f>HYPERLINK("http://141.218.60.56/~jnz1568/getInfo.php?workbook=14_09.xlsx&amp;sheet=U0&amp;row=7282&amp;col=7&amp;number=0.00354&amp;sourceID=14","0.00354")</f>
        <v>0.00354</v>
      </c>
    </row>
    <row r="7283" spans="1:7">
      <c r="A7283" s="3"/>
      <c r="B7283" s="3"/>
      <c r="C7283" s="3"/>
      <c r="D7283" s="3"/>
      <c r="E7283" s="3">
        <v>20</v>
      </c>
      <c r="F7283" s="4" t="str">
        <f>HYPERLINK("http://141.218.60.56/~jnz1568/getInfo.php?workbook=14_09.xlsx&amp;sheet=U0&amp;row=7283&amp;col=6&amp;number=4.9&amp;sourceID=14","4.9")</f>
        <v>4.9</v>
      </c>
      <c r="G7283" s="4" t="str">
        <f>HYPERLINK("http://141.218.60.56/~jnz1568/getInfo.php?workbook=14_09.xlsx&amp;sheet=U0&amp;row=7283&amp;col=7&amp;number=0.00344&amp;sourceID=14","0.00344")</f>
        <v>0.00344</v>
      </c>
    </row>
    <row r="7284" spans="1:7">
      <c r="A7284" s="3">
        <v>14</v>
      </c>
      <c r="B7284" s="3">
        <v>9</v>
      </c>
      <c r="C7284" s="3">
        <v>2</v>
      </c>
      <c r="D7284" s="3">
        <v>173</v>
      </c>
      <c r="E7284" s="3">
        <v>1</v>
      </c>
      <c r="F7284" s="4" t="str">
        <f>HYPERLINK("http://141.218.60.56/~jnz1568/getInfo.php?workbook=14_09.xlsx&amp;sheet=U0&amp;row=7284&amp;col=6&amp;number=3&amp;sourceID=14","3")</f>
        <v>3</v>
      </c>
      <c r="G7284" s="4" t="str">
        <f>HYPERLINK("http://141.218.60.56/~jnz1568/getInfo.php?workbook=14_09.xlsx&amp;sheet=U0&amp;row=7284&amp;col=7&amp;number=0.00571&amp;sourceID=14","0.00571")</f>
        <v>0.00571</v>
      </c>
    </row>
    <row r="7285" spans="1:7">
      <c r="A7285" s="3"/>
      <c r="B7285" s="3"/>
      <c r="C7285" s="3"/>
      <c r="D7285" s="3"/>
      <c r="E7285" s="3">
        <v>2</v>
      </c>
      <c r="F7285" s="4" t="str">
        <f>HYPERLINK("http://141.218.60.56/~jnz1568/getInfo.php?workbook=14_09.xlsx&amp;sheet=U0&amp;row=7285&amp;col=6&amp;number=3.1&amp;sourceID=14","3.1")</f>
        <v>3.1</v>
      </c>
      <c r="G7285" s="4" t="str">
        <f>HYPERLINK("http://141.218.60.56/~jnz1568/getInfo.php?workbook=14_09.xlsx&amp;sheet=U0&amp;row=7285&amp;col=7&amp;number=0.00571&amp;sourceID=14","0.00571")</f>
        <v>0.00571</v>
      </c>
    </row>
    <row r="7286" spans="1:7">
      <c r="A7286" s="3"/>
      <c r="B7286" s="3"/>
      <c r="C7286" s="3"/>
      <c r="D7286" s="3"/>
      <c r="E7286" s="3">
        <v>3</v>
      </c>
      <c r="F7286" s="4" t="str">
        <f>HYPERLINK("http://141.218.60.56/~jnz1568/getInfo.php?workbook=14_09.xlsx&amp;sheet=U0&amp;row=7286&amp;col=6&amp;number=3.2&amp;sourceID=14","3.2")</f>
        <v>3.2</v>
      </c>
      <c r="G7286" s="4" t="str">
        <f>HYPERLINK("http://141.218.60.56/~jnz1568/getInfo.php?workbook=14_09.xlsx&amp;sheet=U0&amp;row=7286&amp;col=7&amp;number=0.00571&amp;sourceID=14","0.00571")</f>
        <v>0.00571</v>
      </c>
    </row>
    <row r="7287" spans="1:7">
      <c r="A7287" s="3"/>
      <c r="B7287" s="3"/>
      <c r="C7287" s="3"/>
      <c r="D7287" s="3"/>
      <c r="E7287" s="3">
        <v>4</v>
      </c>
      <c r="F7287" s="4" t="str">
        <f>HYPERLINK("http://141.218.60.56/~jnz1568/getInfo.php?workbook=14_09.xlsx&amp;sheet=U0&amp;row=7287&amp;col=6&amp;number=3.3&amp;sourceID=14","3.3")</f>
        <v>3.3</v>
      </c>
      <c r="G7287" s="4" t="str">
        <f>HYPERLINK("http://141.218.60.56/~jnz1568/getInfo.php?workbook=14_09.xlsx&amp;sheet=U0&amp;row=7287&amp;col=7&amp;number=0.0057&amp;sourceID=14","0.0057")</f>
        <v>0.0057</v>
      </c>
    </row>
    <row r="7288" spans="1:7">
      <c r="A7288" s="3"/>
      <c r="B7288" s="3"/>
      <c r="C7288" s="3"/>
      <c r="D7288" s="3"/>
      <c r="E7288" s="3">
        <v>5</v>
      </c>
      <c r="F7288" s="4" t="str">
        <f>HYPERLINK("http://141.218.60.56/~jnz1568/getInfo.php?workbook=14_09.xlsx&amp;sheet=U0&amp;row=7288&amp;col=6&amp;number=3.4&amp;sourceID=14","3.4")</f>
        <v>3.4</v>
      </c>
      <c r="G7288" s="4" t="str">
        <f>HYPERLINK("http://141.218.60.56/~jnz1568/getInfo.php?workbook=14_09.xlsx&amp;sheet=U0&amp;row=7288&amp;col=7&amp;number=0.0057&amp;sourceID=14","0.0057")</f>
        <v>0.0057</v>
      </c>
    </row>
    <row r="7289" spans="1:7">
      <c r="A7289" s="3"/>
      <c r="B7289" s="3"/>
      <c r="C7289" s="3"/>
      <c r="D7289" s="3"/>
      <c r="E7289" s="3">
        <v>6</v>
      </c>
      <c r="F7289" s="4" t="str">
        <f>HYPERLINK("http://141.218.60.56/~jnz1568/getInfo.php?workbook=14_09.xlsx&amp;sheet=U0&amp;row=7289&amp;col=6&amp;number=3.5&amp;sourceID=14","3.5")</f>
        <v>3.5</v>
      </c>
      <c r="G7289" s="4" t="str">
        <f>HYPERLINK("http://141.218.60.56/~jnz1568/getInfo.php?workbook=14_09.xlsx&amp;sheet=U0&amp;row=7289&amp;col=7&amp;number=0.00569&amp;sourceID=14","0.00569")</f>
        <v>0.00569</v>
      </c>
    </row>
    <row r="7290" spans="1:7">
      <c r="A7290" s="3"/>
      <c r="B7290" s="3"/>
      <c r="C7290" s="3"/>
      <c r="D7290" s="3"/>
      <c r="E7290" s="3">
        <v>7</v>
      </c>
      <c r="F7290" s="4" t="str">
        <f>HYPERLINK("http://141.218.60.56/~jnz1568/getInfo.php?workbook=14_09.xlsx&amp;sheet=U0&amp;row=7290&amp;col=6&amp;number=3.6&amp;sourceID=14","3.6")</f>
        <v>3.6</v>
      </c>
      <c r="G7290" s="4" t="str">
        <f>HYPERLINK("http://141.218.60.56/~jnz1568/getInfo.php?workbook=14_09.xlsx&amp;sheet=U0&amp;row=7290&amp;col=7&amp;number=0.00569&amp;sourceID=14","0.00569")</f>
        <v>0.00569</v>
      </c>
    </row>
    <row r="7291" spans="1:7">
      <c r="A7291" s="3"/>
      <c r="B7291" s="3"/>
      <c r="C7291" s="3"/>
      <c r="D7291" s="3"/>
      <c r="E7291" s="3">
        <v>8</v>
      </c>
      <c r="F7291" s="4" t="str">
        <f>HYPERLINK("http://141.218.60.56/~jnz1568/getInfo.php?workbook=14_09.xlsx&amp;sheet=U0&amp;row=7291&amp;col=6&amp;number=3.7&amp;sourceID=14","3.7")</f>
        <v>3.7</v>
      </c>
      <c r="G7291" s="4" t="str">
        <f>HYPERLINK("http://141.218.60.56/~jnz1568/getInfo.php?workbook=14_09.xlsx&amp;sheet=U0&amp;row=7291&amp;col=7&amp;number=0.00568&amp;sourceID=14","0.00568")</f>
        <v>0.00568</v>
      </c>
    </row>
    <row r="7292" spans="1:7">
      <c r="A7292" s="3"/>
      <c r="B7292" s="3"/>
      <c r="C7292" s="3"/>
      <c r="D7292" s="3"/>
      <c r="E7292" s="3">
        <v>9</v>
      </c>
      <c r="F7292" s="4" t="str">
        <f>HYPERLINK("http://141.218.60.56/~jnz1568/getInfo.php?workbook=14_09.xlsx&amp;sheet=U0&amp;row=7292&amp;col=6&amp;number=3.8&amp;sourceID=14","3.8")</f>
        <v>3.8</v>
      </c>
      <c r="G7292" s="4" t="str">
        <f>HYPERLINK("http://141.218.60.56/~jnz1568/getInfo.php?workbook=14_09.xlsx&amp;sheet=U0&amp;row=7292&amp;col=7&amp;number=0.00567&amp;sourceID=14","0.00567")</f>
        <v>0.00567</v>
      </c>
    </row>
    <row r="7293" spans="1:7">
      <c r="A7293" s="3"/>
      <c r="B7293" s="3"/>
      <c r="C7293" s="3"/>
      <c r="D7293" s="3"/>
      <c r="E7293" s="3">
        <v>10</v>
      </c>
      <c r="F7293" s="4" t="str">
        <f>HYPERLINK("http://141.218.60.56/~jnz1568/getInfo.php?workbook=14_09.xlsx&amp;sheet=U0&amp;row=7293&amp;col=6&amp;number=3.9&amp;sourceID=14","3.9")</f>
        <v>3.9</v>
      </c>
      <c r="G7293" s="4" t="str">
        <f>HYPERLINK("http://141.218.60.56/~jnz1568/getInfo.php?workbook=14_09.xlsx&amp;sheet=U0&amp;row=7293&amp;col=7&amp;number=0.00565&amp;sourceID=14","0.00565")</f>
        <v>0.00565</v>
      </c>
    </row>
    <row r="7294" spans="1:7">
      <c r="A7294" s="3"/>
      <c r="B7294" s="3"/>
      <c r="C7294" s="3"/>
      <c r="D7294" s="3"/>
      <c r="E7294" s="3">
        <v>11</v>
      </c>
      <c r="F7294" s="4" t="str">
        <f>HYPERLINK("http://141.218.60.56/~jnz1568/getInfo.php?workbook=14_09.xlsx&amp;sheet=U0&amp;row=7294&amp;col=6&amp;number=4&amp;sourceID=14","4")</f>
        <v>4</v>
      </c>
      <c r="G7294" s="4" t="str">
        <f>HYPERLINK("http://141.218.60.56/~jnz1568/getInfo.php?workbook=14_09.xlsx&amp;sheet=U0&amp;row=7294&amp;col=7&amp;number=0.00563&amp;sourceID=14","0.00563")</f>
        <v>0.00563</v>
      </c>
    </row>
    <row r="7295" spans="1:7">
      <c r="A7295" s="3"/>
      <c r="B7295" s="3"/>
      <c r="C7295" s="3"/>
      <c r="D7295" s="3"/>
      <c r="E7295" s="3">
        <v>12</v>
      </c>
      <c r="F7295" s="4" t="str">
        <f>HYPERLINK("http://141.218.60.56/~jnz1568/getInfo.php?workbook=14_09.xlsx&amp;sheet=U0&amp;row=7295&amp;col=6&amp;number=4.1&amp;sourceID=14","4.1")</f>
        <v>4.1</v>
      </c>
      <c r="G7295" s="4" t="str">
        <f>HYPERLINK("http://141.218.60.56/~jnz1568/getInfo.php?workbook=14_09.xlsx&amp;sheet=U0&amp;row=7295&amp;col=7&amp;number=0.00561&amp;sourceID=14","0.00561")</f>
        <v>0.00561</v>
      </c>
    </row>
    <row r="7296" spans="1:7">
      <c r="A7296" s="3"/>
      <c r="B7296" s="3"/>
      <c r="C7296" s="3"/>
      <c r="D7296" s="3"/>
      <c r="E7296" s="3">
        <v>13</v>
      </c>
      <c r="F7296" s="4" t="str">
        <f>HYPERLINK("http://141.218.60.56/~jnz1568/getInfo.php?workbook=14_09.xlsx&amp;sheet=U0&amp;row=7296&amp;col=6&amp;number=4.2&amp;sourceID=14","4.2")</f>
        <v>4.2</v>
      </c>
      <c r="G7296" s="4" t="str">
        <f>HYPERLINK("http://141.218.60.56/~jnz1568/getInfo.php?workbook=14_09.xlsx&amp;sheet=U0&amp;row=7296&amp;col=7&amp;number=0.00558&amp;sourceID=14","0.00558")</f>
        <v>0.00558</v>
      </c>
    </row>
    <row r="7297" spans="1:7">
      <c r="A7297" s="3"/>
      <c r="B7297" s="3"/>
      <c r="C7297" s="3"/>
      <c r="D7297" s="3"/>
      <c r="E7297" s="3">
        <v>14</v>
      </c>
      <c r="F7297" s="4" t="str">
        <f>HYPERLINK("http://141.218.60.56/~jnz1568/getInfo.php?workbook=14_09.xlsx&amp;sheet=U0&amp;row=7297&amp;col=6&amp;number=4.3&amp;sourceID=14","4.3")</f>
        <v>4.3</v>
      </c>
      <c r="G7297" s="4" t="str">
        <f>HYPERLINK("http://141.218.60.56/~jnz1568/getInfo.php?workbook=14_09.xlsx&amp;sheet=U0&amp;row=7297&amp;col=7&amp;number=0.00555&amp;sourceID=14","0.00555")</f>
        <v>0.00555</v>
      </c>
    </row>
    <row r="7298" spans="1:7">
      <c r="A7298" s="3"/>
      <c r="B7298" s="3"/>
      <c r="C7298" s="3"/>
      <c r="D7298" s="3"/>
      <c r="E7298" s="3">
        <v>15</v>
      </c>
      <c r="F7298" s="4" t="str">
        <f>HYPERLINK("http://141.218.60.56/~jnz1568/getInfo.php?workbook=14_09.xlsx&amp;sheet=U0&amp;row=7298&amp;col=6&amp;number=4.4&amp;sourceID=14","4.4")</f>
        <v>4.4</v>
      </c>
      <c r="G7298" s="4" t="str">
        <f>HYPERLINK("http://141.218.60.56/~jnz1568/getInfo.php?workbook=14_09.xlsx&amp;sheet=U0&amp;row=7298&amp;col=7&amp;number=0.00551&amp;sourceID=14","0.00551")</f>
        <v>0.00551</v>
      </c>
    </row>
    <row r="7299" spans="1:7">
      <c r="A7299" s="3"/>
      <c r="B7299" s="3"/>
      <c r="C7299" s="3"/>
      <c r="D7299" s="3"/>
      <c r="E7299" s="3">
        <v>16</v>
      </c>
      <c r="F7299" s="4" t="str">
        <f>HYPERLINK("http://141.218.60.56/~jnz1568/getInfo.php?workbook=14_09.xlsx&amp;sheet=U0&amp;row=7299&amp;col=6&amp;number=4.5&amp;sourceID=14","4.5")</f>
        <v>4.5</v>
      </c>
      <c r="G7299" s="4" t="str">
        <f>HYPERLINK("http://141.218.60.56/~jnz1568/getInfo.php?workbook=14_09.xlsx&amp;sheet=U0&amp;row=7299&amp;col=7&amp;number=0.00546&amp;sourceID=14","0.00546")</f>
        <v>0.00546</v>
      </c>
    </row>
    <row r="7300" spans="1:7">
      <c r="A7300" s="3"/>
      <c r="B7300" s="3"/>
      <c r="C7300" s="3"/>
      <c r="D7300" s="3"/>
      <c r="E7300" s="3">
        <v>17</v>
      </c>
      <c r="F7300" s="4" t="str">
        <f>HYPERLINK("http://141.218.60.56/~jnz1568/getInfo.php?workbook=14_09.xlsx&amp;sheet=U0&amp;row=7300&amp;col=6&amp;number=4.6&amp;sourceID=14","4.6")</f>
        <v>4.6</v>
      </c>
      <c r="G7300" s="4" t="str">
        <f>HYPERLINK("http://141.218.60.56/~jnz1568/getInfo.php?workbook=14_09.xlsx&amp;sheet=U0&amp;row=7300&amp;col=7&amp;number=0.00539&amp;sourceID=14","0.00539")</f>
        <v>0.00539</v>
      </c>
    </row>
    <row r="7301" spans="1:7">
      <c r="A7301" s="3"/>
      <c r="B7301" s="3"/>
      <c r="C7301" s="3"/>
      <c r="D7301" s="3"/>
      <c r="E7301" s="3">
        <v>18</v>
      </c>
      <c r="F7301" s="4" t="str">
        <f>HYPERLINK("http://141.218.60.56/~jnz1568/getInfo.php?workbook=14_09.xlsx&amp;sheet=U0&amp;row=7301&amp;col=6&amp;number=4.7&amp;sourceID=14","4.7")</f>
        <v>4.7</v>
      </c>
      <c r="G7301" s="4" t="str">
        <f>HYPERLINK("http://141.218.60.56/~jnz1568/getInfo.php?workbook=14_09.xlsx&amp;sheet=U0&amp;row=7301&amp;col=7&amp;number=0.00532&amp;sourceID=14","0.00532")</f>
        <v>0.00532</v>
      </c>
    </row>
    <row r="7302" spans="1:7">
      <c r="A7302" s="3"/>
      <c r="B7302" s="3"/>
      <c r="C7302" s="3"/>
      <c r="D7302" s="3"/>
      <c r="E7302" s="3">
        <v>19</v>
      </c>
      <c r="F7302" s="4" t="str">
        <f>HYPERLINK("http://141.218.60.56/~jnz1568/getInfo.php?workbook=14_09.xlsx&amp;sheet=U0&amp;row=7302&amp;col=6&amp;number=4.8&amp;sourceID=14","4.8")</f>
        <v>4.8</v>
      </c>
      <c r="G7302" s="4" t="str">
        <f>HYPERLINK("http://141.218.60.56/~jnz1568/getInfo.php?workbook=14_09.xlsx&amp;sheet=U0&amp;row=7302&amp;col=7&amp;number=0.00523&amp;sourceID=14","0.00523")</f>
        <v>0.00523</v>
      </c>
    </row>
    <row r="7303" spans="1:7">
      <c r="A7303" s="3"/>
      <c r="B7303" s="3"/>
      <c r="C7303" s="3"/>
      <c r="D7303" s="3"/>
      <c r="E7303" s="3">
        <v>20</v>
      </c>
      <c r="F7303" s="4" t="str">
        <f>HYPERLINK("http://141.218.60.56/~jnz1568/getInfo.php?workbook=14_09.xlsx&amp;sheet=U0&amp;row=7303&amp;col=6&amp;number=4.9&amp;sourceID=14","4.9")</f>
        <v>4.9</v>
      </c>
      <c r="G7303" s="4" t="str">
        <f>HYPERLINK("http://141.218.60.56/~jnz1568/getInfo.php?workbook=14_09.xlsx&amp;sheet=U0&amp;row=7303&amp;col=7&amp;number=0.00514&amp;sourceID=14","0.00514")</f>
        <v>0.00514</v>
      </c>
    </row>
    <row r="7304" spans="1:7">
      <c r="A7304" s="3">
        <v>14</v>
      </c>
      <c r="B7304" s="3">
        <v>9</v>
      </c>
      <c r="C7304" s="3">
        <v>2</v>
      </c>
      <c r="D7304" s="3">
        <v>174</v>
      </c>
      <c r="E7304" s="3">
        <v>1</v>
      </c>
      <c r="F7304" s="4" t="str">
        <f>HYPERLINK("http://141.218.60.56/~jnz1568/getInfo.php?workbook=14_09.xlsx&amp;sheet=U0&amp;row=7304&amp;col=6&amp;number=3&amp;sourceID=14","3")</f>
        <v>3</v>
      </c>
      <c r="G7304" s="4" t="str">
        <f>HYPERLINK("http://141.218.60.56/~jnz1568/getInfo.php?workbook=14_09.xlsx&amp;sheet=U0&amp;row=7304&amp;col=7&amp;number=0.00582&amp;sourceID=14","0.00582")</f>
        <v>0.00582</v>
      </c>
    </row>
    <row r="7305" spans="1:7">
      <c r="A7305" s="3"/>
      <c r="B7305" s="3"/>
      <c r="C7305" s="3"/>
      <c r="D7305" s="3"/>
      <c r="E7305" s="3">
        <v>2</v>
      </c>
      <c r="F7305" s="4" t="str">
        <f>HYPERLINK("http://141.218.60.56/~jnz1568/getInfo.php?workbook=14_09.xlsx&amp;sheet=U0&amp;row=7305&amp;col=6&amp;number=3.1&amp;sourceID=14","3.1")</f>
        <v>3.1</v>
      </c>
      <c r="G7305" s="4" t="str">
        <f>HYPERLINK("http://141.218.60.56/~jnz1568/getInfo.php?workbook=14_09.xlsx&amp;sheet=U0&amp;row=7305&amp;col=7&amp;number=0.00581&amp;sourceID=14","0.00581")</f>
        <v>0.00581</v>
      </c>
    </row>
    <row r="7306" spans="1:7">
      <c r="A7306" s="3"/>
      <c r="B7306" s="3"/>
      <c r="C7306" s="3"/>
      <c r="D7306" s="3"/>
      <c r="E7306" s="3">
        <v>3</v>
      </c>
      <c r="F7306" s="4" t="str">
        <f>HYPERLINK("http://141.218.60.56/~jnz1568/getInfo.php?workbook=14_09.xlsx&amp;sheet=U0&amp;row=7306&amp;col=6&amp;number=3.2&amp;sourceID=14","3.2")</f>
        <v>3.2</v>
      </c>
      <c r="G7306" s="4" t="str">
        <f>HYPERLINK("http://141.218.60.56/~jnz1568/getInfo.php?workbook=14_09.xlsx&amp;sheet=U0&amp;row=7306&amp;col=7&amp;number=0.00581&amp;sourceID=14","0.00581")</f>
        <v>0.00581</v>
      </c>
    </row>
    <row r="7307" spans="1:7">
      <c r="A7307" s="3"/>
      <c r="B7307" s="3"/>
      <c r="C7307" s="3"/>
      <c r="D7307" s="3"/>
      <c r="E7307" s="3">
        <v>4</v>
      </c>
      <c r="F7307" s="4" t="str">
        <f>HYPERLINK("http://141.218.60.56/~jnz1568/getInfo.php?workbook=14_09.xlsx&amp;sheet=U0&amp;row=7307&amp;col=6&amp;number=3.3&amp;sourceID=14","3.3")</f>
        <v>3.3</v>
      </c>
      <c r="G7307" s="4" t="str">
        <f>HYPERLINK("http://141.218.60.56/~jnz1568/getInfo.php?workbook=14_09.xlsx&amp;sheet=U0&amp;row=7307&amp;col=7&amp;number=0.0058&amp;sourceID=14","0.0058")</f>
        <v>0.0058</v>
      </c>
    </row>
    <row r="7308" spans="1:7">
      <c r="A7308" s="3"/>
      <c r="B7308" s="3"/>
      <c r="C7308" s="3"/>
      <c r="D7308" s="3"/>
      <c r="E7308" s="3">
        <v>5</v>
      </c>
      <c r="F7308" s="4" t="str">
        <f>HYPERLINK("http://141.218.60.56/~jnz1568/getInfo.php?workbook=14_09.xlsx&amp;sheet=U0&amp;row=7308&amp;col=6&amp;number=3.4&amp;sourceID=14","3.4")</f>
        <v>3.4</v>
      </c>
      <c r="G7308" s="4" t="str">
        <f>HYPERLINK("http://141.218.60.56/~jnz1568/getInfo.php?workbook=14_09.xlsx&amp;sheet=U0&amp;row=7308&amp;col=7&amp;number=0.00579&amp;sourceID=14","0.00579")</f>
        <v>0.00579</v>
      </c>
    </row>
    <row r="7309" spans="1:7">
      <c r="A7309" s="3"/>
      <c r="B7309" s="3"/>
      <c r="C7309" s="3"/>
      <c r="D7309" s="3"/>
      <c r="E7309" s="3">
        <v>6</v>
      </c>
      <c r="F7309" s="4" t="str">
        <f>HYPERLINK("http://141.218.60.56/~jnz1568/getInfo.php?workbook=14_09.xlsx&amp;sheet=U0&amp;row=7309&amp;col=6&amp;number=3.5&amp;sourceID=14","3.5")</f>
        <v>3.5</v>
      </c>
      <c r="G7309" s="4" t="str">
        <f>HYPERLINK("http://141.218.60.56/~jnz1568/getInfo.php?workbook=14_09.xlsx&amp;sheet=U0&amp;row=7309&amp;col=7&amp;number=0.00578&amp;sourceID=14","0.00578")</f>
        <v>0.00578</v>
      </c>
    </row>
    <row r="7310" spans="1:7">
      <c r="A7310" s="3"/>
      <c r="B7310" s="3"/>
      <c r="C7310" s="3"/>
      <c r="D7310" s="3"/>
      <c r="E7310" s="3">
        <v>7</v>
      </c>
      <c r="F7310" s="4" t="str">
        <f>HYPERLINK("http://141.218.60.56/~jnz1568/getInfo.php?workbook=14_09.xlsx&amp;sheet=U0&amp;row=7310&amp;col=6&amp;number=3.6&amp;sourceID=14","3.6")</f>
        <v>3.6</v>
      </c>
      <c r="G7310" s="4" t="str">
        <f>HYPERLINK("http://141.218.60.56/~jnz1568/getInfo.php?workbook=14_09.xlsx&amp;sheet=U0&amp;row=7310&amp;col=7&amp;number=0.00577&amp;sourceID=14","0.00577")</f>
        <v>0.00577</v>
      </c>
    </row>
    <row r="7311" spans="1:7">
      <c r="A7311" s="3"/>
      <c r="B7311" s="3"/>
      <c r="C7311" s="3"/>
      <c r="D7311" s="3"/>
      <c r="E7311" s="3">
        <v>8</v>
      </c>
      <c r="F7311" s="4" t="str">
        <f>HYPERLINK("http://141.218.60.56/~jnz1568/getInfo.php?workbook=14_09.xlsx&amp;sheet=U0&amp;row=7311&amp;col=6&amp;number=3.7&amp;sourceID=14","3.7")</f>
        <v>3.7</v>
      </c>
      <c r="G7311" s="4" t="str">
        <f>HYPERLINK("http://141.218.60.56/~jnz1568/getInfo.php?workbook=14_09.xlsx&amp;sheet=U0&amp;row=7311&amp;col=7&amp;number=0.00576&amp;sourceID=14","0.00576")</f>
        <v>0.00576</v>
      </c>
    </row>
    <row r="7312" spans="1:7">
      <c r="A7312" s="3"/>
      <c r="B7312" s="3"/>
      <c r="C7312" s="3"/>
      <c r="D7312" s="3"/>
      <c r="E7312" s="3">
        <v>9</v>
      </c>
      <c r="F7312" s="4" t="str">
        <f>HYPERLINK("http://141.218.60.56/~jnz1568/getInfo.php?workbook=14_09.xlsx&amp;sheet=U0&amp;row=7312&amp;col=6&amp;number=3.8&amp;sourceID=14","3.8")</f>
        <v>3.8</v>
      </c>
      <c r="G7312" s="4" t="str">
        <f>HYPERLINK("http://141.218.60.56/~jnz1568/getInfo.php?workbook=14_09.xlsx&amp;sheet=U0&amp;row=7312&amp;col=7&amp;number=0.00574&amp;sourceID=14","0.00574")</f>
        <v>0.00574</v>
      </c>
    </row>
    <row r="7313" spans="1:7">
      <c r="A7313" s="3"/>
      <c r="B7313" s="3"/>
      <c r="C7313" s="3"/>
      <c r="D7313" s="3"/>
      <c r="E7313" s="3">
        <v>10</v>
      </c>
      <c r="F7313" s="4" t="str">
        <f>HYPERLINK("http://141.218.60.56/~jnz1568/getInfo.php?workbook=14_09.xlsx&amp;sheet=U0&amp;row=7313&amp;col=6&amp;number=3.9&amp;sourceID=14","3.9")</f>
        <v>3.9</v>
      </c>
      <c r="G7313" s="4" t="str">
        <f>HYPERLINK("http://141.218.60.56/~jnz1568/getInfo.php?workbook=14_09.xlsx&amp;sheet=U0&amp;row=7313&amp;col=7&amp;number=0.00571&amp;sourceID=14","0.00571")</f>
        <v>0.00571</v>
      </c>
    </row>
    <row r="7314" spans="1:7">
      <c r="A7314" s="3"/>
      <c r="B7314" s="3"/>
      <c r="C7314" s="3"/>
      <c r="D7314" s="3"/>
      <c r="E7314" s="3">
        <v>11</v>
      </c>
      <c r="F7314" s="4" t="str">
        <f>HYPERLINK("http://141.218.60.56/~jnz1568/getInfo.php?workbook=14_09.xlsx&amp;sheet=U0&amp;row=7314&amp;col=6&amp;number=4&amp;sourceID=14","4")</f>
        <v>4</v>
      </c>
      <c r="G7314" s="4" t="str">
        <f>HYPERLINK("http://141.218.60.56/~jnz1568/getInfo.php?workbook=14_09.xlsx&amp;sheet=U0&amp;row=7314&amp;col=7&amp;number=0.00568&amp;sourceID=14","0.00568")</f>
        <v>0.00568</v>
      </c>
    </row>
    <row r="7315" spans="1:7">
      <c r="A7315" s="3"/>
      <c r="B7315" s="3"/>
      <c r="C7315" s="3"/>
      <c r="D7315" s="3"/>
      <c r="E7315" s="3">
        <v>12</v>
      </c>
      <c r="F7315" s="4" t="str">
        <f>HYPERLINK("http://141.218.60.56/~jnz1568/getInfo.php?workbook=14_09.xlsx&amp;sheet=U0&amp;row=7315&amp;col=6&amp;number=4.1&amp;sourceID=14","4.1")</f>
        <v>4.1</v>
      </c>
      <c r="G7315" s="4" t="str">
        <f>HYPERLINK("http://141.218.60.56/~jnz1568/getInfo.php?workbook=14_09.xlsx&amp;sheet=U0&amp;row=7315&amp;col=7&amp;number=0.00565&amp;sourceID=14","0.00565")</f>
        <v>0.00565</v>
      </c>
    </row>
    <row r="7316" spans="1:7">
      <c r="A7316" s="3"/>
      <c r="B7316" s="3"/>
      <c r="C7316" s="3"/>
      <c r="D7316" s="3"/>
      <c r="E7316" s="3">
        <v>13</v>
      </c>
      <c r="F7316" s="4" t="str">
        <f>HYPERLINK("http://141.218.60.56/~jnz1568/getInfo.php?workbook=14_09.xlsx&amp;sheet=U0&amp;row=7316&amp;col=6&amp;number=4.2&amp;sourceID=14","4.2")</f>
        <v>4.2</v>
      </c>
      <c r="G7316" s="4" t="str">
        <f>HYPERLINK("http://141.218.60.56/~jnz1568/getInfo.php?workbook=14_09.xlsx&amp;sheet=U0&amp;row=7316&amp;col=7&amp;number=0.0056&amp;sourceID=14","0.0056")</f>
        <v>0.0056</v>
      </c>
    </row>
    <row r="7317" spans="1:7">
      <c r="A7317" s="3"/>
      <c r="B7317" s="3"/>
      <c r="C7317" s="3"/>
      <c r="D7317" s="3"/>
      <c r="E7317" s="3">
        <v>14</v>
      </c>
      <c r="F7317" s="4" t="str">
        <f>HYPERLINK("http://141.218.60.56/~jnz1568/getInfo.php?workbook=14_09.xlsx&amp;sheet=U0&amp;row=7317&amp;col=6&amp;number=4.3&amp;sourceID=14","4.3")</f>
        <v>4.3</v>
      </c>
      <c r="G7317" s="4" t="str">
        <f>HYPERLINK("http://141.218.60.56/~jnz1568/getInfo.php?workbook=14_09.xlsx&amp;sheet=U0&amp;row=7317&amp;col=7&amp;number=0.00555&amp;sourceID=14","0.00555")</f>
        <v>0.00555</v>
      </c>
    </row>
    <row r="7318" spans="1:7">
      <c r="A7318" s="3"/>
      <c r="B7318" s="3"/>
      <c r="C7318" s="3"/>
      <c r="D7318" s="3"/>
      <c r="E7318" s="3">
        <v>15</v>
      </c>
      <c r="F7318" s="4" t="str">
        <f>HYPERLINK("http://141.218.60.56/~jnz1568/getInfo.php?workbook=14_09.xlsx&amp;sheet=U0&amp;row=7318&amp;col=6&amp;number=4.4&amp;sourceID=14","4.4")</f>
        <v>4.4</v>
      </c>
      <c r="G7318" s="4" t="str">
        <f>HYPERLINK("http://141.218.60.56/~jnz1568/getInfo.php?workbook=14_09.xlsx&amp;sheet=U0&amp;row=7318&amp;col=7&amp;number=0.00548&amp;sourceID=14","0.00548")</f>
        <v>0.00548</v>
      </c>
    </row>
    <row r="7319" spans="1:7">
      <c r="A7319" s="3"/>
      <c r="B7319" s="3"/>
      <c r="C7319" s="3"/>
      <c r="D7319" s="3"/>
      <c r="E7319" s="3">
        <v>16</v>
      </c>
      <c r="F7319" s="4" t="str">
        <f>HYPERLINK("http://141.218.60.56/~jnz1568/getInfo.php?workbook=14_09.xlsx&amp;sheet=U0&amp;row=7319&amp;col=6&amp;number=4.5&amp;sourceID=14","4.5")</f>
        <v>4.5</v>
      </c>
      <c r="G7319" s="4" t="str">
        <f>HYPERLINK("http://141.218.60.56/~jnz1568/getInfo.php?workbook=14_09.xlsx&amp;sheet=U0&amp;row=7319&amp;col=7&amp;number=0.00541&amp;sourceID=14","0.00541")</f>
        <v>0.00541</v>
      </c>
    </row>
    <row r="7320" spans="1:7">
      <c r="A7320" s="3"/>
      <c r="B7320" s="3"/>
      <c r="C7320" s="3"/>
      <c r="D7320" s="3"/>
      <c r="E7320" s="3">
        <v>17</v>
      </c>
      <c r="F7320" s="4" t="str">
        <f>HYPERLINK("http://141.218.60.56/~jnz1568/getInfo.php?workbook=14_09.xlsx&amp;sheet=U0&amp;row=7320&amp;col=6&amp;number=4.6&amp;sourceID=14","4.6")</f>
        <v>4.6</v>
      </c>
      <c r="G7320" s="4" t="str">
        <f>HYPERLINK("http://141.218.60.56/~jnz1568/getInfo.php?workbook=14_09.xlsx&amp;sheet=U0&amp;row=7320&amp;col=7&amp;number=0.00532&amp;sourceID=14","0.00532")</f>
        <v>0.00532</v>
      </c>
    </row>
    <row r="7321" spans="1:7">
      <c r="A7321" s="3"/>
      <c r="B7321" s="3"/>
      <c r="C7321" s="3"/>
      <c r="D7321" s="3"/>
      <c r="E7321" s="3">
        <v>18</v>
      </c>
      <c r="F7321" s="4" t="str">
        <f>HYPERLINK("http://141.218.60.56/~jnz1568/getInfo.php?workbook=14_09.xlsx&amp;sheet=U0&amp;row=7321&amp;col=6&amp;number=4.7&amp;sourceID=14","4.7")</f>
        <v>4.7</v>
      </c>
      <c r="G7321" s="4" t="str">
        <f>HYPERLINK("http://141.218.60.56/~jnz1568/getInfo.php?workbook=14_09.xlsx&amp;sheet=U0&amp;row=7321&amp;col=7&amp;number=0.00522&amp;sourceID=14","0.00522")</f>
        <v>0.00522</v>
      </c>
    </row>
    <row r="7322" spans="1:7">
      <c r="A7322" s="3"/>
      <c r="B7322" s="3"/>
      <c r="C7322" s="3"/>
      <c r="D7322" s="3"/>
      <c r="E7322" s="3">
        <v>19</v>
      </c>
      <c r="F7322" s="4" t="str">
        <f>HYPERLINK("http://141.218.60.56/~jnz1568/getInfo.php?workbook=14_09.xlsx&amp;sheet=U0&amp;row=7322&amp;col=6&amp;number=4.8&amp;sourceID=14","4.8")</f>
        <v>4.8</v>
      </c>
      <c r="G7322" s="4" t="str">
        <f>HYPERLINK("http://141.218.60.56/~jnz1568/getInfo.php?workbook=14_09.xlsx&amp;sheet=U0&amp;row=7322&amp;col=7&amp;number=0.00513&amp;sourceID=14","0.00513")</f>
        <v>0.00513</v>
      </c>
    </row>
    <row r="7323" spans="1:7">
      <c r="A7323" s="3"/>
      <c r="B7323" s="3"/>
      <c r="C7323" s="3"/>
      <c r="D7323" s="3"/>
      <c r="E7323" s="3">
        <v>20</v>
      </c>
      <c r="F7323" s="4" t="str">
        <f>HYPERLINK("http://141.218.60.56/~jnz1568/getInfo.php?workbook=14_09.xlsx&amp;sheet=U0&amp;row=7323&amp;col=6&amp;number=4.9&amp;sourceID=14","4.9")</f>
        <v>4.9</v>
      </c>
      <c r="G7323" s="4" t="str">
        <f>HYPERLINK("http://141.218.60.56/~jnz1568/getInfo.php?workbook=14_09.xlsx&amp;sheet=U0&amp;row=7323&amp;col=7&amp;number=0.00505&amp;sourceID=14","0.00505")</f>
        <v>0.00505</v>
      </c>
    </row>
    <row r="7324" spans="1:7">
      <c r="A7324" s="3">
        <v>14</v>
      </c>
      <c r="B7324" s="3">
        <v>9</v>
      </c>
      <c r="C7324" s="3">
        <v>2</v>
      </c>
      <c r="D7324" s="3">
        <v>175</v>
      </c>
      <c r="E7324" s="3">
        <v>1</v>
      </c>
      <c r="F7324" s="4" t="str">
        <f>HYPERLINK("http://141.218.60.56/~jnz1568/getInfo.php?workbook=14_09.xlsx&amp;sheet=U0&amp;row=7324&amp;col=6&amp;number=3&amp;sourceID=14","3")</f>
        <v>3</v>
      </c>
      <c r="G7324" s="4" t="str">
        <f>HYPERLINK("http://141.218.60.56/~jnz1568/getInfo.php?workbook=14_09.xlsx&amp;sheet=U0&amp;row=7324&amp;col=7&amp;number=0.000811&amp;sourceID=14","0.000811")</f>
        <v>0.000811</v>
      </c>
    </row>
    <row r="7325" spans="1:7">
      <c r="A7325" s="3"/>
      <c r="B7325" s="3"/>
      <c r="C7325" s="3"/>
      <c r="D7325" s="3"/>
      <c r="E7325" s="3">
        <v>2</v>
      </c>
      <c r="F7325" s="4" t="str">
        <f>HYPERLINK("http://141.218.60.56/~jnz1568/getInfo.php?workbook=14_09.xlsx&amp;sheet=U0&amp;row=7325&amp;col=6&amp;number=3.1&amp;sourceID=14","3.1")</f>
        <v>3.1</v>
      </c>
      <c r="G7325" s="4" t="str">
        <f>HYPERLINK("http://141.218.60.56/~jnz1568/getInfo.php?workbook=14_09.xlsx&amp;sheet=U0&amp;row=7325&amp;col=7&amp;number=0.000809&amp;sourceID=14","0.000809")</f>
        <v>0.000809</v>
      </c>
    </row>
    <row r="7326" spans="1:7">
      <c r="A7326" s="3"/>
      <c r="B7326" s="3"/>
      <c r="C7326" s="3"/>
      <c r="D7326" s="3"/>
      <c r="E7326" s="3">
        <v>3</v>
      </c>
      <c r="F7326" s="4" t="str">
        <f>HYPERLINK("http://141.218.60.56/~jnz1568/getInfo.php?workbook=14_09.xlsx&amp;sheet=U0&amp;row=7326&amp;col=6&amp;number=3.2&amp;sourceID=14","3.2")</f>
        <v>3.2</v>
      </c>
      <c r="G7326" s="4" t="str">
        <f>HYPERLINK("http://141.218.60.56/~jnz1568/getInfo.php?workbook=14_09.xlsx&amp;sheet=U0&amp;row=7326&amp;col=7&amp;number=0.000807&amp;sourceID=14","0.000807")</f>
        <v>0.000807</v>
      </c>
    </row>
    <row r="7327" spans="1:7">
      <c r="A7327" s="3"/>
      <c r="B7327" s="3"/>
      <c r="C7327" s="3"/>
      <c r="D7327" s="3"/>
      <c r="E7327" s="3">
        <v>4</v>
      </c>
      <c r="F7327" s="4" t="str">
        <f>HYPERLINK("http://141.218.60.56/~jnz1568/getInfo.php?workbook=14_09.xlsx&amp;sheet=U0&amp;row=7327&amp;col=6&amp;number=3.3&amp;sourceID=14","3.3")</f>
        <v>3.3</v>
      </c>
      <c r="G7327" s="4" t="str">
        <f>HYPERLINK("http://141.218.60.56/~jnz1568/getInfo.php?workbook=14_09.xlsx&amp;sheet=U0&amp;row=7327&amp;col=7&amp;number=0.000805&amp;sourceID=14","0.000805")</f>
        <v>0.000805</v>
      </c>
    </row>
    <row r="7328" spans="1:7">
      <c r="A7328" s="3"/>
      <c r="B7328" s="3"/>
      <c r="C7328" s="3"/>
      <c r="D7328" s="3"/>
      <c r="E7328" s="3">
        <v>5</v>
      </c>
      <c r="F7328" s="4" t="str">
        <f>HYPERLINK("http://141.218.60.56/~jnz1568/getInfo.php?workbook=14_09.xlsx&amp;sheet=U0&amp;row=7328&amp;col=6&amp;number=3.4&amp;sourceID=14","3.4")</f>
        <v>3.4</v>
      </c>
      <c r="G7328" s="4" t="str">
        <f>HYPERLINK("http://141.218.60.56/~jnz1568/getInfo.php?workbook=14_09.xlsx&amp;sheet=U0&amp;row=7328&amp;col=7&amp;number=0.000802&amp;sourceID=14","0.000802")</f>
        <v>0.000802</v>
      </c>
    </row>
    <row r="7329" spans="1:7">
      <c r="A7329" s="3"/>
      <c r="B7329" s="3"/>
      <c r="C7329" s="3"/>
      <c r="D7329" s="3"/>
      <c r="E7329" s="3">
        <v>6</v>
      </c>
      <c r="F7329" s="4" t="str">
        <f>HYPERLINK("http://141.218.60.56/~jnz1568/getInfo.php?workbook=14_09.xlsx&amp;sheet=U0&amp;row=7329&amp;col=6&amp;number=3.5&amp;sourceID=14","3.5")</f>
        <v>3.5</v>
      </c>
      <c r="G7329" s="4" t="str">
        <f>HYPERLINK("http://141.218.60.56/~jnz1568/getInfo.php?workbook=14_09.xlsx&amp;sheet=U0&amp;row=7329&amp;col=7&amp;number=0.000798&amp;sourceID=14","0.000798")</f>
        <v>0.000798</v>
      </c>
    </row>
    <row r="7330" spans="1:7">
      <c r="A7330" s="3"/>
      <c r="B7330" s="3"/>
      <c r="C7330" s="3"/>
      <c r="D7330" s="3"/>
      <c r="E7330" s="3">
        <v>7</v>
      </c>
      <c r="F7330" s="4" t="str">
        <f>HYPERLINK("http://141.218.60.56/~jnz1568/getInfo.php?workbook=14_09.xlsx&amp;sheet=U0&amp;row=7330&amp;col=6&amp;number=3.6&amp;sourceID=14","3.6")</f>
        <v>3.6</v>
      </c>
      <c r="G7330" s="4" t="str">
        <f>HYPERLINK("http://141.218.60.56/~jnz1568/getInfo.php?workbook=14_09.xlsx&amp;sheet=U0&amp;row=7330&amp;col=7&amp;number=0.000793&amp;sourceID=14","0.000793")</f>
        <v>0.000793</v>
      </c>
    </row>
    <row r="7331" spans="1:7">
      <c r="A7331" s="3"/>
      <c r="B7331" s="3"/>
      <c r="C7331" s="3"/>
      <c r="D7331" s="3"/>
      <c r="E7331" s="3">
        <v>8</v>
      </c>
      <c r="F7331" s="4" t="str">
        <f>HYPERLINK("http://141.218.60.56/~jnz1568/getInfo.php?workbook=14_09.xlsx&amp;sheet=U0&amp;row=7331&amp;col=6&amp;number=3.7&amp;sourceID=14","3.7")</f>
        <v>3.7</v>
      </c>
      <c r="G7331" s="4" t="str">
        <f>HYPERLINK("http://141.218.60.56/~jnz1568/getInfo.php?workbook=14_09.xlsx&amp;sheet=U0&amp;row=7331&amp;col=7&amp;number=0.000787&amp;sourceID=14","0.000787")</f>
        <v>0.000787</v>
      </c>
    </row>
    <row r="7332" spans="1:7">
      <c r="A7332" s="3"/>
      <c r="B7332" s="3"/>
      <c r="C7332" s="3"/>
      <c r="D7332" s="3"/>
      <c r="E7332" s="3">
        <v>9</v>
      </c>
      <c r="F7332" s="4" t="str">
        <f>HYPERLINK("http://141.218.60.56/~jnz1568/getInfo.php?workbook=14_09.xlsx&amp;sheet=U0&amp;row=7332&amp;col=6&amp;number=3.8&amp;sourceID=14","3.8")</f>
        <v>3.8</v>
      </c>
      <c r="G7332" s="4" t="str">
        <f>HYPERLINK("http://141.218.60.56/~jnz1568/getInfo.php?workbook=14_09.xlsx&amp;sheet=U0&amp;row=7332&amp;col=7&amp;number=0.00078&amp;sourceID=14","0.00078")</f>
        <v>0.00078</v>
      </c>
    </row>
    <row r="7333" spans="1:7">
      <c r="A7333" s="3"/>
      <c r="B7333" s="3"/>
      <c r="C7333" s="3"/>
      <c r="D7333" s="3"/>
      <c r="E7333" s="3">
        <v>10</v>
      </c>
      <c r="F7333" s="4" t="str">
        <f>HYPERLINK("http://141.218.60.56/~jnz1568/getInfo.php?workbook=14_09.xlsx&amp;sheet=U0&amp;row=7333&amp;col=6&amp;number=3.9&amp;sourceID=14","3.9")</f>
        <v>3.9</v>
      </c>
      <c r="G7333" s="4" t="str">
        <f>HYPERLINK("http://141.218.60.56/~jnz1568/getInfo.php?workbook=14_09.xlsx&amp;sheet=U0&amp;row=7333&amp;col=7&amp;number=0.000771&amp;sourceID=14","0.000771")</f>
        <v>0.000771</v>
      </c>
    </row>
    <row r="7334" spans="1:7">
      <c r="A7334" s="3"/>
      <c r="B7334" s="3"/>
      <c r="C7334" s="3"/>
      <c r="D7334" s="3"/>
      <c r="E7334" s="3">
        <v>11</v>
      </c>
      <c r="F7334" s="4" t="str">
        <f>HYPERLINK("http://141.218.60.56/~jnz1568/getInfo.php?workbook=14_09.xlsx&amp;sheet=U0&amp;row=7334&amp;col=6&amp;number=4&amp;sourceID=14","4")</f>
        <v>4</v>
      </c>
      <c r="G7334" s="4" t="str">
        <f>HYPERLINK("http://141.218.60.56/~jnz1568/getInfo.php?workbook=14_09.xlsx&amp;sheet=U0&amp;row=7334&amp;col=7&amp;number=0.000759&amp;sourceID=14","0.000759")</f>
        <v>0.000759</v>
      </c>
    </row>
    <row r="7335" spans="1:7">
      <c r="A7335" s="3"/>
      <c r="B7335" s="3"/>
      <c r="C7335" s="3"/>
      <c r="D7335" s="3"/>
      <c r="E7335" s="3">
        <v>12</v>
      </c>
      <c r="F7335" s="4" t="str">
        <f>HYPERLINK("http://141.218.60.56/~jnz1568/getInfo.php?workbook=14_09.xlsx&amp;sheet=U0&amp;row=7335&amp;col=6&amp;number=4.1&amp;sourceID=14","4.1")</f>
        <v>4.1</v>
      </c>
      <c r="G7335" s="4" t="str">
        <f>HYPERLINK("http://141.218.60.56/~jnz1568/getInfo.php?workbook=14_09.xlsx&amp;sheet=U0&amp;row=7335&amp;col=7&amp;number=0.000745&amp;sourceID=14","0.000745")</f>
        <v>0.000745</v>
      </c>
    </row>
    <row r="7336" spans="1:7">
      <c r="A7336" s="3"/>
      <c r="B7336" s="3"/>
      <c r="C7336" s="3"/>
      <c r="D7336" s="3"/>
      <c r="E7336" s="3">
        <v>13</v>
      </c>
      <c r="F7336" s="4" t="str">
        <f>HYPERLINK("http://141.218.60.56/~jnz1568/getInfo.php?workbook=14_09.xlsx&amp;sheet=U0&amp;row=7336&amp;col=6&amp;number=4.2&amp;sourceID=14","4.2")</f>
        <v>4.2</v>
      </c>
      <c r="G7336" s="4" t="str">
        <f>HYPERLINK("http://141.218.60.56/~jnz1568/getInfo.php?workbook=14_09.xlsx&amp;sheet=U0&amp;row=7336&amp;col=7&amp;number=0.000727&amp;sourceID=14","0.000727")</f>
        <v>0.000727</v>
      </c>
    </row>
    <row r="7337" spans="1:7">
      <c r="A7337" s="3"/>
      <c r="B7337" s="3"/>
      <c r="C7337" s="3"/>
      <c r="D7337" s="3"/>
      <c r="E7337" s="3">
        <v>14</v>
      </c>
      <c r="F7337" s="4" t="str">
        <f>HYPERLINK("http://141.218.60.56/~jnz1568/getInfo.php?workbook=14_09.xlsx&amp;sheet=U0&amp;row=7337&amp;col=6&amp;number=4.3&amp;sourceID=14","4.3")</f>
        <v>4.3</v>
      </c>
      <c r="G7337" s="4" t="str">
        <f>HYPERLINK("http://141.218.60.56/~jnz1568/getInfo.php?workbook=14_09.xlsx&amp;sheet=U0&amp;row=7337&amp;col=7&amp;number=0.000706&amp;sourceID=14","0.000706")</f>
        <v>0.000706</v>
      </c>
    </row>
    <row r="7338" spans="1:7">
      <c r="A7338" s="3"/>
      <c r="B7338" s="3"/>
      <c r="C7338" s="3"/>
      <c r="D7338" s="3"/>
      <c r="E7338" s="3">
        <v>15</v>
      </c>
      <c r="F7338" s="4" t="str">
        <f>HYPERLINK("http://141.218.60.56/~jnz1568/getInfo.php?workbook=14_09.xlsx&amp;sheet=U0&amp;row=7338&amp;col=6&amp;number=4.4&amp;sourceID=14","4.4")</f>
        <v>4.4</v>
      </c>
      <c r="G7338" s="4" t="str">
        <f>HYPERLINK("http://141.218.60.56/~jnz1568/getInfo.php?workbook=14_09.xlsx&amp;sheet=U0&amp;row=7338&amp;col=7&amp;number=0.00068&amp;sourceID=14","0.00068")</f>
        <v>0.00068</v>
      </c>
    </row>
    <row r="7339" spans="1:7">
      <c r="A7339" s="3"/>
      <c r="B7339" s="3"/>
      <c r="C7339" s="3"/>
      <c r="D7339" s="3"/>
      <c r="E7339" s="3">
        <v>16</v>
      </c>
      <c r="F7339" s="4" t="str">
        <f>HYPERLINK("http://141.218.60.56/~jnz1568/getInfo.php?workbook=14_09.xlsx&amp;sheet=U0&amp;row=7339&amp;col=6&amp;number=4.5&amp;sourceID=14","4.5")</f>
        <v>4.5</v>
      </c>
      <c r="G7339" s="4" t="str">
        <f>HYPERLINK("http://141.218.60.56/~jnz1568/getInfo.php?workbook=14_09.xlsx&amp;sheet=U0&amp;row=7339&amp;col=7&amp;number=0.000649&amp;sourceID=14","0.000649")</f>
        <v>0.000649</v>
      </c>
    </row>
    <row r="7340" spans="1:7">
      <c r="A7340" s="3"/>
      <c r="B7340" s="3"/>
      <c r="C7340" s="3"/>
      <c r="D7340" s="3"/>
      <c r="E7340" s="3">
        <v>17</v>
      </c>
      <c r="F7340" s="4" t="str">
        <f>HYPERLINK("http://141.218.60.56/~jnz1568/getInfo.php?workbook=14_09.xlsx&amp;sheet=U0&amp;row=7340&amp;col=6&amp;number=4.6&amp;sourceID=14","4.6")</f>
        <v>4.6</v>
      </c>
      <c r="G7340" s="4" t="str">
        <f>HYPERLINK("http://141.218.60.56/~jnz1568/getInfo.php?workbook=14_09.xlsx&amp;sheet=U0&amp;row=7340&amp;col=7&amp;number=0.000614&amp;sourceID=14","0.000614")</f>
        <v>0.000614</v>
      </c>
    </row>
    <row r="7341" spans="1:7">
      <c r="A7341" s="3"/>
      <c r="B7341" s="3"/>
      <c r="C7341" s="3"/>
      <c r="D7341" s="3"/>
      <c r="E7341" s="3">
        <v>18</v>
      </c>
      <c r="F7341" s="4" t="str">
        <f>HYPERLINK("http://141.218.60.56/~jnz1568/getInfo.php?workbook=14_09.xlsx&amp;sheet=U0&amp;row=7341&amp;col=6&amp;number=4.7&amp;sourceID=14","4.7")</f>
        <v>4.7</v>
      </c>
      <c r="G7341" s="4" t="str">
        <f>HYPERLINK("http://141.218.60.56/~jnz1568/getInfo.php?workbook=14_09.xlsx&amp;sheet=U0&amp;row=7341&amp;col=7&amp;number=0.000574&amp;sourceID=14","0.000574")</f>
        <v>0.000574</v>
      </c>
    </row>
    <row r="7342" spans="1:7">
      <c r="A7342" s="3"/>
      <c r="B7342" s="3"/>
      <c r="C7342" s="3"/>
      <c r="D7342" s="3"/>
      <c r="E7342" s="3">
        <v>19</v>
      </c>
      <c r="F7342" s="4" t="str">
        <f>HYPERLINK("http://141.218.60.56/~jnz1568/getInfo.php?workbook=14_09.xlsx&amp;sheet=U0&amp;row=7342&amp;col=6&amp;number=4.8&amp;sourceID=14","4.8")</f>
        <v>4.8</v>
      </c>
      <c r="G7342" s="4" t="str">
        <f>HYPERLINK("http://141.218.60.56/~jnz1568/getInfo.php?workbook=14_09.xlsx&amp;sheet=U0&amp;row=7342&amp;col=7&amp;number=0.000534&amp;sourceID=14","0.000534")</f>
        <v>0.000534</v>
      </c>
    </row>
    <row r="7343" spans="1:7">
      <c r="A7343" s="3"/>
      <c r="B7343" s="3"/>
      <c r="C7343" s="3"/>
      <c r="D7343" s="3"/>
      <c r="E7343" s="3">
        <v>20</v>
      </c>
      <c r="F7343" s="4" t="str">
        <f>HYPERLINK("http://141.218.60.56/~jnz1568/getInfo.php?workbook=14_09.xlsx&amp;sheet=U0&amp;row=7343&amp;col=6&amp;number=4.9&amp;sourceID=14","4.9")</f>
        <v>4.9</v>
      </c>
      <c r="G7343" s="4" t="str">
        <f>HYPERLINK("http://141.218.60.56/~jnz1568/getInfo.php?workbook=14_09.xlsx&amp;sheet=U0&amp;row=7343&amp;col=7&amp;number=0.000496&amp;sourceID=14","0.000496")</f>
        <v>0.000496</v>
      </c>
    </row>
    <row r="7344" spans="1:7">
      <c r="A7344" s="3">
        <v>14</v>
      </c>
      <c r="B7344" s="3">
        <v>9</v>
      </c>
      <c r="C7344" s="3">
        <v>2</v>
      </c>
      <c r="D7344" s="3">
        <v>176</v>
      </c>
      <c r="E7344" s="3">
        <v>1</v>
      </c>
      <c r="F7344" s="4" t="str">
        <f>HYPERLINK("http://141.218.60.56/~jnz1568/getInfo.php?workbook=14_09.xlsx&amp;sheet=U0&amp;row=7344&amp;col=6&amp;number=3&amp;sourceID=14","3")</f>
        <v>3</v>
      </c>
      <c r="G7344" s="4" t="str">
        <f>HYPERLINK("http://141.218.60.56/~jnz1568/getInfo.php?workbook=14_09.xlsx&amp;sheet=U0&amp;row=7344&amp;col=7&amp;number=0.00608&amp;sourceID=14","0.00608")</f>
        <v>0.00608</v>
      </c>
    </row>
    <row r="7345" spans="1:7">
      <c r="A7345" s="3"/>
      <c r="B7345" s="3"/>
      <c r="C7345" s="3"/>
      <c r="D7345" s="3"/>
      <c r="E7345" s="3">
        <v>2</v>
      </c>
      <c r="F7345" s="4" t="str">
        <f>HYPERLINK("http://141.218.60.56/~jnz1568/getInfo.php?workbook=14_09.xlsx&amp;sheet=U0&amp;row=7345&amp;col=6&amp;number=3.1&amp;sourceID=14","3.1")</f>
        <v>3.1</v>
      </c>
      <c r="G7345" s="4" t="str">
        <f>HYPERLINK("http://141.218.60.56/~jnz1568/getInfo.php?workbook=14_09.xlsx&amp;sheet=U0&amp;row=7345&amp;col=7&amp;number=0.00608&amp;sourceID=14","0.00608")</f>
        <v>0.00608</v>
      </c>
    </row>
    <row r="7346" spans="1:7">
      <c r="A7346" s="3"/>
      <c r="B7346" s="3"/>
      <c r="C7346" s="3"/>
      <c r="D7346" s="3"/>
      <c r="E7346" s="3">
        <v>3</v>
      </c>
      <c r="F7346" s="4" t="str">
        <f>HYPERLINK("http://141.218.60.56/~jnz1568/getInfo.php?workbook=14_09.xlsx&amp;sheet=U0&amp;row=7346&amp;col=6&amp;number=3.2&amp;sourceID=14","3.2")</f>
        <v>3.2</v>
      </c>
      <c r="G7346" s="4" t="str">
        <f>HYPERLINK("http://141.218.60.56/~jnz1568/getInfo.php?workbook=14_09.xlsx&amp;sheet=U0&amp;row=7346&amp;col=7&amp;number=0.00608&amp;sourceID=14","0.00608")</f>
        <v>0.00608</v>
      </c>
    </row>
    <row r="7347" spans="1:7">
      <c r="A7347" s="3"/>
      <c r="B7347" s="3"/>
      <c r="C7347" s="3"/>
      <c r="D7347" s="3"/>
      <c r="E7347" s="3">
        <v>4</v>
      </c>
      <c r="F7347" s="4" t="str">
        <f>HYPERLINK("http://141.218.60.56/~jnz1568/getInfo.php?workbook=14_09.xlsx&amp;sheet=U0&amp;row=7347&amp;col=6&amp;number=3.3&amp;sourceID=14","3.3")</f>
        <v>3.3</v>
      </c>
      <c r="G7347" s="4" t="str">
        <f>HYPERLINK("http://141.218.60.56/~jnz1568/getInfo.php?workbook=14_09.xlsx&amp;sheet=U0&amp;row=7347&amp;col=7&amp;number=0.00607&amp;sourceID=14","0.00607")</f>
        <v>0.00607</v>
      </c>
    </row>
    <row r="7348" spans="1:7">
      <c r="A7348" s="3"/>
      <c r="B7348" s="3"/>
      <c r="C7348" s="3"/>
      <c r="D7348" s="3"/>
      <c r="E7348" s="3">
        <v>5</v>
      </c>
      <c r="F7348" s="4" t="str">
        <f>HYPERLINK("http://141.218.60.56/~jnz1568/getInfo.php?workbook=14_09.xlsx&amp;sheet=U0&amp;row=7348&amp;col=6&amp;number=3.4&amp;sourceID=14","3.4")</f>
        <v>3.4</v>
      </c>
      <c r="G7348" s="4" t="str">
        <f>HYPERLINK("http://141.218.60.56/~jnz1568/getInfo.php?workbook=14_09.xlsx&amp;sheet=U0&amp;row=7348&amp;col=7&amp;number=0.00607&amp;sourceID=14","0.00607")</f>
        <v>0.00607</v>
      </c>
    </row>
    <row r="7349" spans="1:7">
      <c r="A7349" s="3"/>
      <c r="B7349" s="3"/>
      <c r="C7349" s="3"/>
      <c r="D7349" s="3"/>
      <c r="E7349" s="3">
        <v>6</v>
      </c>
      <c r="F7349" s="4" t="str">
        <f>HYPERLINK("http://141.218.60.56/~jnz1568/getInfo.php?workbook=14_09.xlsx&amp;sheet=U0&amp;row=7349&amp;col=6&amp;number=3.5&amp;sourceID=14","3.5")</f>
        <v>3.5</v>
      </c>
      <c r="G7349" s="4" t="str">
        <f>HYPERLINK("http://141.218.60.56/~jnz1568/getInfo.php?workbook=14_09.xlsx&amp;sheet=U0&amp;row=7349&amp;col=7&amp;number=0.00607&amp;sourceID=14","0.00607")</f>
        <v>0.00607</v>
      </c>
    </row>
    <row r="7350" spans="1:7">
      <c r="A7350" s="3"/>
      <c r="B7350" s="3"/>
      <c r="C7350" s="3"/>
      <c r="D7350" s="3"/>
      <c r="E7350" s="3">
        <v>7</v>
      </c>
      <c r="F7350" s="4" t="str">
        <f>HYPERLINK("http://141.218.60.56/~jnz1568/getInfo.php?workbook=14_09.xlsx&amp;sheet=U0&amp;row=7350&amp;col=6&amp;number=3.6&amp;sourceID=14","3.6")</f>
        <v>3.6</v>
      </c>
      <c r="G7350" s="4" t="str">
        <f>HYPERLINK("http://141.218.60.56/~jnz1568/getInfo.php?workbook=14_09.xlsx&amp;sheet=U0&amp;row=7350&amp;col=7&amp;number=0.00607&amp;sourceID=14","0.00607")</f>
        <v>0.00607</v>
      </c>
    </row>
    <row r="7351" spans="1:7">
      <c r="A7351" s="3"/>
      <c r="B7351" s="3"/>
      <c r="C7351" s="3"/>
      <c r="D7351" s="3"/>
      <c r="E7351" s="3">
        <v>8</v>
      </c>
      <c r="F7351" s="4" t="str">
        <f>HYPERLINK("http://141.218.60.56/~jnz1568/getInfo.php?workbook=14_09.xlsx&amp;sheet=U0&amp;row=7351&amp;col=6&amp;number=3.7&amp;sourceID=14","3.7")</f>
        <v>3.7</v>
      </c>
      <c r="G7351" s="4" t="str">
        <f>HYPERLINK("http://141.218.60.56/~jnz1568/getInfo.php?workbook=14_09.xlsx&amp;sheet=U0&amp;row=7351&amp;col=7&amp;number=0.00607&amp;sourceID=14","0.00607")</f>
        <v>0.00607</v>
      </c>
    </row>
    <row r="7352" spans="1:7">
      <c r="A7352" s="3"/>
      <c r="B7352" s="3"/>
      <c r="C7352" s="3"/>
      <c r="D7352" s="3"/>
      <c r="E7352" s="3">
        <v>9</v>
      </c>
      <c r="F7352" s="4" t="str">
        <f>HYPERLINK("http://141.218.60.56/~jnz1568/getInfo.php?workbook=14_09.xlsx&amp;sheet=U0&amp;row=7352&amp;col=6&amp;number=3.8&amp;sourceID=14","3.8")</f>
        <v>3.8</v>
      </c>
      <c r="G7352" s="4" t="str">
        <f>HYPERLINK("http://141.218.60.56/~jnz1568/getInfo.php?workbook=14_09.xlsx&amp;sheet=U0&amp;row=7352&amp;col=7&amp;number=0.00607&amp;sourceID=14","0.00607")</f>
        <v>0.00607</v>
      </c>
    </row>
    <row r="7353" spans="1:7">
      <c r="A7353" s="3"/>
      <c r="B7353" s="3"/>
      <c r="C7353" s="3"/>
      <c r="D7353" s="3"/>
      <c r="E7353" s="3">
        <v>10</v>
      </c>
      <c r="F7353" s="4" t="str">
        <f>HYPERLINK("http://141.218.60.56/~jnz1568/getInfo.php?workbook=14_09.xlsx&amp;sheet=U0&amp;row=7353&amp;col=6&amp;number=3.9&amp;sourceID=14","3.9")</f>
        <v>3.9</v>
      </c>
      <c r="G7353" s="4" t="str">
        <f>HYPERLINK("http://141.218.60.56/~jnz1568/getInfo.php?workbook=14_09.xlsx&amp;sheet=U0&amp;row=7353&amp;col=7&amp;number=0.00606&amp;sourceID=14","0.00606")</f>
        <v>0.00606</v>
      </c>
    </row>
    <row r="7354" spans="1:7">
      <c r="A7354" s="3"/>
      <c r="B7354" s="3"/>
      <c r="C7354" s="3"/>
      <c r="D7354" s="3"/>
      <c r="E7354" s="3">
        <v>11</v>
      </c>
      <c r="F7354" s="4" t="str">
        <f>HYPERLINK("http://141.218.60.56/~jnz1568/getInfo.php?workbook=14_09.xlsx&amp;sheet=U0&amp;row=7354&amp;col=6&amp;number=4&amp;sourceID=14","4")</f>
        <v>4</v>
      </c>
      <c r="G7354" s="4" t="str">
        <f>HYPERLINK("http://141.218.60.56/~jnz1568/getInfo.php?workbook=14_09.xlsx&amp;sheet=U0&amp;row=7354&amp;col=7&amp;number=0.00606&amp;sourceID=14","0.00606")</f>
        <v>0.00606</v>
      </c>
    </row>
    <row r="7355" spans="1:7">
      <c r="A7355" s="3"/>
      <c r="B7355" s="3"/>
      <c r="C7355" s="3"/>
      <c r="D7355" s="3"/>
      <c r="E7355" s="3">
        <v>12</v>
      </c>
      <c r="F7355" s="4" t="str">
        <f>HYPERLINK("http://141.218.60.56/~jnz1568/getInfo.php?workbook=14_09.xlsx&amp;sheet=U0&amp;row=7355&amp;col=6&amp;number=4.1&amp;sourceID=14","4.1")</f>
        <v>4.1</v>
      </c>
      <c r="G7355" s="4" t="str">
        <f>HYPERLINK("http://141.218.60.56/~jnz1568/getInfo.php?workbook=14_09.xlsx&amp;sheet=U0&amp;row=7355&amp;col=7&amp;number=0.00605&amp;sourceID=14","0.00605")</f>
        <v>0.00605</v>
      </c>
    </row>
    <row r="7356" spans="1:7">
      <c r="A7356" s="3"/>
      <c r="B7356" s="3"/>
      <c r="C7356" s="3"/>
      <c r="D7356" s="3"/>
      <c r="E7356" s="3">
        <v>13</v>
      </c>
      <c r="F7356" s="4" t="str">
        <f>HYPERLINK("http://141.218.60.56/~jnz1568/getInfo.php?workbook=14_09.xlsx&amp;sheet=U0&amp;row=7356&amp;col=6&amp;number=4.2&amp;sourceID=14","4.2")</f>
        <v>4.2</v>
      </c>
      <c r="G7356" s="4" t="str">
        <f>HYPERLINK("http://141.218.60.56/~jnz1568/getInfo.php?workbook=14_09.xlsx&amp;sheet=U0&amp;row=7356&amp;col=7&amp;number=0.00605&amp;sourceID=14","0.00605")</f>
        <v>0.00605</v>
      </c>
    </row>
    <row r="7357" spans="1:7">
      <c r="A7357" s="3"/>
      <c r="B7357" s="3"/>
      <c r="C7357" s="3"/>
      <c r="D7357" s="3"/>
      <c r="E7357" s="3">
        <v>14</v>
      </c>
      <c r="F7357" s="4" t="str">
        <f>HYPERLINK("http://141.218.60.56/~jnz1568/getInfo.php?workbook=14_09.xlsx&amp;sheet=U0&amp;row=7357&amp;col=6&amp;number=4.3&amp;sourceID=14","4.3")</f>
        <v>4.3</v>
      </c>
      <c r="G7357" s="4" t="str">
        <f>HYPERLINK("http://141.218.60.56/~jnz1568/getInfo.php?workbook=14_09.xlsx&amp;sheet=U0&amp;row=7357&amp;col=7&amp;number=0.00604&amp;sourceID=14","0.00604")</f>
        <v>0.00604</v>
      </c>
    </row>
    <row r="7358" spans="1:7">
      <c r="A7358" s="3"/>
      <c r="B7358" s="3"/>
      <c r="C7358" s="3"/>
      <c r="D7358" s="3"/>
      <c r="E7358" s="3">
        <v>15</v>
      </c>
      <c r="F7358" s="4" t="str">
        <f>HYPERLINK("http://141.218.60.56/~jnz1568/getInfo.php?workbook=14_09.xlsx&amp;sheet=U0&amp;row=7358&amp;col=6&amp;number=4.4&amp;sourceID=14","4.4")</f>
        <v>4.4</v>
      </c>
      <c r="G7358" s="4" t="str">
        <f>HYPERLINK("http://141.218.60.56/~jnz1568/getInfo.php?workbook=14_09.xlsx&amp;sheet=U0&amp;row=7358&amp;col=7&amp;number=0.00603&amp;sourceID=14","0.00603")</f>
        <v>0.00603</v>
      </c>
    </row>
    <row r="7359" spans="1:7">
      <c r="A7359" s="3"/>
      <c r="B7359" s="3"/>
      <c r="C7359" s="3"/>
      <c r="D7359" s="3"/>
      <c r="E7359" s="3">
        <v>16</v>
      </c>
      <c r="F7359" s="4" t="str">
        <f>HYPERLINK("http://141.218.60.56/~jnz1568/getInfo.php?workbook=14_09.xlsx&amp;sheet=U0&amp;row=7359&amp;col=6&amp;number=4.5&amp;sourceID=14","4.5")</f>
        <v>4.5</v>
      </c>
      <c r="G7359" s="4" t="str">
        <f>HYPERLINK("http://141.218.60.56/~jnz1568/getInfo.php?workbook=14_09.xlsx&amp;sheet=U0&amp;row=7359&amp;col=7&amp;number=0.00602&amp;sourceID=14","0.00602")</f>
        <v>0.00602</v>
      </c>
    </row>
    <row r="7360" spans="1:7">
      <c r="A7360" s="3"/>
      <c r="B7360" s="3"/>
      <c r="C7360" s="3"/>
      <c r="D7360" s="3"/>
      <c r="E7360" s="3">
        <v>17</v>
      </c>
      <c r="F7360" s="4" t="str">
        <f>HYPERLINK("http://141.218.60.56/~jnz1568/getInfo.php?workbook=14_09.xlsx&amp;sheet=U0&amp;row=7360&amp;col=6&amp;number=4.6&amp;sourceID=14","4.6")</f>
        <v>4.6</v>
      </c>
      <c r="G7360" s="4" t="str">
        <f>HYPERLINK("http://141.218.60.56/~jnz1568/getInfo.php?workbook=14_09.xlsx&amp;sheet=U0&amp;row=7360&amp;col=7&amp;number=0.006&amp;sourceID=14","0.006")</f>
        <v>0.006</v>
      </c>
    </row>
    <row r="7361" spans="1:7">
      <c r="A7361" s="3"/>
      <c r="B7361" s="3"/>
      <c r="C7361" s="3"/>
      <c r="D7361" s="3"/>
      <c r="E7361" s="3">
        <v>18</v>
      </c>
      <c r="F7361" s="4" t="str">
        <f>HYPERLINK("http://141.218.60.56/~jnz1568/getInfo.php?workbook=14_09.xlsx&amp;sheet=U0&amp;row=7361&amp;col=6&amp;number=4.7&amp;sourceID=14","4.7")</f>
        <v>4.7</v>
      </c>
      <c r="G7361" s="4" t="str">
        <f>HYPERLINK("http://141.218.60.56/~jnz1568/getInfo.php?workbook=14_09.xlsx&amp;sheet=U0&amp;row=7361&amp;col=7&amp;number=0.00598&amp;sourceID=14","0.00598")</f>
        <v>0.00598</v>
      </c>
    </row>
    <row r="7362" spans="1:7">
      <c r="A7362" s="3"/>
      <c r="B7362" s="3"/>
      <c r="C7362" s="3"/>
      <c r="D7362" s="3"/>
      <c r="E7362" s="3">
        <v>19</v>
      </c>
      <c r="F7362" s="4" t="str">
        <f>HYPERLINK("http://141.218.60.56/~jnz1568/getInfo.php?workbook=14_09.xlsx&amp;sheet=U0&amp;row=7362&amp;col=6&amp;number=4.8&amp;sourceID=14","4.8")</f>
        <v>4.8</v>
      </c>
      <c r="G7362" s="4" t="str">
        <f>HYPERLINK("http://141.218.60.56/~jnz1568/getInfo.php?workbook=14_09.xlsx&amp;sheet=U0&amp;row=7362&amp;col=7&amp;number=0.00595&amp;sourceID=14","0.00595")</f>
        <v>0.00595</v>
      </c>
    </row>
    <row r="7363" spans="1:7">
      <c r="A7363" s="3"/>
      <c r="B7363" s="3"/>
      <c r="C7363" s="3"/>
      <c r="D7363" s="3"/>
      <c r="E7363" s="3">
        <v>20</v>
      </c>
      <c r="F7363" s="4" t="str">
        <f>HYPERLINK("http://141.218.60.56/~jnz1568/getInfo.php?workbook=14_09.xlsx&amp;sheet=U0&amp;row=7363&amp;col=6&amp;number=4.9&amp;sourceID=14","4.9")</f>
        <v>4.9</v>
      </c>
      <c r="G7363" s="4" t="str">
        <f>HYPERLINK("http://141.218.60.56/~jnz1568/getInfo.php?workbook=14_09.xlsx&amp;sheet=U0&amp;row=7363&amp;col=7&amp;number=0.00592&amp;sourceID=14","0.00592")</f>
        <v>0.00592</v>
      </c>
    </row>
    <row r="7364" spans="1:7">
      <c r="A7364" s="3">
        <v>14</v>
      </c>
      <c r="B7364" s="3">
        <v>9</v>
      </c>
      <c r="C7364" s="3">
        <v>2</v>
      </c>
      <c r="D7364" s="3">
        <v>177</v>
      </c>
      <c r="E7364" s="3">
        <v>1</v>
      </c>
      <c r="F7364" s="4" t="str">
        <f>HYPERLINK("http://141.218.60.56/~jnz1568/getInfo.php?workbook=14_09.xlsx&amp;sheet=U0&amp;row=7364&amp;col=6&amp;number=3&amp;sourceID=14","3")</f>
        <v>3</v>
      </c>
      <c r="G7364" s="4" t="str">
        <f>HYPERLINK("http://141.218.60.56/~jnz1568/getInfo.php?workbook=14_09.xlsx&amp;sheet=U0&amp;row=7364&amp;col=7&amp;number=0.00687&amp;sourceID=14","0.00687")</f>
        <v>0.00687</v>
      </c>
    </row>
    <row r="7365" spans="1:7">
      <c r="A7365" s="3"/>
      <c r="B7365" s="3"/>
      <c r="C7365" s="3"/>
      <c r="D7365" s="3"/>
      <c r="E7365" s="3">
        <v>2</v>
      </c>
      <c r="F7365" s="4" t="str">
        <f>HYPERLINK("http://141.218.60.56/~jnz1568/getInfo.php?workbook=14_09.xlsx&amp;sheet=U0&amp;row=7365&amp;col=6&amp;number=3.1&amp;sourceID=14","3.1")</f>
        <v>3.1</v>
      </c>
      <c r="G7365" s="4" t="str">
        <f>HYPERLINK("http://141.218.60.56/~jnz1568/getInfo.php?workbook=14_09.xlsx&amp;sheet=U0&amp;row=7365&amp;col=7&amp;number=0.00687&amp;sourceID=14","0.00687")</f>
        <v>0.00687</v>
      </c>
    </row>
    <row r="7366" spans="1:7">
      <c r="A7366" s="3"/>
      <c r="B7366" s="3"/>
      <c r="C7366" s="3"/>
      <c r="D7366" s="3"/>
      <c r="E7366" s="3">
        <v>3</v>
      </c>
      <c r="F7366" s="4" t="str">
        <f>HYPERLINK("http://141.218.60.56/~jnz1568/getInfo.php?workbook=14_09.xlsx&amp;sheet=U0&amp;row=7366&amp;col=6&amp;number=3.2&amp;sourceID=14","3.2")</f>
        <v>3.2</v>
      </c>
      <c r="G7366" s="4" t="str">
        <f>HYPERLINK("http://141.218.60.56/~jnz1568/getInfo.php?workbook=14_09.xlsx&amp;sheet=U0&amp;row=7366&amp;col=7&amp;number=0.00687&amp;sourceID=14","0.00687")</f>
        <v>0.00687</v>
      </c>
    </row>
    <row r="7367" spans="1:7">
      <c r="A7367" s="3"/>
      <c r="B7367" s="3"/>
      <c r="C7367" s="3"/>
      <c r="D7367" s="3"/>
      <c r="E7367" s="3">
        <v>4</v>
      </c>
      <c r="F7367" s="4" t="str">
        <f>HYPERLINK("http://141.218.60.56/~jnz1568/getInfo.php?workbook=14_09.xlsx&amp;sheet=U0&amp;row=7367&amp;col=6&amp;number=3.3&amp;sourceID=14","3.3")</f>
        <v>3.3</v>
      </c>
      <c r="G7367" s="4" t="str">
        <f>HYPERLINK("http://141.218.60.56/~jnz1568/getInfo.php?workbook=14_09.xlsx&amp;sheet=U0&amp;row=7367&amp;col=7&amp;number=0.00687&amp;sourceID=14","0.00687")</f>
        <v>0.00687</v>
      </c>
    </row>
    <row r="7368" spans="1:7">
      <c r="A7368" s="3"/>
      <c r="B7368" s="3"/>
      <c r="C7368" s="3"/>
      <c r="D7368" s="3"/>
      <c r="E7368" s="3">
        <v>5</v>
      </c>
      <c r="F7368" s="4" t="str">
        <f>HYPERLINK("http://141.218.60.56/~jnz1568/getInfo.php?workbook=14_09.xlsx&amp;sheet=U0&amp;row=7368&amp;col=6&amp;number=3.4&amp;sourceID=14","3.4")</f>
        <v>3.4</v>
      </c>
      <c r="G7368" s="4" t="str">
        <f>HYPERLINK("http://141.218.60.56/~jnz1568/getInfo.php?workbook=14_09.xlsx&amp;sheet=U0&amp;row=7368&amp;col=7&amp;number=0.00687&amp;sourceID=14","0.00687")</f>
        <v>0.00687</v>
      </c>
    </row>
    <row r="7369" spans="1:7">
      <c r="A7369" s="3"/>
      <c r="B7369" s="3"/>
      <c r="C7369" s="3"/>
      <c r="D7369" s="3"/>
      <c r="E7369" s="3">
        <v>6</v>
      </c>
      <c r="F7369" s="4" t="str">
        <f>HYPERLINK("http://141.218.60.56/~jnz1568/getInfo.php?workbook=14_09.xlsx&amp;sheet=U0&amp;row=7369&amp;col=6&amp;number=3.5&amp;sourceID=14","3.5")</f>
        <v>3.5</v>
      </c>
      <c r="G7369" s="4" t="str">
        <f>HYPERLINK("http://141.218.60.56/~jnz1568/getInfo.php?workbook=14_09.xlsx&amp;sheet=U0&amp;row=7369&amp;col=7&amp;number=0.00686&amp;sourceID=14","0.00686")</f>
        <v>0.00686</v>
      </c>
    </row>
    <row r="7370" spans="1:7">
      <c r="A7370" s="3"/>
      <c r="B7370" s="3"/>
      <c r="C7370" s="3"/>
      <c r="D7370" s="3"/>
      <c r="E7370" s="3">
        <v>7</v>
      </c>
      <c r="F7370" s="4" t="str">
        <f>HYPERLINK("http://141.218.60.56/~jnz1568/getInfo.php?workbook=14_09.xlsx&amp;sheet=U0&amp;row=7370&amp;col=6&amp;number=3.6&amp;sourceID=14","3.6")</f>
        <v>3.6</v>
      </c>
      <c r="G7370" s="4" t="str">
        <f>HYPERLINK("http://141.218.60.56/~jnz1568/getInfo.php?workbook=14_09.xlsx&amp;sheet=U0&amp;row=7370&amp;col=7&amp;number=0.00686&amp;sourceID=14","0.00686")</f>
        <v>0.00686</v>
      </c>
    </row>
    <row r="7371" spans="1:7">
      <c r="A7371" s="3"/>
      <c r="B7371" s="3"/>
      <c r="C7371" s="3"/>
      <c r="D7371" s="3"/>
      <c r="E7371" s="3">
        <v>8</v>
      </c>
      <c r="F7371" s="4" t="str">
        <f>HYPERLINK("http://141.218.60.56/~jnz1568/getInfo.php?workbook=14_09.xlsx&amp;sheet=U0&amp;row=7371&amp;col=6&amp;number=3.7&amp;sourceID=14","3.7")</f>
        <v>3.7</v>
      </c>
      <c r="G7371" s="4" t="str">
        <f>HYPERLINK("http://141.218.60.56/~jnz1568/getInfo.php?workbook=14_09.xlsx&amp;sheet=U0&amp;row=7371&amp;col=7&amp;number=0.00685&amp;sourceID=14","0.00685")</f>
        <v>0.00685</v>
      </c>
    </row>
    <row r="7372" spans="1:7">
      <c r="A7372" s="3"/>
      <c r="B7372" s="3"/>
      <c r="C7372" s="3"/>
      <c r="D7372" s="3"/>
      <c r="E7372" s="3">
        <v>9</v>
      </c>
      <c r="F7372" s="4" t="str">
        <f>HYPERLINK("http://141.218.60.56/~jnz1568/getInfo.php?workbook=14_09.xlsx&amp;sheet=U0&amp;row=7372&amp;col=6&amp;number=3.8&amp;sourceID=14","3.8")</f>
        <v>3.8</v>
      </c>
      <c r="G7372" s="4" t="str">
        <f>HYPERLINK("http://141.218.60.56/~jnz1568/getInfo.php?workbook=14_09.xlsx&amp;sheet=U0&amp;row=7372&amp;col=7&amp;number=0.00685&amp;sourceID=14","0.00685")</f>
        <v>0.00685</v>
      </c>
    </row>
    <row r="7373" spans="1:7">
      <c r="A7373" s="3"/>
      <c r="B7373" s="3"/>
      <c r="C7373" s="3"/>
      <c r="D7373" s="3"/>
      <c r="E7373" s="3">
        <v>10</v>
      </c>
      <c r="F7373" s="4" t="str">
        <f>HYPERLINK("http://141.218.60.56/~jnz1568/getInfo.php?workbook=14_09.xlsx&amp;sheet=U0&amp;row=7373&amp;col=6&amp;number=3.9&amp;sourceID=14","3.9")</f>
        <v>3.9</v>
      </c>
      <c r="G7373" s="4" t="str">
        <f>HYPERLINK("http://141.218.60.56/~jnz1568/getInfo.php?workbook=14_09.xlsx&amp;sheet=U0&amp;row=7373&amp;col=7&amp;number=0.00684&amp;sourceID=14","0.00684")</f>
        <v>0.00684</v>
      </c>
    </row>
    <row r="7374" spans="1:7">
      <c r="A7374" s="3"/>
      <c r="B7374" s="3"/>
      <c r="C7374" s="3"/>
      <c r="D7374" s="3"/>
      <c r="E7374" s="3">
        <v>11</v>
      </c>
      <c r="F7374" s="4" t="str">
        <f>HYPERLINK("http://141.218.60.56/~jnz1568/getInfo.php?workbook=14_09.xlsx&amp;sheet=U0&amp;row=7374&amp;col=6&amp;number=4&amp;sourceID=14","4")</f>
        <v>4</v>
      </c>
      <c r="G7374" s="4" t="str">
        <f>HYPERLINK("http://141.218.60.56/~jnz1568/getInfo.php?workbook=14_09.xlsx&amp;sheet=U0&amp;row=7374&amp;col=7&amp;number=0.00683&amp;sourceID=14","0.00683")</f>
        <v>0.00683</v>
      </c>
    </row>
    <row r="7375" spans="1:7">
      <c r="A7375" s="3"/>
      <c r="B7375" s="3"/>
      <c r="C7375" s="3"/>
      <c r="D7375" s="3"/>
      <c r="E7375" s="3">
        <v>12</v>
      </c>
      <c r="F7375" s="4" t="str">
        <f>HYPERLINK("http://141.218.60.56/~jnz1568/getInfo.php?workbook=14_09.xlsx&amp;sheet=U0&amp;row=7375&amp;col=6&amp;number=4.1&amp;sourceID=14","4.1")</f>
        <v>4.1</v>
      </c>
      <c r="G7375" s="4" t="str">
        <f>HYPERLINK("http://141.218.60.56/~jnz1568/getInfo.php?workbook=14_09.xlsx&amp;sheet=U0&amp;row=7375&amp;col=7&amp;number=0.00682&amp;sourceID=14","0.00682")</f>
        <v>0.00682</v>
      </c>
    </row>
    <row r="7376" spans="1:7">
      <c r="A7376" s="3"/>
      <c r="B7376" s="3"/>
      <c r="C7376" s="3"/>
      <c r="D7376" s="3"/>
      <c r="E7376" s="3">
        <v>13</v>
      </c>
      <c r="F7376" s="4" t="str">
        <f>HYPERLINK("http://141.218.60.56/~jnz1568/getInfo.php?workbook=14_09.xlsx&amp;sheet=U0&amp;row=7376&amp;col=6&amp;number=4.2&amp;sourceID=14","4.2")</f>
        <v>4.2</v>
      </c>
      <c r="G7376" s="4" t="str">
        <f>HYPERLINK("http://141.218.60.56/~jnz1568/getInfo.php?workbook=14_09.xlsx&amp;sheet=U0&amp;row=7376&amp;col=7&amp;number=0.00681&amp;sourceID=14","0.00681")</f>
        <v>0.00681</v>
      </c>
    </row>
    <row r="7377" spans="1:7">
      <c r="A7377" s="3"/>
      <c r="B7377" s="3"/>
      <c r="C7377" s="3"/>
      <c r="D7377" s="3"/>
      <c r="E7377" s="3">
        <v>14</v>
      </c>
      <c r="F7377" s="4" t="str">
        <f>HYPERLINK("http://141.218.60.56/~jnz1568/getInfo.php?workbook=14_09.xlsx&amp;sheet=U0&amp;row=7377&amp;col=6&amp;number=4.3&amp;sourceID=14","4.3")</f>
        <v>4.3</v>
      </c>
      <c r="G7377" s="4" t="str">
        <f>HYPERLINK("http://141.218.60.56/~jnz1568/getInfo.php?workbook=14_09.xlsx&amp;sheet=U0&amp;row=7377&amp;col=7&amp;number=0.00679&amp;sourceID=14","0.00679")</f>
        <v>0.00679</v>
      </c>
    </row>
    <row r="7378" spans="1:7">
      <c r="A7378" s="3"/>
      <c r="B7378" s="3"/>
      <c r="C7378" s="3"/>
      <c r="D7378" s="3"/>
      <c r="E7378" s="3">
        <v>15</v>
      </c>
      <c r="F7378" s="4" t="str">
        <f>HYPERLINK("http://141.218.60.56/~jnz1568/getInfo.php?workbook=14_09.xlsx&amp;sheet=U0&amp;row=7378&amp;col=6&amp;number=4.4&amp;sourceID=14","4.4")</f>
        <v>4.4</v>
      </c>
      <c r="G7378" s="4" t="str">
        <f>HYPERLINK("http://141.218.60.56/~jnz1568/getInfo.php?workbook=14_09.xlsx&amp;sheet=U0&amp;row=7378&amp;col=7&amp;number=0.00677&amp;sourceID=14","0.00677")</f>
        <v>0.00677</v>
      </c>
    </row>
    <row r="7379" spans="1:7">
      <c r="A7379" s="3"/>
      <c r="B7379" s="3"/>
      <c r="C7379" s="3"/>
      <c r="D7379" s="3"/>
      <c r="E7379" s="3">
        <v>16</v>
      </c>
      <c r="F7379" s="4" t="str">
        <f>HYPERLINK("http://141.218.60.56/~jnz1568/getInfo.php?workbook=14_09.xlsx&amp;sheet=U0&amp;row=7379&amp;col=6&amp;number=4.5&amp;sourceID=14","4.5")</f>
        <v>4.5</v>
      </c>
      <c r="G7379" s="4" t="str">
        <f>HYPERLINK("http://141.218.60.56/~jnz1568/getInfo.php?workbook=14_09.xlsx&amp;sheet=U0&amp;row=7379&amp;col=7&amp;number=0.00674&amp;sourceID=14","0.00674")</f>
        <v>0.00674</v>
      </c>
    </row>
    <row r="7380" spans="1:7">
      <c r="A7380" s="3"/>
      <c r="B7380" s="3"/>
      <c r="C7380" s="3"/>
      <c r="D7380" s="3"/>
      <c r="E7380" s="3">
        <v>17</v>
      </c>
      <c r="F7380" s="4" t="str">
        <f>HYPERLINK("http://141.218.60.56/~jnz1568/getInfo.php?workbook=14_09.xlsx&amp;sheet=U0&amp;row=7380&amp;col=6&amp;number=4.6&amp;sourceID=14","4.6")</f>
        <v>4.6</v>
      </c>
      <c r="G7380" s="4" t="str">
        <f>HYPERLINK("http://141.218.60.56/~jnz1568/getInfo.php?workbook=14_09.xlsx&amp;sheet=U0&amp;row=7380&amp;col=7&amp;number=0.00671&amp;sourceID=14","0.00671")</f>
        <v>0.00671</v>
      </c>
    </row>
    <row r="7381" spans="1:7">
      <c r="A7381" s="3"/>
      <c r="B7381" s="3"/>
      <c r="C7381" s="3"/>
      <c r="D7381" s="3"/>
      <c r="E7381" s="3">
        <v>18</v>
      </c>
      <c r="F7381" s="4" t="str">
        <f>HYPERLINK("http://141.218.60.56/~jnz1568/getInfo.php?workbook=14_09.xlsx&amp;sheet=U0&amp;row=7381&amp;col=6&amp;number=4.7&amp;sourceID=14","4.7")</f>
        <v>4.7</v>
      </c>
      <c r="G7381" s="4" t="str">
        <f>HYPERLINK("http://141.218.60.56/~jnz1568/getInfo.php?workbook=14_09.xlsx&amp;sheet=U0&amp;row=7381&amp;col=7&amp;number=0.00666&amp;sourceID=14","0.00666")</f>
        <v>0.00666</v>
      </c>
    </row>
    <row r="7382" spans="1:7">
      <c r="A7382" s="3"/>
      <c r="B7382" s="3"/>
      <c r="C7382" s="3"/>
      <c r="D7382" s="3"/>
      <c r="E7382" s="3">
        <v>19</v>
      </c>
      <c r="F7382" s="4" t="str">
        <f>HYPERLINK("http://141.218.60.56/~jnz1568/getInfo.php?workbook=14_09.xlsx&amp;sheet=U0&amp;row=7382&amp;col=6&amp;number=4.8&amp;sourceID=14","4.8")</f>
        <v>4.8</v>
      </c>
      <c r="G7382" s="4" t="str">
        <f>HYPERLINK("http://141.218.60.56/~jnz1568/getInfo.php?workbook=14_09.xlsx&amp;sheet=U0&amp;row=7382&amp;col=7&amp;number=0.00661&amp;sourceID=14","0.00661")</f>
        <v>0.00661</v>
      </c>
    </row>
    <row r="7383" spans="1:7">
      <c r="A7383" s="3"/>
      <c r="B7383" s="3"/>
      <c r="C7383" s="3"/>
      <c r="D7383" s="3"/>
      <c r="E7383" s="3">
        <v>20</v>
      </c>
      <c r="F7383" s="4" t="str">
        <f>HYPERLINK("http://141.218.60.56/~jnz1568/getInfo.php?workbook=14_09.xlsx&amp;sheet=U0&amp;row=7383&amp;col=6&amp;number=4.9&amp;sourceID=14","4.9")</f>
        <v>4.9</v>
      </c>
      <c r="G7383" s="4" t="str">
        <f>HYPERLINK("http://141.218.60.56/~jnz1568/getInfo.php?workbook=14_09.xlsx&amp;sheet=U0&amp;row=7383&amp;col=7&amp;number=0.00654&amp;sourceID=14","0.00654")</f>
        <v>0.00654</v>
      </c>
    </row>
    <row r="7384" spans="1:7">
      <c r="A7384" s="3">
        <v>14</v>
      </c>
      <c r="B7384" s="3">
        <v>9</v>
      </c>
      <c r="C7384" s="3">
        <v>2</v>
      </c>
      <c r="D7384" s="3">
        <v>178</v>
      </c>
      <c r="E7384" s="3">
        <v>1</v>
      </c>
      <c r="F7384" s="4" t="str">
        <f>HYPERLINK("http://141.218.60.56/~jnz1568/getInfo.php?workbook=14_09.xlsx&amp;sheet=U0&amp;row=7384&amp;col=6&amp;number=3&amp;sourceID=14","3")</f>
        <v>3</v>
      </c>
      <c r="G7384" s="4" t="str">
        <f>HYPERLINK("http://141.218.60.56/~jnz1568/getInfo.php?workbook=14_09.xlsx&amp;sheet=U0&amp;row=7384&amp;col=7&amp;number=0.00176&amp;sourceID=14","0.00176")</f>
        <v>0.00176</v>
      </c>
    </row>
    <row r="7385" spans="1:7">
      <c r="A7385" s="3"/>
      <c r="B7385" s="3"/>
      <c r="C7385" s="3"/>
      <c r="D7385" s="3"/>
      <c r="E7385" s="3">
        <v>2</v>
      </c>
      <c r="F7385" s="4" t="str">
        <f>HYPERLINK("http://141.218.60.56/~jnz1568/getInfo.php?workbook=14_09.xlsx&amp;sheet=U0&amp;row=7385&amp;col=6&amp;number=3.1&amp;sourceID=14","3.1")</f>
        <v>3.1</v>
      </c>
      <c r="G7385" s="4" t="str">
        <f>HYPERLINK("http://141.218.60.56/~jnz1568/getInfo.php?workbook=14_09.xlsx&amp;sheet=U0&amp;row=7385&amp;col=7&amp;number=0.00176&amp;sourceID=14","0.00176")</f>
        <v>0.00176</v>
      </c>
    </row>
    <row r="7386" spans="1:7">
      <c r="A7386" s="3"/>
      <c r="B7386" s="3"/>
      <c r="C7386" s="3"/>
      <c r="D7386" s="3"/>
      <c r="E7386" s="3">
        <v>3</v>
      </c>
      <c r="F7386" s="4" t="str">
        <f>HYPERLINK("http://141.218.60.56/~jnz1568/getInfo.php?workbook=14_09.xlsx&amp;sheet=U0&amp;row=7386&amp;col=6&amp;number=3.2&amp;sourceID=14","3.2")</f>
        <v>3.2</v>
      </c>
      <c r="G7386" s="4" t="str">
        <f>HYPERLINK("http://141.218.60.56/~jnz1568/getInfo.php?workbook=14_09.xlsx&amp;sheet=U0&amp;row=7386&amp;col=7&amp;number=0.00176&amp;sourceID=14","0.00176")</f>
        <v>0.00176</v>
      </c>
    </row>
    <row r="7387" spans="1:7">
      <c r="A7387" s="3"/>
      <c r="B7387" s="3"/>
      <c r="C7387" s="3"/>
      <c r="D7387" s="3"/>
      <c r="E7387" s="3">
        <v>4</v>
      </c>
      <c r="F7387" s="4" t="str">
        <f>HYPERLINK("http://141.218.60.56/~jnz1568/getInfo.php?workbook=14_09.xlsx&amp;sheet=U0&amp;row=7387&amp;col=6&amp;number=3.3&amp;sourceID=14","3.3")</f>
        <v>3.3</v>
      </c>
      <c r="G7387" s="4" t="str">
        <f>HYPERLINK("http://141.218.60.56/~jnz1568/getInfo.php?workbook=14_09.xlsx&amp;sheet=U0&amp;row=7387&amp;col=7&amp;number=0.00176&amp;sourceID=14","0.00176")</f>
        <v>0.00176</v>
      </c>
    </row>
    <row r="7388" spans="1:7">
      <c r="A7388" s="3"/>
      <c r="B7388" s="3"/>
      <c r="C7388" s="3"/>
      <c r="D7388" s="3"/>
      <c r="E7388" s="3">
        <v>5</v>
      </c>
      <c r="F7388" s="4" t="str">
        <f>HYPERLINK("http://141.218.60.56/~jnz1568/getInfo.php?workbook=14_09.xlsx&amp;sheet=U0&amp;row=7388&amp;col=6&amp;number=3.4&amp;sourceID=14","3.4")</f>
        <v>3.4</v>
      </c>
      <c r="G7388" s="4" t="str">
        <f>HYPERLINK("http://141.218.60.56/~jnz1568/getInfo.php?workbook=14_09.xlsx&amp;sheet=U0&amp;row=7388&amp;col=7&amp;number=0.00176&amp;sourceID=14","0.00176")</f>
        <v>0.00176</v>
      </c>
    </row>
    <row r="7389" spans="1:7">
      <c r="A7389" s="3"/>
      <c r="B7389" s="3"/>
      <c r="C7389" s="3"/>
      <c r="D7389" s="3"/>
      <c r="E7389" s="3">
        <v>6</v>
      </c>
      <c r="F7389" s="4" t="str">
        <f>HYPERLINK("http://141.218.60.56/~jnz1568/getInfo.php?workbook=14_09.xlsx&amp;sheet=U0&amp;row=7389&amp;col=6&amp;number=3.5&amp;sourceID=14","3.5")</f>
        <v>3.5</v>
      </c>
      <c r="G7389" s="4" t="str">
        <f>HYPERLINK("http://141.218.60.56/~jnz1568/getInfo.php?workbook=14_09.xlsx&amp;sheet=U0&amp;row=7389&amp;col=7&amp;number=0.00176&amp;sourceID=14","0.00176")</f>
        <v>0.00176</v>
      </c>
    </row>
    <row r="7390" spans="1:7">
      <c r="A7390" s="3"/>
      <c r="B7390" s="3"/>
      <c r="C7390" s="3"/>
      <c r="D7390" s="3"/>
      <c r="E7390" s="3">
        <v>7</v>
      </c>
      <c r="F7390" s="4" t="str">
        <f>HYPERLINK("http://141.218.60.56/~jnz1568/getInfo.php?workbook=14_09.xlsx&amp;sheet=U0&amp;row=7390&amp;col=6&amp;number=3.6&amp;sourceID=14","3.6")</f>
        <v>3.6</v>
      </c>
      <c r="G7390" s="4" t="str">
        <f>HYPERLINK("http://141.218.60.56/~jnz1568/getInfo.php?workbook=14_09.xlsx&amp;sheet=U0&amp;row=7390&amp;col=7&amp;number=0.00175&amp;sourceID=14","0.00175")</f>
        <v>0.00175</v>
      </c>
    </row>
    <row r="7391" spans="1:7">
      <c r="A7391" s="3"/>
      <c r="B7391" s="3"/>
      <c r="C7391" s="3"/>
      <c r="D7391" s="3"/>
      <c r="E7391" s="3">
        <v>8</v>
      </c>
      <c r="F7391" s="4" t="str">
        <f>HYPERLINK("http://141.218.60.56/~jnz1568/getInfo.php?workbook=14_09.xlsx&amp;sheet=U0&amp;row=7391&amp;col=6&amp;number=3.7&amp;sourceID=14","3.7")</f>
        <v>3.7</v>
      </c>
      <c r="G7391" s="4" t="str">
        <f>HYPERLINK("http://141.218.60.56/~jnz1568/getInfo.php?workbook=14_09.xlsx&amp;sheet=U0&amp;row=7391&amp;col=7&amp;number=0.00175&amp;sourceID=14","0.00175")</f>
        <v>0.00175</v>
      </c>
    </row>
    <row r="7392" spans="1:7">
      <c r="A7392" s="3"/>
      <c r="B7392" s="3"/>
      <c r="C7392" s="3"/>
      <c r="D7392" s="3"/>
      <c r="E7392" s="3">
        <v>9</v>
      </c>
      <c r="F7392" s="4" t="str">
        <f>HYPERLINK("http://141.218.60.56/~jnz1568/getInfo.php?workbook=14_09.xlsx&amp;sheet=U0&amp;row=7392&amp;col=6&amp;number=3.8&amp;sourceID=14","3.8")</f>
        <v>3.8</v>
      </c>
      <c r="G7392" s="4" t="str">
        <f>HYPERLINK("http://141.218.60.56/~jnz1568/getInfo.php?workbook=14_09.xlsx&amp;sheet=U0&amp;row=7392&amp;col=7&amp;number=0.00175&amp;sourceID=14","0.00175")</f>
        <v>0.00175</v>
      </c>
    </row>
    <row r="7393" spans="1:7">
      <c r="A7393" s="3"/>
      <c r="B7393" s="3"/>
      <c r="C7393" s="3"/>
      <c r="D7393" s="3"/>
      <c r="E7393" s="3">
        <v>10</v>
      </c>
      <c r="F7393" s="4" t="str">
        <f>HYPERLINK("http://141.218.60.56/~jnz1568/getInfo.php?workbook=14_09.xlsx&amp;sheet=U0&amp;row=7393&amp;col=6&amp;number=3.9&amp;sourceID=14","3.9")</f>
        <v>3.9</v>
      </c>
      <c r="G7393" s="4" t="str">
        <f>HYPERLINK("http://141.218.60.56/~jnz1568/getInfo.php?workbook=14_09.xlsx&amp;sheet=U0&amp;row=7393&amp;col=7&amp;number=0.00174&amp;sourceID=14","0.00174")</f>
        <v>0.00174</v>
      </c>
    </row>
    <row r="7394" spans="1:7">
      <c r="A7394" s="3"/>
      <c r="B7394" s="3"/>
      <c r="C7394" s="3"/>
      <c r="D7394" s="3"/>
      <c r="E7394" s="3">
        <v>11</v>
      </c>
      <c r="F7394" s="4" t="str">
        <f>HYPERLINK("http://141.218.60.56/~jnz1568/getInfo.php?workbook=14_09.xlsx&amp;sheet=U0&amp;row=7394&amp;col=6&amp;number=4&amp;sourceID=14","4")</f>
        <v>4</v>
      </c>
      <c r="G7394" s="4" t="str">
        <f>HYPERLINK("http://141.218.60.56/~jnz1568/getInfo.php?workbook=14_09.xlsx&amp;sheet=U0&amp;row=7394&amp;col=7&amp;number=0.00174&amp;sourceID=14","0.00174")</f>
        <v>0.00174</v>
      </c>
    </row>
    <row r="7395" spans="1:7">
      <c r="A7395" s="3"/>
      <c r="B7395" s="3"/>
      <c r="C7395" s="3"/>
      <c r="D7395" s="3"/>
      <c r="E7395" s="3">
        <v>12</v>
      </c>
      <c r="F7395" s="4" t="str">
        <f>HYPERLINK("http://141.218.60.56/~jnz1568/getInfo.php?workbook=14_09.xlsx&amp;sheet=U0&amp;row=7395&amp;col=6&amp;number=4.1&amp;sourceID=14","4.1")</f>
        <v>4.1</v>
      </c>
      <c r="G7395" s="4" t="str">
        <f>HYPERLINK("http://141.218.60.56/~jnz1568/getInfo.php?workbook=14_09.xlsx&amp;sheet=U0&amp;row=7395&amp;col=7&amp;number=0.00173&amp;sourceID=14","0.00173")</f>
        <v>0.00173</v>
      </c>
    </row>
    <row r="7396" spans="1:7">
      <c r="A7396" s="3"/>
      <c r="B7396" s="3"/>
      <c r="C7396" s="3"/>
      <c r="D7396" s="3"/>
      <c r="E7396" s="3">
        <v>13</v>
      </c>
      <c r="F7396" s="4" t="str">
        <f>HYPERLINK("http://141.218.60.56/~jnz1568/getInfo.php?workbook=14_09.xlsx&amp;sheet=U0&amp;row=7396&amp;col=6&amp;number=4.2&amp;sourceID=14","4.2")</f>
        <v>4.2</v>
      </c>
      <c r="G7396" s="4" t="str">
        <f>HYPERLINK("http://141.218.60.56/~jnz1568/getInfo.php?workbook=14_09.xlsx&amp;sheet=U0&amp;row=7396&amp;col=7&amp;number=0.00172&amp;sourceID=14","0.00172")</f>
        <v>0.00172</v>
      </c>
    </row>
    <row r="7397" spans="1:7">
      <c r="A7397" s="3"/>
      <c r="B7397" s="3"/>
      <c r="C7397" s="3"/>
      <c r="D7397" s="3"/>
      <c r="E7397" s="3">
        <v>14</v>
      </c>
      <c r="F7397" s="4" t="str">
        <f>HYPERLINK("http://141.218.60.56/~jnz1568/getInfo.php?workbook=14_09.xlsx&amp;sheet=U0&amp;row=7397&amp;col=6&amp;number=4.3&amp;sourceID=14","4.3")</f>
        <v>4.3</v>
      </c>
      <c r="G7397" s="4" t="str">
        <f>HYPERLINK("http://141.218.60.56/~jnz1568/getInfo.php?workbook=14_09.xlsx&amp;sheet=U0&amp;row=7397&amp;col=7&amp;number=0.00171&amp;sourceID=14","0.00171")</f>
        <v>0.00171</v>
      </c>
    </row>
    <row r="7398" spans="1:7">
      <c r="A7398" s="3"/>
      <c r="B7398" s="3"/>
      <c r="C7398" s="3"/>
      <c r="D7398" s="3"/>
      <c r="E7398" s="3">
        <v>15</v>
      </c>
      <c r="F7398" s="4" t="str">
        <f>HYPERLINK("http://141.218.60.56/~jnz1568/getInfo.php?workbook=14_09.xlsx&amp;sheet=U0&amp;row=7398&amp;col=6&amp;number=4.4&amp;sourceID=14","4.4")</f>
        <v>4.4</v>
      </c>
      <c r="G7398" s="4" t="str">
        <f>HYPERLINK("http://141.218.60.56/~jnz1568/getInfo.php?workbook=14_09.xlsx&amp;sheet=U0&amp;row=7398&amp;col=7&amp;number=0.0017&amp;sourceID=14","0.0017")</f>
        <v>0.0017</v>
      </c>
    </row>
    <row r="7399" spans="1:7">
      <c r="A7399" s="3"/>
      <c r="B7399" s="3"/>
      <c r="C7399" s="3"/>
      <c r="D7399" s="3"/>
      <c r="E7399" s="3">
        <v>16</v>
      </c>
      <c r="F7399" s="4" t="str">
        <f>HYPERLINK("http://141.218.60.56/~jnz1568/getInfo.php?workbook=14_09.xlsx&amp;sheet=U0&amp;row=7399&amp;col=6&amp;number=4.5&amp;sourceID=14","4.5")</f>
        <v>4.5</v>
      </c>
      <c r="G7399" s="4" t="str">
        <f>HYPERLINK("http://141.218.60.56/~jnz1568/getInfo.php?workbook=14_09.xlsx&amp;sheet=U0&amp;row=7399&amp;col=7&amp;number=0.00169&amp;sourceID=14","0.00169")</f>
        <v>0.00169</v>
      </c>
    </row>
    <row r="7400" spans="1:7">
      <c r="A7400" s="3"/>
      <c r="B7400" s="3"/>
      <c r="C7400" s="3"/>
      <c r="D7400" s="3"/>
      <c r="E7400" s="3">
        <v>17</v>
      </c>
      <c r="F7400" s="4" t="str">
        <f>HYPERLINK("http://141.218.60.56/~jnz1568/getInfo.php?workbook=14_09.xlsx&amp;sheet=U0&amp;row=7400&amp;col=6&amp;number=4.6&amp;sourceID=14","4.6")</f>
        <v>4.6</v>
      </c>
      <c r="G7400" s="4" t="str">
        <f>HYPERLINK("http://141.218.60.56/~jnz1568/getInfo.php?workbook=14_09.xlsx&amp;sheet=U0&amp;row=7400&amp;col=7&amp;number=0.00167&amp;sourceID=14","0.00167")</f>
        <v>0.00167</v>
      </c>
    </row>
    <row r="7401" spans="1:7">
      <c r="A7401" s="3"/>
      <c r="B7401" s="3"/>
      <c r="C7401" s="3"/>
      <c r="D7401" s="3"/>
      <c r="E7401" s="3">
        <v>18</v>
      </c>
      <c r="F7401" s="4" t="str">
        <f>HYPERLINK("http://141.218.60.56/~jnz1568/getInfo.php?workbook=14_09.xlsx&amp;sheet=U0&amp;row=7401&amp;col=6&amp;number=4.7&amp;sourceID=14","4.7")</f>
        <v>4.7</v>
      </c>
      <c r="G7401" s="4" t="str">
        <f>HYPERLINK("http://141.218.60.56/~jnz1568/getInfo.php?workbook=14_09.xlsx&amp;sheet=U0&amp;row=7401&amp;col=7&amp;number=0.00165&amp;sourceID=14","0.00165")</f>
        <v>0.00165</v>
      </c>
    </row>
    <row r="7402" spans="1:7">
      <c r="A7402" s="3"/>
      <c r="B7402" s="3"/>
      <c r="C7402" s="3"/>
      <c r="D7402" s="3"/>
      <c r="E7402" s="3">
        <v>19</v>
      </c>
      <c r="F7402" s="4" t="str">
        <f>HYPERLINK("http://141.218.60.56/~jnz1568/getInfo.php?workbook=14_09.xlsx&amp;sheet=U0&amp;row=7402&amp;col=6&amp;number=4.8&amp;sourceID=14","4.8")</f>
        <v>4.8</v>
      </c>
      <c r="G7402" s="4" t="str">
        <f>HYPERLINK("http://141.218.60.56/~jnz1568/getInfo.php?workbook=14_09.xlsx&amp;sheet=U0&amp;row=7402&amp;col=7&amp;number=0.00163&amp;sourceID=14","0.00163")</f>
        <v>0.00163</v>
      </c>
    </row>
    <row r="7403" spans="1:7">
      <c r="A7403" s="3"/>
      <c r="B7403" s="3"/>
      <c r="C7403" s="3"/>
      <c r="D7403" s="3"/>
      <c r="E7403" s="3">
        <v>20</v>
      </c>
      <c r="F7403" s="4" t="str">
        <f>HYPERLINK("http://141.218.60.56/~jnz1568/getInfo.php?workbook=14_09.xlsx&amp;sheet=U0&amp;row=7403&amp;col=6&amp;number=4.9&amp;sourceID=14","4.9")</f>
        <v>4.9</v>
      </c>
      <c r="G7403" s="4" t="str">
        <f>HYPERLINK("http://141.218.60.56/~jnz1568/getInfo.php?workbook=14_09.xlsx&amp;sheet=U0&amp;row=7403&amp;col=7&amp;number=0.00162&amp;sourceID=14","0.00162")</f>
        <v>0.00162</v>
      </c>
    </row>
    <row r="7404" spans="1:7">
      <c r="A7404" s="3">
        <v>14</v>
      </c>
      <c r="B7404" s="3">
        <v>9</v>
      </c>
      <c r="C7404" s="3">
        <v>2</v>
      </c>
      <c r="D7404" s="3">
        <v>179</v>
      </c>
      <c r="E7404" s="3">
        <v>1</v>
      </c>
      <c r="F7404" s="4" t="str">
        <f>HYPERLINK("http://141.218.60.56/~jnz1568/getInfo.php?workbook=14_09.xlsx&amp;sheet=U0&amp;row=7404&amp;col=6&amp;number=3&amp;sourceID=14","3")</f>
        <v>3</v>
      </c>
      <c r="G7404" s="4" t="str">
        <f>HYPERLINK("http://141.218.60.56/~jnz1568/getInfo.php?workbook=14_09.xlsx&amp;sheet=U0&amp;row=7404&amp;col=7&amp;number=0.00406&amp;sourceID=14","0.00406")</f>
        <v>0.00406</v>
      </c>
    </row>
    <row r="7405" spans="1:7">
      <c r="A7405" s="3"/>
      <c r="B7405" s="3"/>
      <c r="C7405" s="3"/>
      <c r="D7405" s="3"/>
      <c r="E7405" s="3">
        <v>2</v>
      </c>
      <c r="F7405" s="4" t="str">
        <f>HYPERLINK("http://141.218.60.56/~jnz1568/getInfo.php?workbook=14_09.xlsx&amp;sheet=U0&amp;row=7405&amp;col=6&amp;number=3.1&amp;sourceID=14","3.1")</f>
        <v>3.1</v>
      </c>
      <c r="G7405" s="4" t="str">
        <f>HYPERLINK("http://141.218.60.56/~jnz1568/getInfo.php?workbook=14_09.xlsx&amp;sheet=U0&amp;row=7405&amp;col=7&amp;number=0.00406&amp;sourceID=14","0.00406")</f>
        <v>0.00406</v>
      </c>
    </row>
    <row r="7406" spans="1:7">
      <c r="A7406" s="3"/>
      <c r="B7406" s="3"/>
      <c r="C7406" s="3"/>
      <c r="D7406" s="3"/>
      <c r="E7406" s="3">
        <v>3</v>
      </c>
      <c r="F7406" s="4" t="str">
        <f>HYPERLINK("http://141.218.60.56/~jnz1568/getInfo.php?workbook=14_09.xlsx&amp;sheet=U0&amp;row=7406&amp;col=6&amp;number=3.2&amp;sourceID=14","3.2")</f>
        <v>3.2</v>
      </c>
      <c r="G7406" s="4" t="str">
        <f>HYPERLINK("http://141.218.60.56/~jnz1568/getInfo.php?workbook=14_09.xlsx&amp;sheet=U0&amp;row=7406&amp;col=7&amp;number=0.00406&amp;sourceID=14","0.00406")</f>
        <v>0.00406</v>
      </c>
    </row>
    <row r="7407" spans="1:7">
      <c r="A7407" s="3"/>
      <c r="B7407" s="3"/>
      <c r="C7407" s="3"/>
      <c r="D7407" s="3"/>
      <c r="E7407" s="3">
        <v>4</v>
      </c>
      <c r="F7407" s="4" t="str">
        <f>HYPERLINK("http://141.218.60.56/~jnz1568/getInfo.php?workbook=14_09.xlsx&amp;sheet=U0&amp;row=7407&amp;col=6&amp;number=3.3&amp;sourceID=14","3.3")</f>
        <v>3.3</v>
      </c>
      <c r="G7407" s="4" t="str">
        <f>HYPERLINK("http://141.218.60.56/~jnz1568/getInfo.php?workbook=14_09.xlsx&amp;sheet=U0&amp;row=7407&amp;col=7&amp;number=0.00406&amp;sourceID=14","0.00406")</f>
        <v>0.00406</v>
      </c>
    </row>
    <row r="7408" spans="1:7">
      <c r="A7408" s="3"/>
      <c r="B7408" s="3"/>
      <c r="C7408" s="3"/>
      <c r="D7408" s="3"/>
      <c r="E7408" s="3">
        <v>5</v>
      </c>
      <c r="F7408" s="4" t="str">
        <f>HYPERLINK("http://141.218.60.56/~jnz1568/getInfo.php?workbook=14_09.xlsx&amp;sheet=U0&amp;row=7408&amp;col=6&amp;number=3.4&amp;sourceID=14","3.4")</f>
        <v>3.4</v>
      </c>
      <c r="G7408" s="4" t="str">
        <f>HYPERLINK("http://141.218.60.56/~jnz1568/getInfo.php?workbook=14_09.xlsx&amp;sheet=U0&amp;row=7408&amp;col=7&amp;number=0.00405&amp;sourceID=14","0.00405")</f>
        <v>0.00405</v>
      </c>
    </row>
    <row r="7409" spans="1:7">
      <c r="A7409" s="3"/>
      <c r="B7409" s="3"/>
      <c r="C7409" s="3"/>
      <c r="D7409" s="3"/>
      <c r="E7409" s="3">
        <v>6</v>
      </c>
      <c r="F7409" s="4" t="str">
        <f>HYPERLINK("http://141.218.60.56/~jnz1568/getInfo.php?workbook=14_09.xlsx&amp;sheet=U0&amp;row=7409&amp;col=6&amp;number=3.5&amp;sourceID=14","3.5")</f>
        <v>3.5</v>
      </c>
      <c r="G7409" s="4" t="str">
        <f>HYPERLINK("http://141.218.60.56/~jnz1568/getInfo.php?workbook=14_09.xlsx&amp;sheet=U0&amp;row=7409&amp;col=7&amp;number=0.00405&amp;sourceID=14","0.00405")</f>
        <v>0.00405</v>
      </c>
    </row>
    <row r="7410" spans="1:7">
      <c r="A7410" s="3"/>
      <c r="B7410" s="3"/>
      <c r="C7410" s="3"/>
      <c r="D7410" s="3"/>
      <c r="E7410" s="3">
        <v>7</v>
      </c>
      <c r="F7410" s="4" t="str">
        <f>HYPERLINK("http://141.218.60.56/~jnz1568/getInfo.php?workbook=14_09.xlsx&amp;sheet=U0&amp;row=7410&amp;col=6&amp;number=3.6&amp;sourceID=14","3.6")</f>
        <v>3.6</v>
      </c>
      <c r="G7410" s="4" t="str">
        <f>HYPERLINK("http://141.218.60.56/~jnz1568/getInfo.php?workbook=14_09.xlsx&amp;sheet=U0&amp;row=7410&amp;col=7&amp;number=0.00405&amp;sourceID=14","0.00405")</f>
        <v>0.00405</v>
      </c>
    </row>
    <row r="7411" spans="1:7">
      <c r="A7411" s="3"/>
      <c r="B7411" s="3"/>
      <c r="C7411" s="3"/>
      <c r="D7411" s="3"/>
      <c r="E7411" s="3">
        <v>8</v>
      </c>
      <c r="F7411" s="4" t="str">
        <f>HYPERLINK("http://141.218.60.56/~jnz1568/getInfo.php?workbook=14_09.xlsx&amp;sheet=U0&amp;row=7411&amp;col=6&amp;number=3.7&amp;sourceID=14","3.7")</f>
        <v>3.7</v>
      </c>
      <c r="G7411" s="4" t="str">
        <f>HYPERLINK("http://141.218.60.56/~jnz1568/getInfo.php?workbook=14_09.xlsx&amp;sheet=U0&amp;row=7411&amp;col=7&amp;number=0.00404&amp;sourceID=14","0.00404")</f>
        <v>0.00404</v>
      </c>
    </row>
    <row r="7412" spans="1:7">
      <c r="A7412" s="3"/>
      <c r="B7412" s="3"/>
      <c r="C7412" s="3"/>
      <c r="D7412" s="3"/>
      <c r="E7412" s="3">
        <v>9</v>
      </c>
      <c r="F7412" s="4" t="str">
        <f>HYPERLINK("http://141.218.60.56/~jnz1568/getInfo.php?workbook=14_09.xlsx&amp;sheet=U0&amp;row=7412&amp;col=6&amp;number=3.8&amp;sourceID=14","3.8")</f>
        <v>3.8</v>
      </c>
      <c r="G7412" s="4" t="str">
        <f>HYPERLINK("http://141.218.60.56/~jnz1568/getInfo.php?workbook=14_09.xlsx&amp;sheet=U0&amp;row=7412&amp;col=7&amp;number=0.00403&amp;sourceID=14","0.00403")</f>
        <v>0.00403</v>
      </c>
    </row>
    <row r="7413" spans="1:7">
      <c r="A7413" s="3"/>
      <c r="B7413" s="3"/>
      <c r="C7413" s="3"/>
      <c r="D7413" s="3"/>
      <c r="E7413" s="3">
        <v>10</v>
      </c>
      <c r="F7413" s="4" t="str">
        <f>HYPERLINK("http://141.218.60.56/~jnz1568/getInfo.php?workbook=14_09.xlsx&amp;sheet=U0&amp;row=7413&amp;col=6&amp;number=3.9&amp;sourceID=14","3.9")</f>
        <v>3.9</v>
      </c>
      <c r="G7413" s="4" t="str">
        <f>HYPERLINK("http://141.218.60.56/~jnz1568/getInfo.php?workbook=14_09.xlsx&amp;sheet=U0&amp;row=7413&amp;col=7&amp;number=0.00402&amp;sourceID=14","0.00402")</f>
        <v>0.00402</v>
      </c>
    </row>
    <row r="7414" spans="1:7">
      <c r="A7414" s="3"/>
      <c r="B7414" s="3"/>
      <c r="C7414" s="3"/>
      <c r="D7414" s="3"/>
      <c r="E7414" s="3">
        <v>11</v>
      </c>
      <c r="F7414" s="4" t="str">
        <f>HYPERLINK("http://141.218.60.56/~jnz1568/getInfo.php?workbook=14_09.xlsx&amp;sheet=U0&amp;row=7414&amp;col=6&amp;number=4&amp;sourceID=14","4")</f>
        <v>4</v>
      </c>
      <c r="G7414" s="4" t="str">
        <f>HYPERLINK("http://141.218.60.56/~jnz1568/getInfo.php?workbook=14_09.xlsx&amp;sheet=U0&amp;row=7414&amp;col=7&amp;number=0.00401&amp;sourceID=14","0.00401")</f>
        <v>0.00401</v>
      </c>
    </row>
    <row r="7415" spans="1:7">
      <c r="A7415" s="3"/>
      <c r="B7415" s="3"/>
      <c r="C7415" s="3"/>
      <c r="D7415" s="3"/>
      <c r="E7415" s="3">
        <v>12</v>
      </c>
      <c r="F7415" s="4" t="str">
        <f>HYPERLINK("http://141.218.60.56/~jnz1568/getInfo.php?workbook=14_09.xlsx&amp;sheet=U0&amp;row=7415&amp;col=6&amp;number=4.1&amp;sourceID=14","4.1")</f>
        <v>4.1</v>
      </c>
      <c r="G7415" s="4" t="str">
        <f>HYPERLINK("http://141.218.60.56/~jnz1568/getInfo.php?workbook=14_09.xlsx&amp;sheet=U0&amp;row=7415&amp;col=7&amp;number=0.00399&amp;sourceID=14","0.00399")</f>
        <v>0.00399</v>
      </c>
    </row>
    <row r="7416" spans="1:7">
      <c r="A7416" s="3"/>
      <c r="B7416" s="3"/>
      <c r="C7416" s="3"/>
      <c r="D7416" s="3"/>
      <c r="E7416" s="3">
        <v>13</v>
      </c>
      <c r="F7416" s="4" t="str">
        <f>HYPERLINK("http://141.218.60.56/~jnz1568/getInfo.php?workbook=14_09.xlsx&amp;sheet=U0&amp;row=7416&amp;col=6&amp;number=4.2&amp;sourceID=14","4.2")</f>
        <v>4.2</v>
      </c>
      <c r="G7416" s="4" t="str">
        <f>HYPERLINK("http://141.218.60.56/~jnz1568/getInfo.php?workbook=14_09.xlsx&amp;sheet=U0&amp;row=7416&amp;col=7&amp;number=0.00397&amp;sourceID=14","0.00397")</f>
        <v>0.00397</v>
      </c>
    </row>
    <row r="7417" spans="1:7">
      <c r="A7417" s="3"/>
      <c r="B7417" s="3"/>
      <c r="C7417" s="3"/>
      <c r="D7417" s="3"/>
      <c r="E7417" s="3">
        <v>14</v>
      </c>
      <c r="F7417" s="4" t="str">
        <f>HYPERLINK("http://141.218.60.56/~jnz1568/getInfo.php?workbook=14_09.xlsx&amp;sheet=U0&amp;row=7417&amp;col=6&amp;number=4.3&amp;sourceID=14","4.3")</f>
        <v>4.3</v>
      </c>
      <c r="G7417" s="4" t="str">
        <f>HYPERLINK("http://141.218.60.56/~jnz1568/getInfo.php?workbook=14_09.xlsx&amp;sheet=U0&amp;row=7417&amp;col=7&amp;number=0.00395&amp;sourceID=14","0.00395")</f>
        <v>0.00395</v>
      </c>
    </row>
    <row r="7418" spans="1:7">
      <c r="A7418" s="3"/>
      <c r="B7418" s="3"/>
      <c r="C7418" s="3"/>
      <c r="D7418" s="3"/>
      <c r="E7418" s="3">
        <v>15</v>
      </c>
      <c r="F7418" s="4" t="str">
        <f>HYPERLINK("http://141.218.60.56/~jnz1568/getInfo.php?workbook=14_09.xlsx&amp;sheet=U0&amp;row=7418&amp;col=6&amp;number=4.4&amp;sourceID=14","4.4")</f>
        <v>4.4</v>
      </c>
      <c r="G7418" s="4" t="str">
        <f>HYPERLINK("http://141.218.60.56/~jnz1568/getInfo.php?workbook=14_09.xlsx&amp;sheet=U0&amp;row=7418&amp;col=7&amp;number=0.00392&amp;sourceID=14","0.00392")</f>
        <v>0.00392</v>
      </c>
    </row>
    <row r="7419" spans="1:7">
      <c r="A7419" s="3"/>
      <c r="B7419" s="3"/>
      <c r="C7419" s="3"/>
      <c r="D7419" s="3"/>
      <c r="E7419" s="3">
        <v>16</v>
      </c>
      <c r="F7419" s="4" t="str">
        <f>HYPERLINK("http://141.218.60.56/~jnz1568/getInfo.php?workbook=14_09.xlsx&amp;sheet=U0&amp;row=7419&amp;col=6&amp;number=4.5&amp;sourceID=14","4.5")</f>
        <v>4.5</v>
      </c>
      <c r="G7419" s="4" t="str">
        <f>HYPERLINK("http://141.218.60.56/~jnz1568/getInfo.php?workbook=14_09.xlsx&amp;sheet=U0&amp;row=7419&amp;col=7&amp;number=0.00388&amp;sourceID=14","0.00388")</f>
        <v>0.00388</v>
      </c>
    </row>
    <row r="7420" spans="1:7">
      <c r="A7420" s="3"/>
      <c r="B7420" s="3"/>
      <c r="C7420" s="3"/>
      <c r="D7420" s="3"/>
      <c r="E7420" s="3">
        <v>17</v>
      </c>
      <c r="F7420" s="4" t="str">
        <f>HYPERLINK("http://141.218.60.56/~jnz1568/getInfo.php?workbook=14_09.xlsx&amp;sheet=U0&amp;row=7420&amp;col=6&amp;number=4.6&amp;sourceID=14","4.6")</f>
        <v>4.6</v>
      </c>
      <c r="G7420" s="4" t="str">
        <f>HYPERLINK("http://141.218.60.56/~jnz1568/getInfo.php?workbook=14_09.xlsx&amp;sheet=U0&amp;row=7420&amp;col=7&amp;number=0.00384&amp;sourceID=14","0.00384")</f>
        <v>0.00384</v>
      </c>
    </row>
    <row r="7421" spans="1:7">
      <c r="A7421" s="3"/>
      <c r="B7421" s="3"/>
      <c r="C7421" s="3"/>
      <c r="D7421" s="3"/>
      <c r="E7421" s="3">
        <v>18</v>
      </c>
      <c r="F7421" s="4" t="str">
        <f>HYPERLINK("http://141.218.60.56/~jnz1568/getInfo.php?workbook=14_09.xlsx&amp;sheet=U0&amp;row=7421&amp;col=6&amp;number=4.7&amp;sourceID=14","4.7")</f>
        <v>4.7</v>
      </c>
      <c r="G7421" s="4" t="str">
        <f>HYPERLINK("http://141.218.60.56/~jnz1568/getInfo.php?workbook=14_09.xlsx&amp;sheet=U0&amp;row=7421&amp;col=7&amp;number=0.0038&amp;sourceID=14","0.0038")</f>
        <v>0.0038</v>
      </c>
    </row>
    <row r="7422" spans="1:7">
      <c r="A7422" s="3"/>
      <c r="B7422" s="3"/>
      <c r="C7422" s="3"/>
      <c r="D7422" s="3"/>
      <c r="E7422" s="3">
        <v>19</v>
      </c>
      <c r="F7422" s="4" t="str">
        <f>HYPERLINK("http://141.218.60.56/~jnz1568/getInfo.php?workbook=14_09.xlsx&amp;sheet=U0&amp;row=7422&amp;col=6&amp;number=4.8&amp;sourceID=14","4.8")</f>
        <v>4.8</v>
      </c>
      <c r="G7422" s="4" t="str">
        <f>HYPERLINK("http://141.218.60.56/~jnz1568/getInfo.php?workbook=14_09.xlsx&amp;sheet=U0&amp;row=7422&amp;col=7&amp;number=0.00376&amp;sourceID=14","0.00376")</f>
        <v>0.00376</v>
      </c>
    </row>
    <row r="7423" spans="1:7">
      <c r="A7423" s="3"/>
      <c r="B7423" s="3"/>
      <c r="C7423" s="3"/>
      <c r="D7423" s="3"/>
      <c r="E7423" s="3">
        <v>20</v>
      </c>
      <c r="F7423" s="4" t="str">
        <f>HYPERLINK("http://141.218.60.56/~jnz1568/getInfo.php?workbook=14_09.xlsx&amp;sheet=U0&amp;row=7423&amp;col=6&amp;number=4.9&amp;sourceID=14","4.9")</f>
        <v>4.9</v>
      </c>
      <c r="G7423" s="4" t="str">
        <f>HYPERLINK("http://141.218.60.56/~jnz1568/getInfo.php?workbook=14_09.xlsx&amp;sheet=U0&amp;row=7423&amp;col=7&amp;number=0.00372&amp;sourceID=14","0.00372")</f>
        <v>0.00372</v>
      </c>
    </row>
    <row r="7424" spans="1:7">
      <c r="A7424" s="3">
        <v>14</v>
      </c>
      <c r="B7424" s="3">
        <v>9</v>
      </c>
      <c r="C7424" s="3">
        <v>2</v>
      </c>
      <c r="D7424" s="3">
        <v>180</v>
      </c>
      <c r="E7424" s="3">
        <v>1</v>
      </c>
      <c r="F7424" s="4" t="str">
        <f>HYPERLINK("http://141.218.60.56/~jnz1568/getInfo.php?workbook=14_09.xlsx&amp;sheet=U0&amp;row=7424&amp;col=6&amp;number=3&amp;sourceID=14","3")</f>
        <v>3</v>
      </c>
      <c r="G7424" s="4" t="str">
        <f>HYPERLINK("http://141.218.60.56/~jnz1568/getInfo.php?workbook=14_09.xlsx&amp;sheet=U0&amp;row=7424&amp;col=7&amp;number=0.00971&amp;sourceID=14","0.00971")</f>
        <v>0.00971</v>
      </c>
    </row>
    <row r="7425" spans="1:7">
      <c r="A7425" s="3"/>
      <c r="B7425" s="3"/>
      <c r="C7425" s="3"/>
      <c r="D7425" s="3"/>
      <c r="E7425" s="3">
        <v>2</v>
      </c>
      <c r="F7425" s="4" t="str">
        <f>HYPERLINK("http://141.218.60.56/~jnz1568/getInfo.php?workbook=14_09.xlsx&amp;sheet=U0&amp;row=7425&amp;col=6&amp;number=3.1&amp;sourceID=14","3.1")</f>
        <v>3.1</v>
      </c>
      <c r="G7425" s="4" t="str">
        <f>HYPERLINK("http://141.218.60.56/~jnz1568/getInfo.php?workbook=14_09.xlsx&amp;sheet=U0&amp;row=7425&amp;col=7&amp;number=0.00971&amp;sourceID=14","0.00971")</f>
        <v>0.00971</v>
      </c>
    </row>
    <row r="7426" spans="1:7">
      <c r="A7426" s="3"/>
      <c r="B7426" s="3"/>
      <c r="C7426" s="3"/>
      <c r="D7426" s="3"/>
      <c r="E7426" s="3">
        <v>3</v>
      </c>
      <c r="F7426" s="4" t="str">
        <f>HYPERLINK("http://141.218.60.56/~jnz1568/getInfo.php?workbook=14_09.xlsx&amp;sheet=U0&amp;row=7426&amp;col=6&amp;number=3.2&amp;sourceID=14","3.2")</f>
        <v>3.2</v>
      </c>
      <c r="G7426" s="4" t="str">
        <f>HYPERLINK("http://141.218.60.56/~jnz1568/getInfo.php?workbook=14_09.xlsx&amp;sheet=U0&amp;row=7426&amp;col=7&amp;number=0.00971&amp;sourceID=14","0.00971")</f>
        <v>0.00971</v>
      </c>
    </row>
    <row r="7427" spans="1:7">
      <c r="A7427" s="3"/>
      <c r="B7427" s="3"/>
      <c r="C7427" s="3"/>
      <c r="D7427" s="3"/>
      <c r="E7427" s="3">
        <v>4</v>
      </c>
      <c r="F7427" s="4" t="str">
        <f>HYPERLINK("http://141.218.60.56/~jnz1568/getInfo.php?workbook=14_09.xlsx&amp;sheet=U0&amp;row=7427&amp;col=6&amp;number=3.3&amp;sourceID=14","3.3")</f>
        <v>3.3</v>
      </c>
      <c r="G7427" s="4" t="str">
        <f>HYPERLINK("http://141.218.60.56/~jnz1568/getInfo.php?workbook=14_09.xlsx&amp;sheet=U0&amp;row=7427&amp;col=7&amp;number=0.00972&amp;sourceID=14","0.00972")</f>
        <v>0.00972</v>
      </c>
    </row>
    <row r="7428" spans="1:7">
      <c r="A7428" s="3"/>
      <c r="B7428" s="3"/>
      <c r="C7428" s="3"/>
      <c r="D7428" s="3"/>
      <c r="E7428" s="3">
        <v>5</v>
      </c>
      <c r="F7428" s="4" t="str">
        <f>HYPERLINK("http://141.218.60.56/~jnz1568/getInfo.php?workbook=14_09.xlsx&amp;sheet=U0&amp;row=7428&amp;col=6&amp;number=3.4&amp;sourceID=14","3.4")</f>
        <v>3.4</v>
      </c>
      <c r="G7428" s="4" t="str">
        <f>HYPERLINK("http://141.218.60.56/~jnz1568/getInfo.php?workbook=14_09.xlsx&amp;sheet=U0&amp;row=7428&amp;col=7&amp;number=0.00972&amp;sourceID=14","0.00972")</f>
        <v>0.00972</v>
      </c>
    </row>
    <row r="7429" spans="1:7">
      <c r="A7429" s="3"/>
      <c r="B7429" s="3"/>
      <c r="C7429" s="3"/>
      <c r="D7429" s="3"/>
      <c r="E7429" s="3">
        <v>6</v>
      </c>
      <c r="F7429" s="4" t="str">
        <f>HYPERLINK("http://141.218.60.56/~jnz1568/getInfo.php?workbook=14_09.xlsx&amp;sheet=U0&amp;row=7429&amp;col=6&amp;number=3.5&amp;sourceID=14","3.5")</f>
        <v>3.5</v>
      </c>
      <c r="G7429" s="4" t="str">
        <f>HYPERLINK("http://141.218.60.56/~jnz1568/getInfo.php?workbook=14_09.xlsx&amp;sheet=U0&amp;row=7429&amp;col=7&amp;number=0.00972&amp;sourceID=14","0.00972")</f>
        <v>0.00972</v>
      </c>
    </row>
    <row r="7430" spans="1:7">
      <c r="A7430" s="3"/>
      <c r="B7430" s="3"/>
      <c r="C7430" s="3"/>
      <c r="D7430" s="3"/>
      <c r="E7430" s="3">
        <v>7</v>
      </c>
      <c r="F7430" s="4" t="str">
        <f>HYPERLINK("http://141.218.60.56/~jnz1568/getInfo.php?workbook=14_09.xlsx&amp;sheet=U0&amp;row=7430&amp;col=6&amp;number=3.6&amp;sourceID=14","3.6")</f>
        <v>3.6</v>
      </c>
      <c r="G7430" s="4" t="str">
        <f>HYPERLINK("http://141.218.60.56/~jnz1568/getInfo.php?workbook=14_09.xlsx&amp;sheet=U0&amp;row=7430&amp;col=7&amp;number=0.00972&amp;sourceID=14","0.00972")</f>
        <v>0.00972</v>
      </c>
    </row>
    <row r="7431" spans="1:7">
      <c r="A7431" s="3"/>
      <c r="B7431" s="3"/>
      <c r="C7431" s="3"/>
      <c r="D7431" s="3"/>
      <c r="E7431" s="3">
        <v>8</v>
      </c>
      <c r="F7431" s="4" t="str">
        <f>HYPERLINK("http://141.218.60.56/~jnz1568/getInfo.php?workbook=14_09.xlsx&amp;sheet=U0&amp;row=7431&amp;col=6&amp;number=3.7&amp;sourceID=14","3.7")</f>
        <v>3.7</v>
      </c>
      <c r="G7431" s="4" t="str">
        <f>HYPERLINK("http://141.218.60.56/~jnz1568/getInfo.php?workbook=14_09.xlsx&amp;sheet=U0&amp;row=7431&amp;col=7&amp;number=0.00973&amp;sourceID=14","0.00973")</f>
        <v>0.00973</v>
      </c>
    </row>
    <row r="7432" spans="1:7">
      <c r="A7432" s="3"/>
      <c r="B7432" s="3"/>
      <c r="C7432" s="3"/>
      <c r="D7432" s="3"/>
      <c r="E7432" s="3">
        <v>9</v>
      </c>
      <c r="F7432" s="4" t="str">
        <f>HYPERLINK("http://141.218.60.56/~jnz1568/getInfo.php?workbook=14_09.xlsx&amp;sheet=U0&amp;row=7432&amp;col=6&amp;number=3.8&amp;sourceID=14","3.8")</f>
        <v>3.8</v>
      </c>
      <c r="G7432" s="4" t="str">
        <f>HYPERLINK("http://141.218.60.56/~jnz1568/getInfo.php?workbook=14_09.xlsx&amp;sheet=U0&amp;row=7432&amp;col=7&amp;number=0.00973&amp;sourceID=14","0.00973")</f>
        <v>0.00973</v>
      </c>
    </row>
    <row r="7433" spans="1:7">
      <c r="A7433" s="3"/>
      <c r="B7433" s="3"/>
      <c r="C7433" s="3"/>
      <c r="D7433" s="3"/>
      <c r="E7433" s="3">
        <v>10</v>
      </c>
      <c r="F7433" s="4" t="str">
        <f>HYPERLINK("http://141.218.60.56/~jnz1568/getInfo.php?workbook=14_09.xlsx&amp;sheet=U0&amp;row=7433&amp;col=6&amp;number=3.9&amp;sourceID=14","3.9")</f>
        <v>3.9</v>
      </c>
      <c r="G7433" s="4" t="str">
        <f>HYPERLINK("http://141.218.60.56/~jnz1568/getInfo.php?workbook=14_09.xlsx&amp;sheet=U0&amp;row=7433&amp;col=7&amp;number=0.00974&amp;sourceID=14","0.00974")</f>
        <v>0.00974</v>
      </c>
    </row>
    <row r="7434" spans="1:7">
      <c r="A7434" s="3"/>
      <c r="B7434" s="3"/>
      <c r="C7434" s="3"/>
      <c r="D7434" s="3"/>
      <c r="E7434" s="3">
        <v>11</v>
      </c>
      <c r="F7434" s="4" t="str">
        <f>HYPERLINK("http://141.218.60.56/~jnz1568/getInfo.php?workbook=14_09.xlsx&amp;sheet=U0&amp;row=7434&amp;col=6&amp;number=4&amp;sourceID=14","4")</f>
        <v>4</v>
      </c>
      <c r="G7434" s="4" t="str">
        <f>HYPERLINK("http://141.218.60.56/~jnz1568/getInfo.php?workbook=14_09.xlsx&amp;sheet=U0&amp;row=7434&amp;col=7&amp;number=0.00975&amp;sourceID=14","0.00975")</f>
        <v>0.00975</v>
      </c>
    </row>
    <row r="7435" spans="1:7">
      <c r="A7435" s="3"/>
      <c r="B7435" s="3"/>
      <c r="C7435" s="3"/>
      <c r="D7435" s="3"/>
      <c r="E7435" s="3">
        <v>12</v>
      </c>
      <c r="F7435" s="4" t="str">
        <f>HYPERLINK("http://141.218.60.56/~jnz1568/getInfo.php?workbook=14_09.xlsx&amp;sheet=U0&amp;row=7435&amp;col=6&amp;number=4.1&amp;sourceID=14","4.1")</f>
        <v>4.1</v>
      </c>
      <c r="G7435" s="4" t="str">
        <f>HYPERLINK("http://141.218.60.56/~jnz1568/getInfo.php?workbook=14_09.xlsx&amp;sheet=U0&amp;row=7435&amp;col=7&amp;number=0.00976&amp;sourceID=14","0.00976")</f>
        <v>0.00976</v>
      </c>
    </row>
    <row r="7436" spans="1:7">
      <c r="A7436" s="3"/>
      <c r="B7436" s="3"/>
      <c r="C7436" s="3"/>
      <c r="D7436" s="3"/>
      <c r="E7436" s="3">
        <v>13</v>
      </c>
      <c r="F7436" s="4" t="str">
        <f>HYPERLINK("http://141.218.60.56/~jnz1568/getInfo.php?workbook=14_09.xlsx&amp;sheet=U0&amp;row=7436&amp;col=6&amp;number=4.2&amp;sourceID=14","4.2")</f>
        <v>4.2</v>
      </c>
      <c r="G7436" s="4" t="str">
        <f>HYPERLINK("http://141.218.60.56/~jnz1568/getInfo.php?workbook=14_09.xlsx&amp;sheet=U0&amp;row=7436&amp;col=7&amp;number=0.00977&amp;sourceID=14","0.00977")</f>
        <v>0.00977</v>
      </c>
    </row>
    <row r="7437" spans="1:7">
      <c r="A7437" s="3"/>
      <c r="B7437" s="3"/>
      <c r="C7437" s="3"/>
      <c r="D7437" s="3"/>
      <c r="E7437" s="3">
        <v>14</v>
      </c>
      <c r="F7437" s="4" t="str">
        <f>HYPERLINK("http://141.218.60.56/~jnz1568/getInfo.php?workbook=14_09.xlsx&amp;sheet=U0&amp;row=7437&amp;col=6&amp;number=4.3&amp;sourceID=14","4.3")</f>
        <v>4.3</v>
      </c>
      <c r="G7437" s="4" t="str">
        <f>HYPERLINK("http://141.218.60.56/~jnz1568/getInfo.php?workbook=14_09.xlsx&amp;sheet=U0&amp;row=7437&amp;col=7&amp;number=0.00979&amp;sourceID=14","0.00979")</f>
        <v>0.00979</v>
      </c>
    </row>
    <row r="7438" spans="1:7">
      <c r="A7438" s="3"/>
      <c r="B7438" s="3"/>
      <c r="C7438" s="3"/>
      <c r="D7438" s="3"/>
      <c r="E7438" s="3">
        <v>15</v>
      </c>
      <c r="F7438" s="4" t="str">
        <f>HYPERLINK("http://141.218.60.56/~jnz1568/getInfo.php?workbook=14_09.xlsx&amp;sheet=U0&amp;row=7438&amp;col=6&amp;number=4.4&amp;sourceID=14","4.4")</f>
        <v>4.4</v>
      </c>
      <c r="G7438" s="4" t="str">
        <f>HYPERLINK("http://141.218.60.56/~jnz1568/getInfo.php?workbook=14_09.xlsx&amp;sheet=U0&amp;row=7438&amp;col=7&amp;number=0.00981&amp;sourceID=14","0.00981")</f>
        <v>0.00981</v>
      </c>
    </row>
    <row r="7439" spans="1:7">
      <c r="A7439" s="3"/>
      <c r="B7439" s="3"/>
      <c r="C7439" s="3"/>
      <c r="D7439" s="3"/>
      <c r="E7439" s="3">
        <v>16</v>
      </c>
      <c r="F7439" s="4" t="str">
        <f>HYPERLINK("http://141.218.60.56/~jnz1568/getInfo.php?workbook=14_09.xlsx&amp;sheet=U0&amp;row=7439&amp;col=6&amp;number=4.5&amp;sourceID=14","4.5")</f>
        <v>4.5</v>
      </c>
      <c r="G7439" s="4" t="str">
        <f>HYPERLINK("http://141.218.60.56/~jnz1568/getInfo.php?workbook=14_09.xlsx&amp;sheet=U0&amp;row=7439&amp;col=7&amp;number=0.00984&amp;sourceID=14","0.00984")</f>
        <v>0.00984</v>
      </c>
    </row>
    <row r="7440" spans="1:7">
      <c r="A7440" s="3"/>
      <c r="B7440" s="3"/>
      <c r="C7440" s="3"/>
      <c r="D7440" s="3"/>
      <c r="E7440" s="3">
        <v>17</v>
      </c>
      <c r="F7440" s="4" t="str">
        <f>HYPERLINK("http://141.218.60.56/~jnz1568/getInfo.php?workbook=14_09.xlsx&amp;sheet=U0&amp;row=7440&amp;col=6&amp;number=4.6&amp;sourceID=14","4.6")</f>
        <v>4.6</v>
      </c>
      <c r="G7440" s="4" t="str">
        <f>HYPERLINK("http://141.218.60.56/~jnz1568/getInfo.php?workbook=14_09.xlsx&amp;sheet=U0&amp;row=7440&amp;col=7&amp;number=0.00987&amp;sourceID=14","0.00987")</f>
        <v>0.00987</v>
      </c>
    </row>
    <row r="7441" spans="1:7">
      <c r="A7441" s="3"/>
      <c r="B7441" s="3"/>
      <c r="C7441" s="3"/>
      <c r="D7441" s="3"/>
      <c r="E7441" s="3">
        <v>18</v>
      </c>
      <c r="F7441" s="4" t="str">
        <f>HYPERLINK("http://141.218.60.56/~jnz1568/getInfo.php?workbook=14_09.xlsx&amp;sheet=U0&amp;row=7441&amp;col=6&amp;number=4.7&amp;sourceID=14","4.7")</f>
        <v>4.7</v>
      </c>
      <c r="G7441" s="4" t="str">
        <f>HYPERLINK("http://141.218.60.56/~jnz1568/getInfo.php?workbook=14_09.xlsx&amp;sheet=U0&amp;row=7441&amp;col=7&amp;number=0.00991&amp;sourceID=14","0.00991")</f>
        <v>0.00991</v>
      </c>
    </row>
    <row r="7442" spans="1:7">
      <c r="A7442" s="3"/>
      <c r="B7442" s="3"/>
      <c r="C7442" s="3"/>
      <c r="D7442" s="3"/>
      <c r="E7442" s="3">
        <v>19</v>
      </c>
      <c r="F7442" s="4" t="str">
        <f>HYPERLINK("http://141.218.60.56/~jnz1568/getInfo.php?workbook=14_09.xlsx&amp;sheet=U0&amp;row=7442&amp;col=6&amp;number=4.8&amp;sourceID=14","4.8")</f>
        <v>4.8</v>
      </c>
      <c r="G7442" s="4" t="str">
        <f>HYPERLINK("http://141.218.60.56/~jnz1568/getInfo.php?workbook=14_09.xlsx&amp;sheet=U0&amp;row=7442&amp;col=7&amp;number=0.00996&amp;sourceID=14","0.00996")</f>
        <v>0.00996</v>
      </c>
    </row>
    <row r="7443" spans="1:7">
      <c r="A7443" s="3"/>
      <c r="B7443" s="3"/>
      <c r="C7443" s="3"/>
      <c r="D7443" s="3"/>
      <c r="E7443" s="3">
        <v>20</v>
      </c>
      <c r="F7443" s="4" t="str">
        <f>HYPERLINK("http://141.218.60.56/~jnz1568/getInfo.php?workbook=14_09.xlsx&amp;sheet=U0&amp;row=7443&amp;col=6&amp;number=4.9&amp;sourceID=14","4.9")</f>
        <v>4.9</v>
      </c>
      <c r="G7443" s="4" t="str">
        <f>HYPERLINK("http://141.218.60.56/~jnz1568/getInfo.php?workbook=14_09.xlsx&amp;sheet=U0&amp;row=7443&amp;col=7&amp;number=0.01&amp;sourceID=14","0.01")</f>
        <v>0.01</v>
      </c>
    </row>
    <row r="7444" spans="1:7">
      <c r="A7444" s="3">
        <v>14</v>
      </c>
      <c r="B7444" s="3">
        <v>9</v>
      </c>
      <c r="C7444" s="3">
        <v>2</v>
      </c>
      <c r="D7444" s="3">
        <v>181</v>
      </c>
      <c r="E7444" s="3">
        <v>1</v>
      </c>
      <c r="F7444" s="4" t="str">
        <f>HYPERLINK("http://141.218.60.56/~jnz1568/getInfo.php?workbook=14_09.xlsx&amp;sheet=U0&amp;row=7444&amp;col=6&amp;number=3&amp;sourceID=14","3")</f>
        <v>3</v>
      </c>
      <c r="G7444" s="4" t="str">
        <f>HYPERLINK("http://141.218.60.56/~jnz1568/getInfo.php?workbook=14_09.xlsx&amp;sheet=U0&amp;row=7444&amp;col=7&amp;number=0.012&amp;sourceID=14","0.012")</f>
        <v>0.012</v>
      </c>
    </row>
    <row r="7445" spans="1:7">
      <c r="A7445" s="3"/>
      <c r="B7445" s="3"/>
      <c r="C7445" s="3"/>
      <c r="D7445" s="3"/>
      <c r="E7445" s="3">
        <v>2</v>
      </c>
      <c r="F7445" s="4" t="str">
        <f>HYPERLINK("http://141.218.60.56/~jnz1568/getInfo.php?workbook=14_09.xlsx&amp;sheet=U0&amp;row=7445&amp;col=6&amp;number=3.1&amp;sourceID=14","3.1")</f>
        <v>3.1</v>
      </c>
      <c r="G7445" s="4" t="str">
        <f>HYPERLINK("http://141.218.60.56/~jnz1568/getInfo.php?workbook=14_09.xlsx&amp;sheet=U0&amp;row=7445&amp;col=7&amp;number=0.012&amp;sourceID=14","0.012")</f>
        <v>0.012</v>
      </c>
    </row>
    <row r="7446" spans="1:7">
      <c r="A7446" s="3"/>
      <c r="B7446" s="3"/>
      <c r="C7446" s="3"/>
      <c r="D7446" s="3"/>
      <c r="E7446" s="3">
        <v>3</v>
      </c>
      <c r="F7446" s="4" t="str">
        <f>HYPERLINK("http://141.218.60.56/~jnz1568/getInfo.php?workbook=14_09.xlsx&amp;sheet=U0&amp;row=7446&amp;col=6&amp;number=3.2&amp;sourceID=14","3.2")</f>
        <v>3.2</v>
      </c>
      <c r="G7446" s="4" t="str">
        <f>HYPERLINK("http://141.218.60.56/~jnz1568/getInfo.php?workbook=14_09.xlsx&amp;sheet=U0&amp;row=7446&amp;col=7&amp;number=0.012&amp;sourceID=14","0.012")</f>
        <v>0.012</v>
      </c>
    </row>
    <row r="7447" spans="1:7">
      <c r="A7447" s="3"/>
      <c r="B7447" s="3"/>
      <c r="C7447" s="3"/>
      <c r="D7447" s="3"/>
      <c r="E7447" s="3">
        <v>4</v>
      </c>
      <c r="F7447" s="4" t="str">
        <f>HYPERLINK("http://141.218.60.56/~jnz1568/getInfo.php?workbook=14_09.xlsx&amp;sheet=U0&amp;row=7447&amp;col=6&amp;number=3.3&amp;sourceID=14","3.3")</f>
        <v>3.3</v>
      </c>
      <c r="G7447" s="4" t="str">
        <f>HYPERLINK("http://141.218.60.56/~jnz1568/getInfo.php?workbook=14_09.xlsx&amp;sheet=U0&amp;row=7447&amp;col=7&amp;number=0.012&amp;sourceID=14","0.012")</f>
        <v>0.012</v>
      </c>
    </row>
    <row r="7448" spans="1:7">
      <c r="A7448" s="3"/>
      <c r="B7448" s="3"/>
      <c r="C7448" s="3"/>
      <c r="D7448" s="3"/>
      <c r="E7448" s="3">
        <v>5</v>
      </c>
      <c r="F7448" s="4" t="str">
        <f>HYPERLINK("http://141.218.60.56/~jnz1568/getInfo.php?workbook=14_09.xlsx&amp;sheet=U0&amp;row=7448&amp;col=6&amp;number=3.4&amp;sourceID=14","3.4")</f>
        <v>3.4</v>
      </c>
      <c r="G7448" s="4" t="str">
        <f>HYPERLINK("http://141.218.60.56/~jnz1568/getInfo.php?workbook=14_09.xlsx&amp;sheet=U0&amp;row=7448&amp;col=7&amp;number=0.012&amp;sourceID=14","0.012")</f>
        <v>0.012</v>
      </c>
    </row>
    <row r="7449" spans="1:7">
      <c r="A7449" s="3"/>
      <c r="B7449" s="3"/>
      <c r="C7449" s="3"/>
      <c r="D7449" s="3"/>
      <c r="E7449" s="3">
        <v>6</v>
      </c>
      <c r="F7449" s="4" t="str">
        <f>HYPERLINK("http://141.218.60.56/~jnz1568/getInfo.php?workbook=14_09.xlsx&amp;sheet=U0&amp;row=7449&amp;col=6&amp;number=3.5&amp;sourceID=14","3.5")</f>
        <v>3.5</v>
      </c>
      <c r="G7449" s="4" t="str">
        <f>HYPERLINK("http://141.218.60.56/~jnz1568/getInfo.php?workbook=14_09.xlsx&amp;sheet=U0&amp;row=7449&amp;col=7&amp;number=0.012&amp;sourceID=14","0.012")</f>
        <v>0.012</v>
      </c>
    </row>
    <row r="7450" spans="1:7">
      <c r="A7450" s="3"/>
      <c r="B7450" s="3"/>
      <c r="C7450" s="3"/>
      <c r="D7450" s="3"/>
      <c r="E7450" s="3">
        <v>7</v>
      </c>
      <c r="F7450" s="4" t="str">
        <f>HYPERLINK("http://141.218.60.56/~jnz1568/getInfo.php?workbook=14_09.xlsx&amp;sheet=U0&amp;row=7450&amp;col=6&amp;number=3.6&amp;sourceID=14","3.6")</f>
        <v>3.6</v>
      </c>
      <c r="G7450" s="4" t="str">
        <f>HYPERLINK("http://141.218.60.56/~jnz1568/getInfo.php?workbook=14_09.xlsx&amp;sheet=U0&amp;row=7450&amp;col=7&amp;number=0.0121&amp;sourceID=14","0.0121")</f>
        <v>0.0121</v>
      </c>
    </row>
    <row r="7451" spans="1:7">
      <c r="A7451" s="3"/>
      <c r="B7451" s="3"/>
      <c r="C7451" s="3"/>
      <c r="D7451" s="3"/>
      <c r="E7451" s="3">
        <v>8</v>
      </c>
      <c r="F7451" s="4" t="str">
        <f>HYPERLINK("http://141.218.60.56/~jnz1568/getInfo.php?workbook=14_09.xlsx&amp;sheet=U0&amp;row=7451&amp;col=6&amp;number=3.7&amp;sourceID=14","3.7")</f>
        <v>3.7</v>
      </c>
      <c r="G7451" s="4" t="str">
        <f>HYPERLINK("http://141.218.60.56/~jnz1568/getInfo.php?workbook=14_09.xlsx&amp;sheet=U0&amp;row=7451&amp;col=7&amp;number=0.0121&amp;sourceID=14","0.0121")</f>
        <v>0.0121</v>
      </c>
    </row>
    <row r="7452" spans="1:7">
      <c r="A7452" s="3"/>
      <c r="B7452" s="3"/>
      <c r="C7452" s="3"/>
      <c r="D7452" s="3"/>
      <c r="E7452" s="3">
        <v>9</v>
      </c>
      <c r="F7452" s="4" t="str">
        <f>HYPERLINK("http://141.218.60.56/~jnz1568/getInfo.php?workbook=14_09.xlsx&amp;sheet=U0&amp;row=7452&amp;col=6&amp;number=3.8&amp;sourceID=14","3.8")</f>
        <v>3.8</v>
      </c>
      <c r="G7452" s="4" t="str">
        <f>HYPERLINK("http://141.218.60.56/~jnz1568/getInfo.php?workbook=14_09.xlsx&amp;sheet=U0&amp;row=7452&amp;col=7&amp;number=0.0121&amp;sourceID=14","0.0121")</f>
        <v>0.0121</v>
      </c>
    </row>
    <row r="7453" spans="1:7">
      <c r="A7453" s="3"/>
      <c r="B7453" s="3"/>
      <c r="C7453" s="3"/>
      <c r="D7453" s="3"/>
      <c r="E7453" s="3">
        <v>10</v>
      </c>
      <c r="F7453" s="4" t="str">
        <f>HYPERLINK("http://141.218.60.56/~jnz1568/getInfo.php?workbook=14_09.xlsx&amp;sheet=U0&amp;row=7453&amp;col=6&amp;number=3.9&amp;sourceID=14","3.9")</f>
        <v>3.9</v>
      </c>
      <c r="G7453" s="4" t="str">
        <f>HYPERLINK("http://141.218.60.56/~jnz1568/getInfo.php?workbook=14_09.xlsx&amp;sheet=U0&amp;row=7453&amp;col=7&amp;number=0.0121&amp;sourceID=14","0.0121")</f>
        <v>0.0121</v>
      </c>
    </row>
    <row r="7454" spans="1:7">
      <c r="A7454" s="3"/>
      <c r="B7454" s="3"/>
      <c r="C7454" s="3"/>
      <c r="D7454" s="3"/>
      <c r="E7454" s="3">
        <v>11</v>
      </c>
      <c r="F7454" s="4" t="str">
        <f>HYPERLINK("http://141.218.60.56/~jnz1568/getInfo.php?workbook=14_09.xlsx&amp;sheet=U0&amp;row=7454&amp;col=6&amp;number=4&amp;sourceID=14","4")</f>
        <v>4</v>
      </c>
      <c r="G7454" s="4" t="str">
        <f>HYPERLINK("http://141.218.60.56/~jnz1568/getInfo.php?workbook=14_09.xlsx&amp;sheet=U0&amp;row=7454&amp;col=7&amp;number=0.0121&amp;sourceID=14","0.0121")</f>
        <v>0.0121</v>
      </c>
    </row>
    <row r="7455" spans="1:7">
      <c r="A7455" s="3"/>
      <c r="B7455" s="3"/>
      <c r="C7455" s="3"/>
      <c r="D7455" s="3"/>
      <c r="E7455" s="3">
        <v>12</v>
      </c>
      <c r="F7455" s="4" t="str">
        <f>HYPERLINK("http://141.218.60.56/~jnz1568/getInfo.php?workbook=14_09.xlsx&amp;sheet=U0&amp;row=7455&amp;col=6&amp;number=4.1&amp;sourceID=14","4.1")</f>
        <v>4.1</v>
      </c>
      <c r="G7455" s="4" t="str">
        <f>HYPERLINK("http://141.218.60.56/~jnz1568/getInfo.php?workbook=14_09.xlsx&amp;sheet=U0&amp;row=7455&amp;col=7&amp;number=0.0121&amp;sourceID=14","0.0121")</f>
        <v>0.0121</v>
      </c>
    </row>
    <row r="7456" spans="1:7">
      <c r="A7456" s="3"/>
      <c r="B7456" s="3"/>
      <c r="C7456" s="3"/>
      <c r="D7456" s="3"/>
      <c r="E7456" s="3">
        <v>13</v>
      </c>
      <c r="F7456" s="4" t="str">
        <f>HYPERLINK("http://141.218.60.56/~jnz1568/getInfo.php?workbook=14_09.xlsx&amp;sheet=U0&amp;row=7456&amp;col=6&amp;number=4.2&amp;sourceID=14","4.2")</f>
        <v>4.2</v>
      </c>
      <c r="G7456" s="4" t="str">
        <f>HYPERLINK("http://141.218.60.56/~jnz1568/getInfo.php?workbook=14_09.xlsx&amp;sheet=U0&amp;row=7456&amp;col=7&amp;number=0.0121&amp;sourceID=14","0.0121")</f>
        <v>0.0121</v>
      </c>
    </row>
    <row r="7457" spans="1:7">
      <c r="A7457" s="3"/>
      <c r="B7457" s="3"/>
      <c r="C7457" s="3"/>
      <c r="D7457" s="3"/>
      <c r="E7457" s="3">
        <v>14</v>
      </c>
      <c r="F7457" s="4" t="str">
        <f>HYPERLINK("http://141.218.60.56/~jnz1568/getInfo.php?workbook=14_09.xlsx&amp;sheet=U0&amp;row=7457&amp;col=6&amp;number=4.3&amp;sourceID=14","4.3")</f>
        <v>4.3</v>
      </c>
      <c r="G7457" s="4" t="str">
        <f>HYPERLINK("http://141.218.60.56/~jnz1568/getInfo.php?workbook=14_09.xlsx&amp;sheet=U0&amp;row=7457&amp;col=7&amp;number=0.0122&amp;sourceID=14","0.0122")</f>
        <v>0.0122</v>
      </c>
    </row>
    <row r="7458" spans="1:7">
      <c r="A7458" s="3"/>
      <c r="B7458" s="3"/>
      <c r="C7458" s="3"/>
      <c r="D7458" s="3"/>
      <c r="E7458" s="3">
        <v>15</v>
      </c>
      <c r="F7458" s="4" t="str">
        <f>HYPERLINK("http://141.218.60.56/~jnz1568/getInfo.php?workbook=14_09.xlsx&amp;sheet=U0&amp;row=7458&amp;col=6&amp;number=4.4&amp;sourceID=14","4.4")</f>
        <v>4.4</v>
      </c>
      <c r="G7458" s="4" t="str">
        <f>HYPERLINK("http://141.218.60.56/~jnz1568/getInfo.php?workbook=14_09.xlsx&amp;sheet=U0&amp;row=7458&amp;col=7&amp;number=0.0122&amp;sourceID=14","0.0122")</f>
        <v>0.0122</v>
      </c>
    </row>
    <row r="7459" spans="1:7">
      <c r="A7459" s="3"/>
      <c r="B7459" s="3"/>
      <c r="C7459" s="3"/>
      <c r="D7459" s="3"/>
      <c r="E7459" s="3">
        <v>16</v>
      </c>
      <c r="F7459" s="4" t="str">
        <f>HYPERLINK("http://141.218.60.56/~jnz1568/getInfo.php?workbook=14_09.xlsx&amp;sheet=U0&amp;row=7459&amp;col=6&amp;number=4.5&amp;sourceID=14","4.5")</f>
        <v>4.5</v>
      </c>
      <c r="G7459" s="4" t="str">
        <f>HYPERLINK("http://141.218.60.56/~jnz1568/getInfo.php?workbook=14_09.xlsx&amp;sheet=U0&amp;row=7459&amp;col=7&amp;number=0.0123&amp;sourceID=14","0.0123")</f>
        <v>0.0123</v>
      </c>
    </row>
    <row r="7460" spans="1:7">
      <c r="A7460" s="3"/>
      <c r="B7460" s="3"/>
      <c r="C7460" s="3"/>
      <c r="D7460" s="3"/>
      <c r="E7460" s="3">
        <v>17</v>
      </c>
      <c r="F7460" s="4" t="str">
        <f>HYPERLINK("http://141.218.60.56/~jnz1568/getInfo.php?workbook=14_09.xlsx&amp;sheet=U0&amp;row=7460&amp;col=6&amp;number=4.6&amp;sourceID=14","4.6")</f>
        <v>4.6</v>
      </c>
      <c r="G7460" s="4" t="str">
        <f>HYPERLINK("http://141.218.60.56/~jnz1568/getInfo.php?workbook=14_09.xlsx&amp;sheet=U0&amp;row=7460&amp;col=7&amp;number=0.0123&amp;sourceID=14","0.0123")</f>
        <v>0.0123</v>
      </c>
    </row>
    <row r="7461" spans="1:7">
      <c r="A7461" s="3"/>
      <c r="B7461" s="3"/>
      <c r="C7461" s="3"/>
      <c r="D7461" s="3"/>
      <c r="E7461" s="3">
        <v>18</v>
      </c>
      <c r="F7461" s="4" t="str">
        <f>HYPERLINK("http://141.218.60.56/~jnz1568/getInfo.php?workbook=14_09.xlsx&amp;sheet=U0&amp;row=7461&amp;col=6&amp;number=4.7&amp;sourceID=14","4.7")</f>
        <v>4.7</v>
      </c>
      <c r="G7461" s="4" t="str">
        <f>HYPERLINK("http://141.218.60.56/~jnz1568/getInfo.php?workbook=14_09.xlsx&amp;sheet=U0&amp;row=7461&amp;col=7&amp;number=0.0124&amp;sourceID=14","0.0124")</f>
        <v>0.0124</v>
      </c>
    </row>
    <row r="7462" spans="1:7">
      <c r="A7462" s="3"/>
      <c r="B7462" s="3"/>
      <c r="C7462" s="3"/>
      <c r="D7462" s="3"/>
      <c r="E7462" s="3">
        <v>19</v>
      </c>
      <c r="F7462" s="4" t="str">
        <f>HYPERLINK("http://141.218.60.56/~jnz1568/getInfo.php?workbook=14_09.xlsx&amp;sheet=U0&amp;row=7462&amp;col=6&amp;number=4.8&amp;sourceID=14","4.8")</f>
        <v>4.8</v>
      </c>
      <c r="G7462" s="4" t="str">
        <f>HYPERLINK("http://141.218.60.56/~jnz1568/getInfo.php?workbook=14_09.xlsx&amp;sheet=U0&amp;row=7462&amp;col=7&amp;number=0.0125&amp;sourceID=14","0.0125")</f>
        <v>0.0125</v>
      </c>
    </row>
    <row r="7463" spans="1:7">
      <c r="A7463" s="3"/>
      <c r="B7463" s="3"/>
      <c r="C7463" s="3"/>
      <c r="D7463" s="3"/>
      <c r="E7463" s="3">
        <v>20</v>
      </c>
      <c r="F7463" s="4" t="str">
        <f>HYPERLINK("http://141.218.60.56/~jnz1568/getInfo.php?workbook=14_09.xlsx&amp;sheet=U0&amp;row=7463&amp;col=6&amp;number=4.9&amp;sourceID=14","4.9")</f>
        <v>4.9</v>
      </c>
      <c r="G7463" s="4" t="str">
        <f>HYPERLINK("http://141.218.60.56/~jnz1568/getInfo.php?workbook=14_09.xlsx&amp;sheet=U0&amp;row=7463&amp;col=7&amp;number=0.0126&amp;sourceID=14","0.0126")</f>
        <v>0.0126</v>
      </c>
    </row>
    <row r="7464" spans="1:7">
      <c r="A7464" s="3">
        <v>14</v>
      </c>
      <c r="B7464" s="3">
        <v>9</v>
      </c>
      <c r="C7464" s="3">
        <v>2</v>
      </c>
      <c r="D7464" s="3">
        <v>182</v>
      </c>
      <c r="E7464" s="3">
        <v>1</v>
      </c>
      <c r="F7464" s="4" t="str">
        <f>HYPERLINK("http://141.218.60.56/~jnz1568/getInfo.php?workbook=14_09.xlsx&amp;sheet=U0&amp;row=7464&amp;col=6&amp;number=3&amp;sourceID=14","3")</f>
        <v>3</v>
      </c>
      <c r="G7464" s="4" t="str">
        <f>HYPERLINK("http://141.218.60.56/~jnz1568/getInfo.php?workbook=14_09.xlsx&amp;sheet=U0&amp;row=7464&amp;col=7&amp;number=0.00544&amp;sourceID=14","0.00544")</f>
        <v>0.00544</v>
      </c>
    </row>
    <row r="7465" spans="1:7">
      <c r="A7465" s="3"/>
      <c r="B7465" s="3"/>
      <c r="C7465" s="3"/>
      <c r="D7465" s="3"/>
      <c r="E7465" s="3">
        <v>2</v>
      </c>
      <c r="F7465" s="4" t="str">
        <f>HYPERLINK("http://141.218.60.56/~jnz1568/getInfo.php?workbook=14_09.xlsx&amp;sheet=U0&amp;row=7465&amp;col=6&amp;number=3.1&amp;sourceID=14","3.1")</f>
        <v>3.1</v>
      </c>
      <c r="G7465" s="4" t="str">
        <f>HYPERLINK("http://141.218.60.56/~jnz1568/getInfo.php?workbook=14_09.xlsx&amp;sheet=U0&amp;row=7465&amp;col=7&amp;number=0.00544&amp;sourceID=14","0.00544")</f>
        <v>0.00544</v>
      </c>
    </row>
    <row r="7466" spans="1:7">
      <c r="A7466" s="3"/>
      <c r="B7466" s="3"/>
      <c r="C7466" s="3"/>
      <c r="D7466" s="3"/>
      <c r="E7466" s="3">
        <v>3</v>
      </c>
      <c r="F7466" s="4" t="str">
        <f>HYPERLINK("http://141.218.60.56/~jnz1568/getInfo.php?workbook=14_09.xlsx&amp;sheet=U0&amp;row=7466&amp;col=6&amp;number=3.2&amp;sourceID=14","3.2")</f>
        <v>3.2</v>
      </c>
      <c r="G7466" s="4" t="str">
        <f>HYPERLINK("http://141.218.60.56/~jnz1568/getInfo.php?workbook=14_09.xlsx&amp;sheet=U0&amp;row=7466&amp;col=7&amp;number=0.00544&amp;sourceID=14","0.00544")</f>
        <v>0.00544</v>
      </c>
    </row>
    <row r="7467" spans="1:7">
      <c r="A7467" s="3"/>
      <c r="B7467" s="3"/>
      <c r="C7467" s="3"/>
      <c r="D7467" s="3"/>
      <c r="E7467" s="3">
        <v>4</v>
      </c>
      <c r="F7467" s="4" t="str">
        <f>HYPERLINK("http://141.218.60.56/~jnz1568/getInfo.php?workbook=14_09.xlsx&amp;sheet=U0&amp;row=7467&amp;col=6&amp;number=3.3&amp;sourceID=14","3.3")</f>
        <v>3.3</v>
      </c>
      <c r="G7467" s="4" t="str">
        <f>HYPERLINK("http://141.218.60.56/~jnz1568/getInfo.php?workbook=14_09.xlsx&amp;sheet=U0&amp;row=7467&amp;col=7&amp;number=0.00544&amp;sourceID=14","0.00544")</f>
        <v>0.00544</v>
      </c>
    </row>
    <row r="7468" spans="1:7">
      <c r="A7468" s="3"/>
      <c r="B7468" s="3"/>
      <c r="C7468" s="3"/>
      <c r="D7468" s="3"/>
      <c r="E7468" s="3">
        <v>5</v>
      </c>
      <c r="F7468" s="4" t="str">
        <f>HYPERLINK("http://141.218.60.56/~jnz1568/getInfo.php?workbook=14_09.xlsx&amp;sheet=U0&amp;row=7468&amp;col=6&amp;number=3.4&amp;sourceID=14","3.4")</f>
        <v>3.4</v>
      </c>
      <c r="G7468" s="4" t="str">
        <f>HYPERLINK("http://141.218.60.56/~jnz1568/getInfo.php?workbook=14_09.xlsx&amp;sheet=U0&amp;row=7468&amp;col=7&amp;number=0.00545&amp;sourceID=14","0.00545")</f>
        <v>0.00545</v>
      </c>
    </row>
    <row r="7469" spans="1:7">
      <c r="A7469" s="3"/>
      <c r="B7469" s="3"/>
      <c r="C7469" s="3"/>
      <c r="D7469" s="3"/>
      <c r="E7469" s="3">
        <v>6</v>
      </c>
      <c r="F7469" s="4" t="str">
        <f>HYPERLINK("http://141.218.60.56/~jnz1568/getInfo.php?workbook=14_09.xlsx&amp;sheet=U0&amp;row=7469&amp;col=6&amp;number=3.5&amp;sourceID=14","3.5")</f>
        <v>3.5</v>
      </c>
      <c r="G7469" s="4" t="str">
        <f>HYPERLINK("http://141.218.60.56/~jnz1568/getInfo.php?workbook=14_09.xlsx&amp;sheet=U0&amp;row=7469&amp;col=7&amp;number=0.00545&amp;sourceID=14","0.00545")</f>
        <v>0.00545</v>
      </c>
    </row>
    <row r="7470" spans="1:7">
      <c r="A7470" s="3"/>
      <c r="B7470" s="3"/>
      <c r="C7470" s="3"/>
      <c r="D7470" s="3"/>
      <c r="E7470" s="3">
        <v>7</v>
      </c>
      <c r="F7470" s="4" t="str">
        <f>HYPERLINK("http://141.218.60.56/~jnz1568/getInfo.php?workbook=14_09.xlsx&amp;sheet=U0&amp;row=7470&amp;col=6&amp;number=3.6&amp;sourceID=14","3.6")</f>
        <v>3.6</v>
      </c>
      <c r="G7470" s="4" t="str">
        <f>HYPERLINK("http://141.218.60.56/~jnz1568/getInfo.php?workbook=14_09.xlsx&amp;sheet=U0&amp;row=7470&amp;col=7&amp;number=0.00545&amp;sourceID=14","0.00545")</f>
        <v>0.00545</v>
      </c>
    </row>
    <row r="7471" spans="1:7">
      <c r="A7471" s="3"/>
      <c r="B7471" s="3"/>
      <c r="C7471" s="3"/>
      <c r="D7471" s="3"/>
      <c r="E7471" s="3">
        <v>8</v>
      </c>
      <c r="F7471" s="4" t="str">
        <f>HYPERLINK("http://141.218.60.56/~jnz1568/getInfo.php?workbook=14_09.xlsx&amp;sheet=U0&amp;row=7471&amp;col=6&amp;number=3.7&amp;sourceID=14","3.7")</f>
        <v>3.7</v>
      </c>
      <c r="G7471" s="4" t="str">
        <f>HYPERLINK("http://141.218.60.56/~jnz1568/getInfo.php?workbook=14_09.xlsx&amp;sheet=U0&amp;row=7471&amp;col=7&amp;number=0.00545&amp;sourceID=14","0.00545")</f>
        <v>0.00545</v>
      </c>
    </row>
    <row r="7472" spans="1:7">
      <c r="A7472" s="3"/>
      <c r="B7472" s="3"/>
      <c r="C7472" s="3"/>
      <c r="D7472" s="3"/>
      <c r="E7472" s="3">
        <v>9</v>
      </c>
      <c r="F7472" s="4" t="str">
        <f>HYPERLINK("http://141.218.60.56/~jnz1568/getInfo.php?workbook=14_09.xlsx&amp;sheet=U0&amp;row=7472&amp;col=6&amp;number=3.8&amp;sourceID=14","3.8")</f>
        <v>3.8</v>
      </c>
      <c r="G7472" s="4" t="str">
        <f>HYPERLINK("http://141.218.60.56/~jnz1568/getInfo.php?workbook=14_09.xlsx&amp;sheet=U0&amp;row=7472&amp;col=7&amp;number=0.00545&amp;sourceID=14","0.00545")</f>
        <v>0.00545</v>
      </c>
    </row>
    <row r="7473" spans="1:7">
      <c r="A7473" s="3"/>
      <c r="B7473" s="3"/>
      <c r="C7473" s="3"/>
      <c r="D7473" s="3"/>
      <c r="E7473" s="3">
        <v>10</v>
      </c>
      <c r="F7473" s="4" t="str">
        <f>HYPERLINK("http://141.218.60.56/~jnz1568/getInfo.php?workbook=14_09.xlsx&amp;sheet=U0&amp;row=7473&amp;col=6&amp;number=3.9&amp;sourceID=14","3.9")</f>
        <v>3.9</v>
      </c>
      <c r="G7473" s="4" t="str">
        <f>HYPERLINK("http://141.218.60.56/~jnz1568/getInfo.php?workbook=14_09.xlsx&amp;sheet=U0&amp;row=7473&amp;col=7&amp;number=0.00546&amp;sourceID=14","0.00546")</f>
        <v>0.00546</v>
      </c>
    </row>
    <row r="7474" spans="1:7">
      <c r="A7474" s="3"/>
      <c r="B7474" s="3"/>
      <c r="C7474" s="3"/>
      <c r="D7474" s="3"/>
      <c r="E7474" s="3">
        <v>11</v>
      </c>
      <c r="F7474" s="4" t="str">
        <f>HYPERLINK("http://141.218.60.56/~jnz1568/getInfo.php?workbook=14_09.xlsx&amp;sheet=U0&amp;row=7474&amp;col=6&amp;number=4&amp;sourceID=14","4")</f>
        <v>4</v>
      </c>
      <c r="G7474" s="4" t="str">
        <f>HYPERLINK("http://141.218.60.56/~jnz1568/getInfo.php?workbook=14_09.xlsx&amp;sheet=U0&amp;row=7474&amp;col=7&amp;number=0.00546&amp;sourceID=14","0.00546")</f>
        <v>0.00546</v>
      </c>
    </row>
    <row r="7475" spans="1:7">
      <c r="A7475" s="3"/>
      <c r="B7475" s="3"/>
      <c r="C7475" s="3"/>
      <c r="D7475" s="3"/>
      <c r="E7475" s="3">
        <v>12</v>
      </c>
      <c r="F7475" s="4" t="str">
        <f>HYPERLINK("http://141.218.60.56/~jnz1568/getInfo.php?workbook=14_09.xlsx&amp;sheet=U0&amp;row=7475&amp;col=6&amp;number=4.1&amp;sourceID=14","4.1")</f>
        <v>4.1</v>
      </c>
      <c r="G7475" s="4" t="str">
        <f>HYPERLINK("http://141.218.60.56/~jnz1568/getInfo.php?workbook=14_09.xlsx&amp;sheet=U0&amp;row=7475&amp;col=7&amp;number=0.00547&amp;sourceID=14","0.00547")</f>
        <v>0.00547</v>
      </c>
    </row>
    <row r="7476" spans="1:7">
      <c r="A7476" s="3"/>
      <c r="B7476" s="3"/>
      <c r="C7476" s="3"/>
      <c r="D7476" s="3"/>
      <c r="E7476" s="3">
        <v>13</v>
      </c>
      <c r="F7476" s="4" t="str">
        <f>HYPERLINK("http://141.218.60.56/~jnz1568/getInfo.php?workbook=14_09.xlsx&amp;sheet=U0&amp;row=7476&amp;col=6&amp;number=4.2&amp;sourceID=14","4.2")</f>
        <v>4.2</v>
      </c>
      <c r="G7476" s="4" t="str">
        <f>HYPERLINK("http://141.218.60.56/~jnz1568/getInfo.php?workbook=14_09.xlsx&amp;sheet=U0&amp;row=7476&amp;col=7&amp;number=0.00547&amp;sourceID=14","0.00547")</f>
        <v>0.00547</v>
      </c>
    </row>
    <row r="7477" spans="1:7">
      <c r="A7477" s="3"/>
      <c r="B7477" s="3"/>
      <c r="C7477" s="3"/>
      <c r="D7477" s="3"/>
      <c r="E7477" s="3">
        <v>14</v>
      </c>
      <c r="F7477" s="4" t="str">
        <f>HYPERLINK("http://141.218.60.56/~jnz1568/getInfo.php?workbook=14_09.xlsx&amp;sheet=U0&amp;row=7477&amp;col=6&amp;number=4.3&amp;sourceID=14","4.3")</f>
        <v>4.3</v>
      </c>
      <c r="G7477" s="4" t="str">
        <f>HYPERLINK("http://141.218.60.56/~jnz1568/getInfo.php?workbook=14_09.xlsx&amp;sheet=U0&amp;row=7477&amp;col=7&amp;number=0.00548&amp;sourceID=14","0.00548")</f>
        <v>0.00548</v>
      </c>
    </row>
    <row r="7478" spans="1:7">
      <c r="A7478" s="3"/>
      <c r="B7478" s="3"/>
      <c r="C7478" s="3"/>
      <c r="D7478" s="3"/>
      <c r="E7478" s="3">
        <v>15</v>
      </c>
      <c r="F7478" s="4" t="str">
        <f>HYPERLINK("http://141.218.60.56/~jnz1568/getInfo.php?workbook=14_09.xlsx&amp;sheet=U0&amp;row=7478&amp;col=6&amp;number=4.4&amp;sourceID=14","4.4")</f>
        <v>4.4</v>
      </c>
      <c r="G7478" s="4" t="str">
        <f>HYPERLINK("http://141.218.60.56/~jnz1568/getInfo.php?workbook=14_09.xlsx&amp;sheet=U0&amp;row=7478&amp;col=7&amp;number=0.00549&amp;sourceID=14","0.00549")</f>
        <v>0.00549</v>
      </c>
    </row>
    <row r="7479" spans="1:7">
      <c r="A7479" s="3"/>
      <c r="B7479" s="3"/>
      <c r="C7479" s="3"/>
      <c r="D7479" s="3"/>
      <c r="E7479" s="3">
        <v>16</v>
      </c>
      <c r="F7479" s="4" t="str">
        <f>HYPERLINK("http://141.218.60.56/~jnz1568/getInfo.php?workbook=14_09.xlsx&amp;sheet=U0&amp;row=7479&amp;col=6&amp;number=4.5&amp;sourceID=14","4.5")</f>
        <v>4.5</v>
      </c>
      <c r="G7479" s="4" t="str">
        <f>HYPERLINK("http://141.218.60.56/~jnz1568/getInfo.php?workbook=14_09.xlsx&amp;sheet=U0&amp;row=7479&amp;col=7&amp;number=0.0055&amp;sourceID=14","0.0055")</f>
        <v>0.0055</v>
      </c>
    </row>
    <row r="7480" spans="1:7">
      <c r="A7480" s="3"/>
      <c r="B7480" s="3"/>
      <c r="C7480" s="3"/>
      <c r="D7480" s="3"/>
      <c r="E7480" s="3">
        <v>17</v>
      </c>
      <c r="F7480" s="4" t="str">
        <f>HYPERLINK("http://141.218.60.56/~jnz1568/getInfo.php?workbook=14_09.xlsx&amp;sheet=U0&amp;row=7480&amp;col=6&amp;number=4.6&amp;sourceID=14","4.6")</f>
        <v>4.6</v>
      </c>
      <c r="G7480" s="4" t="str">
        <f>HYPERLINK("http://141.218.60.56/~jnz1568/getInfo.php?workbook=14_09.xlsx&amp;sheet=U0&amp;row=7480&amp;col=7&amp;number=0.00552&amp;sourceID=14","0.00552")</f>
        <v>0.00552</v>
      </c>
    </row>
    <row r="7481" spans="1:7">
      <c r="A7481" s="3"/>
      <c r="B7481" s="3"/>
      <c r="C7481" s="3"/>
      <c r="D7481" s="3"/>
      <c r="E7481" s="3">
        <v>18</v>
      </c>
      <c r="F7481" s="4" t="str">
        <f>HYPERLINK("http://141.218.60.56/~jnz1568/getInfo.php?workbook=14_09.xlsx&amp;sheet=U0&amp;row=7481&amp;col=6&amp;number=4.7&amp;sourceID=14","4.7")</f>
        <v>4.7</v>
      </c>
      <c r="G7481" s="4" t="str">
        <f>HYPERLINK("http://141.218.60.56/~jnz1568/getInfo.php?workbook=14_09.xlsx&amp;sheet=U0&amp;row=7481&amp;col=7&amp;number=0.00554&amp;sourceID=14","0.00554")</f>
        <v>0.00554</v>
      </c>
    </row>
    <row r="7482" spans="1:7">
      <c r="A7482" s="3"/>
      <c r="B7482" s="3"/>
      <c r="C7482" s="3"/>
      <c r="D7482" s="3"/>
      <c r="E7482" s="3">
        <v>19</v>
      </c>
      <c r="F7482" s="4" t="str">
        <f>HYPERLINK("http://141.218.60.56/~jnz1568/getInfo.php?workbook=14_09.xlsx&amp;sheet=U0&amp;row=7482&amp;col=6&amp;number=4.8&amp;sourceID=14","4.8")</f>
        <v>4.8</v>
      </c>
      <c r="G7482" s="4" t="str">
        <f>HYPERLINK("http://141.218.60.56/~jnz1568/getInfo.php?workbook=14_09.xlsx&amp;sheet=U0&amp;row=7482&amp;col=7&amp;number=0.00556&amp;sourceID=14","0.00556")</f>
        <v>0.00556</v>
      </c>
    </row>
    <row r="7483" spans="1:7">
      <c r="A7483" s="3"/>
      <c r="B7483" s="3"/>
      <c r="C7483" s="3"/>
      <c r="D7483" s="3"/>
      <c r="E7483" s="3">
        <v>20</v>
      </c>
      <c r="F7483" s="4" t="str">
        <f>HYPERLINK("http://141.218.60.56/~jnz1568/getInfo.php?workbook=14_09.xlsx&amp;sheet=U0&amp;row=7483&amp;col=6&amp;number=4.9&amp;sourceID=14","4.9")</f>
        <v>4.9</v>
      </c>
      <c r="G7483" s="4" t="str">
        <f>HYPERLINK("http://141.218.60.56/~jnz1568/getInfo.php?workbook=14_09.xlsx&amp;sheet=U0&amp;row=7483&amp;col=7&amp;number=0.0056&amp;sourceID=14","0.0056")</f>
        <v>0.0056</v>
      </c>
    </row>
    <row r="7484" spans="1:7">
      <c r="A7484" s="3">
        <v>14</v>
      </c>
      <c r="B7484" s="3">
        <v>9</v>
      </c>
      <c r="C7484" s="3">
        <v>2</v>
      </c>
      <c r="D7484" s="3">
        <v>183</v>
      </c>
      <c r="E7484" s="3">
        <v>1</v>
      </c>
      <c r="F7484" s="4" t="str">
        <f>HYPERLINK("http://141.218.60.56/~jnz1568/getInfo.php?workbook=14_09.xlsx&amp;sheet=U0&amp;row=7484&amp;col=6&amp;number=3&amp;sourceID=14","3")</f>
        <v>3</v>
      </c>
      <c r="G7484" s="4" t="str">
        <f>HYPERLINK("http://141.218.60.56/~jnz1568/getInfo.php?workbook=14_09.xlsx&amp;sheet=U0&amp;row=7484&amp;col=7&amp;number=0.00104&amp;sourceID=14","0.00104")</f>
        <v>0.00104</v>
      </c>
    </row>
    <row r="7485" spans="1:7">
      <c r="A7485" s="3"/>
      <c r="B7485" s="3"/>
      <c r="C7485" s="3"/>
      <c r="D7485" s="3"/>
      <c r="E7485" s="3">
        <v>2</v>
      </c>
      <c r="F7485" s="4" t="str">
        <f>HYPERLINK("http://141.218.60.56/~jnz1568/getInfo.php?workbook=14_09.xlsx&amp;sheet=U0&amp;row=7485&amp;col=6&amp;number=3.1&amp;sourceID=14","3.1")</f>
        <v>3.1</v>
      </c>
      <c r="G7485" s="4" t="str">
        <f>HYPERLINK("http://141.218.60.56/~jnz1568/getInfo.php?workbook=14_09.xlsx&amp;sheet=U0&amp;row=7485&amp;col=7&amp;number=0.00104&amp;sourceID=14","0.00104")</f>
        <v>0.00104</v>
      </c>
    </row>
    <row r="7486" spans="1:7">
      <c r="A7486" s="3"/>
      <c r="B7486" s="3"/>
      <c r="C7486" s="3"/>
      <c r="D7486" s="3"/>
      <c r="E7486" s="3">
        <v>3</v>
      </c>
      <c r="F7486" s="4" t="str">
        <f>HYPERLINK("http://141.218.60.56/~jnz1568/getInfo.php?workbook=14_09.xlsx&amp;sheet=U0&amp;row=7486&amp;col=6&amp;number=3.2&amp;sourceID=14","3.2")</f>
        <v>3.2</v>
      </c>
      <c r="G7486" s="4" t="str">
        <f>HYPERLINK("http://141.218.60.56/~jnz1568/getInfo.php?workbook=14_09.xlsx&amp;sheet=U0&amp;row=7486&amp;col=7&amp;number=0.00104&amp;sourceID=14","0.00104")</f>
        <v>0.00104</v>
      </c>
    </row>
    <row r="7487" spans="1:7">
      <c r="A7487" s="3"/>
      <c r="B7487" s="3"/>
      <c r="C7487" s="3"/>
      <c r="D7487" s="3"/>
      <c r="E7487" s="3">
        <v>4</v>
      </c>
      <c r="F7487" s="4" t="str">
        <f>HYPERLINK("http://141.218.60.56/~jnz1568/getInfo.php?workbook=14_09.xlsx&amp;sheet=U0&amp;row=7487&amp;col=6&amp;number=3.3&amp;sourceID=14","3.3")</f>
        <v>3.3</v>
      </c>
      <c r="G7487" s="4" t="str">
        <f>HYPERLINK("http://141.218.60.56/~jnz1568/getInfo.php?workbook=14_09.xlsx&amp;sheet=U0&amp;row=7487&amp;col=7&amp;number=0.00104&amp;sourceID=14","0.00104")</f>
        <v>0.00104</v>
      </c>
    </row>
    <row r="7488" spans="1:7">
      <c r="A7488" s="3"/>
      <c r="B7488" s="3"/>
      <c r="C7488" s="3"/>
      <c r="D7488" s="3"/>
      <c r="E7488" s="3">
        <v>5</v>
      </c>
      <c r="F7488" s="4" t="str">
        <f>HYPERLINK("http://141.218.60.56/~jnz1568/getInfo.php?workbook=14_09.xlsx&amp;sheet=U0&amp;row=7488&amp;col=6&amp;number=3.4&amp;sourceID=14","3.4")</f>
        <v>3.4</v>
      </c>
      <c r="G7488" s="4" t="str">
        <f>HYPERLINK("http://141.218.60.56/~jnz1568/getInfo.php?workbook=14_09.xlsx&amp;sheet=U0&amp;row=7488&amp;col=7&amp;number=0.00104&amp;sourceID=14","0.00104")</f>
        <v>0.00104</v>
      </c>
    </row>
    <row r="7489" spans="1:7">
      <c r="A7489" s="3"/>
      <c r="B7489" s="3"/>
      <c r="C7489" s="3"/>
      <c r="D7489" s="3"/>
      <c r="E7489" s="3">
        <v>6</v>
      </c>
      <c r="F7489" s="4" t="str">
        <f>HYPERLINK("http://141.218.60.56/~jnz1568/getInfo.php?workbook=14_09.xlsx&amp;sheet=U0&amp;row=7489&amp;col=6&amp;number=3.5&amp;sourceID=14","3.5")</f>
        <v>3.5</v>
      </c>
      <c r="G7489" s="4" t="str">
        <f>HYPERLINK("http://141.218.60.56/~jnz1568/getInfo.php?workbook=14_09.xlsx&amp;sheet=U0&amp;row=7489&amp;col=7&amp;number=0.00104&amp;sourceID=14","0.00104")</f>
        <v>0.00104</v>
      </c>
    </row>
    <row r="7490" spans="1:7">
      <c r="A7490" s="3"/>
      <c r="B7490" s="3"/>
      <c r="C7490" s="3"/>
      <c r="D7490" s="3"/>
      <c r="E7490" s="3">
        <v>7</v>
      </c>
      <c r="F7490" s="4" t="str">
        <f>HYPERLINK("http://141.218.60.56/~jnz1568/getInfo.php?workbook=14_09.xlsx&amp;sheet=U0&amp;row=7490&amp;col=6&amp;number=3.6&amp;sourceID=14","3.6")</f>
        <v>3.6</v>
      </c>
      <c r="G7490" s="4" t="str">
        <f>HYPERLINK("http://141.218.60.56/~jnz1568/getInfo.php?workbook=14_09.xlsx&amp;sheet=U0&amp;row=7490&amp;col=7&amp;number=0.00103&amp;sourceID=14","0.00103")</f>
        <v>0.00103</v>
      </c>
    </row>
    <row r="7491" spans="1:7">
      <c r="A7491" s="3"/>
      <c r="B7491" s="3"/>
      <c r="C7491" s="3"/>
      <c r="D7491" s="3"/>
      <c r="E7491" s="3">
        <v>8</v>
      </c>
      <c r="F7491" s="4" t="str">
        <f>HYPERLINK("http://141.218.60.56/~jnz1568/getInfo.php?workbook=14_09.xlsx&amp;sheet=U0&amp;row=7491&amp;col=6&amp;number=3.7&amp;sourceID=14","3.7")</f>
        <v>3.7</v>
      </c>
      <c r="G7491" s="4" t="str">
        <f>HYPERLINK("http://141.218.60.56/~jnz1568/getInfo.php?workbook=14_09.xlsx&amp;sheet=U0&amp;row=7491&amp;col=7&amp;number=0.00103&amp;sourceID=14","0.00103")</f>
        <v>0.00103</v>
      </c>
    </row>
    <row r="7492" spans="1:7">
      <c r="A7492" s="3"/>
      <c r="B7492" s="3"/>
      <c r="C7492" s="3"/>
      <c r="D7492" s="3"/>
      <c r="E7492" s="3">
        <v>9</v>
      </c>
      <c r="F7492" s="4" t="str">
        <f>HYPERLINK("http://141.218.60.56/~jnz1568/getInfo.php?workbook=14_09.xlsx&amp;sheet=U0&amp;row=7492&amp;col=6&amp;number=3.8&amp;sourceID=14","3.8")</f>
        <v>3.8</v>
      </c>
      <c r="G7492" s="4" t="str">
        <f>HYPERLINK("http://141.218.60.56/~jnz1568/getInfo.php?workbook=14_09.xlsx&amp;sheet=U0&amp;row=7492&amp;col=7&amp;number=0.00103&amp;sourceID=14","0.00103")</f>
        <v>0.00103</v>
      </c>
    </row>
    <row r="7493" spans="1:7">
      <c r="A7493" s="3"/>
      <c r="B7493" s="3"/>
      <c r="C7493" s="3"/>
      <c r="D7493" s="3"/>
      <c r="E7493" s="3">
        <v>10</v>
      </c>
      <c r="F7493" s="4" t="str">
        <f>HYPERLINK("http://141.218.60.56/~jnz1568/getInfo.php?workbook=14_09.xlsx&amp;sheet=U0&amp;row=7493&amp;col=6&amp;number=3.9&amp;sourceID=14","3.9")</f>
        <v>3.9</v>
      </c>
      <c r="G7493" s="4" t="str">
        <f>HYPERLINK("http://141.218.60.56/~jnz1568/getInfo.php?workbook=14_09.xlsx&amp;sheet=U0&amp;row=7493&amp;col=7&amp;number=0.00103&amp;sourceID=14","0.00103")</f>
        <v>0.00103</v>
      </c>
    </row>
    <row r="7494" spans="1:7">
      <c r="A7494" s="3"/>
      <c r="B7494" s="3"/>
      <c r="C7494" s="3"/>
      <c r="D7494" s="3"/>
      <c r="E7494" s="3">
        <v>11</v>
      </c>
      <c r="F7494" s="4" t="str">
        <f>HYPERLINK("http://141.218.60.56/~jnz1568/getInfo.php?workbook=14_09.xlsx&amp;sheet=U0&amp;row=7494&amp;col=6&amp;number=4&amp;sourceID=14","4")</f>
        <v>4</v>
      </c>
      <c r="G7494" s="4" t="str">
        <f>HYPERLINK("http://141.218.60.56/~jnz1568/getInfo.php?workbook=14_09.xlsx&amp;sheet=U0&amp;row=7494&amp;col=7&amp;number=0.00102&amp;sourceID=14","0.00102")</f>
        <v>0.00102</v>
      </c>
    </row>
    <row r="7495" spans="1:7">
      <c r="A7495" s="3"/>
      <c r="B7495" s="3"/>
      <c r="C7495" s="3"/>
      <c r="D7495" s="3"/>
      <c r="E7495" s="3">
        <v>12</v>
      </c>
      <c r="F7495" s="4" t="str">
        <f>HYPERLINK("http://141.218.60.56/~jnz1568/getInfo.php?workbook=14_09.xlsx&amp;sheet=U0&amp;row=7495&amp;col=6&amp;number=4.1&amp;sourceID=14","4.1")</f>
        <v>4.1</v>
      </c>
      <c r="G7495" s="4" t="str">
        <f>HYPERLINK("http://141.218.60.56/~jnz1568/getInfo.php?workbook=14_09.xlsx&amp;sheet=U0&amp;row=7495&amp;col=7&amp;number=0.00102&amp;sourceID=14","0.00102")</f>
        <v>0.00102</v>
      </c>
    </row>
    <row r="7496" spans="1:7">
      <c r="A7496" s="3"/>
      <c r="B7496" s="3"/>
      <c r="C7496" s="3"/>
      <c r="D7496" s="3"/>
      <c r="E7496" s="3">
        <v>13</v>
      </c>
      <c r="F7496" s="4" t="str">
        <f>HYPERLINK("http://141.218.60.56/~jnz1568/getInfo.php?workbook=14_09.xlsx&amp;sheet=U0&amp;row=7496&amp;col=6&amp;number=4.2&amp;sourceID=14","4.2")</f>
        <v>4.2</v>
      </c>
      <c r="G7496" s="4" t="str">
        <f>HYPERLINK("http://141.218.60.56/~jnz1568/getInfo.php?workbook=14_09.xlsx&amp;sheet=U0&amp;row=7496&amp;col=7&amp;number=0.00102&amp;sourceID=14","0.00102")</f>
        <v>0.00102</v>
      </c>
    </row>
    <row r="7497" spans="1:7">
      <c r="A7497" s="3"/>
      <c r="B7497" s="3"/>
      <c r="C7497" s="3"/>
      <c r="D7497" s="3"/>
      <c r="E7497" s="3">
        <v>14</v>
      </c>
      <c r="F7497" s="4" t="str">
        <f>HYPERLINK("http://141.218.60.56/~jnz1568/getInfo.php?workbook=14_09.xlsx&amp;sheet=U0&amp;row=7497&amp;col=6&amp;number=4.3&amp;sourceID=14","4.3")</f>
        <v>4.3</v>
      </c>
      <c r="G7497" s="4" t="str">
        <f>HYPERLINK("http://141.218.60.56/~jnz1568/getInfo.php?workbook=14_09.xlsx&amp;sheet=U0&amp;row=7497&amp;col=7&amp;number=0.00101&amp;sourceID=14","0.00101")</f>
        <v>0.00101</v>
      </c>
    </row>
    <row r="7498" spans="1:7">
      <c r="A7498" s="3"/>
      <c r="B7498" s="3"/>
      <c r="C7498" s="3"/>
      <c r="D7498" s="3"/>
      <c r="E7498" s="3">
        <v>15</v>
      </c>
      <c r="F7498" s="4" t="str">
        <f>HYPERLINK("http://141.218.60.56/~jnz1568/getInfo.php?workbook=14_09.xlsx&amp;sheet=U0&amp;row=7498&amp;col=6&amp;number=4.4&amp;sourceID=14","4.4")</f>
        <v>4.4</v>
      </c>
      <c r="G7498" s="4" t="str">
        <f>HYPERLINK("http://141.218.60.56/~jnz1568/getInfo.php?workbook=14_09.xlsx&amp;sheet=U0&amp;row=7498&amp;col=7&amp;number=0.001&amp;sourceID=14","0.001")</f>
        <v>0.001</v>
      </c>
    </row>
    <row r="7499" spans="1:7">
      <c r="A7499" s="3"/>
      <c r="B7499" s="3"/>
      <c r="C7499" s="3"/>
      <c r="D7499" s="3"/>
      <c r="E7499" s="3">
        <v>16</v>
      </c>
      <c r="F7499" s="4" t="str">
        <f>HYPERLINK("http://141.218.60.56/~jnz1568/getInfo.php?workbook=14_09.xlsx&amp;sheet=U0&amp;row=7499&amp;col=6&amp;number=4.5&amp;sourceID=14","4.5")</f>
        <v>4.5</v>
      </c>
      <c r="G7499" s="4" t="str">
        <f>HYPERLINK("http://141.218.60.56/~jnz1568/getInfo.php?workbook=14_09.xlsx&amp;sheet=U0&amp;row=7499&amp;col=7&amp;number=0.000992&amp;sourceID=14","0.000992")</f>
        <v>0.000992</v>
      </c>
    </row>
    <row r="7500" spans="1:7">
      <c r="A7500" s="3"/>
      <c r="B7500" s="3"/>
      <c r="C7500" s="3"/>
      <c r="D7500" s="3"/>
      <c r="E7500" s="3">
        <v>17</v>
      </c>
      <c r="F7500" s="4" t="str">
        <f>HYPERLINK("http://141.218.60.56/~jnz1568/getInfo.php?workbook=14_09.xlsx&amp;sheet=U0&amp;row=7500&amp;col=6&amp;number=4.6&amp;sourceID=14","4.6")</f>
        <v>4.6</v>
      </c>
      <c r="G7500" s="4" t="str">
        <f>HYPERLINK("http://141.218.60.56/~jnz1568/getInfo.php?workbook=14_09.xlsx&amp;sheet=U0&amp;row=7500&amp;col=7&amp;number=0.00098&amp;sourceID=14","0.00098")</f>
        <v>0.00098</v>
      </c>
    </row>
    <row r="7501" spans="1:7">
      <c r="A7501" s="3"/>
      <c r="B7501" s="3"/>
      <c r="C7501" s="3"/>
      <c r="D7501" s="3"/>
      <c r="E7501" s="3">
        <v>18</v>
      </c>
      <c r="F7501" s="4" t="str">
        <f>HYPERLINK("http://141.218.60.56/~jnz1568/getInfo.php?workbook=14_09.xlsx&amp;sheet=U0&amp;row=7501&amp;col=6&amp;number=4.7&amp;sourceID=14","4.7")</f>
        <v>4.7</v>
      </c>
      <c r="G7501" s="4" t="str">
        <f>HYPERLINK("http://141.218.60.56/~jnz1568/getInfo.php?workbook=14_09.xlsx&amp;sheet=U0&amp;row=7501&amp;col=7&amp;number=0.000966&amp;sourceID=14","0.000966")</f>
        <v>0.000966</v>
      </c>
    </row>
    <row r="7502" spans="1:7">
      <c r="A7502" s="3"/>
      <c r="B7502" s="3"/>
      <c r="C7502" s="3"/>
      <c r="D7502" s="3"/>
      <c r="E7502" s="3">
        <v>19</v>
      </c>
      <c r="F7502" s="4" t="str">
        <f>HYPERLINK("http://141.218.60.56/~jnz1568/getInfo.php?workbook=14_09.xlsx&amp;sheet=U0&amp;row=7502&amp;col=6&amp;number=4.8&amp;sourceID=14","4.8")</f>
        <v>4.8</v>
      </c>
      <c r="G7502" s="4" t="str">
        <f>HYPERLINK("http://141.218.60.56/~jnz1568/getInfo.php?workbook=14_09.xlsx&amp;sheet=U0&amp;row=7502&amp;col=7&amp;number=0.00095&amp;sourceID=14","0.00095")</f>
        <v>0.00095</v>
      </c>
    </row>
    <row r="7503" spans="1:7">
      <c r="A7503" s="3"/>
      <c r="B7503" s="3"/>
      <c r="C7503" s="3"/>
      <c r="D7503" s="3"/>
      <c r="E7503" s="3">
        <v>20</v>
      </c>
      <c r="F7503" s="4" t="str">
        <f>HYPERLINK("http://141.218.60.56/~jnz1568/getInfo.php?workbook=14_09.xlsx&amp;sheet=U0&amp;row=7503&amp;col=6&amp;number=4.9&amp;sourceID=14","4.9")</f>
        <v>4.9</v>
      </c>
      <c r="G7503" s="4" t="str">
        <f>HYPERLINK("http://141.218.60.56/~jnz1568/getInfo.php?workbook=14_09.xlsx&amp;sheet=U0&amp;row=7503&amp;col=7&amp;number=0.000931&amp;sourceID=14","0.000931")</f>
        <v>0.000931</v>
      </c>
    </row>
    <row r="7504" spans="1:7">
      <c r="A7504" s="3">
        <v>14</v>
      </c>
      <c r="B7504" s="3">
        <v>9</v>
      </c>
      <c r="C7504" s="3">
        <v>2</v>
      </c>
      <c r="D7504" s="3">
        <v>184</v>
      </c>
      <c r="E7504" s="3">
        <v>1</v>
      </c>
      <c r="F7504" s="4" t="str">
        <f>HYPERLINK("http://141.218.60.56/~jnz1568/getInfo.php?workbook=14_09.xlsx&amp;sheet=U0&amp;row=7504&amp;col=6&amp;number=3&amp;sourceID=14","3")</f>
        <v>3</v>
      </c>
      <c r="G7504" s="4" t="str">
        <f>HYPERLINK("http://141.218.60.56/~jnz1568/getInfo.php?workbook=14_09.xlsx&amp;sheet=U0&amp;row=7504&amp;col=7&amp;number=0.00984&amp;sourceID=14","0.00984")</f>
        <v>0.00984</v>
      </c>
    </row>
    <row r="7505" spans="1:7">
      <c r="A7505" s="3"/>
      <c r="B7505" s="3"/>
      <c r="C7505" s="3"/>
      <c r="D7505" s="3"/>
      <c r="E7505" s="3">
        <v>2</v>
      </c>
      <c r="F7505" s="4" t="str">
        <f>HYPERLINK("http://141.218.60.56/~jnz1568/getInfo.php?workbook=14_09.xlsx&amp;sheet=U0&amp;row=7505&amp;col=6&amp;number=3.1&amp;sourceID=14","3.1")</f>
        <v>3.1</v>
      </c>
      <c r="G7505" s="4" t="str">
        <f>HYPERLINK("http://141.218.60.56/~jnz1568/getInfo.php?workbook=14_09.xlsx&amp;sheet=U0&amp;row=7505&amp;col=7&amp;number=0.00984&amp;sourceID=14","0.00984")</f>
        <v>0.00984</v>
      </c>
    </row>
    <row r="7506" spans="1:7">
      <c r="A7506" s="3"/>
      <c r="B7506" s="3"/>
      <c r="C7506" s="3"/>
      <c r="D7506" s="3"/>
      <c r="E7506" s="3">
        <v>3</v>
      </c>
      <c r="F7506" s="4" t="str">
        <f>HYPERLINK("http://141.218.60.56/~jnz1568/getInfo.php?workbook=14_09.xlsx&amp;sheet=U0&amp;row=7506&amp;col=6&amp;number=3.2&amp;sourceID=14","3.2")</f>
        <v>3.2</v>
      </c>
      <c r="G7506" s="4" t="str">
        <f>HYPERLINK("http://141.218.60.56/~jnz1568/getInfo.php?workbook=14_09.xlsx&amp;sheet=U0&amp;row=7506&amp;col=7&amp;number=0.00985&amp;sourceID=14","0.00985")</f>
        <v>0.00985</v>
      </c>
    </row>
    <row r="7507" spans="1:7">
      <c r="A7507" s="3"/>
      <c r="B7507" s="3"/>
      <c r="C7507" s="3"/>
      <c r="D7507" s="3"/>
      <c r="E7507" s="3">
        <v>4</v>
      </c>
      <c r="F7507" s="4" t="str">
        <f>HYPERLINK("http://141.218.60.56/~jnz1568/getInfo.php?workbook=14_09.xlsx&amp;sheet=U0&amp;row=7507&amp;col=6&amp;number=3.3&amp;sourceID=14","3.3")</f>
        <v>3.3</v>
      </c>
      <c r="G7507" s="4" t="str">
        <f>HYPERLINK("http://141.218.60.56/~jnz1568/getInfo.php?workbook=14_09.xlsx&amp;sheet=U0&amp;row=7507&amp;col=7&amp;number=0.00985&amp;sourceID=14","0.00985")</f>
        <v>0.00985</v>
      </c>
    </row>
    <row r="7508" spans="1:7">
      <c r="A7508" s="3"/>
      <c r="B7508" s="3"/>
      <c r="C7508" s="3"/>
      <c r="D7508" s="3"/>
      <c r="E7508" s="3">
        <v>5</v>
      </c>
      <c r="F7508" s="4" t="str">
        <f>HYPERLINK("http://141.218.60.56/~jnz1568/getInfo.php?workbook=14_09.xlsx&amp;sheet=U0&amp;row=7508&amp;col=6&amp;number=3.4&amp;sourceID=14","3.4")</f>
        <v>3.4</v>
      </c>
      <c r="G7508" s="4" t="str">
        <f>HYPERLINK("http://141.218.60.56/~jnz1568/getInfo.php?workbook=14_09.xlsx&amp;sheet=U0&amp;row=7508&amp;col=7&amp;number=0.00985&amp;sourceID=14","0.00985")</f>
        <v>0.00985</v>
      </c>
    </row>
    <row r="7509" spans="1:7">
      <c r="A7509" s="3"/>
      <c r="B7509" s="3"/>
      <c r="C7509" s="3"/>
      <c r="D7509" s="3"/>
      <c r="E7509" s="3">
        <v>6</v>
      </c>
      <c r="F7509" s="4" t="str">
        <f>HYPERLINK("http://141.218.60.56/~jnz1568/getInfo.php?workbook=14_09.xlsx&amp;sheet=U0&amp;row=7509&amp;col=6&amp;number=3.5&amp;sourceID=14","3.5")</f>
        <v>3.5</v>
      </c>
      <c r="G7509" s="4" t="str">
        <f>HYPERLINK("http://141.218.60.56/~jnz1568/getInfo.php?workbook=14_09.xlsx&amp;sheet=U0&amp;row=7509&amp;col=7&amp;number=0.00986&amp;sourceID=14","0.00986")</f>
        <v>0.00986</v>
      </c>
    </row>
    <row r="7510" spans="1:7">
      <c r="A7510" s="3"/>
      <c r="B7510" s="3"/>
      <c r="C7510" s="3"/>
      <c r="D7510" s="3"/>
      <c r="E7510" s="3">
        <v>7</v>
      </c>
      <c r="F7510" s="4" t="str">
        <f>HYPERLINK("http://141.218.60.56/~jnz1568/getInfo.php?workbook=14_09.xlsx&amp;sheet=U0&amp;row=7510&amp;col=6&amp;number=3.6&amp;sourceID=14","3.6")</f>
        <v>3.6</v>
      </c>
      <c r="G7510" s="4" t="str">
        <f>HYPERLINK("http://141.218.60.56/~jnz1568/getInfo.php?workbook=14_09.xlsx&amp;sheet=U0&amp;row=7510&amp;col=7&amp;number=0.00987&amp;sourceID=14","0.00987")</f>
        <v>0.00987</v>
      </c>
    </row>
    <row r="7511" spans="1:7">
      <c r="A7511" s="3"/>
      <c r="B7511" s="3"/>
      <c r="C7511" s="3"/>
      <c r="D7511" s="3"/>
      <c r="E7511" s="3">
        <v>8</v>
      </c>
      <c r="F7511" s="4" t="str">
        <f>HYPERLINK("http://141.218.60.56/~jnz1568/getInfo.php?workbook=14_09.xlsx&amp;sheet=U0&amp;row=7511&amp;col=6&amp;number=3.7&amp;sourceID=14","3.7")</f>
        <v>3.7</v>
      </c>
      <c r="G7511" s="4" t="str">
        <f>HYPERLINK("http://141.218.60.56/~jnz1568/getInfo.php?workbook=14_09.xlsx&amp;sheet=U0&amp;row=7511&amp;col=7&amp;number=0.00987&amp;sourceID=14","0.00987")</f>
        <v>0.00987</v>
      </c>
    </row>
    <row r="7512" spans="1:7">
      <c r="A7512" s="3"/>
      <c r="B7512" s="3"/>
      <c r="C7512" s="3"/>
      <c r="D7512" s="3"/>
      <c r="E7512" s="3">
        <v>9</v>
      </c>
      <c r="F7512" s="4" t="str">
        <f>HYPERLINK("http://141.218.60.56/~jnz1568/getInfo.php?workbook=14_09.xlsx&amp;sheet=U0&amp;row=7512&amp;col=6&amp;number=3.8&amp;sourceID=14","3.8")</f>
        <v>3.8</v>
      </c>
      <c r="G7512" s="4" t="str">
        <f>HYPERLINK("http://141.218.60.56/~jnz1568/getInfo.php?workbook=14_09.xlsx&amp;sheet=U0&amp;row=7512&amp;col=7&amp;number=0.00988&amp;sourceID=14","0.00988")</f>
        <v>0.00988</v>
      </c>
    </row>
    <row r="7513" spans="1:7">
      <c r="A7513" s="3"/>
      <c r="B7513" s="3"/>
      <c r="C7513" s="3"/>
      <c r="D7513" s="3"/>
      <c r="E7513" s="3">
        <v>10</v>
      </c>
      <c r="F7513" s="4" t="str">
        <f>HYPERLINK("http://141.218.60.56/~jnz1568/getInfo.php?workbook=14_09.xlsx&amp;sheet=U0&amp;row=7513&amp;col=6&amp;number=3.9&amp;sourceID=14","3.9")</f>
        <v>3.9</v>
      </c>
      <c r="G7513" s="4" t="str">
        <f>HYPERLINK("http://141.218.60.56/~jnz1568/getInfo.php?workbook=14_09.xlsx&amp;sheet=U0&amp;row=7513&amp;col=7&amp;number=0.0099&amp;sourceID=14","0.0099")</f>
        <v>0.0099</v>
      </c>
    </row>
    <row r="7514" spans="1:7">
      <c r="A7514" s="3"/>
      <c r="B7514" s="3"/>
      <c r="C7514" s="3"/>
      <c r="D7514" s="3"/>
      <c r="E7514" s="3">
        <v>11</v>
      </c>
      <c r="F7514" s="4" t="str">
        <f>HYPERLINK("http://141.218.60.56/~jnz1568/getInfo.php?workbook=14_09.xlsx&amp;sheet=U0&amp;row=7514&amp;col=6&amp;number=4&amp;sourceID=14","4")</f>
        <v>4</v>
      </c>
      <c r="G7514" s="4" t="str">
        <f>HYPERLINK("http://141.218.60.56/~jnz1568/getInfo.php?workbook=14_09.xlsx&amp;sheet=U0&amp;row=7514&amp;col=7&amp;number=0.00992&amp;sourceID=14","0.00992")</f>
        <v>0.00992</v>
      </c>
    </row>
    <row r="7515" spans="1:7">
      <c r="A7515" s="3"/>
      <c r="B7515" s="3"/>
      <c r="C7515" s="3"/>
      <c r="D7515" s="3"/>
      <c r="E7515" s="3">
        <v>12</v>
      </c>
      <c r="F7515" s="4" t="str">
        <f>HYPERLINK("http://141.218.60.56/~jnz1568/getInfo.php?workbook=14_09.xlsx&amp;sheet=U0&amp;row=7515&amp;col=6&amp;number=4.1&amp;sourceID=14","4.1")</f>
        <v>4.1</v>
      </c>
      <c r="G7515" s="4" t="str">
        <f>HYPERLINK("http://141.218.60.56/~jnz1568/getInfo.php?workbook=14_09.xlsx&amp;sheet=U0&amp;row=7515&amp;col=7&amp;number=0.00994&amp;sourceID=14","0.00994")</f>
        <v>0.00994</v>
      </c>
    </row>
    <row r="7516" spans="1:7">
      <c r="A7516" s="3"/>
      <c r="B7516" s="3"/>
      <c r="C7516" s="3"/>
      <c r="D7516" s="3"/>
      <c r="E7516" s="3">
        <v>13</v>
      </c>
      <c r="F7516" s="4" t="str">
        <f>HYPERLINK("http://141.218.60.56/~jnz1568/getInfo.php?workbook=14_09.xlsx&amp;sheet=U0&amp;row=7516&amp;col=6&amp;number=4.2&amp;sourceID=14","4.2")</f>
        <v>4.2</v>
      </c>
      <c r="G7516" s="4" t="str">
        <f>HYPERLINK("http://141.218.60.56/~jnz1568/getInfo.php?workbook=14_09.xlsx&amp;sheet=U0&amp;row=7516&amp;col=7&amp;number=0.00996&amp;sourceID=14","0.00996")</f>
        <v>0.00996</v>
      </c>
    </row>
    <row r="7517" spans="1:7">
      <c r="A7517" s="3"/>
      <c r="B7517" s="3"/>
      <c r="C7517" s="3"/>
      <c r="D7517" s="3"/>
      <c r="E7517" s="3">
        <v>14</v>
      </c>
      <c r="F7517" s="4" t="str">
        <f>HYPERLINK("http://141.218.60.56/~jnz1568/getInfo.php?workbook=14_09.xlsx&amp;sheet=U0&amp;row=7517&amp;col=6&amp;number=4.3&amp;sourceID=14","4.3")</f>
        <v>4.3</v>
      </c>
      <c r="G7517" s="4" t="str">
        <f>HYPERLINK("http://141.218.60.56/~jnz1568/getInfo.php?workbook=14_09.xlsx&amp;sheet=U0&amp;row=7517&amp;col=7&amp;number=0.01&amp;sourceID=14","0.01")</f>
        <v>0.01</v>
      </c>
    </row>
    <row r="7518" spans="1:7">
      <c r="A7518" s="3"/>
      <c r="B7518" s="3"/>
      <c r="C7518" s="3"/>
      <c r="D7518" s="3"/>
      <c r="E7518" s="3">
        <v>15</v>
      </c>
      <c r="F7518" s="4" t="str">
        <f>HYPERLINK("http://141.218.60.56/~jnz1568/getInfo.php?workbook=14_09.xlsx&amp;sheet=U0&amp;row=7518&amp;col=6&amp;number=4.4&amp;sourceID=14","4.4")</f>
        <v>4.4</v>
      </c>
      <c r="G7518" s="4" t="str">
        <f>HYPERLINK("http://141.218.60.56/~jnz1568/getInfo.php?workbook=14_09.xlsx&amp;sheet=U0&amp;row=7518&amp;col=7&amp;number=0.01&amp;sourceID=14","0.01")</f>
        <v>0.01</v>
      </c>
    </row>
    <row r="7519" spans="1:7">
      <c r="A7519" s="3"/>
      <c r="B7519" s="3"/>
      <c r="C7519" s="3"/>
      <c r="D7519" s="3"/>
      <c r="E7519" s="3">
        <v>16</v>
      </c>
      <c r="F7519" s="4" t="str">
        <f>HYPERLINK("http://141.218.60.56/~jnz1568/getInfo.php?workbook=14_09.xlsx&amp;sheet=U0&amp;row=7519&amp;col=6&amp;number=4.5&amp;sourceID=14","4.5")</f>
        <v>4.5</v>
      </c>
      <c r="G7519" s="4" t="str">
        <f>HYPERLINK("http://141.218.60.56/~jnz1568/getInfo.php?workbook=14_09.xlsx&amp;sheet=U0&amp;row=7519&amp;col=7&amp;number=0.0101&amp;sourceID=14","0.0101")</f>
        <v>0.0101</v>
      </c>
    </row>
    <row r="7520" spans="1:7">
      <c r="A7520" s="3"/>
      <c r="B7520" s="3"/>
      <c r="C7520" s="3"/>
      <c r="D7520" s="3"/>
      <c r="E7520" s="3">
        <v>17</v>
      </c>
      <c r="F7520" s="4" t="str">
        <f>HYPERLINK("http://141.218.60.56/~jnz1568/getInfo.php?workbook=14_09.xlsx&amp;sheet=U0&amp;row=7520&amp;col=6&amp;number=4.6&amp;sourceID=14","4.6")</f>
        <v>4.6</v>
      </c>
      <c r="G7520" s="4" t="str">
        <f>HYPERLINK("http://141.218.60.56/~jnz1568/getInfo.php?workbook=14_09.xlsx&amp;sheet=U0&amp;row=7520&amp;col=7&amp;number=0.0102&amp;sourceID=14","0.0102")</f>
        <v>0.0102</v>
      </c>
    </row>
    <row r="7521" spans="1:7">
      <c r="A7521" s="3"/>
      <c r="B7521" s="3"/>
      <c r="C7521" s="3"/>
      <c r="D7521" s="3"/>
      <c r="E7521" s="3">
        <v>18</v>
      </c>
      <c r="F7521" s="4" t="str">
        <f>HYPERLINK("http://141.218.60.56/~jnz1568/getInfo.php?workbook=14_09.xlsx&amp;sheet=U0&amp;row=7521&amp;col=6&amp;number=4.7&amp;sourceID=14","4.7")</f>
        <v>4.7</v>
      </c>
      <c r="G7521" s="4" t="str">
        <f>HYPERLINK("http://141.218.60.56/~jnz1568/getInfo.php?workbook=14_09.xlsx&amp;sheet=U0&amp;row=7521&amp;col=7&amp;number=0.0102&amp;sourceID=14","0.0102")</f>
        <v>0.0102</v>
      </c>
    </row>
    <row r="7522" spans="1:7">
      <c r="A7522" s="3"/>
      <c r="B7522" s="3"/>
      <c r="C7522" s="3"/>
      <c r="D7522" s="3"/>
      <c r="E7522" s="3">
        <v>19</v>
      </c>
      <c r="F7522" s="4" t="str">
        <f>HYPERLINK("http://141.218.60.56/~jnz1568/getInfo.php?workbook=14_09.xlsx&amp;sheet=U0&amp;row=7522&amp;col=6&amp;number=4.8&amp;sourceID=14","4.8")</f>
        <v>4.8</v>
      </c>
      <c r="G7522" s="4" t="str">
        <f>HYPERLINK("http://141.218.60.56/~jnz1568/getInfo.php?workbook=14_09.xlsx&amp;sheet=U0&amp;row=7522&amp;col=7&amp;number=0.0103&amp;sourceID=14","0.0103")</f>
        <v>0.0103</v>
      </c>
    </row>
    <row r="7523" spans="1:7">
      <c r="A7523" s="3"/>
      <c r="B7523" s="3"/>
      <c r="C7523" s="3"/>
      <c r="D7523" s="3"/>
      <c r="E7523" s="3">
        <v>20</v>
      </c>
      <c r="F7523" s="4" t="str">
        <f>HYPERLINK("http://141.218.60.56/~jnz1568/getInfo.php?workbook=14_09.xlsx&amp;sheet=U0&amp;row=7523&amp;col=6&amp;number=4.9&amp;sourceID=14","4.9")</f>
        <v>4.9</v>
      </c>
      <c r="G7523" s="4" t="str">
        <f>HYPERLINK("http://141.218.60.56/~jnz1568/getInfo.php?workbook=14_09.xlsx&amp;sheet=U0&amp;row=7523&amp;col=7&amp;number=0.0105&amp;sourceID=14","0.0105")</f>
        <v>0.0105</v>
      </c>
    </row>
    <row r="7524" spans="1:7">
      <c r="A7524" s="3">
        <v>14</v>
      </c>
      <c r="B7524" s="3">
        <v>9</v>
      </c>
      <c r="C7524" s="3">
        <v>2</v>
      </c>
      <c r="D7524" s="3">
        <v>185</v>
      </c>
      <c r="E7524" s="3">
        <v>1</v>
      </c>
      <c r="F7524" s="4" t="str">
        <f>HYPERLINK("http://141.218.60.56/~jnz1568/getInfo.php?workbook=14_09.xlsx&amp;sheet=U0&amp;row=7524&amp;col=6&amp;number=3&amp;sourceID=14","3")</f>
        <v>3</v>
      </c>
      <c r="G7524" s="4" t="str">
        <f>HYPERLINK("http://141.218.60.56/~jnz1568/getInfo.php?workbook=14_09.xlsx&amp;sheet=U0&amp;row=7524&amp;col=7&amp;number=0.00462&amp;sourceID=14","0.00462")</f>
        <v>0.00462</v>
      </c>
    </row>
    <row r="7525" spans="1:7">
      <c r="A7525" s="3"/>
      <c r="B7525" s="3"/>
      <c r="C7525" s="3"/>
      <c r="D7525" s="3"/>
      <c r="E7525" s="3">
        <v>2</v>
      </c>
      <c r="F7525" s="4" t="str">
        <f>HYPERLINK("http://141.218.60.56/~jnz1568/getInfo.php?workbook=14_09.xlsx&amp;sheet=U0&amp;row=7525&amp;col=6&amp;number=3.1&amp;sourceID=14","3.1")</f>
        <v>3.1</v>
      </c>
      <c r="G7525" s="4" t="str">
        <f>HYPERLINK("http://141.218.60.56/~jnz1568/getInfo.php?workbook=14_09.xlsx&amp;sheet=U0&amp;row=7525&amp;col=7&amp;number=0.00461&amp;sourceID=14","0.00461")</f>
        <v>0.00461</v>
      </c>
    </row>
    <row r="7526" spans="1:7">
      <c r="A7526" s="3"/>
      <c r="B7526" s="3"/>
      <c r="C7526" s="3"/>
      <c r="D7526" s="3"/>
      <c r="E7526" s="3">
        <v>3</v>
      </c>
      <c r="F7526" s="4" t="str">
        <f>HYPERLINK("http://141.218.60.56/~jnz1568/getInfo.php?workbook=14_09.xlsx&amp;sheet=U0&amp;row=7526&amp;col=6&amp;number=3.2&amp;sourceID=14","3.2")</f>
        <v>3.2</v>
      </c>
      <c r="G7526" s="4" t="str">
        <f>HYPERLINK("http://141.218.60.56/~jnz1568/getInfo.php?workbook=14_09.xlsx&amp;sheet=U0&amp;row=7526&amp;col=7&amp;number=0.00461&amp;sourceID=14","0.00461")</f>
        <v>0.00461</v>
      </c>
    </row>
    <row r="7527" spans="1:7">
      <c r="A7527" s="3"/>
      <c r="B7527" s="3"/>
      <c r="C7527" s="3"/>
      <c r="D7527" s="3"/>
      <c r="E7527" s="3">
        <v>4</v>
      </c>
      <c r="F7527" s="4" t="str">
        <f>HYPERLINK("http://141.218.60.56/~jnz1568/getInfo.php?workbook=14_09.xlsx&amp;sheet=U0&amp;row=7527&amp;col=6&amp;number=3.3&amp;sourceID=14","3.3")</f>
        <v>3.3</v>
      </c>
      <c r="G7527" s="4" t="str">
        <f>HYPERLINK("http://141.218.60.56/~jnz1568/getInfo.php?workbook=14_09.xlsx&amp;sheet=U0&amp;row=7527&amp;col=7&amp;number=0.00461&amp;sourceID=14","0.00461")</f>
        <v>0.00461</v>
      </c>
    </row>
    <row r="7528" spans="1:7">
      <c r="A7528" s="3"/>
      <c r="B7528" s="3"/>
      <c r="C7528" s="3"/>
      <c r="D7528" s="3"/>
      <c r="E7528" s="3">
        <v>5</v>
      </c>
      <c r="F7528" s="4" t="str">
        <f>HYPERLINK("http://141.218.60.56/~jnz1568/getInfo.php?workbook=14_09.xlsx&amp;sheet=U0&amp;row=7528&amp;col=6&amp;number=3.4&amp;sourceID=14","3.4")</f>
        <v>3.4</v>
      </c>
      <c r="G7528" s="4" t="str">
        <f>HYPERLINK("http://141.218.60.56/~jnz1568/getInfo.php?workbook=14_09.xlsx&amp;sheet=U0&amp;row=7528&amp;col=7&amp;number=0.0046&amp;sourceID=14","0.0046")</f>
        <v>0.0046</v>
      </c>
    </row>
    <row r="7529" spans="1:7">
      <c r="A7529" s="3"/>
      <c r="B7529" s="3"/>
      <c r="C7529" s="3"/>
      <c r="D7529" s="3"/>
      <c r="E7529" s="3">
        <v>6</v>
      </c>
      <c r="F7529" s="4" t="str">
        <f>HYPERLINK("http://141.218.60.56/~jnz1568/getInfo.php?workbook=14_09.xlsx&amp;sheet=U0&amp;row=7529&amp;col=6&amp;number=3.5&amp;sourceID=14","3.5")</f>
        <v>3.5</v>
      </c>
      <c r="G7529" s="4" t="str">
        <f>HYPERLINK("http://141.218.60.56/~jnz1568/getInfo.php?workbook=14_09.xlsx&amp;sheet=U0&amp;row=7529&amp;col=7&amp;number=0.0046&amp;sourceID=14","0.0046")</f>
        <v>0.0046</v>
      </c>
    </row>
    <row r="7530" spans="1:7">
      <c r="A7530" s="3"/>
      <c r="B7530" s="3"/>
      <c r="C7530" s="3"/>
      <c r="D7530" s="3"/>
      <c r="E7530" s="3">
        <v>7</v>
      </c>
      <c r="F7530" s="4" t="str">
        <f>HYPERLINK("http://141.218.60.56/~jnz1568/getInfo.php?workbook=14_09.xlsx&amp;sheet=U0&amp;row=7530&amp;col=6&amp;number=3.6&amp;sourceID=14","3.6")</f>
        <v>3.6</v>
      </c>
      <c r="G7530" s="4" t="str">
        <f>HYPERLINK("http://141.218.60.56/~jnz1568/getInfo.php?workbook=14_09.xlsx&amp;sheet=U0&amp;row=7530&amp;col=7&amp;number=0.00459&amp;sourceID=14","0.00459")</f>
        <v>0.00459</v>
      </c>
    </row>
    <row r="7531" spans="1:7">
      <c r="A7531" s="3"/>
      <c r="B7531" s="3"/>
      <c r="C7531" s="3"/>
      <c r="D7531" s="3"/>
      <c r="E7531" s="3">
        <v>8</v>
      </c>
      <c r="F7531" s="4" t="str">
        <f>HYPERLINK("http://141.218.60.56/~jnz1568/getInfo.php?workbook=14_09.xlsx&amp;sheet=U0&amp;row=7531&amp;col=6&amp;number=3.7&amp;sourceID=14","3.7")</f>
        <v>3.7</v>
      </c>
      <c r="G7531" s="4" t="str">
        <f>HYPERLINK("http://141.218.60.56/~jnz1568/getInfo.php?workbook=14_09.xlsx&amp;sheet=U0&amp;row=7531&amp;col=7&amp;number=0.00458&amp;sourceID=14","0.00458")</f>
        <v>0.00458</v>
      </c>
    </row>
    <row r="7532" spans="1:7">
      <c r="A7532" s="3"/>
      <c r="B7532" s="3"/>
      <c r="C7532" s="3"/>
      <c r="D7532" s="3"/>
      <c r="E7532" s="3">
        <v>9</v>
      </c>
      <c r="F7532" s="4" t="str">
        <f>HYPERLINK("http://141.218.60.56/~jnz1568/getInfo.php?workbook=14_09.xlsx&amp;sheet=U0&amp;row=7532&amp;col=6&amp;number=3.8&amp;sourceID=14","3.8")</f>
        <v>3.8</v>
      </c>
      <c r="G7532" s="4" t="str">
        <f>HYPERLINK("http://141.218.60.56/~jnz1568/getInfo.php?workbook=14_09.xlsx&amp;sheet=U0&amp;row=7532&amp;col=7&amp;number=0.00457&amp;sourceID=14","0.00457")</f>
        <v>0.00457</v>
      </c>
    </row>
    <row r="7533" spans="1:7">
      <c r="A7533" s="3"/>
      <c r="B7533" s="3"/>
      <c r="C7533" s="3"/>
      <c r="D7533" s="3"/>
      <c r="E7533" s="3">
        <v>10</v>
      </c>
      <c r="F7533" s="4" t="str">
        <f>HYPERLINK("http://141.218.60.56/~jnz1568/getInfo.php?workbook=14_09.xlsx&amp;sheet=U0&amp;row=7533&amp;col=6&amp;number=3.9&amp;sourceID=14","3.9")</f>
        <v>3.9</v>
      </c>
      <c r="G7533" s="4" t="str">
        <f>HYPERLINK("http://141.218.60.56/~jnz1568/getInfo.php?workbook=14_09.xlsx&amp;sheet=U0&amp;row=7533&amp;col=7&amp;number=0.00456&amp;sourceID=14","0.00456")</f>
        <v>0.00456</v>
      </c>
    </row>
    <row r="7534" spans="1:7">
      <c r="A7534" s="3"/>
      <c r="B7534" s="3"/>
      <c r="C7534" s="3"/>
      <c r="D7534" s="3"/>
      <c r="E7534" s="3">
        <v>11</v>
      </c>
      <c r="F7534" s="4" t="str">
        <f>HYPERLINK("http://141.218.60.56/~jnz1568/getInfo.php?workbook=14_09.xlsx&amp;sheet=U0&amp;row=7534&amp;col=6&amp;number=4&amp;sourceID=14","4")</f>
        <v>4</v>
      </c>
      <c r="G7534" s="4" t="str">
        <f>HYPERLINK("http://141.218.60.56/~jnz1568/getInfo.php?workbook=14_09.xlsx&amp;sheet=U0&amp;row=7534&amp;col=7&amp;number=0.00454&amp;sourceID=14","0.00454")</f>
        <v>0.00454</v>
      </c>
    </row>
    <row r="7535" spans="1:7">
      <c r="A7535" s="3"/>
      <c r="B7535" s="3"/>
      <c r="C7535" s="3"/>
      <c r="D7535" s="3"/>
      <c r="E7535" s="3">
        <v>12</v>
      </c>
      <c r="F7535" s="4" t="str">
        <f>HYPERLINK("http://141.218.60.56/~jnz1568/getInfo.php?workbook=14_09.xlsx&amp;sheet=U0&amp;row=7535&amp;col=6&amp;number=4.1&amp;sourceID=14","4.1")</f>
        <v>4.1</v>
      </c>
      <c r="G7535" s="4" t="str">
        <f>HYPERLINK("http://141.218.60.56/~jnz1568/getInfo.php?workbook=14_09.xlsx&amp;sheet=U0&amp;row=7535&amp;col=7&amp;number=0.00452&amp;sourceID=14","0.00452")</f>
        <v>0.00452</v>
      </c>
    </row>
    <row r="7536" spans="1:7">
      <c r="A7536" s="3"/>
      <c r="B7536" s="3"/>
      <c r="C7536" s="3"/>
      <c r="D7536" s="3"/>
      <c r="E7536" s="3">
        <v>13</v>
      </c>
      <c r="F7536" s="4" t="str">
        <f>HYPERLINK("http://141.218.60.56/~jnz1568/getInfo.php?workbook=14_09.xlsx&amp;sheet=U0&amp;row=7536&amp;col=6&amp;number=4.2&amp;sourceID=14","4.2")</f>
        <v>4.2</v>
      </c>
      <c r="G7536" s="4" t="str">
        <f>HYPERLINK("http://141.218.60.56/~jnz1568/getInfo.php?workbook=14_09.xlsx&amp;sheet=U0&amp;row=7536&amp;col=7&amp;number=0.0045&amp;sourceID=14","0.0045")</f>
        <v>0.0045</v>
      </c>
    </row>
    <row r="7537" spans="1:7">
      <c r="A7537" s="3"/>
      <c r="B7537" s="3"/>
      <c r="C7537" s="3"/>
      <c r="D7537" s="3"/>
      <c r="E7537" s="3">
        <v>14</v>
      </c>
      <c r="F7537" s="4" t="str">
        <f>HYPERLINK("http://141.218.60.56/~jnz1568/getInfo.php?workbook=14_09.xlsx&amp;sheet=U0&amp;row=7537&amp;col=6&amp;number=4.3&amp;sourceID=14","4.3")</f>
        <v>4.3</v>
      </c>
      <c r="G7537" s="4" t="str">
        <f>HYPERLINK("http://141.218.60.56/~jnz1568/getInfo.php?workbook=14_09.xlsx&amp;sheet=U0&amp;row=7537&amp;col=7&amp;number=0.00447&amp;sourceID=14","0.00447")</f>
        <v>0.00447</v>
      </c>
    </row>
    <row r="7538" spans="1:7">
      <c r="A7538" s="3"/>
      <c r="B7538" s="3"/>
      <c r="C7538" s="3"/>
      <c r="D7538" s="3"/>
      <c r="E7538" s="3">
        <v>15</v>
      </c>
      <c r="F7538" s="4" t="str">
        <f>HYPERLINK("http://141.218.60.56/~jnz1568/getInfo.php?workbook=14_09.xlsx&amp;sheet=U0&amp;row=7538&amp;col=6&amp;number=4.4&amp;sourceID=14","4.4")</f>
        <v>4.4</v>
      </c>
      <c r="G7538" s="4" t="str">
        <f>HYPERLINK("http://141.218.60.56/~jnz1568/getInfo.php?workbook=14_09.xlsx&amp;sheet=U0&amp;row=7538&amp;col=7&amp;number=0.00443&amp;sourceID=14","0.00443")</f>
        <v>0.00443</v>
      </c>
    </row>
    <row r="7539" spans="1:7">
      <c r="A7539" s="3"/>
      <c r="B7539" s="3"/>
      <c r="C7539" s="3"/>
      <c r="D7539" s="3"/>
      <c r="E7539" s="3">
        <v>16</v>
      </c>
      <c r="F7539" s="4" t="str">
        <f>HYPERLINK("http://141.218.60.56/~jnz1568/getInfo.php?workbook=14_09.xlsx&amp;sheet=U0&amp;row=7539&amp;col=6&amp;number=4.5&amp;sourceID=14","4.5")</f>
        <v>4.5</v>
      </c>
      <c r="G7539" s="4" t="str">
        <f>HYPERLINK("http://141.218.60.56/~jnz1568/getInfo.php?workbook=14_09.xlsx&amp;sheet=U0&amp;row=7539&amp;col=7&amp;number=0.00438&amp;sourceID=14","0.00438")</f>
        <v>0.00438</v>
      </c>
    </row>
    <row r="7540" spans="1:7">
      <c r="A7540" s="3"/>
      <c r="B7540" s="3"/>
      <c r="C7540" s="3"/>
      <c r="D7540" s="3"/>
      <c r="E7540" s="3">
        <v>17</v>
      </c>
      <c r="F7540" s="4" t="str">
        <f>HYPERLINK("http://141.218.60.56/~jnz1568/getInfo.php?workbook=14_09.xlsx&amp;sheet=U0&amp;row=7540&amp;col=6&amp;number=4.6&amp;sourceID=14","4.6")</f>
        <v>4.6</v>
      </c>
      <c r="G7540" s="4" t="str">
        <f>HYPERLINK("http://141.218.60.56/~jnz1568/getInfo.php?workbook=14_09.xlsx&amp;sheet=U0&amp;row=7540&amp;col=7&amp;number=0.00432&amp;sourceID=14","0.00432")</f>
        <v>0.00432</v>
      </c>
    </row>
    <row r="7541" spans="1:7">
      <c r="A7541" s="3"/>
      <c r="B7541" s="3"/>
      <c r="C7541" s="3"/>
      <c r="D7541" s="3"/>
      <c r="E7541" s="3">
        <v>18</v>
      </c>
      <c r="F7541" s="4" t="str">
        <f>HYPERLINK("http://141.218.60.56/~jnz1568/getInfo.php?workbook=14_09.xlsx&amp;sheet=U0&amp;row=7541&amp;col=6&amp;number=4.7&amp;sourceID=14","4.7")</f>
        <v>4.7</v>
      </c>
      <c r="G7541" s="4" t="str">
        <f>HYPERLINK("http://141.218.60.56/~jnz1568/getInfo.php?workbook=14_09.xlsx&amp;sheet=U0&amp;row=7541&amp;col=7&amp;number=0.00424&amp;sourceID=14","0.00424")</f>
        <v>0.00424</v>
      </c>
    </row>
    <row r="7542" spans="1:7">
      <c r="A7542" s="3"/>
      <c r="B7542" s="3"/>
      <c r="C7542" s="3"/>
      <c r="D7542" s="3"/>
      <c r="E7542" s="3">
        <v>19</v>
      </c>
      <c r="F7542" s="4" t="str">
        <f>HYPERLINK("http://141.218.60.56/~jnz1568/getInfo.php?workbook=14_09.xlsx&amp;sheet=U0&amp;row=7542&amp;col=6&amp;number=4.8&amp;sourceID=14","4.8")</f>
        <v>4.8</v>
      </c>
      <c r="G7542" s="4" t="str">
        <f>HYPERLINK("http://141.218.60.56/~jnz1568/getInfo.php?workbook=14_09.xlsx&amp;sheet=U0&amp;row=7542&amp;col=7&amp;number=0.00415&amp;sourceID=14","0.00415")</f>
        <v>0.00415</v>
      </c>
    </row>
    <row r="7543" spans="1:7">
      <c r="A7543" s="3"/>
      <c r="B7543" s="3"/>
      <c r="C7543" s="3"/>
      <c r="D7543" s="3"/>
      <c r="E7543" s="3">
        <v>20</v>
      </c>
      <c r="F7543" s="4" t="str">
        <f>HYPERLINK("http://141.218.60.56/~jnz1568/getInfo.php?workbook=14_09.xlsx&amp;sheet=U0&amp;row=7543&amp;col=6&amp;number=4.9&amp;sourceID=14","4.9")</f>
        <v>4.9</v>
      </c>
      <c r="G7543" s="4" t="str">
        <f>HYPERLINK("http://141.218.60.56/~jnz1568/getInfo.php?workbook=14_09.xlsx&amp;sheet=U0&amp;row=7543&amp;col=7&amp;number=0.00404&amp;sourceID=14","0.00404")</f>
        <v>0.00404</v>
      </c>
    </row>
    <row r="7544" spans="1:7">
      <c r="A7544" s="3">
        <v>14</v>
      </c>
      <c r="B7544" s="3">
        <v>9</v>
      </c>
      <c r="C7544" s="3">
        <v>2</v>
      </c>
      <c r="D7544" s="3">
        <v>186</v>
      </c>
      <c r="E7544" s="3">
        <v>1</v>
      </c>
      <c r="F7544" s="4" t="str">
        <f>HYPERLINK("http://141.218.60.56/~jnz1568/getInfo.php?workbook=14_09.xlsx&amp;sheet=U0&amp;row=7544&amp;col=6&amp;number=3&amp;sourceID=14","3")</f>
        <v>3</v>
      </c>
      <c r="G7544" s="4" t="str">
        <f>HYPERLINK("http://141.218.60.56/~jnz1568/getInfo.php?workbook=14_09.xlsx&amp;sheet=U0&amp;row=7544&amp;col=7&amp;number=0.00588&amp;sourceID=14","0.00588")</f>
        <v>0.00588</v>
      </c>
    </row>
    <row r="7545" spans="1:7">
      <c r="A7545" s="3"/>
      <c r="B7545" s="3"/>
      <c r="C7545" s="3"/>
      <c r="D7545" s="3"/>
      <c r="E7545" s="3">
        <v>2</v>
      </c>
      <c r="F7545" s="4" t="str">
        <f>HYPERLINK("http://141.218.60.56/~jnz1568/getInfo.php?workbook=14_09.xlsx&amp;sheet=U0&amp;row=7545&amp;col=6&amp;number=3.1&amp;sourceID=14","3.1")</f>
        <v>3.1</v>
      </c>
      <c r="G7545" s="4" t="str">
        <f>HYPERLINK("http://141.218.60.56/~jnz1568/getInfo.php?workbook=14_09.xlsx&amp;sheet=U0&amp;row=7545&amp;col=7&amp;number=0.00588&amp;sourceID=14","0.00588")</f>
        <v>0.00588</v>
      </c>
    </row>
    <row r="7546" spans="1:7">
      <c r="A7546" s="3"/>
      <c r="B7546" s="3"/>
      <c r="C7546" s="3"/>
      <c r="D7546" s="3"/>
      <c r="E7546" s="3">
        <v>3</v>
      </c>
      <c r="F7546" s="4" t="str">
        <f>HYPERLINK("http://141.218.60.56/~jnz1568/getInfo.php?workbook=14_09.xlsx&amp;sheet=U0&amp;row=7546&amp;col=6&amp;number=3.2&amp;sourceID=14","3.2")</f>
        <v>3.2</v>
      </c>
      <c r="G7546" s="4" t="str">
        <f>HYPERLINK("http://141.218.60.56/~jnz1568/getInfo.php?workbook=14_09.xlsx&amp;sheet=U0&amp;row=7546&amp;col=7&amp;number=0.00587&amp;sourceID=14","0.00587")</f>
        <v>0.00587</v>
      </c>
    </row>
    <row r="7547" spans="1:7">
      <c r="A7547" s="3"/>
      <c r="B7547" s="3"/>
      <c r="C7547" s="3"/>
      <c r="D7547" s="3"/>
      <c r="E7547" s="3">
        <v>4</v>
      </c>
      <c r="F7547" s="4" t="str">
        <f>HYPERLINK("http://141.218.60.56/~jnz1568/getInfo.php?workbook=14_09.xlsx&amp;sheet=U0&amp;row=7547&amp;col=6&amp;number=3.3&amp;sourceID=14","3.3")</f>
        <v>3.3</v>
      </c>
      <c r="G7547" s="4" t="str">
        <f>HYPERLINK("http://141.218.60.56/~jnz1568/getInfo.php?workbook=14_09.xlsx&amp;sheet=U0&amp;row=7547&amp;col=7&amp;number=0.00587&amp;sourceID=14","0.00587")</f>
        <v>0.00587</v>
      </c>
    </row>
    <row r="7548" spans="1:7">
      <c r="A7548" s="3"/>
      <c r="B7548" s="3"/>
      <c r="C7548" s="3"/>
      <c r="D7548" s="3"/>
      <c r="E7548" s="3">
        <v>5</v>
      </c>
      <c r="F7548" s="4" t="str">
        <f>HYPERLINK("http://141.218.60.56/~jnz1568/getInfo.php?workbook=14_09.xlsx&amp;sheet=U0&amp;row=7548&amp;col=6&amp;number=3.4&amp;sourceID=14","3.4")</f>
        <v>3.4</v>
      </c>
      <c r="G7548" s="4" t="str">
        <f>HYPERLINK("http://141.218.60.56/~jnz1568/getInfo.php?workbook=14_09.xlsx&amp;sheet=U0&amp;row=7548&amp;col=7&amp;number=0.00587&amp;sourceID=14","0.00587")</f>
        <v>0.00587</v>
      </c>
    </row>
    <row r="7549" spans="1:7">
      <c r="A7549" s="3"/>
      <c r="B7549" s="3"/>
      <c r="C7549" s="3"/>
      <c r="D7549" s="3"/>
      <c r="E7549" s="3">
        <v>6</v>
      </c>
      <c r="F7549" s="4" t="str">
        <f>HYPERLINK("http://141.218.60.56/~jnz1568/getInfo.php?workbook=14_09.xlsx&amp;sheet=U0&amp;row=7549&amp;col=6&amp;number=3.5&amp;sourceID=14","3.5")</f>
        <v>3.5</v>
      </c>
      <c r="G7549" s="4" t="str">
        <f>HYPERLINK("http://141.218.60.56/~jnz1568/getInfo.php?workbook=14_09.xlsx&amp;sheet=U0&amp;row=7549&amp;col=7&amp;number=0.00586&amp;sourceID=14","0.00586")</f>
        <v>0.00586</v>
      </c>
    </row>
    <row r="7550" spans="1:7">
      <c r="A7550" s="3"/>
      <c r="B7550" s="3"/>
      <c r="C7550" s="3"/>
      <c r="D7550" s="3"/>
      <c r="E7550" s="3">
        <v>7</v>
      </c>
      <c r="F7550" s="4" t="str">
        <f>HYPERLINK("http://141.218.60.56/~jnz1568/getInfo.php?workbook=14_09.xlsx&amp;sheet=U0&amp;row=7550&amp;col=6&amp;number=3.6&amp;sourceID=14","3.6")</f>
        <v>3.6</v>
      </c>
      <c r="G7550" s="4" t="str">
        <f>HYPERLINK("http://141.218.60.56/~jnz1568/getInfo.php?workbook=14_09.xlsx&amp;sheet=U0&amp;row=7550&amp;col=7&amp;number=0.00585&amp;sourceID=14","0.00585")</f>
        <v>0.00585</v>
      </c>
    </row>
    <row r="7551" spans="1:7">
      <c r="A7551" s="3"/>
      <c r="B7551" s="3"/>
      <c r="C7551" s="3"/>
      <c r="D7551" s="3"/>
      <c r="E7551" s="3">
        <v>8</v>
      </c>
      <c r="F7551" s="4" t="str">
        <f>HYPERLINK("http://141.218.60.56/~jnz1568/getInfo.php?workbook=14_09.xlsx&amp;sheet=U0&amp;row=7551&amp;col=6&amp;number=3.7&amp;sourceID=14","3.7")</f>
        <v>3.7</v>
      </c>
      <c r="G7551" s="4" t="str">
        <f>HYPERLINK("http://141.218.60.56/~jnz1568/getInfo.php?workbook=14_09.xlsx&amp;sheet=U0&amp;row=7551&amp;col=7&amp;number=0.00584&amp;sourceID=14","0.00584")</f>
        <v>0.00584</v>
      </c>
    </row>
    <row r="7552" spans="1:7">
      <c r="A7552" s="3"/>
      <c r="B7552" s="3"/>
      <c r="C7552" s="3"/>
      <c r="D7552" s="3"/>
      <c r="E7552" s="3">
        <v>9</v>
      </c>
      <c r="F7552" s="4" t="str">
        <f>HYPERLINK("http://141.218.60.56/~jnz1568/getInfo.php?workbook=14_09.xlsx&amp;sheet=U0&amp;row=7552&amp;col=6&amp;number=3.8&amp;sourceID=14","3.8")</f>
        <v>3.8</v>
      </c>
      <c r="G7552" s="4" t="str">
        <f>HYPERLINK("http://141.218.60.56/~jnz1568/getInfo.php?workbook=14_09.xlsx&amp;sheet=U0&amp;row=7552&amp;col=7&amp;number=0.00583&amp;sourceID=14","0.00583")</f>
        <v>0.00583</v>
      </c>
    </row>
    <row r="7553" spans="1:7">
      <c r="A7553" s="3"/>
      <c r="B7553" s="3"/>
      <c r="C7553" s="3"/>
      <c r="D7553" s="3"/>
      <c r="E7553" s="3">
        <v>10</v>
      </c>
      <c r="F7553" s="4" t="str">
        <f>HYPERLINK("http://141.218.60.56/~jnz1568/getInfo.php?workbook=14_09.xlsx&amp;sheet=U0&amp;row=7553&amp;col=6&amp;number=3.9&amp;sourceID=14","3.9")</f>
        <v>3.9</v>
      </c>
      <c r="G7553" s="4" t="str">
        <f>HYPERLINK("http://141.218.60.56/~jnz1568/getInfo.php?workbook=14_09.xlsx&amp;sheet=U0&amp;row=7553&amp;col=7&amp;number=0.00582&amp;sourceID=14","0.00582")</f>
        <v>0.00582</v>
      </c>
    </row>
    <row r="7554" spans="1:7">
      <c r="A7554" s="3"/>
      <c r="B7554" s="3"/>
      <c r="C7554" s="3"/>
      <c r="D7554" s="3"/>
      <c r="E7554" s="3">
        <v>11</v>
      </c>
      <c r="F7554" s="4" t="str">
        <f>HYPERLINK("http://141.218.60.56/~jnz1568/getInfo.php?workbook=14_09.xlsx&amp;sheet=U0&amp;row=7554&amp;col=6&amp;number=4&amp;sourceID=14","4")</f>
        <v>4</v>
      </c>
      <c r="G7554" s="4" t="str">
        <f>HYPERLINK("http://141.218.60.56/~jnz1568/getInfo.php?workbook=14_09.xlsx&amp;sheet=U0&amp;row=7554&amp;col=7&amp;number=0.0058&amp;sourceID=14","0.0058")</f>
        <v>0.0058</v>
      </c>
    </row>
    <row r="7555" spans="1:7">
      <c r="A7555" s="3"/>
      <c r="B7555" s="3"/>
      <c r="C7555" s="3"/>
      <c r="D7555" s="3"/>
      <c r="E7555" s="3">
        <v>12</v>
      </c>
      <c r="F7555" s="4" t="str">
        <f>HYPERLINK("http://141.218.60.56/~jnz1568/getInfo.php?workbook=14_09.xlsx&amp;sheet=U0&amp;row=7555&amp;col=6&amp;number=4.1&amp;sourceID=14","4.1")</f>
        <v>4.1</v>
      </c>
      <c r="G7555" s="4" t="str">
        <f>HYPERLINK("http://141.218.60.56/~jnz1568/getInfo.php?workbook=14_09.xlsx&amp;sheet=U0&amp;row=7555&amp;col=7&amp;number=0.00578&amp;sourceID=14","0.00578")</f>
        <v>0.00578</v>
      </c>
    </row>
    <row r="7556" spans="1:7">
      <c r="A7556" s="3"/>
      <c r="B7556" s="3"/>
      <c r="C7556" s="3"/>
      <c r="D7556" s="3"/>
      <c r="E7556" s="3">
        <v>13</v>
      </c>
      <c r="F7556" s="4" t="str">
        <f>HYPERLINK("http://141.218.60.56/~jnz1568/getInfo.php?workbook=14_09.xlsx&amp;sheet=U0&amp;row=7556&amp;col=6&amp;number=4.2&amp;sourceID=14","4.2")</f>
        <v>4.2</v>
      </c>
      <c r="G7556" s="4" t="str">
        <f>HYPERLINK("http://141.218.60.56/~jnz1568/getInfo.php?workbook=14_09.xlsx&amp;sheet=U0&amp;row=7556&amp;col=7&amp;number=0.00575&amp;sourceID=14","0.00575")</f>
        <v>0.00575</v>
      </c>
    </row>
    <row r="7557" spans="1:7">
      <c r="A7557" s="3"/>
      <c r="B7557" s="3"/>
      <c r="C7557" s="3"/>
      <c r="D7557" s="3"/>
      <c r="E7557" s="3">
        <v>14</v>
      </c>
      <c r="F7557" s="4" t="str">
        <f>HYPERLINK("http://141.218.60.56/~jnz1568/getInfo.php?workbook=14_09.xlsx&amp;sheet=U0&amp;row=7557&amp;col=6&amp;number=4.3&amp;sourceID=14","4.3")</f>
        <v>4.3</v>
      </c>
      <c r="G7557" s="4" t="str">
        <f>HYPERLINK("http://141.218.60.56/~jnz1568/getInfo.php?workbook=14_09.xlsx&amp;sheet=U0&amp;row=7557&amp;col=7&amp;number=0.00571&amp;sourceID=14","0.00571")</f>
        <v>0.00571</v>
      </c>
    </row>
    <row r="7558" spans="1:7">
      <c r="A7558" s="3"/>
      <c r="B7558" s="3"/>
      <c r="C7558" s="3"/>
      <c r="D7558" s="3"/>
      <c r="E7558" s="3">
        <v>15</v>
      </c>
      <c r="F7558" s="4" t="str">
        <f>HYPERLINK("http://141.218.60.56/~jnz1568/getInfo.php?workbook=14_09.xlsx&amp;sheet=U0&amp;row=7558&amp;col=6&amp;number=4.4&amp;sourceID=14","4.4")</f>
        <v>4.4</v>
      </c>
      <c r="G7558" s="4" t="str">
        <f>HYPERLINK("http://141.218.60.56/~jnz1568/getInfo.php?workbook=14_09.xlsx&amp;sheet=U0&amp;row=7558&amp;col=7&amp;number=0.00567&amp;sourceID=14","0.00567")</f>
        <v>0.00567</v>
      </c>
    </row>
    <row r="7559" spans="1:7">
      <c r="A7559" s="3"/>
      <c r="B7559" s="3"/>
      <c r="C7559" s="3"/>
      <c r="D7559" s="3"/>
      <c r="E7559" s="3">
        <v>16</v>
      </c>
      <c r="F7559" s="4" t="str">
        <f>HYPERLINK("http://141.218.60.56/~jnz1568/getInfo.php?workbook=14_09.xlsx&amp;sheet=U0&amp;row=7559&amp;col=6&amp;number=4.5&amp;sourceID=14","4.5")</f>
        <v>4.5</v>
      </c>
      <c r="G7559" s="4" t="str">
        <f>HYPERLINK("http://141.218.60.56/~jnz1568/getInfo.php?workbook=14_09.xlsx&amp;sheet=U0&amp;row=7559&amp;col=7&amp;number=0.00561&amp;sourceID=14","0.00561")</f>
        <v>0.00561</v>
      </c>
    </row>
    <row r="7560" spans="1:7">
      <c r="A7560" s="3"/>
      <c r="B7560" s="3"/>
      <c r="C7560" s="3"/>
      <c r="D7560" s="3"/>
      <c r="E7560" s="3">
        <v>17</v>
      </c>
      <c r="F7560" s="4" t="str">
        <f>HYPERLINK("http://141.218.60.56/~jnz1568/getInfo.php?workbook=14_09.xlsx&amp;sheet=U0&amp;row=7560&amp;col=6&amp;number=4.6&amp;sourceID=14","4.6")</f>
        <v>4.6</v>
      </c>
      <c r="G7560" s="4" t="str">
        <f>HYPERLINK("http://141.218.60.56/~jnz1568/getInfo.php?workbook=14_09.xlsx&amp;sheet=U0&amp;row=7560&amp;col=7&amp;number=0.00554&amp;sourceID=14","0.00554")</f>
        <v>0.00554</v>
      </c>
    </row>
    <row r="7561" spans="1:7">
      <c r="A7561" s="3"/>
      <c r="B7561" s="3"/>
      <c r="C7561" s="3"/>
      <c r="D7561" s="3"/>
      <c r="E7561" s="3">
        <v>18</v>
      </c>
      <c r="F7561" s="4" t="str">
        <f>HYPERLINK("http://141.218.60.56/~jnz1568/getInfo.php?workbook=14_09.xlsx&amp;sheet=U0&amp;row=7561&amp;col=6&amp;number=4.7&amp;sourceID=14","4.7")</f>
        <v>4.7</v>
      </c>
      <c r="G7561" s="4" t="str">
        <f>HYPERLINK("http://141.218.60.56/~jnz1568/getInfo.php?workbook=14_09.xlsx&amp;sheet=U0&amp;row=7561&amp;col=7&amp;number=0.00545&amp;sourceID=14","0.00545")</f>
        <v>0.00545</v>
      </c>
    </row>
    <row r="7562" spans="1:7">
      <c r="A7562" s="3"/>
      <c r="B7562" s="3"/>
      <c r="C7562" s="3"/>
      <c r="D7562" s="3"/>
      <c r="E7562" s="3">
        <v>19</v>
      </c>
      <c r="F7562" s="4" t="str">
        <f>HYPERLINK("http://141.218.60.56/~jnz1568/getInfo.php?workbook=14_09.xlsx&amp;sheet=U0&amp;row=7562&amp;col=6&amp;number=4.8&amp;sourceID=14","4.8")</f>
        <v>4.8</v>
      </c>
      <c r="G7562" s="4" t="str">
        <f>HYPERLINK("http://141.218.60.56/~jnz1568/getInfo.php?workbook=14_09.xlsx&amp;sheet=U0&amp;row=7562&amp;col=7&amp;number=0.00534&amp;sourceID=14","0.00534")</f>
        <v>0.00534</v>
      </c>
    </row>
    <row r="7563" spans="1:7">
      <c r="A7563" s="3"/>
      <c r="B7563" s="3"/>
      <c r="C7563" s="3"/>
      <c r="D7563" s="3"/>
      <c r="E7563" s="3">
        <v>20</v>
      </c>
      <c r="F7563" s="4" t="str">
        <f>HYPERLINK("http://141.218.60.56/~jnz1568/getInfo.php?workbook=14_09.xlsx&amp;sheet=U0&amp;row=7563&amp;col=6&amp;number=4.9&amp;sourceID=14","4.9")</f>
        <v>4.9</v>
      </c>
      <c r="G7563" s="4" t="str">
        <f>HYPERLINK("http://141.218.60.56/~jnz1568/getInfo.php?workbook=14_09.xlsx&amp;sheet=U0&amp;row=7563&amp;col=7&amp;number=0.0052&amp;sourceID=14","0.0052")</f>
        <v>0.0052</v>
      </c>
    </row>
    <row r="7564" spans="1:7">
      <c r="A7564" s="3">
        <v>14</v>
      </c>
      <c r="B7564" s="3">
        <v>9</v>
      </c>
      <c r="C7564" s="3">
        <v>2</v>
      </c>
      <c r="D7564" s="3">
        <v>187</v>
      </c>
      <c r="E7564" s="3">
        <v>1</v>
      </c>
      <c r="F7564" s="4" t="str">
        <f>HYPERLINK("http://141.218.60.56/~jnz1568/getInfo.php?workbook=14_09.xlsx&amp;sheet=U0&amp;row=7564&amp;col=6&amp;number=3&amp;sourceID=14","3")</f>
        <v>3</v>
      </c>
      <c r="G7564" s="4" t="str">
        <f>HYPERLINK("http://141.218.60.56/~jnz1568/getInfo.php?workbook=14_09.xlsx&amp;sheet=U0&amp;row=7564&amp;col=7&amp;number=0.00237&amp;sourceID=14","0.00237")</f>
        <v>0.00237</v>
      </c>
    </row>
    <row r="7565" spans="1:7">
      <c r="A7565" s="3"/>
      <c r="B7565" s="3"/>
      <c r="C7565" s="3"/>
      <c r="D7565" s="3"/>
      <c r="E7565" s="3">
        <v>2</v>
      </c>
      <c r="F7565" s="4" t="str">
        <f>HYPERLINK("http://141.218.60.56/~jnz1568/getInfo.php?workbook=14_09.xlsx&amp;sheet=U0&amp;row=7565&amp;col=6&amp;number=3.1&amp;sourceID=14","3.1")</f>
        <v>3.1</v>
      </c>
      <c r="G7565" s="4" t="str">
        <f>HYPERLINK("http://141.218.60.56/~jnz1568/getInfo.php?workbook=14_09.xlsx&amp;sheet=U0&amp;row=7565&amp;col=7&amp;number=0.00237&amp;sourceID=14","0.00237")</f>
        <v>0.00237</v>
      </c>
    </row>
    <row r="7566" spans="1:7">
      <c r="A7566" s="3"/>
      <c r="B7566" s="3"/>
      <c r="C7566" s="3"/>
      <c r="D7566" s="3"/>
      <c r="E7566" s="3">
        <v>3</v>
      </c>
      <c r="F7566" s="4" t="str">
        <f>HYPERLINK("http://141.218.60.56/~jnz1568/getInfo.php?workbook=14_09.xlsx&amp;sheet=U0&amp;row=7566&amp;col=6&amp;number=3.2&amp;sourceID=14","3.2")</f>
        <v>3.2</v>
      </c>
      <c r="G7566" s="4" t="str">
        <f>HYPERLINK("http://141.218.60.56/~jnz1568/getInfo.php?workbook=14_09.xlsx&amp;sheet=U0&amp;row=7566&amp;col=7&amp;number=0.00237&amp;sourceID=14","0.00237")</f>
        <v>0.00237</v>
      </c>
    </row>
    <row r="7567" spans="1:7">
      <c r="A7567" s="3"/>
      <c r="B7567" s="3"/>
      <c r="C7567" s="3"/>
      <c r="D7567" s="3"/>
      <c r="E7567" s="3">
        <v>4</v>
      </c>
      <c r="F7567" s="4" t="str">
        <f>HYPERLINK("http://141.218.60.56/~jnz1568/getInfo.php?workbook=14_09.xlsx&amp;sheet=U0&amp;row=7567&amp;col=6&amp;number=3.3&amp;sourceID=14","3.3")</f>
        <v>3.3</v>
      </c>
      <c r="G7567" s="4" t="str">
        <f>HYPERLINK("http://141.218.60.56/~jnz1568/getInfo.php?workbook=14_09.xlsx&amp;sheet=U0&amp;row=7567&amp;col=7&amp;number=0.00236&amp;sourceID=14","0.00236")</f>
        <v>0.00236</v>
      </c>
    </row>
    <row r="7568" spans="1:7">
      <c r="A7568" s="3"/>
      <c r="B7568" s="3"/>
      <c r="C7568" s="3"/>
      <c r="D7568" s="3"/>
      <c r="E7568" s="3">
        <v>5</v>
      </c>
      <c r="F7568" s="4" t="str">
        <f>HYPERLINK("http://141.218.60.56/~jnz1568/getInfo.php?workbook=14_09.xlsx&amp;sheet=U0&amp;row=7568&amp;col=6&amp;number=3.4&amp;sourceID=14","3.4")</f>
        <v>3.4</v>
      </c>
      <c r="G7568" s="4" t="str">
        <f>HYPERLINK("http://141.218.60.56/~jnz1568/getInfo.php?workbook=14_09.xlsx&amp;sheet=U0&amp;row=7568&amp;col=7&amp;number=0.00236&amp;sourceID=14","0.00236")</f>
        <v>0.00236</v>
      </c>
    </row>
    <row r="7569" spans="1:7">
      <c r="A7569" s="3"/>
      <c r="B7569" s="3"/>
      <c r="C7569" s="3"/>
      <c r="D7569" s="3"/>
      <c r="E7569" s="3">
        <v>6</v>
      </c>
      <c r="F7569" s="4" t="str">
        <f>HYPERLINK("http://141.218.60.56/~jnz1568/getInfo.php?workbook=14_09.xlsx&amp;sheet=U0&amp;row=7569&amp;col=6&amp;number=3.5&amp;sourceID=14","3.5")</f>
        <v>3.5</v>
      </c>
      <c r="G7569" s="4" t="str">
        <f>HYPERLINK("http://141.218.60.56/~jnz1568/getInfo.php?workbook=14_09.xlsx&amp;sheet=U0&amp;row=7569&amp;col=7&amp;number=0.00236&amp;sourceID=14","0.00236")</f>
        <v>0.00236</v>
      </c>
    </row>
    <row r="7570" spans="1:7">
      <c r="A7570" s="3"/>
      <c r="B7570" s="3"/>
      <c r="C7570" s="3"/>
      <c r="D7570" s="3"/>
      <c r="E7570" s="3">
        <v>7</v>
      </c>
      <c r="F7570" s="4" t="str">
        <f>HYPERLINK("http://141.218.60.56/~jnz1568/getInfo.php?workbook=14_09.xlsx&amp;sheet=U0&amp;row=7570&amp;col=6&amp;number=3.6&amp;sourceID=14","3.6")</f>
        <v>3.6</v>
      </c>
      <c r="G7570" s="4" t="str">
        <f>HYPERLINK("http://141.218.60.56/~jnz1568/getInfo.php?workbook=14_09.xlsx&amp;sheet=U0&amp;row=7570&amp;col=7&amp;number=0.00236&amp;sourceID=14","0.00236")</f>
        <v>0.00236</v>
      </c>
    </row>
    <row r="7571" spans="1:7">
      <c r="A7571" s="3"/>
      <c r="B7571" s="3"/>
      <c r="C7571" s="3"/>
      <c r="D7571" s="3"/>
      <c r="E7571" s="3">
        <v>8</v>
      </c>
      <c r="F7571" s="4" t="str">
        <f>HYPERLINK("http://141.218.60.56/~jnz1568/getInfo.php?workbook=14_09.xlsx&amp;sheet=U0&amp;row=7571&amp;col=6&amp;number=3.7&amp;sourceID=14","3.7")</f>
        <v>3.7</v>
      </c>
      <c r="G7571" s="4" t="str">
        <f>HYPERLINK("http://141.218.60.56/~jnz1568/getInfo.php?workbook=14_09.xlsx&amp;sheet=U0&amp;row=7571&amp;col=7&amp;number=0.00236&amp;sourceID=14","0.00236")</f>
        <v>0.00236</v>
      </c>
    </row>
    <row r="7572" spans="1:7">
      <c r="A7572" s="3"/>
      <c r="B7572" s="3"/>
      <c r="C7572" s="3"/>
      <c r="D7572" s="3"/>
      <c r="E7572" s="3">
        <v>9</v>
      </c>
      <c r="F7572" s="4" t="str">
        <f>HYPERLINK("http://141.218.60.56/~jnz1568/getInfo.php?workbook=14_09.xlsx&amp;sheet=U0&amp;row=7572&amp;col=6&amp;number=3.8&amp;sourceID=14","3.8")</f>
        <v>3.8</v>
      </c>
      <c r="G7572" s="4" t="str">
        <f>HYPERLINK("http://141.218.60.56/~jnz1568/getInfo.php?workbook=14_09.xlsx&amp;sheet=U0&amp;row=7572&amp;col=7&amp;number=0.00235&amp;sourceID=14","0.00235")</f>
        <v>0.00235</v>
      </c>
    </row>
    <row r="7573" spans="1:7">
      <c r="A7573" s="3"/>
      <c r="B7573" s="3"/>
      <c r="C7573" s="3"/>
      <c r="D7573" s="3"/>
      <c r="E7573" s="3">
        <v>10</v>
      </c>
      <c r="F7573" s="4" t="str">
        <f>HYPERLINK("http://141.218.60.56/~jnz1568/getInfo.php?workbook=14_09.xlsx&amp;sheet=U0&amp;row=7573&amp;col=6&amp;number=3.9&amp;sourceID=14","3.9")</f>
        <v>3.9</v>
      </c>
      <c r="G7573" s="4" t="str">
        <f>HYPERLINK("http://141.218.60.56/~jnz1568/getInfo.php?workbook=14_09.xlsx&amp;sheet=U0&amp;row=7573&amp;col=7&amp;number=0.00235&amp;sourceID=14","0.00235")</f>
        <v>0.00235</v>
      </c>
    </row>
    <row r="7574" spans="1:7">
      <c r="A7574" s="3"/>
      <c r="B7574" s="3"/>
      <c r="C7574" s="3"/>
      <c r="D7574" s="3"/>
      <c r="E7574" s="3">
        <v>11</v>
      </c>
      <c r="F7574" s="4" t="str">
        <f>HYPERLINK("http://141.218.60.56/~jnz1568/getInfo.php?workbook=14_09.xlsx&amp;sheet=U0&amp;row=7574&amp;col=6&amp;number=4&amp;sourceID=14","4")</f>
        <v>4</v>
      </c>
      <c r="G7574" s="4" t="str">
        <f>HYPERLINK("http://141.218.60.56/~jnz1568/getInfo.php?workbook=14_09.xlsx&amp;sheet=U0&amp;row=7574&amp;col=7&amp;number=0.00234&amp;sourceID=14","0.00234")</f>
        <v>0.00234</v>
      </c>
    </row>
    <row r="7575" spans="1:7">
      <c r="A7575" s="3"/>
      <c r="B7575" s="3"/>
      <c r="C7575" s="3"/>
      <c r="D7575" s="3"/>
      <c r="E7575" s="3">
        <v>12</v>
      </c>
      <c r="F7575" s="4" t="str">
        <f>HYPERLINK("http://141.218.60.56/~jnz1568/getInfo.php?workbook=14_09.xlsx&amp;sheet=U0&amp;row=7575&amp;col=6&amp;number=4.1&amp;sourceID=14","4.1")</f>
        <v>4.1</v>
      </c>
      <c r="G7575" s="4" t="str">
        <f>HYPERLINK("http://141.218.60.56/~jnz1568/getInfo.php?workbook=14_09.xlsx&amp;sheet=U0&amp;row=7575&amp;col=7&amp;number=0.00233&amp;sourceID=14","0.00233")</f>
        <v>0.00233</v>
      </c>
    </row>
    <row r="7576" spans="1:7">
      <c r="A7576" s="3"/>
      <c r="B7576" s="3"/>
      <c r="C7576" s="3"/>
      <c r="D7576" s="3"/>
      <c r="E7576" s="3">
        <v>13</v>
      </c>
      <c r="F7576" s="4" t="str">
        <f>HYPERLINK("http://141.218.60.56/~jnz1568/getInfo.php?workbook=14_09.xlsx&amp;sheet=U0&amp;row=7576&amp;col=6&amp;number=4.2&amp;sourceID=14","4.2")</f>
        <v>4.2</v>
      </c>
      <c r="G7576" s="4" t="str">
        <f>HYPERLINK("http://141.218.60.56/~jnz1568/getInfo.php?workbook=14_09.xlsx&amp;sheet=U0&amp;row=7576&amp;col=7&amp;number=0.00232&amp;sourceID=14","0.00232")</f>
        <v>0.00232</v>
      </c>
    </row>
    <row r="7577" spans="1:7">
      <c r="A7577" s="3"/>
      <c r="B7577" s="3"/>
      <c r="C7577" s="3"/>
      <c r="D7577" s="3"/>
      <c r="E7577" s="3">
        <v>14</v>
      </c>
      <c r="F7577" s="4" t="str">
        <f>HYPERLINK("http://141.218.60.56/~jnz1568/getInfo.php?workbook=14_09.xlsx&amp;sheet=U0&amp;row=7577&amp;col=6&amp;number=4.3&amp;sourceID=14","4.3")</f>
        <v>4.3</v>
      </c>
      <c r="G7577" s="4" t="str">
        <f>HYPERLINK("http://141.218.60.56/~jnz1568/getInfo.php?workbook=14_09.xlsx&amp;sheet=U0&amp;row=7577&amp;col=7&amp;number=0.00231&amp;sourceID=14","0.00231")</f>
        <v>0.00231</v>
      </c>
    </row>
    <row r="7578" spans="1:7">
      <c r="A7578" s="3"/>
      <c r="B7578" s="3"/>
      <c r="C7578" s="3"/>
      <c r="D7578" s="3"/>
      <c r="E7578" s="3">
        <v>15</v>
      </c>
      <c r="F7578" s="4" t="str">
        <f>HYPERLINK("http://141.218.60.56/~jnz1568/getInfo.php?workbook=14_09.xlsx&amp;sheet=U0&amp;row=7578&amp;col=6&amp;number=4.4&amp;sourceID=14","4.4")</f>
        <v>4.4</v>
      </c>
      <c r="G7578" s="4" t="str">
        <f>HYPERLINK("http://141.218.60.56/~jnz1568/getInfo.php?workbook=14_09.xlsx&amp;sheet=U0&amp;row=7578&amp;col=7&amp;number=0.0023&amp;sourceID=14","0.0023")</f>
        <v>0.0023</v>
      </c>
    </row>
    <row r="7579" spans="1:7">
      <c r="A7579" s="3"/>
      <c r="B7579" s="3"/>
      <c r="C7579" s="3"/>
      <c r="D7579" s="3"/>
      <c r="E7579" s="3">
        <v>16</v>
      </c>
      <c r="F7579" s="4" t="str">
        <f>HYPERLINK("http://141.218.60.56/~jnz1568/getInfo.php?workbook=14_09.xlsx&amp;sheet=U0&amp;row=7579&amp;col=6&amp;number=4.5&amp;sourceID=14","4.5")</f>
        <v>4.5</v>
      </c>
      <c r="G7579" s="4" t="str">
        <f>HYPERLINK("http://141.218.60.56/~jnz1568/getInfo.php?workbook=14_09.xlsx&amp;sheet=U0&amp;row=7579&amp;col=7&amp;number=0.00228&amp;sourceID=14","0.00228")</f>
        <v>0.00228</v>
      </c>
    </row>
    <row r="7580" spans="1:7">
      <c r="A7580" s="3"/>
      <c r="B7580" s="3"/>
      <c r="C7580" s="3"/>
      <c r="D7580" s="3"/>
      <c r="E7580" s="3">
        <v>17</v>
      </c>
      <c r="F7580" s="4" t="str">
        <f>HYPERLINK("http://141.218.60.56/~jnz1568/getInfo.php?workbook=14_09.xlsx&amp;sheet=U0&amp;row=7580&amp;col=6&amp;number=4.6&amp;sourceID=14","4.6")</f>
        <v>4.6</v>
      </c>
      <c r="G7580" s="4" t="str">
        <f>HYPERLINK("http://141.218.60.56/~jnz1568/getInfo.php?workbook=14_09.xlsx&amp;sheet=U0&amp;row=7580&amp;col=7&amp;number=0.00225&amp;sourceID=14","0.00225")</f>
        <v>0.00225</v>
      </c>
    </row>
    <row r="7581" spans="1:7">
      <c r="A7581" s="3"/>
      <c r="B7581" s="3"/>
      <c r="C7581" s="3"/>
      <c r="D7581" s="3"/>
      <c r="E7581" s="3">
        <v>18</v>
      </c>
      <c r="F7581" s="4" t="str">
        <f>HYPERLINK("http://141.218.60.56/~jnz1568/getInfo.php?workbook=14_09.xlsx&amp;sheet=U0&amp;row=7581&amp;col=6&amp;number=4.7&amp;sourceID=14","4.7")</f>
        <v>4.7</v>
      </c>
      <c r="G7581" s="4" t="str">
        <f>HYPERLINK("http://141.218.60.56/~jnz1568/getInfo.php?workbook=14_09.xlsx&amp;sheet=U0&amp;row=7581&amp;col=7&amp;number=0.00223&amp;sourceID=14","0.00223")</f>
        <v>0.00223</v>
      </c>
    </row>
    <row r="7582" spans="1:7">
      <c r="A7582" s="3"/>
      <c r="B7582" s="3"/>
      <c r="C7582" s="3"/>
      <c r="D7582" s="3"/>
      <c r="E7582" s="3">
        <v>19</v>
      </c>
      <c r="F7582" s="4" t="str">
        <f>HYPERLINK("http://141.218.60.56/~jnz1568/getInfo.php?workbook=14_09.xlsx&amp;sheet=U0&amp;row=7582&amp;col=6&amp;number=4.8&amp;sourceID=14","4.8")</f>
        <v>4.8</v>
      </c>
      <c r="G7582" s="4" t="str">
        <f>HYPERLINK("http://141.218.60.56/~jnz1568/getInfo.php?workbook=14_09.xlsx&amp;sheet=U0&amp;row=7582&amp;col=7&amp;number=0.00219&amp;sourceID=14","0.00219")</f>
        <v>0.00219</v>
      </c>
    </row>
    <row r="7583" spans="1:7">
      <c r="A7583" s="3"/>
      <c r="B7583" s="3"/>
      <c r="C7583" s="3"/>
      <c r="D7583" s="3"/>
      <c r="E7583" s="3">
        <v>20</v>
      </c>
      <c r="F7583" s="4" t="str">
        <f>HYPERLINK("http://141.218.60.56/~jnz1568/getInfo.php?workbook=14_09.xlsx&amp;sheet=U0&amp;row=7583&amp;col=6&amp;number=4.9&amp;sourceID=14","4.9")</f>
        <v>4.9</v>
      </c>
      <c r="G7583" s="4" t="str">
        <f>HYPERLINK("http://141.218.60.56/~jnz1568/getInfo.php?workbook=14_09.xlsx&amp;sheet=U0&amp;row=7583&amp;col=7&amp;number=0.00214&amp;sourceID=14","0.00214")</f>
        <v>0.00214</v>
      </c>
    </row>
    <row r="7584" spans="1:7">
      <c r="A7584" s="3">
        <v>14</v>
      </c>
      <c r="B7584" s="3">
        <v>9</v>
      </c>
      <c r="C7584" s="3">
        <v>2</v>
      </c>
      <c r="D7584" s="3">
        <v>188</v>
      </c>
      <c r="E7584" s="3">
        <v>1</v>
      </c>
      <c r="F7584" s="4" t="str">
        <f>HYPERLINK("http://141.218.60.56/~jnz1568/getInfo.php?workbook=14_09.xlsx&amp;sheet=U0&amp;row=7584&amp;col=6&amp;number=3&amp;sourceID=14","3")</f>
        <v>3</v>
      </c>
      <c r="G7584" s="4" t="str">
        <f>HYPERLINK("http://141.218.60.56/~jnz1568/getInfo.php?workbook=14_09.xlsx&amp;sheet=U0&amp;row=7584&amp;col=7&amp;number=0.00422&amp;sourceID=14","0.00422")</f>
        <v>0.00422</v>
      </c>
    </row>
    <row r="7585" spans="1:7">
      <c r="A7585" s="3"/>
      <c r="B7585" s="3"/>
      <c r="C7585" s="3"/>
      <c r="D7585" s="3"/>
      <c r="E7585" s="3">
        <v>2</v>
      </c>
      <c r="F7585" s="4" t="str">
        <f>HYPERLINK("http://141.218.60.56/~jnz1568/getInfo.php?workbook=14_09.xlsx&amp;sheet=U0&amp;row=7585&amp;col=6&amp;number=3.1&amp;sourceID=14","3.1")</f>
        <v>3.1</v>
      </c>
      <c r="G7585" s="4" t="str">
        <f>HYPERLINK("http://141.218.60.56/~jnz1568/getInfo.php?workbook=14_09.xlsx&amp;sheet=U0&amp;row=7585&amp;col=7&amp;number=0.00422&amp;sourceID=14","0.00422")</f>
        <v>0.00422</v>
      </c>
    </row>
    <row r="7586" spans="1:7">
      <c r="A7586" s="3"/>
      <c r="B7586" s="3"/>
      <c r="C7586" s="3"/>
      <c r="D7586" s="3"/>
      <c r="E7586" s="3">
        <v>3</v>
      </c>
      <c r="F7586" s="4" t="str">
        <f>HYPERLINK("http://141.218.60.56/~jnz1568/getInfo.php?workbook=14_09.xlsx&amp;sheet=U0&amp;row=7586&amp;col=6&amp;number=3.2&amp;sourceID=14","3.2")</f>
        <v>3.2</v>
      </c>
      <c r="G7586" s="4" t="str">
        <f>HYPERLINK("http://141.218.60.56/~jnz1568/getInfo.php?workbook=14_09.xlsx&amp;sheet=U0&amp;row=7586&amp;col=7&amp;number=0.00421&amp;sourceID=14","0.00421")</f>
        <v>0.00421</v>
      </c>
    </row>
    <row r="7587" spans="1:7">
      <c r="A7587" s="3"/>
      <c r="B7587" s="3"/>
      <c r="C7587" s="3"/>
      <c r="D7587" s="3"/>
      <c r="E7587" s="3">
        <v>4</v>
      </c>
      <c r="F7587" s="4" t="str">
        <f>HYPERLINK("http://141.218.60.56/~jnz1568/getInfo.php?workbook=14_09.xlsx&amp;sheet=U0&amp;row=7587&amp;col=6&amp;number=3.3&amp;sourceID=14","3.3")</f>
        <v>3.3</v>
      </c>
      <c r="G7587" s="4" t="str">
        <f>HYPERLINK("http://141.218.60.56/~jnz1568/getInfo.php?workbook=14_09.xlsx&amp;sheet=U0&amp;row=7587&amp;col=7&amp;number=0.00421&amp;sourceID=14","0.00421")</f>
        <v>0.00421</v>
      </c>
    </row>
    <row r="7588" spans="1:7">
      <c r="A7588" s="3"/>
      <c r="B7588" s="3"/>
      <c r="C7588" s="3"/>
      <c r="D7588" s="3"/>
      <c r="E7588" s="3">
        <v>5</v>
      </c>
      <c r="F7588" s="4" t="str">
        <f>HYPERLINK("http://141.218.60.56/~jnz1568/getInfo.php?workbook=14_09.xlsx&amp;sheet=U0&amp;row=7588&amp;col=6&amp;number=3.4&amp;sourceID=14","3.4")</f>
        <v>3.4</v>
      </c>
      <c r="G7588" s="4" t="str">
        <f>HYPERLINK("http://141.218.60.56/~jnz1568/getInfo.php?workbook=14_09.xlsx&amp;sheet=U0&amp;row=7588&amp;col=7&amp;number=0.00421&amp;sourceID=14","0.00421")</f>
        <v>0.00421</v>
      </c>
    </row>
    <row r="7589" spans="1:7">
      <c r="A7589" s="3"/>
      <c r="B7589" s="3"/>
      <c r="C7589" s="3"/>
      <c r="D7589" s="3"/>
      <c r="E7589" s="3">
        <v>6</v>
      </c>
      <c r="F7589" s="4" t="str">
        <f>HYPERLINK("http://141.218.60.56/~jnz1568/getInfo.php?workbook=14_09.xlsx&amp;sheet=U0&amp;row=7589&amp;col=6&amp;number=3.5&amp;sourceID=14","3.5")</f>
        <v>3.5</v>
      </c>
      <c r="G7589" s="4" t="str">
        <f>HYPERLINK("http://141.218.60.56/~jnz1568/getInfo.php?workbook=14_09.xlsx&amp;sheet=U0&amp;row=7589&amp;col=7&amp;number=0.0042&amp;sourceID=14","0.0042")</f>
        <v>0.0042</v>
      </c>
    </row>
    <row r="7590" spans="1:7">
      <c r="A7590" s="3"/>
      <c r="B7590" s="3"/>
      <c r="C7590" s="3"/>
      <c r="D7590" s="3"/>
      <c r="E7590" s="3">
        <v>7</v>
      </c>
      <c r="F7590" s="4" t="str">
        <f>HYPERLINK("http://141.218.60.56/~jnz1568/getInfo.php?workbook=14_09.xlsx&amp;sheet=U0&amp;row=7590&amp;col=6&amp;number=3.6&amp;sourceID=14","3.6")</f>
        <v>3.6</v>
      </c>
      <c r="G7590" s="4" t="str">
        <f>HYPERLINK("http://141.218.60.56/~jnz1568/getInfo.php?workbook=14_09.xlsx&amp;sheet=U0&amp;row=7590&amp;col=7&amp;number=0.0042&amp;sourceID=14","0.0042")</f>
        <v>0.0042</v>
      </c>
    </row>
    <row r="7591" spans="1:7">
      <c r="A7591" s="3"/>
      <c r="B7591" s="3"/>
      <c r="C7591" s="3"/>
      <c r="D7591" s="3"/>
      <c r="E7591" s="3">
        <v>8</v>
      </c>
      <c r="F7591" s="4" t="str">
        <f>HYPERLINK("http://141.218.60.56/~jnz1568/getInfo.php?workbook=14_09.xlsx&amp;sheet=U0&amp;row=7591&amp;col=6&amp;number=3.7&amp;sourceID=14","3.7")</f>
        <v>3.7</v>
      </c>
      <c r="G7591" s="4" t="str">
        <f>HYPERLINK("http://141.218.60.56/~jnz1568/getInfo.php?workbook=14_09.xlsx&amp;sheet=U0&amp;row=7591&amp;col=7&amp;number=0.00419&amp;sourceID=14","0.00419")</f>
        <v>0.00419</v>
      </c>
    </row>
    <row r="7592" spans="1:7">
      <c r="A7592" s="3"/>
      <c r="B7592" s="3"/>
      <c r="C7592" s="3"/>
      <c r="D7592" s="3"/>
      <c r="E7592" s="3">
        <v>9</v>
      </c>
      <c r="F7592" s="4" t="str">
        <f>HYPERLINK("http://141.218.60.56/~jnz1568/getInfo.php?workbook=14_09.xlsx&amp;sheet=U0&amp;row=7592&amp;col=6&amp;number=3.8&amp;sourceID=14","3.8")</f>
        <v>3.8</v>
      </c>
      <c r="G7592" s="4" t="str">
        <f>HYPERLINK("http://141.218.60.56/~jnz1568/getInfo.php?workbook=14_09.xlsx&amp;sheet=U0&amp;row=7592&amp;col=7&amp;number=0.00419&amp;sourceID=14","0.00419")</f>
        <v>0.00419</v>
      </c>
    </row>
    <row r="7593" spans="1:7">
      <c r="A7593" s="3"/>
      <c r="B7593" s="3"/>
      <c r="C7593" s="3"/>
      <c r="D7593" s="3"/>
      <c r="E7593" s="3">
        <v>10</v>
      </c>
      <c r="F7593" s="4" t="str">
        <f>HYPERLINK("http://141.218.60.56/~jnz1568/getInfo.php?workbook=14_09.xlsx&amp;sheet=U0&amp;row=7593&amp;col=6&amp;number=3.9&amp;sourceID=14","3.9")</f>
        <v>3.9</v>
      </c>
      <c r="G7593" s="4" t="str">
        <f>HYPERLINK("http://141.218.60.56/~jnz1568/getInfo.php?workbook=14_09.xlsx&amp;sheet=U0&amp;row=7593&amp;col=7&amp;number=0.00418&amp;sourceID=14","0.00418")</f>
        <v>0.00418</v>
      </c>
    </row>
    <row r="7594" spans="1:7">
      <c r="A7594" s="3"/>
      <c r="B7594" s="3"/>
      <c r="C7594" s="3"/>
      <c r="D7594" s="3"/>
      <c r="E7594" s="3">
        <v>11</v>
      </c>
      <c r="F7594" s="4" t="str">
        <f>HYPERLINK("http://141.218.60.56/~jnz1568/getInfo.php?workbook=14_09.xlsx&amp;sheet=U0&amp;row=7594&amp;col=6&amp;number=4&amp;sourceID=14","4")</f>
        <v>4</v>
      </c>
      <c r="G7594" s="4" t="str">
        <f>HYPERLINK("http://141.218.60.56/~jnz1568/getInfo.php?workbook=14_09.xlsx&amp;sheet=U0&amp;row=7594&amp;col=7&amp;number=0.00416&amp;sourceID=14","0.00416")</f>
        <v>0.00416</v>
      </c>
    </row>
    <row r="7595" spans="1:7">
      <c r="A7595" s="3"/>
      <c r="B7595" s="3"/>
      <c r="C7595" s="3"/>
      <c r="D7595" s="3"/>
      <c r="E7595" s="3">
        <v>12</v>
      </c>
      <c r="F7595" s="4" t="str">
        <f>HYPERLINK("http://141.218.60.56/~jnz1568/getInfo.php?workbook=14_09.xlsx&amp;sheet=U0&amp;row=7595&amp;col=6&amp;number=4.1&amp;sourceID=14","4.1")</f>
        <v>4.1</v>
      </c>
      <c r="G7595" s="4" t="str">
        <f>HYPERLINK("http://141.218.60.56/~jnz1568/getInfo.php?workbook=14_09.xlsx&amp;sheet=U0&amp;row=7595&amp;col=7&amp;number=0.00415&amp;sourceID=14","0.00415")</f>
        <v>0.00415</v>
      </c>
    </row>
    <row r="7596" spans="1:7">
      <c r="A7596" s="3"/>
      <c r="B7596" s="3"/>
      <c r="C7596" s="3"/>
      <c r="D7596" s="3"/>
      <c r="E7596" s="3">
        <v>13</v>
      </c>
      <c r="F7596" s="4" t="str">
        <f>HYPERLINK("http://141.218.60.56/~jnz1568/getInfo.php?workbook=14_09.xlsx&amp;sheet=U0&amp;row=7596&amp;col=6&amp;number=4.2&amp;sourceID=14","4.2")</f>
        <v>4.2</v>
      </c>
      <c r="G7596" s="4" t="str">
        <f>HYPERLINK("http://141.218.60.56/~jnz1568/getInfo.php?workbook=14_09.xlsx&amp;sheet=U0&amp;row=7596&amp;col=7&amp;number=0.00413&amp;sourceID=14","0.00413")</f>
        <v>0.00413</v>
      </c>
    </row>
    <row r="7597" spans="1:7">
      <c r="A7597" s="3"/>
      <c r="B7597" s="3"/>
      <c r="C7597" s="3"/>
      <c r="D7597" s="3"/>
      <c r="E7597" s="3">
        <v>14</v>
      </c>
      <c r="F7597" s="4" t="str">
        <f>HYPERLINK("http://141.218.60.56/~jnz1568/getInfo.php?workbook=14_09.xlsx&amp;sheet=U0&amp;row=7597&amp;col=6&amp;number=4.3&amp;sourceID=14","4.3")</f>
        <v>4.3</v>
      </c>
      <c r="G7597" s="4" t="str">
        <f>HYPERLINK("http://141.218.60.56/~jnz1568/getInfo.php?workbook=14_09.xlsx&amp;sheet=U0&amp;row=7597&amp;col=7&amp;number=0.0041&amp;sourceID=14","0.0041")</f>
        <v>0.0041</v>
      </c>
    </row>
    <row r="7598" spans="1:7">
      <c r="A7598" s="3"/>
      <c r="B7598" s="3"/>
      <c r="C7598" s="3"/>
      <c r="D7598" s="3"/>
      <c r="E7598" s="3">
        <v>15</v>
      </c>
      <c r="F7598" s="4" t="str">
        <f>HYPERLINK("http://141.218.60.56/~jnz1568/getInfo.php?workbook=14_09.xlsx&amp;sheet=U0&amp;row=7598&amp;col=6&amp;number=4.4&amp;sourceID=14","4.4")</f>
        <v>4.4</v>
      </c>
      <c r="G7598" s="4" t="str">
        <f>HYPERLINK("http://141.218.60.56/~jnz1568/getInfo.php?workbook=14_09.xlsx&amp;sheet=U0&amp;row=7598&amp;col=7&amp;number=0.00407&amp;sourceID=14","0.00407")</f>
        <v>0.00407</v>
      </c>
    </row>
    <row r="7599" spans="1:7">
      <c r="A7599" s="3"/>
      <c r="B7599" s="3"/>
      <c r="C7599" s="3"/>
      <c r="D7599" s="3"/>
      <c r="E7599" s="3">
        <v>16</v>
      </c>
      <c r="F7599" s="4" t="str">
        <f>HYPERLINK("http://141.218.60.56/~jnz1568/getInfo.php?workbook=14_09.xlsx&amp;sheet=U0&amp;row=7599&amp;col=6&amp;number=4.5&amp;sourceID=14","4.5")</f>
        <v>4.5</v>
      </c>
      <c r="G7599" s="4" t="str">
        <f>HYPERLINK("http://141.218.60.56/~jnz1568/getInfo.php?workbook=14_09.xlsx&amp;sheet=U0&amp;row=7599&amp;col=7&amp;number=0.00403&amp;sourceID=14","0.00403")</f>
        <v>0.00403</v>
      </c>
    </row>
    <row r="7600" spans="1:7">
      <c r="A7600" s="3"/>
      <c r="B7600" s="3"/>
      <c r="C7600" s="3"/>
      <c r="D7600" s="3"/>
      <c r="E7600" s="3">
        <v>17</v>
      </c>
      <c r="F7600" s="4" t="str">
        <f>HYPERLINK("http://141.218.60.56/~jnz1568/getInfo.php?workbook=14_09.xlsx&amp;sheet=U0&amp;row=7600&amp;col=6&amp;number=4.6&amp;sourceID=14","4.6")</f>
        <v>4.6</v>
      </c>
      <c r="G7600" s="4" t="str">
        <f>HYPERLINK("http://141.218.60.56/~jnz1568/getInfo.php?workbook=14_09.xlsx&amp;sheet=U0&amp;row=7600&amp;col=7&amp;number=0.00399&amp;sourceID=14","0.00399")</f>
        <v>0.00399</v>
      </c>
    </row>
    <row r="7601" spans="1:7">
      <c r="A7601" s="3"/>
      <c r="B7601" s="3"/>
      <c r="C7601" s="3"/>
      <c r="D7601" s="3"/>
      <c r="E7601" s="3">
        <v>18</v>
      </c>
      <c r="F7601" s="4" t="str">
        <f>HYPERLINK("http://141.218.60.56/~jnz1568/getInfo.php?workbook=14_09.xlsx&amp;sheet=U0&amp;row=7601&amp;col=6&amp;number=4.7&amp;sourceID=14","4.7")</f>
        <v>4.7</v>
      </c>
      <c r="G7601" s="4" t="str">
        <f>HYPERLINK("http://141.218.60.56/~jnz1568/getInfo.php?workbook=14_09.xlsx&amp;sheet=U0&amp;row=7601&amp;col=7&amp;number=0.00393&amp;sourceID=14","0.00393")</f>
        <v>0.00393</v>
      </c>
    </row>
    <row r="7602" spans="1:7">
      <c r="A7602" s="3"/>
      <c r="B7602" s="3"/>
      <c r="C7602" s="3"/>
      <c r="D7602" s="3"/>
      <c r="E7602" s="3">
        <v>19</v>
      </c>
      <c r="F7602" s="4" t="str">
        <f>HYPERLINK("http://141.218.60.56/~jnz1568/getInfo.php?workbook=14_09.xlsx&amp;sheet=U0&amp;row=7602&amp;col=6&amp;number=4.8&amp;sourceID=14","4.8")</f>
        <v>4.8</v>
      </c>
      <c r="G7602" s="4" t="str">
        <f>HYPERLINK("http://141.218.60.56/~jnz1568/getInfo.php?workbook=14_09.xlsx&amp;sheet=U0&amp;row=7602&amp;col=7&amp;number=0.00385&amp;sourceID=14","0.00385")</f>
        <v>0.00385</v>
      </c>
    </row>
    <row r="7603" spans="1:7">
      <c r="A7603" s="3"/>
      <c r="B7603" s="3"/>
      <c r="C7603" s="3"/>
      <c r="D7603" s="3"/>
      <c r="E7603" s="3">
        <v>20</v>
      </c>
      <c r="F7603" s="4" t="str">
        <f>HYPERLINK("http://141.218.60.56/~jnz1568/getInfo.php?workbook=14_09.xlsx&amp;sheet=U0&amp;row=7603&amp;col=6&amp;number=4.9&amp;sourceID=14","4.9")</f>
        <v>4.9</v>
      </c>
      <c r="G7603" s="4" t="str">
        <f>HYPERLINK("http://141.218.60.56/~jnz1568/getInfo.php?workbook=14_09.xlsx&amp;sheet=U0&amp;row=7603&amp;col=7&amp;number=0.00376&amp;sourceID=14","0.00376")</f>
        <v>0.00376</v>
      </c>
    </row>
    <row r="7604" spans="1:7">
      <c r="A7604" s="3">
        <v>14</v>
      </c>
      <c r="B7604" s="3">
        <v>9</v>
      </c>
      <c r="C7604" s="3">
        <v>2</v>
      </c>
      <c r="D7604" s="3">
        <v>189</v>
      </c>
      <c r="E7604" s="3">
        <v>1</v>
      </c>
      <c r="F7604" s="4" t="str">
        <f>HYPERLINK("http://141.218.60.56/~jnz1568/getInfo.php?workbook=14_09.xlsx&amp;sheet=U0&amp;row=7604&amp;col=6&amp;number=3&amp;sourceID=14","3")</f>
        <v>3</v>
      </c>
      <c r="G7604" s="4" t="str">
        <f>HYPERLINK("http://141.218.60.56/~jnz1568/getInfo.php?workbook=14_09.xlsx&amp;sheet=U0&amp;row=7604&amp;col=7&amp;number=0.00362&amp;sourceID=14","0.00362")</f>
        <v>0.00362</v>
      </c>
    </row>
    <row r="7605" spans="1:7">
      <c r="A7605" s="3"/>
      <c r="B7605" s="3"/>
      <c r="C7605" s="3"/>
      <c r="D7605" s="3"/>
      <c r="E7605" s="3">
        <v>2</v>
      </c>
      <c r="F7605" s="4" t="str">
        <f>HYPERLINK("http://141.218.60.56/~jnz1568/getInfo.php?workbook=14_09.xlsx&amp;sheet=U0&amp;row=7605&amp;col=6&amp;number=3.1&amp;sourceID=14","3.1")</f>
        <v>3.1</v>
      </c>
      <c r="G7605" s="4" t="str">
        <f>HYPERLINK("http://141.218.60.56/~jnz1568/getInfo.php?workbook=14_09.xlsx&amp;sheet=U0&amp;row=7605&amp;col=7&amp;number=0.00362&amp;sourceID=14","0.00362")</f>
        <v>0.00362</v>
      </c>
    </row>
    <row r="7606" spans="1:7">
      <c r="A7606" s="3"/>
      <c r="B7606" s="3"/>
      <c r="C7606" s="3"/>
      <c r="D7606" s="3"/>
      <c r="E7606" s="3">
        <v>3</v>
      </c>
      <c r="F7606" s="4" t="str">
        <f>HYPERLINK("http://141.218.60.56/~jnz1568/getInfo.php?workbook=14_09.xlsx&amp;sheet=U0&amp;row=7606&amp;col=6&amp;number=3.2&amp;sourceID=14","3.2")</f>
        <v>3.2</v>
      </c>
      <c r="G7606" s="4" t="str">
        <f>HYPERLINK("http://141.218.60.56/~jnz1568/getInfo.php?workbook=14_09.xlsx&amp;sheet=U0&amp;row=7606&amp;col=7&amp;number=0.00362&amp;sourceID=14","0.00362")</f>
        <v>0.00362</v>
      </c>
    </row>
    <row r="7607" spans="1:7">
      <c r="A7607" s="3"/>
      <c r="B7607" s="3"/>
      <c r="C7607" s="3"/>
      <c r="D7607" s="3"/>
      <c r="E7607" s="3">
        <v>4</v>
      </c>
      <c r="F7607" s="4" t="str">
        <f>HYPERLINK("http://141.218.60.56/~jnz1568/getInfo.php?workbook=14_09.xlsx&amp;sheet=U0&amp;row=7607&amp;col=6&amp;number=3.3&amp;sourceID=14","3.3")</f>
        <v>3.3</v>
      </c>
      <c r="G7607" s="4" t="str">
        <f>HYPERLINK("http://141.218.60.56/~jnz1568/getInfo.php?workbook=14_09.xlsx&amp;sheet=U0&amp;row=7607&amp;col=7&amp;number=0.00362&amp;sourceID=14","0.00362")</f>
        <v>0.00362</v>
      </c>
    </row>
    <row r="7608" spans="1:7">
      <c r="A7608" s="3"/>
      <c r="B7608" s="3"/>
      <c r="C7608" s="3"/>
      <c r="D7608" s="3"/>
      <c r="E7608" s="3">
        <v>5</v>
      </c>
      <c r="F7608" s="4" t="str">
        <f>HYPERLINK("http://141.218.60.56/~jnz1568/getInfo.php?workbook=14_09.xlsx&amp;sheet=U0&amp;row=7608&amp;col=6&amp;number=3.4&amp;sourceID=14","3.4")</f>
        <v>3.4</v>
      </c>
      <c r="G7608" s="4" t="str">
        <f>HYPERLINK("http://141.218.60.56/~jnz1568/getInfo.php?workbook=14_09.xlsx&amp;sheet=U0&amp;row=7608&amp;col=7&amp;number=0.00362&amp;sourceID=14","0.00362")</f>
        <v>0.00362</v>
      </c>
    </row>
    <row r="7609" spans="1:7">
      <c r="A7609" s="3"/>
      <c r="B7609" s="3"/>
      <c r="C7609" s="3"/>
      <c r="D7609" s="3"/>
      <c r="E7609" s="3">
        <v>6</v>
      </c>
      <c r="F7609" s="4" t="str">
        <f>HYPERLINK("http://141.218.60.56/~jnz1568/getInfo.php?workbook=14_09.xlsx&amp;sheet=U0&amp;row=7609&amp;col=6&amp;number=3.5&amp;sourceID=14","3.5")</f>
        <v>3.5</v>
      </c>
      <c r="G7609" s="4" t="str">
        <f>HYPERLINK("http://141.218.60.56/~jnz1568/getInfo.php?workbook=14_09.xlsx&amp;sheet=U0&amp;row=7609&amp;col=7&amp;number=0.00361&amp;sourceID=14","0.00361")</f>
        <v>0.00361</v>
      </c>
    </row>
    <row r="7610" spans="1:7">
      <c r="A7610" s="3"/>
      <c r="B7610" s="3"/>
      <c r="C7610" s="3"/>
      <c r="D7610" s="3"/>
      <c r="E7610" s="3">
        <v>7</v>
      </c>
      <c r="F7610" s="4" t="str">
        <f>HYPERLINK("http://141.218.60.56/~jnz1568/getInfo.php?workbook=14_09.xlsx&amp;sheet=U0&amp;row=7610&amp;col=6&amp;number=3.6&amp;sourceID=14","3.6")</f>
        <v>3.6</v>
      </c>
      <c r="G7610" s="4" t="str">
        <f>HYPERLINK("http://141.218.60.56/~jnz1568/getInfo.php?workbook=14_09.xlsx&amp;sheet=U0&amp;row=7610&amp;col=7&amp;number=0.00361&amp;sourceID=14","0.00361")</f>
        <v>0.00361</v>
      </c>
    </row>
    <row r="7611" spans="1:7">
      <c r="A7611" s="3"/>
      <c r="B7611" s="3"/>
      <c r="C7611" s="3"/>
      <c r="D7611" s="3"/>
      <c r="E7611" s="3">
        <v>8</v>
      </c>
      <c r="F7611" s="4" t="str">
        <f>HYPERLINK("http://141.218.60.56/~jnz1568/getInfo.php?workbook=14_09.xlsx&amp;sheet=U0&amp;row=7611&amp;col=6&amp;number=3.7&amp;sourceID=14","3.7")</f>
        <v>3.7</v>
      </c>
      <c r="G7611" s="4" t="str">
        <f>HYPERLINK("http://141.218.60.56/~jnz1568/getInfo.php?workbook=14_09.xlsx&amp;sheet=U0&amp;row=7611&amp;col=7&amp;number=0.00361&amp;sourceID=14","0.00361")</f>
        <v>0.00361</v>
      </c>
    </row>
    <row r="7612" spans="1:7">
      <c r="A7612" s="3"/>
      <c r="B7612" s="3"/>
      <c r="C7612" s="3"/>
      <c r="D7612" s="3"/>
      <c r="E7612" s="3">
        <v>9</v>
      </c>
      <c r="F7612" s="4" t="str">
        <f>HYPERLINK("http://141.218.60.56/~jnz1568/getInfo.php?workbook=14_09.xlsx&amp;sheet=U0&amp;row=7612&amp;col=6&amp;number=3.8&amp;sourceID=14","3.8")</f>
        <v>3.8</v>
      </c>
      <c r="G7612" s="4" t="str">
        <f>HYPERLINK("http://141.218.60.56/~jnz1568/getInfo.php?workbook=14_09.xlsx&amp;sheet=U0&amp;row=7612&amp;col=7&amp;number=0.0036&amp;sourceID=14","0.0036")</f>
        <v>0.0036</v>
      </c>
    </row>
    <row r="7613" spans="1:7">
      <c r="A7613" s="3"/>
      <c r="B7613" s="3"/>
      <c r="C7613" s="3"/>
      <c r="D7613" s="3"/>
      <c r="E7613" s="3">
        <v>10</v>
      </c>
      <c r="F7613" s="4" t="str">
        <f>HYPERLINK("http://141.218.60.56/~jnz1568/getInfo.php?workbook=14_09.xlsx&amp;sheet=U0&amp;row=7613&amp;col=6&amp;number=3.9&amp;sourceID=14","3.9")</f>
        <v>3.9</v>
      </c>
      <c r="G7613" s="4" t="str">
        <f>HYPERLINK("http://141.218.60.56/~jnz1568/getInfo.php?workbook=14_09.xlsx&amp;sheet=U0&amp;row=7613&amp;col=7&amp;number=0.0036&amp;sourceID=14","0.0036")</f>
        <v>0.0036</v>
      </c>
    </row>
    <row r="7614" spans="1:7">
      <c r="A7614" s="3"/>
      <c r="B7614" s="3"/>
      <c r="C7614" s="3"/>
      <c r="D7614" s="3"/>
      <c r="E7614" s="3">
        <v>11</v>
      </c>
      <c r="F7614" s="4" t="str">
        <f>HYPERLINK("http://141.218.60.56/~jnz1568/getInfo.php?workbook=14_09.xlsx&amp;sheet=U0&amp;row=7614&amp;col=6&amp;number=4&amp;sourceID=14","4")</f>
        <v>4</v>
      </c>
      <c r="G7614" s="4" t="str">
        <f>HYPERLINK("http://141.218.60.56/~jnz1568/getInfo.php?workbook=14_09.xlsx&amp;sheet=U0&amp;row=7614&amp;col=7&amp;number=0.00359&amp;sourceID=14","0.00359")</f>
        <v>0.00359</v>
      </c>
    </row>
    <row r="7615" spans="1:7">
      <c r="A7615" s="3"/>
      <c r="B7615" s="3"/>
      <c r="C7615" s="3"/>
      <c r="D7615" s="3"/>
      <c r="E7615" s="3">
        <v>12</v>
      </c>
      <c r="F7615" s="4" t="str">
        <f>HYPERLINK("http://141.218.60.56/~jnz1568/getInfo.php?workbook=14_09.xlsx&amp;sheet=U0&amp;row=7615&amp;col=6&amp;number=4.1&amp;sourceID=14","4.1")</f>
        <v>4.1</v>
      </c>
      <c r="G7615" s="4" t="str">
        <f>HYPERLINK("http://141.218.60.56/~jnz1568/getInfo.php?workbook=14_09.xlsx&amp;sheet=U0&amp;row=7615&amp;col=7&amp;number=0.00358&amp;sourceID=14","0.00358")</f>
        <v>0.00358</v>
      </c>
    </row>
    <row r="7616" spans="1:7">
      <c r="A7616" s="3"/>
      <c r="B7616" s="3"/>
      <c r="C7616" s="3"/>
      <c r="D7616" s="3"/>
      <c r="E7616" s="3">
        <v>13</v>
      </c>
      <c r="F7616" s="4" t="str">
        <f>HYPERLINK("http://141.218.60.56/~jnz1568/getInfo.php?workbook=14_09.xlsx&amp;sheet=U0&amp;row=7616&amp;col=6&amp;number=4.2&amp;sourceID=14","4.2")</f>
        <v>4.2</v>
      </c>
      <c r="G7616" s="4" t="str">
        <f>HYPERLINK("http://141.218.60.56/~jnz1568/getInfo.php?workbook=14_09.xlsx&amp;sheet=U0&amp;row=7616&amp;col=7&amp;number=0.00357&amp;sourceID=14","0.00357")</f>
        <v>0.00357</v>
      </c>
    </row>
    <row r="7617" spans="1:7">
      <c r="A7617" s="3"/>
      <c r="B7617" s="3"/>
      <c r="C7617" s="3"/>
      <c r="D7617" s="3"/>
      <c r="E7617" s="3">
        <v>14</v>
      </c>
      <c r="F7617" s="4" t="str">
        <f>HYPERLINK("http://141.218.60.56/~jnz1568/getInfo.php?workbook=14_09.xlsx&amp;sheet=U0&amp;row=7617&amp;col=6&amp;number=4.3&amp;sourceID=14","4.3")</f>
        <v>4.3</v>
      </c>
      <c r="G7617" s="4" t="str">
        <f>HYPERLINK("http://141.218.60.56/~jnz1568/getInfo.php?workbook=14_09.xlsx&amp;sheet=U0&amp;row=7617&amp;col=7&amp;number=0.00356&amp;sourceID=14","0.00356")</f>
        <v>0.00356</v>
      </c>
    </row>
    <row r="7618" spans="1:7">
      <c r="A7618" s="3"/>
      <c r="B7618" s="3"/>
      <c r="C7618" s="3"/>
      <c r="D7618" s="3"/>
      <c r="E7618" s="3">
        <v>15</v>
      </c>
      <c r="F7618" s="4" t="str">
        <f>HYPERLINK("http://141.218.60.56/~jnz1568/getInfo.php?workbook=14_09.xlsx&amp;sheet=U0&amp;row=7618&amp;col=6&amp;number=4.4&amp;sourceID=14","4.4")</f>
        <v>4.4</v>
      </c>
      <c r="G7618" s="4" t="str">
        <f>HYPERLINK("http://141.218.60.56/~jnz1568/getInfo.php?workbook=14_09.xlsx&amp;sheet=U0&amp;row=7618&amp;col=7&amp;number=0.00355&amp;sourceID=14","0.00355")</f>
        <v>0.00355</v>
      </c>
    </row>
    <row r="7619" spans="1:7">
      <c r="A7619" s="3"/>
      <c r="B7619" s="3"/>
      <c r="C7619" s="3"/>
      <c r="D7619" s="3"/>
      <c r="E7619" s="3">
        <v>16</v>
      </c>
      <c r="F7619" s="4" t="str">
        <f>HYPERLINK("http://141.218.60.56/~jnz1568/getInfo.php?workbook=14_09.xlsx&amp;sheet=U0&amp;row=7619&amp;col=6&amp;number=4.5&amp;sourceID=14","4.5")</f>
        <v>4.5</v>
      </c>
      <c r="G7619" s="4" t="str">
        <f>HYPERLINK("http://141.218.60.56/~jnz1568/getInfo.php?workbook=14_09.xlsx&amp;sheet=U0&amp;row=7619&amp;col=7&amp;number=0.00353&amp;sourceID=14","0.00353")</f>
        <v>0.00353</v>
      </c>
    </row>
    <row r="7620" spans="1:7">
      <c r="A7620" s="3"/>
      <c r="B7620" s="3"/>
      <c r="C7620" s="3"/>
      <c r="D7620" s="3"/>
      <c r="E7620" s="3">
        <v>17</v>
      </c>
      <c r="F7620" s="4" t="str">
        <f>HYPERLINK("http://141.218.60.56/~jnz1568/getInfo.php?workbook=14_09.xlsx&amp;sheet=U0&amp;row=7620&amp;col=6&amp;number=4.6&amp;sourceID=14","4.6")</f>
        <v>4.6</v>
      </c>
      <c r="G7620" s="4" t="str">
        <f>HYPERLINK("http://141.218.60.56/~jnz1568/getInfo.php?workbook=14_09.xlsx&amp;sheet=U0&amp;row=7620&amp;col=7&amp;number=0.0035&amp;sourceID=14","0.0035")</f>
        <v>0.0035</v>
      </c>
    </row>
    <row r="7621" spans="1:7">
      <c r="A7621" s="3"/>
      <c r="B7621" s="3"/>
      <c r="C7621" s="3"/>
      <c r="D7621" s="3"/>
      <c r="E7621" s="3">
        <v>18</v>
      </c>
      <c r="F7621" s="4" t="str">
        <f>HYPERLINK("http://141.218.60.56/~jnz1568/getInfo.php?workbook=14_09.xlsx&amp;sheet=U0&amp;row=7621&amp;col=6&amp;number=4.7&amp;sourceID=14","4.7")</f>
        <v>4.7</v>
      </c>
      <c r="G7621" s="4" t="str">
        <f>HYPERLINK("http://141.218.60.56/~jnz1568/getInfo.php?workbook=14_09.xlsx&amp;sheet=U0&amp;row=7621&amp;col=7&amp;number=0.00348&amp;sourceID=14","0.00348")</f>
        <v>0.00348</v>
      </c>
    </row>
    <row r="7622" spans="1:7">
      <c r="A7622" s="3"/>
      <c r="B7622" s="3"/>
      <c r="C7622" s="3"/>
      <c r="D7622" s="3"/>
      <c r="E7622" s="3">
        <v>19</v>
      </c>
      <c r="F7622" s="4" t="str">
        <f>HYPERLINK("http://141.218.60.56/~jnz1568/getInfo.php?workbook=14_09.xlsx&amp;sheet=U0&amp;row=7622&amp;col=6&amp;number=4.8&amp;sourceID=14","4.8")</f>
        <v>4.8</v>
      </c>
      <c r="G7622" s="4" t="str">
        <f>HYPERLINK("http://141.218.60.56/~jnz1568/getInfo.php?workbook=14_09.xlsx&amp;sheet=U0&amp;row=7622&amp;col=7&amp;number=0.00344&amp;sourceID=14","0.00344")</f>
        <v>0.00344</v>
      </c>
    </row>
    <row r="7623" spans="1:7">
      <c r="A7623" s="3"/>
      <c r="B7623" s="3"/>
      <c r="C7623" s="3"/>
      <c r="D7623" s="3"/>
      <c r="E7623" s="3">
        <v>20</v>
      </c>
      <c r="F7623" s="4" t="str">
        <f>HYPERLINK("http://141.218.60.56/~jnz1568/getInfo.php?workbook=14_09.xlsx&amp;sheet=U0&amp;row=7623&amp;col=6&amp;number=4.9&amp;sourceID=14","4.9")</f>
        <v>4.9</v>
      </c>
      <c r="G7623" s="4" t="str">
        <f>HYPERLINK("http://141.218.60.56/~jnz1568/getInfo.php?workbook=14_09.xlsx&amp;sheet=U0&amp;row=7623&amp;col=7&amp;number=0.00339&amp;sourceID=14","0.00339")</f>
        <v>0.00339</v>
      </c>
    </row>
    <row r="7624" spans="1:7">
      <c r="A7624" s="3">
        <v>14</v>
      </c>
      <c r="B7624" s="3">
        <v>9</v>
      </c>
      <c r="C7624" s="3">
        <v>2</v>
      </c>
      <c r="D7624" s="3">
        <v>190</v>
      </c>
      <c r="E7624" s="3">
        <v>1</v>
      </c>
      <c r="F7624" s="4" t="str">
        <f>HYPERLINK("http://141.218.60.56/~jnz1568/getInfo.php?workbook=14_09.xlsx&amp;sheet=U0&amp;row=7624&amp;col=6&amp;number=3&amp;sourceID=14","3")</f>
        <v>3</v>
      </c>
      <c r="G7624" s="4" t="str">
        <f>HYPERLINK("http://141.218.60.56/~jnz1568/getInfo.php?workbook=14_09.xlsx&amp;sheet=U0&amp;row=7624&amp;col=7&amp;number=0.00566&amp;sourceID=14","0.00566")</f>
        <v>0.00566</v>
      </c>
    </row>
    <row r="7625" spans="1:7">
      <c r="A7625" s="3"/>
      <c r="B7625" s="3"/>
      <c r="C7625" s="3"/>
      <c r="D7625" s="3"/>
      <c r="E7625" s="3">
        <v>2</v>
      </c>
      <c r="F7625" s="4" t="str">
        <f>HYPERLINK("http://141.218.60.56/~jnz1568/getInfo.php?workbook=14_09.xlsx&amp;sheet=U0&amp;row=7625&amp;col=6&amp;number=3.1&amp;sourceID=14","3.1")</f>
        <v>3.1</v>
      </c>
      <c r="G7625" s="4" t="str">
        <f>HYPERLINK("http://141.218.60.56/~jnz1568/getInfo.php?workbook=14_09.xlsx&amp;sheet=U0&amp;row=7625&amp;col=7&amp;number=0.00566&amp;sourceID=14","0.00566")</f>
        <v>0.00566</v>
      </c>
    </row>
    <row r="7626" spans="1:7">
      <c r="A7626" s="3"/>
      <c r="B7626" s="3"/>
      <c r="C7626" s="3"/>
      <c r="D7626" s="3"/>
      <c r="E7626" s="3">
        <v>3</v>
      </c>
      <c r="F7626" s="4" t="str">
        <f>HYPERLINK("http://141.218.60.56/~jnz1568/getInfo.php?workbook=14_09.xlsx&amp;sheet=U0&amp;row=7626&amp;col=6&amp;number=3.2&amp;sourceID=14","3.2")</f>
        <v>3.2</v>
      </c>
      <c r="G7626" s="4" t="str">
        <f>HYPERLINK("http://141.218.60.56/~jnz1568/getInfo.php?workbook=14_09.xlsx&amp;sheet=U0&amp;row=7626&amp;col=7&amp;number=0.00567&amp;sourceID=14","0.00567")</f>
        <v>0.00567</v>
      </c>
    </row>
    <row r="7627" spans="1:7">
      <c r="A7627" s="3"/>
      <c r="B7627" s="3"/>
      <c r="C7627" s="3"/>
      <c r="D7627" s="3"/>
      <c r="E7627" s="3">
        <v>4</v>
      </c>
      <c r="F7627" s="4" t="str">
        <f>HYPERLINK("http://141.218.60.56/~jnz1568/getInfo.php?workbook=14_09.xlsx&amp;sheet=U0&amp;row=7627&amp;col=6&amp;number=3.3&amp;sourceID=14","3.3")</f>
        <v>3.3</v>
      </c>
      <c r="G7627" s="4" t="str">
        <f>HYPERLINK("http://141.218.60.56/~jnz1568/getInfo.php?workbook=14_09.xlsx&amp;sheet=U0&amp;row=7627&amp;col=7&amp;number=0.00567&amp;sourceID=14","0.00567")</f>
        <v>0.00567</v>
      </c>
    </row>
    <row r="7628" spans="1:7">
      <c r="A7628" s="3"/>
      <c r="B7628" s="3"/>
      <c r="C7628" s="3"/>
      <c r="D7628" s="3"/>
      <c r="E7628" s="3">
        <v>5</v>
      </c>
      <c r="F7628" s="4" t="str">
        <f>HYPERLINK("http://141.218.60.56/~jnz1568/getInfo.php?workbook=14_09.xlsx&amp;sheet=U0&amp;row=7628&amp;col=6&amp;number=3.4&amp;sourceID=14","3.4")</f>
        <v>3.4</v>
      </c>
      <c r="G7628" s="4" t="str">
        <f>HYPERLINK("http://141.218.60.56/~jnz1568/getInfo.php?workbook=14_09.xlsx&amp;sheet=U0&amp;row=7628&amp;col=7&amp;number=0.00567&amp;sourceID=14","0.00567")</f>
        <v>0.00567</v>
      </c>
    </row>
    <row r="7629" spans="1:7">
      <c r="A7629" s="3"/>
      <c r="B7629" s="3"/>
      <c r="C7629" s="3"/>
      <c r="D7629" s="3"/>
      <c r="E7629" s="3">
        <v>6</v>
      </c>
      <c r="F7629" s="4" t="str">
        <f>HYPERLINK("http://141.218.60.56/~jnz1568/getInfo.php?workbook=14_09.xlsx&amp;sheet=U0&amp;row=7629&amp;col=6&amp;number=3.5&amp;sourceID=14","3.5")</f>
        <v>3.5</v>
      </c>
      <c r="G7629" s="4" t="str">
        <f>HYPERLINK("http://141.218.60.56/~jnz1568/getInfo.php?workbook=14_09.xlsx&amp;sheet=U0&amp;row=7629&amp;col=7&amp;number=0.00567&amp;sourceID=14","0.00567")</f>
        <v>0.00567</v>
      </c>
    </row>
    <row r="7630" spans="1:7">
      <c r="A7630" s="3"/>
      <c r="B7630" s="3"/>
      <c r="C7630" s="3"/>
      <c r="D7630" s="3"/>
      <c r="E7630" s="3">
        <v>7</v>
      </c>
      <c r="F7630" s="4" t="str">
        <f>HYPERLINK("http://141.218.60.56/~jnz1568/getInfo.php?workbook=14_09.xlsx&amp;sheet=U0&amp;row=7630&amp;col=6&amp;number=3.6&amp;sourceID=14","3.6")</f>
        <v>3.6</v>
      </c>
      <c r="G7630" s="4" t="str">
        <f>HYPERLINK("http://141.218.60.56/~jnz1568/getInfo.php?workbook=14_09.xlsx&amp;sheet=U0&amp;row=7630&amp;col=7&amp;number=0.00567&amp;sourceID=14","0.00567")</f>
        <v>0.00567</v>
      </c>
    </row>
    <row r="7631" spans="1:7">
      <c r="A7631" s="3"/>
      <c r="B7631" s="3"/>
      <c r="C7631" s="3"/>
      <c r="D7631" s="3"/>
      <c r="E7631" s="3">
        <v>8</v>
      </c>
      <c r="F7631" s="4" t="str">
        <f>HYPERLINK("http://141.218.60.56/~jnz1568/getInfo.php?workbook=14_09.xlsx&amp;sheet=U0&amp;row=7631&amp;col=6&amp;number=3.7&amp;sourceID=14","3.7")</f>
        <v>3.7</v>
      </c>
      <c r="G7631" s="4" t="str">
        <f>HYPERLINK("http://141.218.60.56/~jnz1568/getInfo.php?workbook=14_09.xlsx&amp;sheet=U0&amp;row=7631&amp;col=7&amp;number=0.00567&amp;sourceID=14","0.00567")</f>
        <v>0.00567</v>
      </c>
    </row>
    <row r="7632" spans="1:7">
      <c r="A7632" s="3"/>
      <c r="B7632" s="3"/>
      <c r="C7632" s="3"/>
      <c r="D7632" s="3"/>
      <c r="E7632" s="3">
        <v>9</v>
      </c>
      <c r="F7632" s="4" t="str">
        <f>HYPERLINK("http://141.218.60.56/~jnz1568/getInfo.php?workbook=14_09.xlsx&amp;sheet=U0&amp;row=7632&amp;col=6&amp;number=3.8&amp;sourceID=14","3.8")</f>
        <v>3.8</v>
      </c>
      <c r="G7632" s="4" t="str">
        <f>HYPERLINK("http://141.218.60.56/~jnz1568/getInfo.php?workbook=14_09.xlsx&amp;sheet=U0&amp;row=7632&amp;col=7&amp;number=0.00568&amp;sourceID=14","0.00568")</f>
        <v>0.00568</v>
      </c>
    </row>
    <row r="7633" spans="1:7">
      <c r="A7633" s="3"/>
      <c r="B7633" s="3"/>
      <c r="C7633" s="3"/>
      <c r="D7633" s="3"/>
      <c r="E7633" s="3">
        <v>10</v>
      </c>
      <c r="F7633" s="4" t="str">
        <f>HYPERLINK("http://141.218.60.56/~jnz1568/getInfo.php?workbook=14_09.xlsx&amp;sheet=U0&amp;row=7633&amp;col=6&amp;number=3.9&amp;sourceID=14","3.9")</f>
        <v>3.9</v>
      </c>
      <c r="G7633" s="4" t="str">
        <f>HYPERLINK("http://141.218.60.56/~jnz1568/getInfo.php?workbook=14_09.xlsx&amp;sheet=U0&amp;row=7633&amp;col=7&amp;number=0.00568&amp;sourceID=14","0.00568")</f>
        <v>0.00568</v>
      </c>
    </row>
    <row r="7634" spans="1:7">
      <c r="A7634" s="3"/>
      <c r="B7634" s="3"/>
      <c r="C7634" s="3"/>
      <c r="D7634" s="3"/>
      <c r="E7634" s="3">
        <v>11</v>
      </c>
      <c r="F7634" s="4" t="str">
        <f>HYPERLINK("http://141.218.60.56/~jnz1568/getInfo.php?workbook=14_09.xlsx&amp;sheet=U0&amp;row=7634&amp;col=6&amp;number=4&amp;sourceID=14","4")</f>
        <v>4</v>
      </c>
      <c r="G7634" s="4" t="str">
        <f>HYPERLINK("http://141.218.60.56/~jnz1568/getInfo.php?workbook=14_09.xlsx&amp;sheet=U0&amp;row=7634&amp;col=7&amp;number=0.00569&amp;sourceID=14","0.00569")</f>
        <v>0.00569</v>
      </c>
    </row>
    <row r="7635" spans="1:7">
      <c r="A7635" s="3"/>
      <c r="B7635" s="3"/>
      <c r="C7635" s="3"/>
      <c r="D7635" s="3"/>
      <c r="E7635" s="3">
        <v>12</v>
      </c>
      <c r="F7635" s="4" t="str">
        <f>HYPERLINK("http://141.218.60.56/~jnz1568/getInfo.php?workbook=14_09.xlsx&amp;sheet=U0&amp;row=7635&amp;col=6&amp;number=4.1&amp;sourceID=14","4.1")</f>
        <v>4.1</v>
      </c>
      <c r="G7635" s="4" t="str">
        <f>HYPERLINK("http://141.218.60.56/~jnz1568/getInfo.php?workbook=14_09.xlsx&amp;sheet=U0&amp;row=7635&amp;col=7&amp;number=0.00569&amp;sourceID=14","0.00569")</f>
        <v>0.00569</v>
      </c>
    </row>
    <row r="7636" spans="1:7">
      <c r="A7636" s="3"/>
      <c r="B7636" s="3"/>
      <c r="C7636" s="3"/>
      <c r="D7636" s="3"/>
      <c r="E7636" s="3">
        <v>13</v>
      </c>
      <c r="F7636" s="4" t="str">
        <f>HYPERLINK("http://141.218.60.56/~jnz1568/getInfo.php?workbook=14_09.xlsx&amp;sheet=U0&amp;row=7636&amp;col=6&amp;number=4.2&amp;sourceID=14","4.2")</f>
        <v>4.2</v>
      </c>
      <c r="G7636" s="4" t="str">
        <f>HYPERLINK("http://141.218.60.56/~jnz1568/getInfo.php?workbook=14_09.xlsx&amp;sheet=U0&amp;row=7636&amp;col=7&amp;number=0.0057&amp;sourceID=14","0.0057")</f>
        <v>0.0057</v>
      </c>
    </row>
    <row r="7637" spans="1:7">
      <c r="A7637" s="3"/>
      <c r="B7637" s="3"/>
      <c r="C7637" s="3"/>
      <c r="D7637" s="3"/>
      <c r="E7637" s="3">
        <v>14</v>
      </c>
      <c r="F7637" s="4" t="str">
        <f>HYPERLINK("http://141.218.60.56/~jnz1568/getInfo.php?workbook=14_09.xlsx&amp;sheet=U0&amp;row=7637&amp;col=6&amp;number=4.3&amp;sourceID=14","4.3")</f>
        <v>4.3</v>
      </c>
      <c r="G7637" s="4" t="str">
        <f>HYPERLINK("http://141.218.60.56/~jnz1568/getInfo.php?workbook=14_09.xlsx&amp;sheet=U0&amp;row=7637&amp;col=7&amp;number=0.00571&amp;sourceID=14","0.00571")</f>
        <v>0.00571</v>
      </c>
    </row>
    <row r="7638" spans="1:7">
      <c r="A7638" s="3"/>
      <c r="B7638" s="3"/>
      <c r="C7638" s="3"/>
      <c r="D7638" s="3"/>
      <c r="E7638" s="3">
        <v>15</v>
      </c>
      <c r="F7638" s="4" t="str">
        <f>HYPERLINK("http://141.218.60.56/~jnz1568/getInfo.php?workbook=14_09.xlsx&amp;sheet=U0&amp;row=7638&amp;col=6&amp;number=4.4&amp;sourceID=14","4.4")</f>
        <v>4.4</v>
      </c>
      <c r="G7638" s="4" t="str">
        <f>HYPERLINK("http://141.218.60.56/~jnz1568/getInfo.php?workbook=14_09.xlsx&amp;sheet=U0&amp;row=7638&amp;col=7&amp;number=0.00573&amp;sourceID=14","0.00573")</f>
        <v>0.00573</v>
      </c>
    </row>
    <row r="7639" spans="1:7">
      <c r="A7639" s="3"/>
      <c r="B7639" s="3"/>
      <c r="C7639" s="3"/>
      <c r="D7639" s="3"/>
      <c r="E7639" s="3">
        <v>16</v>
      </c>
      <c r="F7639" s="4" t="str">
        <f>HYPERLINK("http://141.218.60.56/~jnz1568/getInfo.php?workbook=14_09.xlsx&amp;sheet=U0&amp;row=7639&amp;col=6&amp;number=4.5&amp;sourceID=14","4.5")</f>
        <v>4.5</v>
      </c>
      <c r="G7639" s="4" t="str">
        <f>HYPERLINK("http://141.218.60.56/~jnz1568/getInfo.php?workbook=14_09.xlsx&amp;sheet=U0&amp;row=7639&amp;col=7&amp;number=0.00574&amp;sourceID=14","0.00574")</f>
        <v>0.00574</v>
      </c>
    </row>
    <row r="7640" spans="1:7">
      <c r="A7640" s="3"/>
      <c r="B7640" s="3"/>
      <c r="C7640" s="3"/>
      <c r="D7640" s="3"/>
      <c r="E7640" s="3">
        <v>17</v>
      </c>
      <c r="F7640" s="4" t="str">
        <f>HYPERLINK("http://141.218.60.56/~jnz1568/getInfo.php?workbook=14_09.xlsx&amp;sheet=U0&amp;row=7640&amp;col=6&amp;number=4.6&amp;sourceID=14","4.6")</f>
        <v>4.6</v>
      </c>
      <c r="G7640" s="4" t="str">
        <f>HYPERLINK("http://141.218.60.56/~jnz1568/getInfo.php?workbook=14_09.xlsx&amp;sheet=U0&amp;row=7640&amp;col=7&amp;number=0.00576&amp;sourceID=14","0.00576")</f>
        <v>0.00576</v>
      </c>
    </row>
    <row r="7641" spans="1:7">
      <c r="A7641" s="3"/>
      <c r="B7641" s="3"/>
      <c r="C7641" s="3"/>
      <c r="D7641" s="3"/>
      <c r="E7641" s="3">
        <v>18</v>
      </c>
      <c r="F7641" s="4" t="str">
        <f>HYPERLINK("http://141.218.60.56/~jnz1568/getInfo.php?workbook=14_09.xlsx&amp;sheet=U0&amp;row=7641&amp;col=6&amp;number=4.7&amp;sourceID=14","4.7")</f>
        <v>4.7</v>
      </c>
      <c r="G7641" s="4" t="str">
        <f>HYPERLINK("http://141.218.60.56/~jnz1568/getInfo.php?workbook=14_09.xlsx&amp;sheet=U0&amp;row=7641&amp;col=7&amp;number=0.00579&amp;sourceID=14","0.00579")</f>
        <v>0.00579</v>
      </c>
    </row>
    <row r="7642" spans="1:7">
      <c r="A7642" s="3"/>
      <c r="B7642" s="3"/>
      <c r="C7642" s="3"/>
      <c r="D7642" s="3"/>
      <c r="E7642" s="3">
        <v>19</v>
      </c>
      <c r="F7642" s="4" t="str">
        <f>HYPERLINK("http://141.218.60.56/~jnz1568/getInfo.php?workbook=14_09.xlsx&amp;sheet=U0&amp;row=7642&amp;col=6&amp;number=4.8&amp;sourceID=14","4.8")</f>
        <v>4.8</v>
      </c>
      <c r="G7642" s="4" t="str">
        <f>HYPERLINK("http://141.218.60.56/~jnz1568/getInfo.php?workbook=14_09.xlsx&amp;sheet=U0&amp;row=7642&amp;col=7&amp;number=0.00582&amp;sourceID=14","0.00582")</f>
        <v>0.00582</v>
      </c>
    </row>
    <row r="7643" spans="1:7">
      <c r="A7643" s="3"/>
      <c r="B7643" s="3"/>
      <c r="C7643" s="3"/>
      <c r="D7643" s="3"/>
      <c r="E7643" s="3">
        <v>20</v>
      </c>
      <c r="F7643" s="4" t="str">
        <f>HYPERLINK("http://141.218.60.56/~jnz1568/getInfo.php?workbook=14_09.xlsx&amp;sheet=U0&amp;row=7643&amp;col=6&amp;number=4.9&amp;sourceID=14","4.9")</f>
        <v>4.9</v>
      </c>
      <c r="G7643" s="4" t="str">
        <f>HYPERLINK("http://141.218.60.56/~jnz1568/getInfo.php?workbook=14_09.xlsx&amp;sheet=U0&amp;row=7643&amp;col=7&amp;number=0.00586&amp;sourceID=14","0.00586")</f>
        <v>0.00586</v>
      </c>
    </row>
    <row r="7644" spans="1:7">
      <c r="A7644" s="3">
        <v>14</v>
      </c>
      <c r="B7644" s="3">
        <v>9</v>
      </c>
      <c r="C7644" s="3">
        <v>2</v>
      </c>
      <c r="D7644" s="3">
        <v>191</v>
      </c>
      <c r="E7644" s="3">
        <v>1</v>
      </c>
      <c r="F7644" s="4" t="str">
        <f>HYPERLINK("http://141.218.60.56/~jnz1568/getInfo.php?workbook=14_09.xlsx&amp;sheet=U0&amp;row=7644&amp;col=6&amp;number=3&amp;sourceID=14","3")</f>
        <v>3</v>
      </c>
      <c r="G7644" s="4" t="str">
        <f>HYPERLINK("http://141.218.60.56/~jnz1568/getInfo.php?workbook=14_09.xlsx&amp;sheet=U0&amp;row=7644&amp;col=7&amp;number=0.00483&amp;sourceID=14","0.00483")</f>
        <v>0.00483</v>
      </c>
    </row>
    <row r="7645" spans="1:7">
      <c r="A7645" s="3"/>
      <c r="B7645" s="3"/>
      <c r="C7645" s="3"/>
      <c r="D7645" s="3"/>
      <c r="E7645" s="3">
        <v>2</v>
      </c>
      <c r="F7645" s="4" t="str">
        <f>HYPERLINK("http://141.218.60.56/~jnz1568/getInfo.php?workbook=14_09.xlsx&amp;sheet=U0&amp;row=7645&amp;col=6&amp;number=3.1&amp;sourceID=14","3.1")</f>
        <v>3.1</v>
      </c>
      <c r="G7645" s="4" t="str">
        <f>HYPERLINK("http://141.218.60.56/~jnz1568/getInfo.php?workbook=14_09.xlsx&amp;sheet=U0&amp;row=7645&amp;col=7&amp;number=0.00483&amp;sourceID=14","0.00483")</f>
        <v>0.00483</v>
      </c>
    </row>
    <row r="7646" spans="1:7">
      <c r="A7646" s="3"/>
      <c r="B7646" s="3"/>
      <c r="C7646" s="3"/>
      <c r="D7646" s="3"/>
      <c r="E7646" s="3">
        <v>3</v>
      </c>
      <c r="F7646" s="4" t="str">
        <f>HYPERLINK("http://141.218.60.56/~jnz1568/getInfo.php?workbook=14_09.xlsx&amp;sheet=U0&amp;row=7646&amp;col=6&amp;number=3.2&amp;sourceID=14","3.2")</f>
        <v>3.2</v>
      </c>
      <c r="G7646" s="4" t="str">
        <f>HYPERLINK("http://141.218.60.56/~jnz1568/getInfo.php?workbook=14_09.xlsx&amp;sheet=U0&amp;row=7646&amp;col=7&amp;number=0.00483&amp;sourceID=14","0.00483")</f>
        <v>0.00483</v>
      </c>
    </row>
    <row r="7647" spans="1:7">
      <c r="A7647" s="3"/>
      <c r="B7647" s="3"/>
      <c r="C7647" s="3"/>
      <c r="D7647" s="3"/>
      <c r="E7647" s="3">
        <v>4</v>
      </c>
      <c r="F7647" s="4" t="str">
        <f>HYPERLINK("http://141.218.60.56/~jnz1568/getInfo.php?workbook=14_09.xlsx&amp;sheet=U0&amp;row=7647&amp;col=6&amp;number=3.3&amp;sourceID=14","3.3")</f>
        <v>3.3</v>
      </c>
      <c r="G7647" s="4" t="str">
        <f>HYPERLINK("http://141.218.60.56/~jnz1568/getInfo.php?workbook=14_09.xlsx&amp;sheet=U0&amp;row=7647&amp;col=7&amp;number=0.00483&amp;sourceID=14","0.00483")</f>
        <v>0.00483</v>
      </c>
    </row>
    <row r="7648" spans="1:7">
      <c r="A7648" s="3"/>
      <c r="B7648" s="3"/>
      <c r="C7648" s="3"/>
      <c r="D7648" s="3"/>
      <c r="E7648" s="3">
        <v>5</v>
      </c>
      <c r="F7648" s="4" t="str">
        <f>HYPERLINK("http://141.218.60.56/~jnz1568/getInfo.php?workbook=14_09.xlsx&amp;sheet=U0&amp;row=7648&amp;col=6&amp;number=3.4&amp;sourceID=14","3.4")</f>
        <v>3.4</v>
      </c>
      <c r="G7648" s="4" t="str">
        <f>HYPERLINK("http://141.218.60.56/~jnz1568/getInfo.php?workbook=14_09.xlsx&amp;sheet=U0&amp;row=7648&amp;col=7&amp;number=0.00483&amp;sourceID=14","0.00483")</f>
        <v>0.00483</v>
      </c>
    </row>
    <row r="7649" spans="1:7">
      <c r="A7649" s="3"/>
      <c r="B7649" s="3"/>
      <c r="C7649" s="3"/>
      <c r="D7649" s="3"/>
      <c r="E7649" s="3">
        <v>6</v>
      </c>
      <c r="F7649" s="4" t="str">
        <f>HYPERLINK("http://141.218.60.56/~jnz1568/getInfo.php?workbook=14_09.xlsx&amp;sheet=U0&amp;row=7649&amp;col=6&amp;number=3.5&amp;sourceID=14","3.5")</f>
        <v>3.5</v>
      </c>
      <c r="G7649" s="4" t="str">
        <f>HYPERLINK("http://141.218.60.56/~jnz1568/getInfo.php?workbook=14_09.xlsx&amp;sheet=U0&amp;row=7649&amp;col=7&amp;number=0.00483&amp;sourceID=14","0.00483")</f>
        <v>0.00483</v>
      </c>
    </row>
    <row r="7650" spans="1:7">
      <c r="A7650" s="3"/>
      <c r="B7650" s="3"/>
      <c r="C7650" s="3"/>
      <c r="D7650" s="3"/>
      <c r="E7650" s="3">
        <v>7</v>
      </c>
      <c r="F7650" s="4" t="str">
        <f>HYPERLINK("http://141.218.60.56/~jnz1568/getInfo.php?workbook=14_09.xlsx&amp;sheet=U0&amp;row=7650&amp;col=6&amp;number=3.6&amp;sourceID=14","3.6")</f>
        <v>3.6</v>
      </c>
      <c r="G7650" s="4" t="str">
        <f>HYPERLINK("http://141.218.60.56/~jnz1568/getInfo.php?workbook=14_09.xlsx&amp;sheet=U0&amp;row=7650&amp;col=7&amp;number=0.00482&amp;sourceID=14","0.00482")</f>
        <v>0.00482</v>
      </c>
    </row>
    <row r="7651" spans="1:7">
      <c r="A7651" s="3"/>
      <c r="B7651" s="3"/>
      <c r="C7651" s="3"/>
      <c r="D7651" s="3"/>
      <c r="E7651" s="3">
        <v>8</v>
      </c>
      <c r="F7651" s="4" t="str">
        <f>HYPERLINK("http://141.218.60.56/~jnz1568/getInfo.php?workbook=14_09.xlsx&amp;sheet=U0&amp;row=7651&amp;col=6&amp;number=3.7&amp;sourceID=14","3.7")</f>
        <v>3.7</v>
      </c>
      <c r="G7651" s="4" t="str">
        <f>HYPERLINK("http://141.218.60.56/~jnz1568/getInfo.php?workbook=14_09.xlsx&amp;sheet=U0&amp;row=7651&amp;col=7&amp;number=0.00482&amp;sourceID=14","0.00482")</f>
        <v>0.00482</v>
      </c>
    </row>
    <row r="7652" spans="1:7">
      <c r="A7652" s="3"/>
      <c r="B7652" s="3"/>
      <c r="C7652" s="3"/>
      <c r="D7652" s="3"/>
      <c r="E7652" s="3">
        <v>9</v>
      </c>
      <c r="F7652" s="4" t="str">
        <f>HYPERLINK("http://141.218.60.56/~jnz1568/getInfo.php?workbook=14_09.xlsx&amp;sheet=U0&amp;row=7652&amp;col=6&amp;number=3.8&amp;sourceID=14","3.8")</f>
        <v>3.8</v>
      </c>
      <c r="G7652" s="4" t="str">
        <f>HYPERLINK("http://141.218.60.56/~jnz1568/getInfo.php?workbook=14_09.xlsx&amp;sheet=U0&amp;row=7652&amp;col=7&amp;number=0.00482&amp;sourceID=14","0.00482")</f>
        <v>0.00482</v>
      </c>
    </row>
    <row r="7653" spans="1:7">
      <c r="A7653" s="3"/>
      <c r="B7653" s="3"/>
      <c r="C7653" s="3"/>
      <c r="D7653" s="3"/>
      <c r="E7653" s="3">
        <v>10</v>
      </c>
      <c r="F7653" s="4" t="str">
        <f>HYPERLINK("http://141.218.60.56/~jnz1568/getInfo.php?workbook=14_09.xlsx&amp;sheet=U0&amp;row=7653&amp;col=6&amp;number=3.9&amp;sourceID=14","3.9")</f>
        <v>3.9</v>
      </c>
      <c r="G7653" s="4" t="str">
        <f>HYPERLINK("http://141.218.60.56/~jnz1568/getInfo.php?workbook=14_09.xlsx&amp;sheet=U0&amp;row=7653&amp;col=7&amp;number=0.00481&amp;sourceID=14","0.00481")</f>
        <v>0.00481</v>
      </c>
    </row>
    <row r="7654" spans="1:7">
      <c r="A7654" s="3"/>
      <c r="B7654" s="3"/>
      <c r="C7654" s="3"/>
      <c r="D7654" s="3"/>
      <c r="E7654" s="3">
        <v>11</v>
      </c>
      <c r="F7654" s="4" t="str">
        <f>HYPERLINK("http://141.218.60.56/~jnz1568/getInfo.php?workbook=14_09.xlsx&amp;sheet=U0&amp;row=7654&amp;col=6&amp;number=4&amp;sourceID=14","4")</f>
        <v>4</v>
      </c>
      <c r="G7654" s="4" t="str">
        <f>HYPERLINK("http://141.218.60.56/~jnz1568/getInfo.php?workbook=14_09.xlsx&amp;sheet=U0&amp;row=7654&amp;col=7&amp;number=0.00481&amp;sourceID=14","0.00481")</f>
        <v>0.00481</v>
      </c>
    </row>
    <row r="7655" spans="1:7">
      <c r="A7655" s="3"/>
      <c r="B7655" s="3"/>
      <c r="C7655" s="3"/>
      <c r="D7655" s="3"/>
      <c r="E7655" s="3">
        <v>12</v>
      </c>
      <c r="F7655" s="4" t="str">
        <f>HYPERLINK("http://141.218.60.56/~jnz1568/getInfo.php?workbook=14_09.xlsx&amp;sheet=U0&amp;row=7655&amp;col=6&amp;number=4.1&amp;sourceID=14","4.1")</f>
        <v>4.1</v>
      </c>
      <c r="G7655" s="4" t="str">
        <f>HYPERLINK("http://141.218.60.56/~jnz1568/getInfo.php?workbook=14_09.xlsx&amp;sheet=U0&amp;row=7655&amp;col=7&amp;number=0.0048&amp;sourceID=14","0.0048")</f>
        <v>0.0048</v>
      </c>
    </row>
    <row r="7656" spans="1:7">
      <c r="A7656" s="3"/>
      <c r="B7656" s="3"/>
      <c r="C7656" s="3"/>
      <c r="D7656" s="3"/>
      <c r="E7656" s="3">
        <v>13</v>
      </c>
      <c r="F7656" s="4" t="str">
        <f>HYPERLINK("http://141.218.60.56/~jnz1568/getInfo.php?workbook=14_09.xlsx&amp;sheet=U0&amp;row=7656&amp;col=6&amp;number=4.2&amp;sourceID=14","4.2")</f>
        <v>4.2</v>
      </c>
      <c r="G7656" s="4" t="str">
        <f>HYPERLINK("http://141.218.60.56/~jnz1568/getInfo.php?workbook=14_09.xlsx&amp;sheet=U0&amp;row=7656&amp;col=7&amp;number=0.00479&amp;sourceID=14","0.00479")</f>
        <v>0.00479</v>
      </c>
    </row>
    <row r="7657" spans="1:7">
      <c r="A7657" s="3"/>
      <c r="B7657" s="3"/>
      <c r="C7657" s="3"/>
      <c r="D7657" s="3"/>
      <c r="E7657" s="3">
        <v>14</v>
      </c>
      <c r="F7657" s="4" t="str">
        <f>HYPERLINK("http://141.218.60.56/~jnz1568/getInfo.php?workbook=14_09.xlsx&amp;sheet=U0&amp;row=7657&amp;col=6&amp;number=4.3&amp;sourceID=14","4.3")</f>
        <v>4.3</v>
      </c>
      <c r="G7657" s="4" t="str">
        <f>HYPERLINK("http://141.218.60.56/~jnz1568/getInfo.php?workbook=14_09.xlsx&amp;sheet=U0&amp;row=7657&amp;col=7&amp;number=0.00478&amp;sourceID=14","0.00478")</f>
        <v>0.00478</v>
      </c>
    </row>
    <row r="7658" spans="1:7">
      <c r="A7658" s="3"/>
      <c r="B7658" s="3"/>
      <c r="C7658" s="3"/>
      <c r="D7658" s="3"/>
      <c r="E7658" s="3">
        <v>15</v>
      </c>
      <c r="F7658" s="4" t="str">
        <f>HYPERLINK("http://141.218.60.56/~jnz1568/getInfo.php?workbook=14_09.xlsx&amp;sheet=U0&amp;row=7658&amp;col=6&amp;number=4.4&amp;sourceID=14","4.4")</f>
        <v>4.4</v>
      </c>
      <c r="G7658" s="4" t="str">
        <f>HYPERLINK("http://141.218.60.56/~jnz1568/getInfo.php?workbook=14_09.xlsx&amp;sheet=U0&amp;row=7658&amp;col=7&amp;number=0.00477&amp;sourceID=14","0.00477")</f>
        <v>0.00477</v>
      </c>
    </row>
    <row r="7659" spans="1:7">
      <c r="A7659" s="3"/>
      <c r="B7659" s="3"/>
      <c r="C7659" s="3"/>
      <c r="D7659" s="3"/>
      <c r="E7659" s="3">
        <v>16</v>
      </c>
      <c r="F7659" s="4" t="str">
        <f>HYPERLINK("http://141.218.60.56/~jnz1568/getInfo.php?workbook=14_09.xlsx&amp;sheet=U0&amp;row=7659&amp;col=6&amp;number=4.5&amp;sourceID=14","4.5")</f>
        <v>4.5</v>
      </c>
      <c r="G7659" s="4" t="str">
        <f>HYPERLINK("http://141.218.60.56/~jnz1568/getInfo.php?workbook=14_09.xlsx&amp;sheet=U0&amp;row=7659&amp;col=7&amp;number=0.00475&amp;sourceID=14","0.00475")</f>
        <v>0.00475</v>
      </c>
    </row>
    <row r="7660" spans="1:7">
      <c r="A7660" s="3"/>
      <c r="B7660" s="3"/>
      <c r="C7660" s="3"/>
      <c r="D7660" s="3"/>
      <c r="E7660" s="3">
        <v>17</v>
      </c>
      <c r="F7660" s="4" t="str">
        <f>HYPERLINK("http://141.218.60.56/~jnz1568/getInfo.php?workbook=14_09.xlsx&amp;sheet=U0&amp;row=7660&amp;col=6&amp;number=4.6&amp;sourceID=14","4.6")</f>
        <v>4.6</v>
      </c>
      <c r="G7660" s="4" t="str">
        <f>HYPERLINK("http://141.218.60.56/~jnz1568/getInfo.php?workbook=14_09.xlsx&amp;sheet=U0&amp;row=7660&amp;col=7&amp;number=0.00473&amp;sourceID=14","0.00473")</f>
        <v>0.00473</v>
      </c>
    </row>
    <row r="7661" spans="1:7">
      <c r="A7661" s="3"/>
      <c r="B7661" s="3"/>
      <c r="C7661" s="3"/>
      <c r="D7661" s="3"/>
      <c r="E7661" s="3">
        <v>18</v>
      </c>
      <c r="F7661" s="4" t="str">
        <f>HYPERLINK("http://141.218.60.56/~jnz1568/getInfo.php?workbook=14_09.xlsx&amp;sheet=U0&amp;row=7661&amp;col=6&amp;number=4.7&amp;sourceID=14","4.7")</f>
        <v>4.7</v>
      </c>
      <c r="G7661" s="4" t="str">
        <f>HYPERLINK("http://141.218.60.56/~jnz1568/getInfo.php?workbook=14_09.xlsx&amp;sheet=U0&amp;row=7661&amp;col=7&amp;number=0.0047&amp;sourceID=14","0.0047")</f>
        <v>0.0047</v>
      </c>
    </row>
    <row r="7662" spans="1:7">
      <c r="A7662" s="3"/>
      <c r="B7662" s="3"/>
      <c r="C7662" s="3"/>
      <c r="D7662" s="3"/>
      <c r="E7662" s="3">
        <v>19</v>
      </c>
      <c r="F7662" s="4" t="str">
        <f>HYPERLINK("http://141.218.60.56/~jnz1568/getInfo.php?workbook=14_09.xlsx&amp;sheet=U0&amp;row=7662&amp;col=6&amp;number=4.8&amp;sourceID=14","4.8")</f>
        <v>4.8</v>
      </c>
      <c r="G7662" s="4" t="str">
        <f>HYPERLINK("http://141.218.60.56/~jnz1568/getInfo.php?workbook=14_09.xlsx&amp;sheet=U0&amp;row=7662&amp;col=7&amp;number=0.00467&amp;sourceID=14","0.00467")</f>
        <v>0.00467</v>
      </c>
    </row>
    <row r="7663" spans="1:7">
      <c r="A7663" s="3"/>
      <c r="B7663" s="3"/>
      <c r="C7663" s="3"/>
      <c r="D7663" s="3"/>
      <c r="E7663" s="3">
        <v>20</v>
      </c>
      <c r="F7663" s="4" t="str">
        <f>HYPERLINK("http://141.218.60.56/~jnz1568/getInfo.php?workbook=14_09.xlsx&amp;sheet=U0&amp;row=7663&amp;col=6&amp;number=4.9&amp;sourceID=14","4.9")</f>
        <v>4.9</v>
      </c>
      <c r="G7663" s="4" t="str">
        <f>HYPERLINK("http://141.218.60.56/~jnz1568/getInfo.php?workbook=14_09.xlsx&amp;sheet=U0&amp;row=7663&amp;col=7&amp;number=0.00463&amp;sourceID=14","0.00463")</f>
        <v>0.00463</v>
      </c>
    </row>
    <row r="7664" spans="1:7">
      <c r="A7664" s="3">
        <v>14</v>
      </c>
      <c r="B7664" s="3">
        <v>9</v>
      </c>
      <c r="C7664" s="3">
        <v>2</v>
      </c>
      <c r="D7664" s="3">
        <v>192</v>
      </c>
      <c r="E7664" s="3">
        <v>1</v>
      </c>
      <c r="F7664" s="4" t="str">
        <f>HYPERLINK("http://141.218.60.56/~jnz1568/getInfo.php?workbook=14_09.xlsx&amp;sheet=U0&amp;row=7664&amp;col=6&amp;number=3&amp;sourceID=14","3")</f>
        <v>3</v>
      </c>
      <c r="G7664" s="4" t="str">
        <f>HYPERLINK("http://141.218.60.56/~jnz1568/getInfo.php?workbook=14_09.xlsx&amp;sheet=U0&amp;row=7664&amp;col=7&amp;number=0.00471&amp;sourceID=14","0.00471")</f>
        <v>0.00471</v>
      </c>
    </row>
    <row r="7665" spans="1:7">
      <c r="A7665" s="3"/>
      <c r="B7665" s="3"/>
      <c r="C7665" s="3"/>
      <c r="D7665" s="3"/>
      <c r="E7665" s="3">
        <v>2</v>
      </c>
      <c r="F7665" s="4" t="str">
        <f>HYPERLINK("http://141.218.60.56/~jnz1568/getInfo.php?workbook=14_09.xlsx&amp;sheet=U0&amp;row=7665&amp;col=6&amp;number=3.1&amp;sourceID=14","3.1")</f>
        <v>3.1</v>
      </c>
      <c r="G7665" s="4" t="str">
        <f>HYPERLINK("http://141.218.60.56/~jnz1568/getInfo.php?workbook=14_09.xlsx&amp;sheet=U0&amp;row=7665&amp;col=7&amp;number=0.00472&amp;sourceID=14","0.00472")</f>
        <v>0.00472</v>
      </c>
    </row>
    <row r="7666" spans="1:7">
      <c r="A7666" s="3"/>
      <c r="B7666" s="3"/>
      <c r="C7666" s="3"/>
      <c r="D7666" s="3"/>
      <c r="E7666" s="3">
        <v>3</v>
      </c>
      <c r="F7666" s="4" t="str">
        <f>HYPERLINK("http://141.218.60.56/~jnz1568/getInfo.php?workbook=14_09.xlsx&amp;sheet=U0&amp;row=7666&amp;col=6&amp;number=3.2&amp;sourceID=14","3.2")</f>
        <v>3.2</v>
      </c>
      <c r="G7666" s="4" t="str">
        <f>HYPERLINK("http://141.218.60.56/~jnz1568/getInfo.php?workbook=14_09.xlsx&amp;sheet=U0&amp;row=7666&amp;col=7&amp;number=0.00472&amp;sourceID=14","0.00472")</f>
        <v>0.00472</v>
      </c>
    </row>
    <row r="7667" spans="1:7">
      <c r="A7667" s="3"/>
      <c r="B7667" s="3"/>
      <c r="C7667" s="3"/>
      <c r="D7667" s="3"/>
      <c r="E7667" s="3">
        <v>4</v>
      </c>
      <c r="F7667" s="4" t="str">
        <f>HYPERLINK("http://141.218.60.56/~jnz1568/getInfo.php?workbook=14_09.xlsx&amp;sheet=U0&amp;row=7667&amp;col=6&amp;number=3.3&amp;sourceID=14","3.3")</f>
        <v>3.3</v>
      </c>
      <c r="G7667" s="4" t="str">
        <f>HYPERLINK("http://141.218.60.56/~jnz1568/getInfo.php?workbook=14_09.xlsx&amp;sheet=U0&amp;row=7667&amp;col=7&amp;number=0.00472&amp;sourceID=14","0.00472")</f>
        <v>0.00472</v>
      </c>
    </row>
    <row r="7668" spans="1:7">
      <c r="A7668" s="3"/>
      <c r="B7668" s="3"/>
      <c r="C7668" s="3"/>
      <c r="D7668" s="3"/>
      <c r="E7668" s="3">
        <v>5</v>
      </c>
      <c r="F7668" s="4" t="str">
        <f>HYPERLINK("http://141.218.60.56/~jnz1568/getInfo.php?workbook=14_09.xlsx&amp;sheet=U0&amp;row=7668&amp;col=6&amp;number=3.4&amp;sourceID=14","3.4")</f>
        <v>3.4</v>
      </c>
      <c r="G7668" s="4" t="str">
        <f>HYPERLINK("http://141.218.60.56/~jnz1568/getInfo.php?workbook=14_09.xlsx&amp;sheet=U0&amp;row=7668&amp;col=7&amp;number=0.00472&amp;sourceID=14","0.00472")</f>
        <v>0.00472</v>
      </c>
    </row>
    <row r="7669" spans="1:7">
      <c r="A7669" s="3"/>
      <c r="B7669" s="3"/>
      <c r="C7669" s="3"/>
      <c r="D7669" s="3"/>
      <c r="E7669" s="3">
        <v>6</v>
      </c>
      <c r="F7669" s="4" t="str">
        <f>HYPERLINK("http://141.218.60.56/~jnz1568/getInfo.php?workbook=14_09.xlsx&amp;sheet=U0&amp;row=7669&amp;col=6&amp;number=3.5&amp;sourceID=14","3.5")</f>
        <v>3.5</v>
      </c>
      <c r="G7669" s="4" t="str">
        <f>HYPERLINK("http://141.218.60.56/~jnz1568/getInfo.php?workbook=14_09.xlsx&amp;sheet=U0&amp;row=7669&amp;col=7&amp;number=0.00472&amp;sourceID=14","0.00472")</f>
        <v>0.00472</v>
      </c>
    </row>
    <row r="7670" spans="1:7">
      <c r="A7670" s="3"/>
      <c r="B7670" s="3"/>
      <c r="C7670" s="3"/>
      <c r="D7670" s="3"/>
      <c r="E7670" s="3">
        <v>7</v>
      </c>
      <c r="F7670" s="4" t="str">
        <f>HYPERLINK("http://141.218.60.56/~jnz1568/getInfo.php?workbook=14_09.xlsx&amp;sheet=U0&amp;row=7670&amp;col=6&amp;number=3.6&amp;sourceID=14","3.6")</f>
        <v>3.6</v>
      </c>
      <c r="G7670" s="4" t="str">
        <f>HYPERLINK("http://141.218.60.56/~jnz1568/getInfo.php?workbook=14_09.xlsx&amp;sheet=U0&amp;row=7670&amp;col=7&amp;number=0.00472&amp;sourceID=14","0.00472")</f>
        <v>0.00472</v>
      </c>
    </row>
    <row r="7671" spans="1:7">
      <c r="A7671" s="3"/>
      <c r="B7671" s="3"/>
      <c r="C7671" s="3"/>
      <c r="D7671" s="3"/>
      <c r="E7671" s="3">
        <v>8</v>
      </c>
      <c r="F7671" s="4" t="str">
        <f>HYPERLINK("http://141.218.60.56/~jnz1568/getInfo.php?workbook=14_09.xlsx&amp;sheet=U0&amp;row=7671&amp;col=6&amp;number=3.7&amp;sourceID=14","3.7")</f>
        <v>3.7</v>
      </c>
      <c r="G7671" s="4" t="str">
        <f>HYPERLINK("http://141.218.60.56/~jnz1568/getInfo.php?workbook=14_09.xlsx&amp;sheet=U0&amp;row=7671&amp;col=7&amp;number=0.00472&amp;sourceID=14","0.00472")</f>
        <v>0.00472</v>
      </c>
    </row>
    <row r="7672" spans="1:7">
      <c r="A7672" s="3"/>
      <c r="B7672" s="3"/>
      <c r="C7672" s="3"/>
      <c r="D7672" s="3"/>
      <c r="E7672" s="3">
        <v>9</v>
      </c>
      <c r="F7672" s="4" t="str">
        <f>HYPERLINK("http://141.218.60.56/~jnz1568/getInfo.php?workbook=14_09.xlsx&amp;sheet=U0&amp;row=7672&amp;col=6&amp;number=3.8&amp;sourceID=14","3.8")</f>
        <v>3.8</v>
      </c>
      <c r="G7672" s="4" t="str">
        <f>HYPERLINK("http://141.218.60.56/~jnz1568/getInfo.php?workbook=14_09.xlsx&amp;sheet=U0&amp;row=7672&amp;col=7&amp;number=0.00472&amp;sourceID=14","0.00472")</f>
        <v>0.00472</v>
      </c>
    </row>
    <row r="7673" spans="1:7">
      <c r="A7673" s="3"/>
      <c r="B7673" s="3"/>
      <c r="C7673" s="3"/>
      <c r="D7673" s="3"/>
      <c r="E7673" s="3">
        <v>10</v>
      </c>
      <c r="F7673" s="4" t="str">
        <f>HYPERLINK("http://141.218.60.56/~jnz1568/getInfo.php?workbook=14_09.xlsx&amp;sheet=U0&amp;row=7673&amp;col=6&amp;number=3.9&amp;sourceID=14","3.9")</f>
        <v>3.9</v>
      </c>
      <c r="G7673" s="4" t="str">
        <f>HYPERLINK("http://141.218.60.56/~jnz1568/getInfo.php?workbook=14_09.xlsx&amp;sheet=U0&amp;row=7673&amp;col=7&amp;number=0.00473&amp;sourceID=14","0.00473")</f>
        <v>0.00473</v>
      </c>
    </row>
    <row r="7674" spans="1:7">
      <c r="A7674" s="3"/>
      <c r="B7674" s="3"/>
      <c r="C7674" s="3"/>
      <c r="D7674" s="3"/>
      <c r="E7674" s="3">
        <v>11</v>
      </c>
      <c r="F7674" s="4" t="str">
        <f>HYPERLINK("http://141.218.60.56/~jnz1568/getInfo.php?workbook=14_09.xlsx&amp;sheet=U0&amp;row=7674&amp;col=6&amp;number=4&amp;sourceID=14","4")</f>
        <v>4</v>
      </c>
      <c r="G7674" s="4" t="str">
        <f>HYPERLINK("http://141.218.60.56/~jnz1568/getInfo.php?workbook=14_09.xlsx&amp;sheet=U0&amp;row=7674&amp;col=7&amp;number=0.00473&amp;sourceID=14","0.00473")</f>
        <v>0.00473</v>
      </c>
    </row>
    <row r="7675" spans="1:7">
      <c r="A7675" s="3"/>
      <c r="B7675" s="3"/>
      <c r="C7675" s="3"/>
      <c r="D7675" s="3"/>
      <c r="E7675" s="3">
        <v>12</v>
      </c>
      <c r="F7675" s="4" t="str">
        <f>HYPERLINK("http://141.218.60.56/~jnz1568/getInfo.php?workbook=14_09.xlsx&amp;sheet=U0&amp;row=7675&amp;col=6&amp;number=4.1&amp;sourceID=14","4.1")</f>
        <v>4.1</v>
      </c>
      <c r="G7675" s="4" t="str">
        <f>HYPERLINK("http://141.218.60.56/~jnz1568/getInfo.php?workbook=14_09.xlsx&amp;sheet=U0&amp;row=7675&amp;col=7&amp;number=0.00473&amp;sourceID=14","0.00473")</f>
        <v>0.00473</v>
      </c>
    </row>
    <row r="7676" spans="1:7">
      <c r="A7676" s="3"/>
      <c r="B7676" s="3"/>
      <c r="C7676" s="3"/>
      <c r="D7676" s="3"/>
      <c r="E7676" s="3">
        <v>13</v>
      </c>
      <c r="F7676" s="4" t="str">
        <f>HYPERLINK("http://141.218.60.56/~jnz1568/getInfo.php?workbook=14_09.xlsx&amp;sheet=U0&amp;row=7676&amp;col=6&amp;number=4.2&amp;sourceID=14","4.2")</f>
        <v>4.2</v>
      </c>
      <c r="G7676" s="4" t="str">
        <f>HYPERLINK("http://141.218.60.56/~jnz1568/getInfo.php?workbook=14_09.xlsx&amp;sheet=U0&amp;row=7676&amp;col=7&amp;number=0.00474&amp;sourceID=14","0.00474")</f>
        <v>0.00474</v>
      </c>
    </row>
    <row r="7677" spans="1:7">
      <c r="A7677" s="3"/>
      <c r="B7677" s="3"/>
      <c r="C7677" s="3"/>
      <c r="D7677" s="3"/>
      <c r="E7677" s="3">
        <v>14</v>
      </c>
      <c r="F7677" s="4" t="str">
        <f>HYPERLINK("http://141.218.60.56/~jnz1568/getInfo.php?workbook=14_09.xlsx&amp;sheet=U0&amp;row=7677&amp;col=6&amp;number=4.3&amp;sourceID=14","4.3")</f>
        <v>4.3</v>
      </c>
      <c r="G7677" s="4" t="str">
        <f>HYPERLINK("http://141.218.60.56/~jnz1568/getInfo.php?workbook=14_09.xlsx&amp;sheet=U0&amp;row=7677&amp;col=7&amp;number=0.00475&amp;sourceID=14","0.00475")</f>
        <v>0.00475</v>
      </c>
    </row>
    <row r="7678" spans="1:7">
      <c r="A7678" s="3"/>
      <c r="B7678" s="3"/>
      <c r="C7678" s="3"/>
      <c r="D7678" s="3"/>
      <c r="E7678" s="3">
        <v>15</v>
      </c>
      <c r="F7678" s="4" t="str">
        <f>HYPERLINK("http://141.218.60.56/~jnz1568/getInfo.php?workbook=14_09.xlsx&amp;sheet=U0&amp;row=7678&amp;col=6&amp;number=4.4&amp;sourceID=14","4.4")</f>
        <v>4.4</v>
      </c>
      <c r="G7678" s="4" t="str">
        <f>HYPERLINK("http://141.218.60.56/~jnz1568/getInfo.php?workbook=14_09.xlsx&amp;sheet=U0&amp;row=7678&amp;col=7&amp;number=0.00475&amp;sourceID=14","0.00475")</f>
        <v>0.00475</v>
      </c>
    </row>
    <row r="7679" spans="1:7">
      <c r="A7679" s="3"/>
      <c r="B7679" s="3"/>
      <c r="C7679" s="3"/>
      <c r="D7679" s="3"/>
      <c r="E7679" s="3">
        <v>16</v>
      </c>
      <c r="F7679" s="4" t="str">
        <f>HYPERLINK("http://141.218.60.56/~jnz1568/getInfo.php?workbook=14_09.xlsx&amp;sheet=U0&amp;row=7679&amp;col=6&amp;number=4.5&amp;sourceID=14","4.5")</f>
        <v>4.5</v>
      </c>
      <c r="G7679" s="4" t="str">
        <f>HYPERLINK("http://141.218.60.56/~jnz1568/getInfo.php?workbook=14_09.xlsx&amp;sheet=U0&amp;row=7679&amp;col=7&amp;number=0.00476&amp;sourceID=14","0.00476")</f>
        <v>0.00476</v>
      </c>
    </row>
    <row r="7680" spans="1:7">
      <c r="A7680" s="3"/>
      <c r="B7680" s="3"/>
      <c r="C7680" s="3"/>
      <c r="D7680" s="3"/>
      <c r="E7680" s="3">
        <v>17</v>
      </c>
      <c r="F7680" s="4" t="str">
        <f>HYPERLINK("http://141.218.60.56/~jnz1568/getInfo.php?workbook=14_09.xlsx&amp;sheet=U0&amp;row=7680&amp;col=6&amp;number=4.6&amp;sourceID=14","4.6")</f>
        <v>4.6</v>
      </c>
      <c r="G7680" s="4" t="str">
        <f>HYPERLINK("http://141.218.60.56/~jnz1568/getInfo.php?workbook=14_09.xlsx&amp;sheet=U0&amp;row=7680&amp;col=7&amp;number=0.00478&amp;sourceID=14","0.00478")</f>
        <v>0.00478</v>
      </c>
    </row>
    <row r="7681" spans="1:7">
      <c r="A7681" s="3"/>
      <c r="B7681" s="3"/>
      <c r="C7681" s="3"/>
      <c r="D7681" s="3"/>
      <c r="E7681" s="3">
        <v>18</v>
      </c>
      <c r="F7681" s="4" t="str">
        <f>HYPERLINK("http://141.218.60.56/~jnz1568/getInfo.php?workbook=14_09.xlsx&amp;sheet=U0&amp;row=7681&amp;col=6&amp;number=4.7&amp;sourceID=14","4.7")</f>
        <v>4.7</v>
      </c>
      <c r="G7681" s="4" t="str">
        <f>HYPERLINK("http://141.218.60.56/~jnz1568/getInfo.php?workbook=14_09.xlsx&amp;sheet=U0&amp;row=7681&amp;col=7&amp;number=0.00479&amp;sourceID=14","0.00479")</f>
        <v>0.00479</v>
      </c>
    </row>
    <row r="7682" spans="1:7">
      <c r="A7682" s="3"/>
      <c r="B7682" s="3"/>
      <c r="C7682" s="3"/>
      <c r="D7682" s="3"/>
      <c r="E7682" s="3">
        <v>19</v>
      </c>
      <c r="F7682" s="4" t="str">
        <f>HYPERLINK("http://141.218.60.56/~jnz1568/getInfo.php?workbook=14_09.xlsx&amp;sheet=U0&amp;row=7682&amp;col=6&amp;number=4.8&amp;sourceID=14","4.8")</f>
        <v>4.8</v>
      </c>
      <c r="G7682" s="4" t="str">
        <f>HYPERLINK("http://141.218.60.56/~jnz1568/getInfo.php?workbook=14_09.xlsx&amp;sheet=U0&amp;row=7682&amp;col=7&amp;number=0.00481&amp;sourceID=14","0.00481")</f>
        <v>0.00481</v>
      </c>
    </row>
    <row r="7683" spans="1:7">
      <c r="A7683" s="3"/>
      <c r="B7683" s="3"/>
      <c r="C7683" s="3"/>
      <c r="D7683" s="3"/>
      <c r="E7683" s="3">
        <v>20</v>
      </c>
      <c r="F7683" s="4" t="str">
        <f>HYPERLINK("http://141.218.60.56/~jnz1568/getInfo.php?workbook=14_09.xlsx&amp;sheet=U0&amp;row=7683&amp;col=6&amp;number=4.9&amp;sourceID=14","4.9")</f>
        <v>4.9</v>
      </c>
      <c r="G7683" s="4" t="str">
        <f>HYPERLINK("http://141.218.60.56/~jnz1568/getInfo.php?workbook=14_09.xlsx&amp;sheet=U0&amp;row=7683&amp;col=7&amp;number=0.00484&amp;sourceID=14","0.00484")</f>
        <v>0.00484</v>
      </c>
    </row>
    <row r="7684" spans="1:7">
      <c r="A7684" s="3">
        <v>14</v>
      </c>
      <c r="B7684" s="3">
        <v>9</v>
      </c>
      <c r="C7684" s="3">
        <v>2</v>
      </c>
      <c r="D7684" s="3">
        <v>193</v>
      </c>
      <c r="E7684" s="3">
        <v>1</v>
      </c>
      <c r="F7684" s="4" t="str">
        <f>HYPERLINK("http://141.218.60.56/~jnz1568/getInfo.php?workbook=14_09.xlsx&amp;sheet=U0&amp;row=7684&amp;col=6&amp;number=3&amp;sourceID=14","3")</f>
        <v>3</v>
      </c>
      <c r="G7684" s="4" t="str">
        <f>HYPERLINK("http://141.218.60.56/~jnz1568/getInfo.php?workbook=14_09.xlsx&amp;sheet=U0&amp;row=7684&amp;col=7&amp;number=0.00147&amp;sourceID=14","0.00147")</f>
        <v>0.00147</v>
      </c>
    </row>
    <row r="7685" spans="1:7">
      <c r="A7685" s="3"/>
      <c r="B7685" s="3"/>
      <c r="C7685" s="3"/>
      <c r="D7685" s="3"/>
      <c r="E7685" s="3">
        <v>2</v>
      </c>
      <c r="F7685" s="4" t="str">
        <f>HYPERLINK("http://141.218.60.56/~jnz1568/getInfo.php?workbook=14_09.xlsx&amp;sheet=U0&amp;row=7685&amp;col=6&amp;number=3.1&amp;sourceID=14","3.1")</f>
        <v>3.1</v>
      </c>
      <c r="G7685" s="4" t="str">
        <f>HYPERLINK("http://141.218.60.56/~jnz1568/getInfo.php?workbook=14_09.xlsx&amp;sheet=U0&amp;row=7685&amp;col=7&amp;number=0.00147&amp;sourceID=14","0.00147")</f>
        <v>0.00147</v>
      </c>
    </row>
    <row r="7686" spans="1:7">
      <c r="A7686" s="3"/>
      <c r="B7686" s="3"/>
      <c r="C7686" s="3"/>
      <c r="D7686" s="3"/>
      <c r="E7686" s="3">
        <v>3</v>
      </c>
      <c r="F7686" s="4" t="str">
        <f>HYPERLINK("http://141.218.60.56/~jnz1568/getInfo.php?workbook=14_09.xlsx&amp;sheet=U0&amp;row=7686&amp;col=6&amp;number=3.2&amp;sourceID=14","3.2")</f>
        <v>3.2</v>
      </c>
      <c r="G7686" s="4" t="str">
        <f>HYPERLINK("http://141.218.60.56/~jnz1568/getInfo.php?workbook=14_09.xlsx&amp;sheet=U0&amp;row=7686&amp;col=7&amp;number=0.00147&amp;sourceID=14","0.00147")</f>
        <v>0.00147</v>
      </c>
    </row>
    <row r="7687" spans="1:7">
      <c r="A7687" s="3"/>
      <c r="B7687" s="3"/>
      <c r="C7687" s="3"/>
      <c r="D7687" s="3"/>
      <c r="E7687" s="3">
        <v>4</v>
      </c>
      <c r="F7687" s="4" t="str">
        <f>HYPERLINK("http://141.218.60.56/~jnz1568/getInfo.php?workbook=14_09.xlsx&amp;sheet=U0&amp;row=7687&amp;col=6&amp;number=3.3&amp;sourceID=14","3.3")</f>
        <v>3.3</v>
      </c>
      <c r="G7687" s="4" t="str">
        <f>HYPERLINK("http://141.218.60.56/~jnz1568/getInfo.php?workbook=14_09.xlsx&amp;sheet=U0&amp;row=7687&amp;col=7&amp;number=0.00147&amp;sourceID=14","0.00147")</f>
        <v>0.00147</v>
      </c>
    </row>
    <row r="7688" spans="1:7">
      <c r="A7688" s="3"/>
      <c r="B7688" s="3"/>
      <c r="C7688" s="3"/>
      <c r="D7688" s="3"/>
      <c r="E7688" s="3">
        <v>5</v>
      </c>
      <c r="F7688" s="4" t="str">
        <f>HYPERLINK("http://141.218.60.56/~jnz1568/getInfo.php?workbook=14_09.xlsx&amp;sheet=U0&amp;row=7688&amp;col=6&amp;number=3.4&amp;sourceID=14","3.4")</f>
        <v>3.4</v>
      </c>
      <c r="G7688" s="4" t="str">
        <f>HYPERLINK("http://141.218.60.56/~jnz1568/getInfo.php?workbook=14_09.xlsx&amp;sheet=U0&amp;row=7688&amp;col=7&amp;number=0.00147&amp;sourceID=14","0.00147")</f>
        <v>0.00147</v>
      </c>
    </row>
    <row r="7689" spans="1:7">
      <c r="A7689" s="3"/>
      <c r="B7689" s="3"/>
      <c r="C7689" s="3"/>
      <c r="D7689" s="3"/>
      <c r="E7689" s="3">
        <v>6</v>
      </c>
      <c r="F7689" s="4" t="str">
        <f>HYPERLINK("http://141.218.60.56/~jnz1568/getInfo.php?workbook=14_09.xlsx&amp;sheet=U0&amp;row=7689&amp;col=6&amp;number=3.5&amp;sourceID=14","3.5")</f>
        <v>3.5</v>
      </c>
      <c r="G7689" s="4" t="str">
        <f>HYPERLINK("http://141.218.60.56/~jnz1568/getInfo.php?workbook=14_09.xlsx&amp;sheet=U0&amp;row=7689&amp;col=7&amp;number=0.00147&amp;sourceID=14","0.00147")</f>
        <v>0.00147</v>
      </c>
    </row>
    <row r="7690" spans="1:7">
      <c r="A7690" s="3"/>
      <c r="B7690" s="3"/>
      <c r="C7690" s="3"/>
      <c r="D7690" s="3"/>
      <c r="E7690" s="3">
        <v>7</v>
      </c>
      <c r="F7690" s="4" t="str">
        <f>HYPERLINK("http://141.218.60.56/~jnz1568/getInfo.php?workbook=14_09.xlsx&amp;sheet=U0&amp;row=7690&amp;col=6&amp;number=3.6&amp;sourceID=14","3.6")</f>
        <v>3.6</v>
      </c>
      <c r="G7690" s="4" t="str">
        <f>HYPERLINK("http://141.218.60.56/~jnz1568/getInfo.php?workbook=14_09.xlsx&amp;sheet=U0&amp;row=7690&amp;col=7&amp;number=0.00147&amp;sourceID=14","0.00147")</f>
        <v>0.00147</v>
      </c>
    </row>
    <row r="7691" spans="1:7">
      <c r="A7691" s="3"/>
      <c r="B7691" s="3"/>
      <c r="C7691" s="3"/>
      <c r="D7691" s="3"/>
      <c r="E7691" s="3">
        <v>8</v>
      </c>
      <c r="F7691" s="4" t="str">
        <f>HYPERLINK("http://141.218.60.56/~jnz1568/getInfo.php?workbook=14_09.xlsx&amp;sheet=U0&amp;row=7691&amp;col=6&amp;number=3.7&amp;sourceID=14","3.7")</f>
        <v>3.7</v>
      </c>
      <c r="G7691" s="4" t="str">
        <f>HYPERLINK("http://141.218.60.56/~jnz1568/getInfo.php?workbook=14_09.xlsx&amp;sheet=U0&amp;row=7691&amp;col=7&amp;number=0.00147&amp;sourceID=14","0.00147")</f>
        <v>0.00147</v>
      </c>
    </row>
    <row r="7692" spans="1:7">
      <c r="A7692" s="3"/>
      <c r="B7692" s="3"/>
      <c r="C7692" s="3"/>
      <c r="D7692" s="3"/>
      <c r="E7692" s="3">
        <v>9</v>
      </c>
      <c r="F7692" s="4" t="str">
        <f>HYPERLINK("http://141.218.60.56/~jnz1568/getInfo.php?workbook=14_09.xlsx&amp;sheet=U0&amp;row=7692&amp;col=6&amp;number=3.8&amp;sourceID=14","3.8")</f>
        <v>3.8</v>
      </c>
      <c r="G7692" s="4" t="str">
        <f>HYPERLINK("http://141.218.60.56/~jnz1568/getInfo.php?workbook=14_09.xlsx&amp;sheet=U0&amp;row=7692&amp;col=7&amp;number=0.00147&amp;sourceID=14","0.00147")</f>
        <v>0.00147</v>
      </c>
    </row>
    <row r="7693" spans="1:7">
      <c r="A7693" s="3"/>
      <c r="B7693" s="3"/>
      <c r="C7693" s="3"/>
      <c r="D7693" s="3"/>
      <c r="E7693" s="3">
        <v>10</v>
      </c>
      <c r="F7693" s="4" t="str">
        <f>HYPERLINK("http://141.218.60.56/~jnz1568/getInfo.php?workbook=14_09.xlsx&amp;sheet=U0&amp;row=7693&amp;col=6&amp;number=3.9&amp;sourceID=14","3.9")</f>
        <v>3.9</v>
      </c>
      <c r="G7693" s="4" t="str">
        <f>HYPERLINK("http://141.218.60.56/~jnz1568/getInfo.php?workbook=14_09.xlsx&amp;sheet=U0&amp;row=7693&amp;col=7&amp;number=0.00147&amp;sourceID=14","0.00147")</f>
        <v>0.00147</v>
      </c>
    </row>
    <row r="7694" spans="1:7">
      <c r="A7694" s="3"/>
      <c r="B7694" s="3"/>
      <c r="C7694" s="3"/>
      <c r="D7694" s="3"/>
      <c r="E7694" s="3">
        <v>11</v>
      </c>
      <c r="F7694" s="4" t="str">
        <f>HYPERLINK("http://141.218.60.56/~jnz1568/getInfo.php?workbook=14_09.xlsx&amp;sheet=U0&amp;row=7694&amp;col=6&amp;number=4&amp;sourceID=14","4")</f>
        <v>4</v>
      </c>
      <c r="G7694" s="4" t="str">
        <f>HYPERLINK("http://141.218.60.56/~jnz1568/getInfo.php?workbook=14_09.xlsx&amp;sheet=U0&amp;row=7694&amp;col=7&amp;number=0.00147&amp;sourceID=14","0.00147")</f>
        <v>0.00147</v>
      </c>
    </row>
    <row r="7695" spans="1:7">
      <c r="A7695" s="3"/>
      <c r="B7695" s="3"/>
      <c r="C7695" s="3"/>
      <c r="D7695" s="3"/>
      <c r="E7695" s="3">
        <v>12</v>
      </c>
      <c r="F7695" s="4" t="str">
        <f>HYPERLINK("http://141.218.60.56/~jnz1568/getInfo.php?workbook=14_09.xlsx&amp;sheet=U0&amp;row=7695&amp;col=6&amp;number=4.1&amp;sourceID=14","4.1")</f>
        <v>4.1</v>
      </c>
      <c r="G7695" s="4" t="str">
        <f>HYPERLINK("http://141.218.60.56/~jnz1568/getInfo.php?workbook=14_09.xlsx&amp;sheet=U0&amp;row=7695&amp;col=7&amp;number=0.00147&amp;sourceID=14","0.00147")</f>
        <v>0.00147</v>
      </c>
    </row>
    <row r="7696" spans="1:7">
      <c r="A7696" s="3"/>
      <c r="B7696" s="3"/>
      <c r="C7696" s="3"/>
      <c r="D7696" s="3"/>
      <c r="E7696" s="3">
        <v>13</v>
      </c>
      <c r="F7696" s="4" t="str">
        <f>HYPERLINK("http://141.218.60.56/~jnz1568/getInfo.php?workbook=14_09.xlsx&amp;sheet=U0&amp;row=7696&amp;col=6&amp;number=4.2&amp;sourceID=14","4.2")</f>
        <v>4.2</v>
      </c>
      <c r="G7696" s="4" t="str">
        <f>HYPERLINK("http://141.218.60.56/~jnz1568/getInfo.php?workbook=14_09.xlsx&amp;sheet=U0&amp;row=7696&amp;col=7&amp;number=0.00146&amp;sourceID=14","0.00146")</f>
        <v>0.00146</v>
      </c>
    </row>
    <row r="7697" spans="1:7">
      <c r="A7697" s="3"/>
      <c r="B7697" s="3"/>
      <c r="C7697" s="3"/>
      <c r="D7697" s="3"/>
      <c r="E7697" s="3">
        <v>14</v>
      </c>
      <c r="F7697" s="4" t="str">
        <f>HYPERLINK("http://141.218.60.56/~jnz1568/getInfo.php?workbook=14_09.xlsx&amp;sheet=U0&amp;row=7697&amp;col=6&amp;number=4.3&amp;sourceID=14","4.3")</f>
        <v>4.3</v>
      </c>
      <c r="G7697" s="4" t="str">
        <f>HYPERLINK("http://141.218.60.56/~jnz1568/getInfo.php?workbook=14_09.xlsx&amp;sheet=U0&amp;row=7697&amp;col=7&amp;number=0.00146&amp;sourceID=14","0.00146")</f>
        <v>0.00146</v>
      </c>
    </row>
    <row r="7698" spans="1:7">
      <c r="A7698" s="3"/>
      <c r="B7698" s="3"/>
      <c r="C7698" s="3"/>
      <c r="D7698" s="3"/>
      <c r="E7698" s="3">
        <v>15</v>
      </c>
      <c r="F7698" s="4" t="str">
        <f>HYPERLINK("http://141.218.60.56/~jnz1568/getInfo.php?workbook=14_09.xlsx&amp;sheet=U0&amp;row=7698&amp;col=6&amp;number=4.4&amp;sourceID=14","4.4")</f>
        <v>4.4</v>
      </c>
      <c r="G7698" s="4" t="str">
        <f>HYPERLINK("http://141.218.60.56/~jnz1568/getInfo.php?workbook=14_09.xlsx&amp;sheet=U0&amp;row=7698&amp;col=7&amp;number=0.00146&amp;sourceID=14","0.00146")</f>
        <v>0.00146</v>
      </c>
    </row>
    <row r="7699" spans="1:7">
      <c r="A7699" s="3"/>
      <c r="B7699" s="3"/>
      <c r="C7699" s="3"/>
      <c r="D7699" s="3"/>
      <c r="E7699" s="3">
        <v>16</v>
      </c>
      <c r="F7699" s="4" t="str">
        <f>HYPERLINK("http://141.218.60.56/~jnz1568/getInfo.php?workbook=14_09.xlsx&amp;sheet=U0&amp;row=7699&amp;col=6&amp;number=4.5&amp;sourceID=14","4.5")</f>
        <v>4.5</v>
      </c>
      <c r="G7699" s="4" t="str">
        <f>HYPERLINK("http://141.218.60.56/~jnz1568/getInfo.php?workbook=14_09.xlsx&amp;sheet=U0&amp;row=7699&amp;col=7&amp;number=0.00145&amp;sourceID=14","0.00145")</f>
        <v>0.00145</v>
      </c>
    </row>
    <row r="7700" spans="1:7">
      <c r="A7700" s="3"/>
      <c r="B7700" s="3"/>
      <c r="C7700" s="3"/>
      <c r="D7700" s="3"/>
      <c r="E7700" s="3">
        <v>17</v>
      </c>
      <c r="F7700" s="4" t="str">
        <f>HYPERLINK("http://141.218.60.56/~jnz1568/getInfo.php?workbook=14_09.xlsx&amp;sheet=U0&amp;row=7700&amp;col=6&amp;number=4.6&amp;sourceID=14","4.6")</f>
        <v>4.6</v>
      </c>
      <c r="G7700" s="4" t="str">
        <f>HYPERLINK("http://141.218.60.56/~jnz1568/getInfo.php?workbook=14_09.xlsx&amp;sheet=U0&amp;row=7700&amp;col=7&amp;number=0.00145&amp;sourceID=14","0.00145")</f>
        <v>0.00145</v>
      </c>
    </row>
    <row r="7701" spans="1:7">
      <c r="A7701" s="3"/>
      <c r="B7701" s="3"/>
      <c r="C7701" s="3"/>
      <c r="D7701" s="3"/>
      <c r="E7701" s="3">
        <v>18</v>
      </c>
      <c r="F7701" s="4" t="str">
        <f>HYPERLINK("http://141.218.60.56/~jnz1568/getInfo.php?workbook=14_09.xlsx&amp;sheet=U0&amp;row=7701&amp;col=6&amp;number=4.7&amp;sourceID=14","4.7")</f>
        <v>4.7</v>
      </c>
      <c r="G7701" s="4" t="str">
        <f>HYPERLINK("http://141.218.60.56/~jnz1568/getInfo.php?workbook=14_09.xlsx&amp;sheet=U0&amp;row=7701&amp;col=7&amp;number=0.00144&amp;sourceID=14","0.00144")</f>
        <v>0.00144</v>
      </c>
    </row>
    <row r="7702" spans="1:7">
      <c r="A7702" s="3"/>
      <c r="B7702" s="3"/>
      <c r="C7702" s="3"/>
      <c r="D7702" s="3"/>
      <c r="E7702" s="3">
        <v>19</v>
      </c>
      <c r="F7702" s="4" t="str">
        <f>HYPERLINK("http://141.218.60.56/~jnz1568/getInfo.php?workbook=14_09.xlsx&amp;sheet=U0&amp;row=7702&amp;col=6&amp;number=4.8&amp;sourceID=14","4.8")</f>
        <v>4.8</v>
      </c>
      <c r="G7702" s="4" t="str">
        <f>HYPERLINK("http://141.218.60.56/~jnz1568/getInfo.php?workbook=14_09.xlsx&amp;sheet=U0&amp;row=7702&amp;col=7&amp;number=0.00143&amp;sourceID=14","0.00143")</f>
        <v>0.00143</v>
      </c>
    </row>
    <row r="7703" spans="1:7">
      <c r="A7703" s="3"/>
      <c r="B7703" s="3"/>
      <c r="C7703" s="3"/>
      <c r="D7703" s="3"/>
      <c r="E7703" s="3">
        <v>20</v>
      </c>
      <c r="F7703" s="4" t="str">
        <f>HYPERLINK("http://141.218.60.56/~jnz1568/getInfo.php?workbook=14_09.xlsx&amp;sheet=U0&amp;row=7703&amp;col=6&amp;number=4.9&amp;sourceID=14","4.9")</f>
        <v>4.9</v>
      </c>
      <c r="G7703" s="4" t="str">
        <f>HYPERLINK("http://141.218.60.56/~jnz1568/getInfo.php?workbook=14_09.xlsx&amp;sheet=U0&amp;row=7703&amp;col=7&amp;number=0.00142&amp;sourceID=14","0.00142")</f>
        <v>0.00142</v>
      </c>
    </row>
    <row r="7704" spans="1:7">
      <c r="A7704" s="3">
        <v>14</v>
      </c>
      <c r="B7704" s="3">
        <v>9</v>
      </c>
      <c r="C7704" s="3">
        <v>2</v>
      </c>
      <c r="D7704" s="3">
        <v>194</v>
      </c>
      <c r="E7704" s="3">
        <v>1</v>
      </c>
      <c r="F7704" s="4" t="str">
        <f>HYPERLINK("http://141.218.60.56/~jnz1568/getInfo.php?workbook=14_09.xlsx&amp;sheet=U0&amp;row=7704&amp;col=6&amp;number=3&amp;sourceID=14","3")</f>
        <v>3</v>
      </c>
      <c r="G7704" s="4" t="str">
        <f>HYPERLINK("http://141.218.60.56/~jnz1568/getInfo.php?workbook=14_09.xlsx&amp;sheet=U0&amp;row=7704&amp;col=7&amp;number=0.00327&amp;sourceID=14","0.00327")</f>
        <v>0.00327</v>
      </c>
    </row>
    <row r="7705" spans="1:7">
      <c r="A7705" s="3"/>
      <c r="B7705" s="3"/>
      <c r="C7705" s="3"/>
      <c r="D7705" s="3"/>
      <c r="E7705" s="3">
        <v>2</v>
      </c>
      <c r="F7705" s="4" t="str">
        <f>HYPERLINK("http://141.218.60.56/~jnz1568/getInfo.php?workbook=14_09.xlsx&amp;sheet=U0&amp;row=7705&amp;col=6&amp;number=3.1&amp;sourceID=14","3.1")</f>
        <v>3.1</v>
      </c>
      <c r="G7705" s="4" t="str">
        <f>HYPERLINK("http://141.218.60.56/~jnz1568/getInfo.php?workbook=14_09.xlsx&amp;sheet=U0&amp;row=7705&amp;col=7&amp;number=0.00327&amp;sourceID=14","0.00327")</f>
        <v>0.00327</v>
      </c>
    </row>
    <row r="7706" spans="1:7">
      <c r="A7706" s="3"/>
      <c r="B7706" s="3"/>
      <c r="C7706" s="3"/>
      <c r="D7706" s="3"/>
      <c r="E7706" s="3">
        <v>3</v>
      </c>
      <c r="F7706" s="4" t="str">
        <f>HYPERLINK("http://141.218.60.56/~jnz1568/getInfo.php?workbook=14_09.xlsx&amp;sheet=U0&amp;row=7706&amp;col=6&amp;number=3.2&amp;sourceID=14","3.2")</f>
        <v>3.2</v>
      </c>
      <c r="G7706" s="4" t="str">
        <f>HYPERLINK("http://141.218.60.56/~jnz1568/getInfo.php?workbook=14_09.xlsx&amp;sheet=U0&amp;row=7706&amp;col=7&amp;number=0.00327&amp;sourceID=14","0.00327")</f>
        <v>0.00327</v>
      </c>
    </row>
    <row r="7707" spans="1:7">
      <c r="A7707" s="3"/>
      <c r="B7707" s="3"/>
      <c r="C7707" s="3"/>
      <c r="D7707" s="3"/>
      <c r="E7707" s="3">
        <v>4</v>
      </c>
      <c r="F7707" s="4" t="str">
        <f>HYPERLINK("http://141.218.60.56/~jnz1568/getInfo.php?workbook=14_09.xlsx&amp;sheet=U0&amp;row=7707&amp;col=6&amp;number=3.3&amp;sourceID=14","3.3")</f>
        <v>3.3</v>
      </c>
      <c r="G7707" s="4" t="str">
        <f>HYPERLINK("http://141.218.60.56/~jnz1568/getInfo.php?workbook=14_09.xlsx&amp;sheet=U0&amp;row=7707&amp;col=7&amp;number=0.00327&amp;sourceID=14","0.00327")</f>
        <v>0.00327</v>
      </c>
    </row>
    <row r="7708" spans="1:7">
      <c r="A7708" s="3"/>
      <c r="B7708" s="3"/>
      <c r="C7708" s="3"/>
      <c r="D7708" s="3"/>
      <c r="E7708" s="3">
        <v>5</v>
      </c>
      <c r="F7708" s="4" t="str">
        <f>HYPERLINK("http://141.218.60.56/~jnz1568/getInfo.php?workbook=14_09.xlsx&amp;sheet=U0&amp;row=7708&amp;col=6&amp;number=3.4&amp;sourceID=14","3.4")</f>
        <v>3.4</v>
      </c>
      <c r="G7708" s="4" t="str">
        <f>HYPERLINK("http://141.218.60.56/~jnz1568/getInfo.php?workbook=14_09.xlsx&amp;sheet=U0&amp;row=7708&amp;col=7&amp;number=0.00327&amp;sourceID=14","0.00327")</f>
        <v>0.00327</v>
      </c>
    </row>
    <row r="7709" spans="1:7">
      <c r="A7709" s="3"/>
      <c r="B7709" s="3"/>
      <c r="C7709" s="3"/>
      <c r="D7709" s="3"/>
      <c r="E7709" s="3">
        <v>6</v>
      </c>
      <c r="F7709" s="4" t="str">
        <f>HYPERLINK("http://141.218.60.56/~jnz1568/getInfo.php?workbook=14_09.xlsx&amp;sheet=U0&amp;row=7709&amp;col=6&amp;number=3.5&amp;sourceID=14","3.5")</f>
        <v>3.5</v>
      </c>
      <c r="G7709" s="4" t="str">
        <f>HYPERLINK("http://141.218.60.56/~jnz1568/getInfo.php?workbook=14_09.xlsx&amp;sheet=U0&amp;row=7709&amp;col=7&amp;number=0.00327&amp;sourceID=14","0.00327")</f>
        <v>0.00327</v>
      </c>
    </row>
    <row r="7710" spans="1:7">
      <c r="A7710" s="3"/>
      <c r="B7710" s="3"/>
      <c r="C7710" s="3"/>
      <c r="D7710" s="3"/>
      <c r="E7710" s="3">
        <v>7</v>
      </c>
      <c r="F7710" s="4" t="str">
        <f>HYPERLINK("http://141.218.60.56/~jnz1568/getInfo.php?workbook=14_09.xlsx&amp;sheet=U0&amp;row=7710&amp;col=6&amp;number=3.6&amp;sourceID=14","3.6")</f>
        <v>3.6</v>
      </c>
      <c r="G7710" s="4" t="str">
        <f>HYPERLINK("http://141.218.60.56/~jnz1568/getInfo.php?workbook=14_09.xlsx&amp;sheet=U0&amp;row=7710&amp;col=7&amp;number=0.00327&amp;sourceID=14","0.00327")</f>
        <v>0.00327</v>
      </c>
    </row>
    <row r="7711" spans="1:7">
      <c r="A7711" s="3"/>
      <c r="B7711" s="3"/>
      <c r="C7711" s="3"/>
      <c r="D7711" s="3"/>
      <c r="E7711" s="3">
        <v>8</v>
      </c>
      <c r="F7711" s="4" t="str">
        <f>HYPERLINK("http://141.218.60.56/~jnz1568/getInfo.php?workbook=14_09.xlsx&amp;sheet=U0&amp;row=7711&amp;col=6&amp;number=3.7&amp;sourceID=14","3.7")</f>
        <v>3.7</v>
      </c>
      <c r="G7711" s="4" t="str">
        <f>HYPERLINK("http://141.218.60.56/~jnz1568/getInfo.php?workbook=14_09.xlsx&amp;sheet=U0&amp;row=7711&amp;col=7&amp;number=0.00327&amp;sourceID=14","0.00327")</f>
        <v>0.00327</v>
      </c>
    </row>
    <row r="7712" spans="1:7">
      <c r="A7712" s="3"/>
      <c r="B7712" s="3"/>
      <c r="C7712" s="3"/>
      <c r="D7712" s="3"/>
      <c r="E7712" s="3">
        <v>9</v>
      </c>
      <c r="F7712" s="4" t="str">
        <f>HYPERLINK("http://141.218.60.56/~jnz1568/getInfo.php?workbook=14_09.xlsx&amp;sheet=U0&amp;row=7712&amp;col=6&amp;number=3.8&amp;sourceID=14","3.8")</f>
        <v>3.8</v>
      </c>
      <c r="G7712" s="4" t="str">
        <f>HYPERLINK("http://141.218.60.56/~jnz1568/getInfo.php?workbook=14_09.xlsx&amp;sheet=U0&amp;row=7712&amp;col=7&amp;number=0.00327&amp;sourceID=14","0.00327")</f>
        <v>0.00327</v>
      </c>
    </row>
    <row r="7713" spans="1:7">
      <c r="A7713" s="3"/>
      <c r="B7713" s="3"/>
      <c r="C7713" s="3"/>
      <c r="D7713" s="3"/>
      <c r="E7713" s="3">
        <v>10</v>
      </c>
      <c r="F7713" s="4" t="str">
        <f>HYPERLINK("http://141.218.60.56/~jnz1568/getInfo.php?workbook=14_09.xlsx&amp;sheet=U0&amp;row=7713&amp;col=6&amp;number=3.9&amp;sourceID=14","3.9")</f>
        <v>3.9</v>
      </c>
      <c r="G7713" s="4" t="str">
        <f>HYPERLINK("http://141.218.60.56/~jnz1568/getInfo.php?workbook=14_09.xlsx&amp;sheet=U0&amp;row=7713&amp;col=7&amp;number=0.00328&amp;sourceID=14","0.00328")</f>
        <v>0.00328</v>
      </c>
    </row>
    <row r="7714" spans="1:7">
      <c r="A7714" s="3"/>
      <c r="B7714" s="3"/>
      <c r="C7714" s="3"/>
      <c r="D7714" s="3"/>
      <c r="E7714" s="3">
        <v>11</v>
      </c>
      <c r="F7714" s="4" t="str">
        <f>HYPERLINK("http://141.218.60.56/~jnz1568/getInfo.php?workbook=14_09.xlsx&amp;sheet=U0&amp;row=7714&amp;col=6&amp;number=4&amp;sourceID=14","4")</f>
        <v>4</v>
      </c>
      <c r="G7714" s="4" t="str">
        <f>HYPERLINK("http://141.218.60.56/~jnz1568/getInfo.php?workbook=14_09.xlsx&amp;sheet=U0&amp;row=7714&amp;col=7&amp;number=0.00328&amp;sourceID=14","0.00328")</f>
        <v>0.00328</v>
      </c>
    </row>
    <row r="7715" spans="1:7">
      <c r="A7715" s="3"/>
      <c r="B7715" s="3"/>
      <c r="C7715" s="3"/>
      <c r="D7715" s="3"/>
      <c r="E7715" s="3">
        <v>12</v>
      </c>
      <c r="F7715" s="4" t="str">
        <f>HYPERLINK("http://141.218.60.56/~jnz1568/getInfo.php?workbook=14_09.xlsx&amp;sheet=U0&amp;row=7715&amp;col=6&amp;number=4.1&amp;sourceID=14","4.1")</f>
        <v>4.1</v>
      </c>
      <c r="G7715" s="4" t="str">
        <f>HYPERLINK("http://141.218.60.56/~jnz1568/getInfo.php?workbook=14_09.xlsx&amp;sheet=U0&amp;row=7715&amp;col=7&amp;number=0.00328&amp;sourceID=14","0.00328")</f>
        <v>0.00328</v>
      </c>
    </row>
    <row r="7716" spans="1:7">
      <c r="A7716" s="3"/>
      <c r="B7716" s="3"/>
      <c r="C7716" s="3"/>
      <c r="D7716" s="3"/>
      <c r="E7716" s="3">
        <v>13</v>
      </c>
      <c r="F7716" s="4" t="str">
        <f>HYPERLINK("http://141.218.60.56/~jnz1568/getInfo.php?workbook=14_09.xlsx&amp;sheet=U0&amp;row=7716&amp;col=6&amp;number=4.2&amp;sourceID=14","4.2")</f>
        <v>4.2</v>
      </c>
      <c r="G7716" s="4" t="str">
        <f>HYPERLINK("http://141.218.60.56/~jnz1568/getInfo.php?workbook=14_09.xlsx&amp;sheet=U0&amp;row=7716&amp;col=7&amp;number=0.00329&amp;sourceID=14","0.00329")</f>
        <v>0.00329</v>
      </c>
    </row>
    <row r="7717" spans="1:7">
      <c r="A7717" s="3"/>
      <c r="B7717" s="3"/>
      <c r="C7717" s="3"/>
      <c r="D7717" s="3"/>
      <c r="E7717" s="3">
        <v>14</v>
      </c>
      <c r="F7717" s="4" t="str">
        <f>HYPERLINK("http://141.218.60.56/~jnz1568/getInfo.php?workbook=14_09.xlsx&amp;sheet=U0&amp;row=7717&amp;col=6&amp;number=4.3&amp;sourceID=14","4.3")</f>
        <v>4.3</v>
      </c>
      <c r="G7717" s="4" t="str">
        <f>HYPERLINK("http://141.218.60.56/~jnz1568/getInfo.php?workbook=14_09.xlsx&amp;sheet=U0&amp;row=7717&amp;col=7&amp;number=0.00329&amp;sourceID=14","0.00329")</f>
        <v>0.00329</v>
      </c>
    </row>
    <row r="7718" spans="1:7">
      <c r="A7718" s="3"/>
      <c r="B7718" s="3"/>
      <c r="C7718" s="3"/>
      <c r="D7718" s="3"/>
      <c r="E7718" s="3">
        <v>15</v>
      </c>
      <c r="F7718" s="4" t="str">
        <f>HYPERLINK("http://141.218.60.56/~jnz1568/getInfo.php?workbook=14_09.xlsx&amp;sheet=U0&amp;row=7718&amp;col=6&amp;number=4.4&amp;sourceID=14","4.4")</f>
        <v>4.4</v>
      </c>
      <c r="G7718" s="4" t="str">
        <f>HYPERLINK("http://141.218.60.56/~jnz1568/getInfo.php?workbook=14_09.xlsx&amp;sheet=U0&amp;row=7718&amp;col=7&amp;number=0.0033&amp;sourceID=14","0.0033")</f>
        <v>0.0033</v>
      </c>
    </row>
    <row r="7719" spans="1:7">
      <c r="A7719" s="3"/>
      <c r="B7719" s="3"/>
      <c r="C7719" s="3"/>
      <c r="D7719" s="3"/>
      <c r="E7719" s="3">
        <v>16</v>
      </c>
      <c r="F7719" s="4" t="str">
        <f>HYPERLINK("http://141.218.60.56/~jnz1568/getInfo.php?workbook=14_09.xlsx&amp;sheet=U0&amp;row=7719&amp;col=6&amp;number=4.5&amp;sourceID=14","4.5")</f>
        <v>4.5</v>
      </c>
      <c r="G7719" s="4" t="str">
        <f>HYPERLINK("http://141.218.60.56/~jnz1568/getInfo.php?workbook=14_09.xlsx&amp;sheet=U0&amp;row=7719&amp;col=7&amp;number=0.00331&amp;sourceID=14","0.00331")</f>
        <v>0.00331</v>
      </c>
    </row>
    <row r="7720" spans="1:7">
      <c r="A7720" s="3"/>
      <c r="B7720" s="3"/>
      <c r="C7720" s="3"/>
      <c r="D7720" s="3"/>
      <c r="E7720" s="3">
        <v>17</v>
      </c>
      <c r="F7720" s="4" t="str">
        <f>HYPERLINK("http://141.218.60.56/~jnz1568/getInfo.php?workbook=14_09.xlsx&amp;sheet=U0&amp;row=7720&amp;col=6&amp;number=4.6&amp;sourceID=14","4.6")</f>
        <v>4.6</v>
      </c>
      <c r="G7720" s="4" t="str">
        <f>HYPERLINK("http://141.218.60.56/~jnz1568/getInfo.php?workbook=14_09.xlsx&amp;sheet=U0&amp;row=7720&amp;col=7&amp;number=0.00332&amp;sourceID=14","0.00332")</f>
        <v>0.00332</v>
      </c>
    </row>
    <row r="7721" spans="1:7">
      <c r="A7721" s="3"/>
      <c r="B7721" s="3"/>
      <c r="C7721" s="3"/>
      <c r="D7721" s="3"/>
      <c r="E7721" s="3">
        <v>18</v>
      </c>
      <c r="F7721" s="4" t="str">
        <f>HYPERLINK("http://141.218.60.56/~jnz1568/getInfo.php?workbook=14_09.xlsx&amp;sheet=U0&amp;row=7721&amp;col=6&amp;number=4.7&amp;sourceID=14","4.7")</f>
        <v>4.7</v>
      </c>
      <c r="G7721" s="4" t="str">
        <f>HYPERLINK("http://141.218.60.56/~jnz1568/getInfo.php?workbook=14_09.xlsx&amp;sheet=U0&amp;row=7721&amp;col=7&amp;number=0.00333&amp;sourceID=14","0.00333")</f>
        <v>0.00333</v>
      </c>
    </row>
    <row r="7722" spans="1:7">
      <c r="A7722" s="3"/>
      <c r="B7722" s="3"/>
      <c r="C7722" s="3"/>
      <c r="D7722" s="3"/>
      <c r="E7722" s="3">
        <v>19</v>
      </c>
      <c r="F7722" s="4" t="str">
        <f>HYPERLINK("http://141.218.60.56/~jnz1568/getInfo.php?workbook=14_09.xlsx&amp;sheet=U0&amp;row=7722&amp;col=6&amp;number=4.8&amp;sourceID=14","4.8")</f>
        <v>4.8</v>
      </c>
      <c r="G7722" s="4" t="str">
        <f>HYPERLINK("http://141.218.60.56/~jnz1568/getInfo.php?workbook=14_09.xlsx&amp;sheet=U0&amp;row=7722&amp;col=7&amp;number=0.00335&amp;sourceID=14","0.00335")</f>
        <v>0.00335</v>
      </c>
    </row>
    <row r="7723" spans="1:7">
      <c r="A7723" s="3"/>
      <c r="B7723" s="3"/>
      <c r="C7723" s="3"/>
      <c r="D7723" s="3"/>
      <c r="E7723" s="3">
        <v>20</v>
      </c>
      <c r="F7723" s="4" t="str">
        <f>HYPERLINK("http://141.218.60.56/~jnz1568/getInfo.php?workbook=14_09.xlsx&amp;sheet=U0&amp;row=7723&amp;col=6&amp;number=4.9&amp;sourceID=14","4.9")</f>
        <v>4.9</v>
      </c>
      <c r="G7723" s="4" t="str">
        <f>HYPERLINK("http://141.218.60.56/~jnz1568/getInfo.php?workbook=14_09.xlsx&amp;sheet=U0&amp;row=7723&amp;col=7&amp;number=0.00337&amp;sourceID=14","0.00337")</f>
        <v>0.00337</v>
      </c>
    </row>
    <row r="7724" spans="1:7">
      <c r="A7724" s="3">
        <v>14</v>
      </c>
      <c r="B7724" s="3">
        <v>9</v>
      </c>
      <c r="C7724" s="3">
        <v>2</v>
      </c>
      <c r="D7724" s="3">
        <v>195</v>
      </c>
      <c r="E7724" s="3">
        <v>1</v>
      </c>
      <c r="F7724" s="4" t="str">
        <f>HYPERLINK("http://141.218.60.56/~jnz1568/getInfo.php?workbook=14_09.xlsx&amp;sheet=U0&amp;row=7724&amp;col=6&amp;number=3&amp;sourceID=14","3")</f>
        <v>3</v>
      </c>
      <c r="G7724" s="4" t="str">
        <f>HYPERLINK("http://141.218.60.56/~jnz1568/getInfo.php?workbook=14_09.xlsx&amp;sheet=U0&amp;row=7724&amp;col=7&amp;number=0.00418&amp;sourceID=14","0.00418")</f>
        <v>0.00418</v>
      </c>
    </row>
    <row r="7725" spans="1:7">
      <c r="A7725" s="3"/>
      <c r="B7725" s="3"/>
      <c r="C7725" s="3"/>
      <c r="D7725" s="3"/>
      <c r="E7725" s="3">
        <v>2</v>
      </c>
      <c r="F7725" s="4" t="str">
        <f>HYPERLINK("http://141.218.60.56/~jnz1568/getInfo.php?workbook=14_09.xlsx&amp;sheet=U0&amp;row=7725&amp;col=6&amp;number=3.1&amp;sourceID=14","3.1")</f>
        <v>3.1</v>
      </c>
      <c r="G7725" s="4" t="str">
        <f>HYPERLINK("http://141.218.60.56/~jnz1568/getInfo.php?workbook=14_09.xlsx&amp;sheet=U0&amp;row=7725&amp;col=7&amp;number=0.00418&amp;sourceID=14","0.00418")</f>
        <v>0.00418</v>
      </c>
    </row>
    <row r="7726" spans="1:7">
      <c r="A7726" s="3"/>
      <c r="B7726" s="3"/>
      <c r="C7726" s="3"/>
      <c r="D7726" s="3"/>
      <c r="E7726" s="3">
        <v>3</v>
      </c>
      <c r="F7726" s="4" t="str">
        <f>HYPERLINK("http://141.218.60.56/~jnz1568/getInfo.php?workbook=14_09.xlsx&amp;sheet=U0&amp;row=7726&amp;col=6&amp;number=3.2&amp;sourceID=14","3.2")</f>
        <v>3.2</v>
      </c>
      <c r="G7726" s="4" t="str">
        <f>HYPERLINK("http://141.218.60.56/~jnz1568/getInfo.php?workbook=14_09.xlsx&amp;sheet=U0&amp;row=7726&amp;col=7&amp;number=0.00418&amp;sourceID=14","0.00418")</f>
        <v>0.00418</v>
      </c>
    </row>
    <row r="7727" spans="1:7">
      <c r="A7727" s="3"/>
      <c r="B7727" s="3"/>
      <c r="C7727" s="3"/>
      <c r="D7727" s="3"/>
      <c r="E7727" s="3">
        <v>4</v>
      </c>
      <c r="F7727" s="4" t="str">
        <f>HYPERLINK("http://141.218.60.56/~jnz1568/getInfo.php?workbook=14_09.xlsx&amp;sheet=U0&amp;row=7727&amp;col=6&amp;number=3.3&amp;sourceID=14","3.3")</f>
        <v>3.3</v>
      </c>
      <c r="G7727" s="4" t="str">
        <f>HYPERLINK("http://141.218.60.56/~jnz1568/getInfo.php?workbook=14_09.xlsx&amp;sheet=U0&amp;row=7727&amp;col=7&amp;number=0.00418&amp;sourceID=14","0.00418")</f>
        <v>0.00418</v>
      </c>
    </row>
    <row r="7728" spans="1:7">
      <c r="A7728" s="3"/>
      <c r="B7728" s="3"/>
      <c r="C7728" s="3"/>
      <c r="D7728" s="3"/>
      <c r="E7728" s="3">
        <v>5</v>
      </c>
      <c r="F7728" s="4" t="str">
        <f>HYPERLINK("http://141.218.60.56/~jnz1568/getInfo.php?workbook=14_09.xlsx&amp;sheet=U0&amp;row=7728&amp;col=6&amp;number=3.4&amp;sourceID=14","3.4")</f>
        <v>3.4</v>
      </c>
      <c r="G7728" s="4" t="str">
        <f>HYPERLINK("http://141.218.60.56/~jnz1568/getInfo.php?workbook=14_09.xlsx&amp;sheet=U0&amp;row=7728&amp;col=7&amp;number=0.00418&amp;sourceID=14","0.00418")</f>
        <v>0.00418</v>
      </c>
    </row>
    <row r="7729" spans="1:7">
      <c r="A7729" s="3"/>
      <c r="B7729" s="3"/>
      <c r="C7729" s="3"/>
      <c r="D7729" s="3"/>
      <c r="E7729" s="3">
        <v>6</v>
      </c>
      <c r="F7729" s="4" t="str">
        <f>HYPERLINK("http://141.218.60.56/~jnz1568/getInfo.php?workbook=14_09.xlsx&amp;sheet=U0&amp;row=7729&amp;col=6&amp;number=3.5&amp;sourceID=14","3.5")</f>
        <v>3.5</v>
      </c>
      <c r="G7729" s="4" t="str">
        <f>HYPERLINK("http://141.218.60.56/~jnz1568/getInfo.php?workbook=14_09.xlsx&amp;sheet=U0&amp;row=7729&amp;col=7&amp;number=0.00418&amp;sourceID=14","0.00418")</f>
        <v>0.00418</v>
      </c>
    </row>
    <row r="7730" spans="1:7">
      <c r="A7730" s="3"/>
      <c r="B7730" s="3"/>
      <c r="C7730" s="3"/>
      <c r="D7730" s="3"/>
      <c r="E7730" s="3">
        <v>7</v>
      </c>
      <c r="F7730" s="4" t="str">
        <f>HYPERLINK("http://141.218.60.56/~jnz1568/getInfo.php?workbook=14_09.xlsx&amp;sheet=U0&amp;row=7730&amp;col=6&amp;number=3.6&amp;sourceID=14","3.6")</f>
        <v>3.6</v>
      </c>
      <c r="G7730" s="4" t="str">
        <f>HYPERLINK("http://141.218.60.56/~jnz1568/getInfo.php?workbook=14_09.xlsx&amp;sheet=U0&amp;row=7730&amp;col=7&amp;number=0.00418&amp;sourceID=14","0.00418")</f>
        <v>0.00418</v>
      </c>
    </row>
    <row r="7731" spans="1:7">
      <c r="A7731" s="3"/>
      <c r="B7731" s="3"/>
      <c r="C7731" s="3"/>
      <c r="D7731" s="3"/>
      <c r="E7731" s="3">
        <v>8</v>
      </c>
      <c r="F7731" s="4" t="str">
        <f>HYPERLINK("http://141.218.60.56/~jnz1568/getInfo.php?workbook=14_09.xlsx&amp;sheet=U0&amp;row=7731&amp;col=6&amp;number=3.7&amp;sourceID=14","3.7")</f>
        <v>3.7</v>
      </c>
      <c r="G7731" s="4" t="str">
        <f>HYPERLINK("http://141.218.60.56/~jnz1568/getInfo.php?workbook=14_09.xlsx&amp;sheet=U0&amp;row=7731&amp;col=7&amp;number=0.00418&amp;sourceID=14","0.00418")</f>
        <v>0.00418</v>
      </c>
    </row>
    <row r="7732" spans="1:7">
      <c r="A7732" s="3"/>
      <c r="B7732" s="3"/>
      <c r="C7732" s="3"/>
      <c r="D7732" s="3"/>
      <c r="E7732" s="3">
        <v>9</v>
      </c>
      <c r="F7732" s="4" t="str">
        <f>HYPERLINK("http://141.218.60.56/~jnz1568/getInfo.php?workbook=14_09.xlsx&amp;sheet=U0&amp;row=7732&amp;col=6&amp;number=3.8&amp;sourceID=14","3.8")</f>
        <v>3.8</v>
      </c>
      <c r="G7732" s="4" t="str">
        <f>HYPERLINK("http://141.218.60.56/~jnz1568/getInfo.php?workbook=14_09.xlsx&amp;sheet=U0&amp;row=7732&amp;col=7&amp;number=0.00418&amp;sourceID=14","0.00418")</f>
        <v>0.00418</v>
      </c>
    </row>
    <row r="7733" spans="1:7">
      <c r="A7733" s="3"/>
      <c r="B7733" s="3"/>
      <c r="C7733" s="3"/>
      <c r="D7733" s="3"/>
      <c r="E7733" s="3">
        <v>10</v>
      </c>
      <c r="F7733" s="4" t="str">
        <f>HYPERLINK("http://141.218.60.56/~jnz1568/getInfo.php?workbook=14_09.xlsx&amp;sheet=U0&amp;row=7733&amp;col=6&amp;number=3.9&amp;sourceID=14","3.9")</f>
        <v>3.9</v>
      </c>
      <c r="G7733" s="4" t="str">
        <f>HYPERLINK("http://141.218.60.56/~jnz1568/getInfo.php?workbook=14_09.xlsx&amp;sheet=U0&amp;row=7733&amp;col=7&amp;number=0.00418&amp;sourceID=14","0.00418")</f>
        <v>0.00418</v>
      </c>
    </row>
    <row r="7734" spans="1:7">
      <c r="A7734" s="3"/>
      <c r="B7734" s="3"/>
      <c r="C7734" s="3"/>
      <c r="D7734" s="3"/>
      <c r="E7734" s="3">
        <v>11</v>
      </c>
      <c r="F7734" s="4" t="str">
        <f>HYPERLINK("http://141.218.60.56/~jnz1568/getInfo.php?workbook=14_09.xlsx&amp;sheet=U0&amp;row=7734&amp;col=6&amp;number=4&amp;sourceID=14","4")</f>
        <v>4</v>
      </c>
      <c r="G7734" s="4" t="str">
        <f>HYPERLINK("http://141.218.60.56/~jnz1568/getInfo.php?workbook=14_09.xlsx&amp;sheet=U0&amp;row=7734&amp;col=7&amp;number=0.00418&amp;sourceID=14","0.00418")</f>
        <v>0.00418</v>
      </c>
    </row>
    <row r="7735" spans="1:7">
      <c r="A7735" s="3"/>
      <c r="B7735" s="3"/>
      <c r="C7735" s="3"/>
      <c r="D7735" s="3"/>
      <c r="E7735" s="3">
        <v>12</v>
      </c>
      <c r="F7735" s="4" t="str">
        <f>HYPERLINK("http://141.218.60.56/~jnz1568/getInfo.php?workbook=14_09.xlsx&amp;sheet=U0&amp;row=7735&amp;col=6&amp;number=4.1&amp;sourceID=14","4.1")</f>
        <v>4.1</v>
      </c>
      <c r="G7735" s="4" t="str">
        <f>HYPERLINK("http://141.218.60.56/~jnz1568/getInfo.php?workbook=14_09.xlsx&amp;sheet=U0&amp;row=7735&amp;col=7&amp;number=0.00418&amp;sourceID=14","0.00418")</f>
        <v>0.00418</v>
      </c>
    </row>
    <row r="7736" spans="1:7">
      <c r="A7736" s="3"/>
      <c r="B7736" s="3"/>
      <c r="C7736" s="3"/>
      <c r="D7736" s="3"/>
      <c r="E7736" s="3">
        <v>13</v>
      </c>
      <c r="F7736" s="4" t="str">
        <f>HYPERLINK("http://141.218.60.56/~jnz1568/getInfo.php?workbook=14_09.xlsx&amp;sheet=U0&amp;row=7736&amp;col=6&amp;number=4.2&amp;sourceID=14","4.2")</f>
        <v>4.2</v>
      </c>
      <c r="G7736" s="4" t="str">
        <f>HYPERLINK("http://141.218.60.56/~jnz1568/getInfo.php?workbook=14_09.xlsx&amp;sheet=U0&amp;row=7736&amp;col=7&amp;number=0.00418&amp;sourceID=14","0.00418")</f>
        <v>0.00418</v>
      </c>
    </row>
    <row r="7737" spans="1:7">
      <c r="A7737" s="3"/>
      <c r="B7737" s="3"/>
      <c r="C7737" s="3"/>
      <c r="D7737" s="3"/>
      <c r="E7737" s="3">
        <v>14</v>
      </c>
      <c r="F7737" s="4" t="str">
        <f>HYPERLINK("http://141.218.60.56/~jnz1568/getInfo.php?workbook=14_09.xlsx&amp;sheet=U0&amp;row=7737&amp;col=6&amp;number=4.3&amp;sourceID=14","4.3")</f>
        <v>4.3</v>
      </c>
      <c r="G7737" s="4" t="str">
        <f>HYPERLINK("http://141.218.60.56/~jnz1568/getInfo.php?workbook=14_09.xlsx&amp;sheet=U0&amp;row=7737&amp;col=7&amp;number=0.00419&amp;sourceID=14","0.00419")</f>
        <v>0.00419</v>
      </c>
    </row>
    <row r="7738" spans="1:7">
      <c r="A7738" s="3"/>
      <c r="B7738" s="3"/>
      <c r="C7738" s="3"/>
      <c r="D7738" s="3"/>
      <c r="E7738" s="3">
        <v>15</v>
      </c>
      <c r="F7738" s="4" t="str">
        <f>HYPERLINK("http://141.218.60.56/~jnz1568/getInfo.php?workbook=14_09.xlsx&amp;sheet=U0&amp;row=7738&amp;col=6&amp;number=4.4&amp;sourceID=14","4.4")</f>
        <v>4.4</v>
      </c>
      <c r="G7738" s="4" t="str">
        <f>HYPERLINK("http://141.218.60.56/~jnz1568/getInfo.php?workbook=14_09.xlsx&amp;sheet=U0&amp;row=7738&amp;col=7&amp;number=0.00419&amp;sourceID=14","0.00419")</f>
        <v>0.00419</v>
      </c>
    </row>
    <row r="7739" spans="1:7">
      <c r="A7739" s="3"/>
      <c r="B7739" s="3"/>
      <c r="C7739" s="3"/>
      <c r="D7739" s="3"/>
      <c r="E7739" s="3">
        <v>16</v>
      </c>
      <c r="F7739" s="4" t="str">
        <f>HYPERLINK("http://141.218.60.56/~jnz1568/getInfo.php?workbook=14_09.xlsx&amp;sheet=U0&amp;row=7739&amp;col=6&amp;number=4.5&amp;sourceID=14","4.5")</f>
        <v>4.5</v>
      </c>
      <c r="G7739" s="4" t="str">
        <f>HYPERLINK("http://141.218.60.56/~jnz1568/getInfo.php?workbook=14_09.xlsx&amp;sheet=U0&amp;row=7739&amp;col=7&amp;number=0.00419&amp;sourceID=14","0.00419")</f>
        <v>0.00419</v>
      </c>
    </row>
    <row r="7740" spans="1:7">
      <c r="A7740" s="3"/>
      <c r="B7740" s="3"/>
      <c r="C7740" s="3"/>
      <c r="D7740" s="3"/>
      <c r="E7740" s="3">
        <v>17</v>
      </c>
      <c r="F7740" s="4" t="str">
        <f>HYPERLINK("http://141.218.60.56/~jnz1568/getInfo.php?workbook=14_09.xlsx&amp;sheet=U0&amp;row=7740&amp;col=6&amp;number=4.6&amp;sourceID=14","4.6")</f>
        <v>4.6</v>
      </c>
      <c r="G7740" s="4" t="str">
        <f>HYPERLINK("http://141.218.60.56/~jnz1568/getInfo.php?workbook=14_09.xlsx&amp;sheet=U0&amp;row=7740&amp;col=7&amp;number=0.00419&amp;sourceID=14","0.00419")</f>
        <v>0.00419</v>
      </c>
    </row>
    <row r="7741" spans="1:7">
      <c r="A7741" s="3"/>
      <c r="B7741" s="3"/>
      <c r="C7741" s="3"/>
      <c r="D7741" s="3"/>
      <c r="E7741" s="3">
        <v>18</v>
      </c>
      <c r="F7741" s="4" t="str">
        <f>HYPERLINK("http://141.218.60.56/~jnz1568/getInfo.php?workbook=14_09.xlsx&amp;sheet=U0&amp;row=7741&amp;col=6&amp;number=4.7&amp;sourceID=14","4.7")</f>
        <v>4.7</v>
      </c>
      <c r="G7741" s="4" t="str">
        <f>HYPERLINK("http://141.218.60.56/~jnz1568/getInfo.php?workbook=14_09.xlsx&amp;sheet=U0&amp;row=7741&amp;col=7&amp;number=0.00419&amp;sourceID=14","0.00419")</f>
        <v>0.00419</v>
      </c>
    </row>
    <row r="7742" spans="1:7">
      <c r="A7742" s="3"/>
      <c r="B7742" s="3"/>
      <c r="C7742" s="3"/>
      <c r="D7742" s="3"/>
      <c r="E7742" s="3">
        <v>19</v>
      </c>
      <c r="F7742" s="4" t="str">
        <f>HYPERLINK("http://141.218.60.56/~jnz1568/getInfo.php?workbook=14_09.xlsx&amp;sheet=U0&amp;row=7742&amp;col=6&amp;number=4.8&amp;sourceID=14","4.8")</f>
        <v>4.8</v>
      </c>
      <c r="G7742" s="4" t="str">
        <f>HYPERLINK("http://141.218.60.56/~jnz1568/getInfo.php?workbook=14_09.xlsx&amp;sheet=U0&amp;row=7742&amp;col=7&amp;number=0.0042&amp;sourceID=14","0.0042")</f>
        <v>0.0042</v>
      </c>
    </row>
    <row r="7743" spans="1:7">
      <c r="A7743" s="3"/>
      <c r="B7743" s="3"/>
      <c r="C7743" s="3"/>
      <c r="D7743" s="3"/>
      <c r="E7743" s="3">
        <v>20</v>
      </c>
      <c r="F7743" s="4" t="str">
        <f>HYPERLINK("http://141.218.60.56/~jnz1568/getInfo.php?workbook=14_09.xlsx&amp;sheet=U0&amp;row=7743&amp;col=6&amp;number=4.9&amp;sourceID=14","4.9")</f>
        <v>4.9</v>
      </c>
      <c r="G7743" s="4" t="str">
        <f>HYPERLINK("http://141.218.60.56/~jnz1568/getInfo.php?workbook=14_09.xlsx&amp;sheet=U0&amp;row=7743&amp;col=7&amp;number=0.0042&amp;sourceID=14","0.0042")</f>
        <v>0.0042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2015-05-05T12:19:22Z</dcterms:created>
  <dcterms:modified xsi:type="dcterms:W3CDTF">2015-05-05T12:19:22Z</dcterms:modified>
</cp:coreProperties>
</file>