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<sst xmlns="http://schemas.openxmlformats.org/spreadsheetml/2006/main" count="74" uniqueCount="38">
  <si>
    <t>Fine Structure Energy Levels for Si 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</si>
  <si>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</si>
  <si>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</si>
  <si>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</si>
  <si>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</si>
  <si>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</si>
  <si>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</si>
  <si>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</si>
  <si>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</si>
  <si>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</si>
  <si>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</si>
  <si>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</si>
  <si>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</t>
  </si>
  <si>
    <t>2S</t>
  </si>
  <si>
    <t>3p</t>
  </si>
  <si>
    <t>2P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</si>
  <si>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</si>
  <si>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</si>
  <si>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</si>
  <si>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</si>
  <si>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</si>
  <si>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</si>
  <si>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</si>
  <si>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</si>
  <si>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</si>
  <si>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</si>
  <si>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</si>
  <si>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</si>
  <si>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</si>
  <si>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Si IV</t>
  </si>
  <si>
    <t>k</t>
  </si>
  <si>
    <t>WL Vac (A)</t>
  </si>
  <si>
    <t>A (s-1)</t>
  </si>
  <si>
    <t>A2E1(s-1)</t>
  </si>
  <si>
    <t>Effective Collision Strengths for Si 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</si>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</sst>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HYPERLINK("http://141.218.60.56/~jnz1568/getInfo.php?workbook=14_11.xlsx&amp;sheet=E0&amp;row=4&amp;col=10&amp;number=0&amp;sourceID=14","0")</f>
        <v>0</v>
      </c>
    </row>
    <row r="5" spans="1:10">
      <c r="A5" s="3">
        <v>14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HYPERLINK("http://141.218.60.56/~jnz1568/getInfo.php?workbook=14_11.xlsx&amp;sheet=E0&amp;row=5&amp;col=10&amp;number=71287.539&amp;sourceID=14","71287.539")</f>
        <v>71287.539</v>
      </c>
    </row>
    <row r="6" spans="1:10">
      <c r="A6" s="3">
        <v>14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HYPERLINK("http://141.218.60.56/~jnz1568/getInfo.php?workbook=14_11.xlsx&amp;sheet=E0&amp;row=6&amp;col=10&amp;number=71748.641&amp;sourceID=14","71748.641")</f>
        <v>71748.641</v>
      </c>
    </row>
    <row r="7" spans="1:10">
      <c r="A7" s="3">
        <v>14</v>
      </c>
      <c r="B7" s="3">
        <v>11</v>
      </c>
      <c r="C7" s="3">
        <v>4</v>
      </c>
      <c r="D7" s="3" t="s">
        <v>16</v>
      </c>
      <c r="E7" s="3" t="s">
        <v>17</v>
      </c>
      <c r="F7" s="3">
        <v>2</v>
      </c>
      <c r="G7" s="3">
        <v>2</v>
      </c>
      <c r="H7" s="3">
        <v>0</v>
      </c>
      <c r="I7" s="3">
        <v>1.5</v>
      </c>
      <c r="J7" s="4" t="str">
        <f>HYPERLINK("http://141.218.60.56/~jnz1568/getInfo.php?workbook=14_11.xlsx&amp;sheet=E0&amp;row=7&amp;col=10&amp;number=160375.594&amp;sourceID=14","160375.594")</f>
        <v>160375.594</v>
      </c>
    </row>
    <row r="8" spans="1:10">
      <c r="A8" s="3">
        <v>14</v>
      </c>
      <c r="B8" s="3">
        <v>11</v>
      </c>
      <c r="C8" s="3">
        <v>5</v>
      </c>
      <c r="D8" s="3" t="s">
        <v>16</v>
      </c>
      <c r="E8" s="3" t="s">
        <v>17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HYPERLINK("http://141.218.60.56/~jnz1568/getInfo.php?workbook=14_11.xlsx&amp;sheet=E0&amp;row=8&amp;col=10&amp;number=160374.406&amp;sourceID=14","160374.406")</f>
        <v>160374.406</v>
      </c>
    </row>
    <row r="9" spans="1:10">
      <c r="A9" s="3">
        <v>14</v>
      </c>
      <c r="B9" s="3">
        <v>11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HYPERLINK("http://141.218.60.56/~jnz1568/getInfo.php?workbook=14_11.xlsx&amp;sheet=E0&amp;row=9&amp;col=10&amp;number=193978.891&amp;sourceID=14","193978.891")</f>
        <v>193978.891</v>
      </c>
    </row>
    <row r="10" spans="1:10">
      <c r="A10" s="3">
        <v>14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HYPERLINK("http://141.218.60.56/~jnz1568/getInfo.php?workbook=14_11.xlsx&amp;sheet=E0&amp;row=10&amp;col=10&amp;number=218266.859&amp;sourceID=14","218266.859")</f>
        <v>218266.859</v>
      </c>
    </row>
    <row r="11" spans="1:10">
      <c r="A11" s="3">
        <v>14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HYPERLINK("http://141.218.60.56/~jnz1568/getInfo.php?workbook=14_11.xlsx&amp;sheet=E0&amp;row=11&amp;col=10&amp;number=218428.672&amp;sourceID=14","218428.672")</f>
        <v>218428.672</v>
      </c>
    </row>
    <row r="12" spans="1:10">
      <c r="A12" s="3">
        <v>14</v>
      </c>
      <c r="B12" s="3">
        <v>11</v>
      </c>
      <c r="C12" s="3">
        <v>9</v>
      </c>
      <c r="D12" s="3" t="s">
        <v>20</v>
      </c>
      <c r="E12" s="3" t="s">
        <v>17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HYPERLINK("http://141.218.60.56/~jnz1568/getInfo.php?workbook=14_11.xlsx&amp;sheet=E0&amp;row=12&amp;col=10&amp;number=250008.141&amp;sourceID=14","250008.141")</f>
        <v>250008.141</v>
      </c>
    </row>
    <row r="13" spans="1:10">
      <c r="A13" s="3">
        <v>14</v>
      </c>
      <c r="B13" s="3">
        <v>11</v>
      </c>
      <c r="C13" s="3">
        <v>10</v>
      </c>
      <c r="D13" s="3" t="s">
        <v>20</v>
      </c>
      <c r="E13" s="3" t="s">
        <v>17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HYPERLINK("http://141.218.60.56/~jnz1568/getInfo.php?workbook=14_11.xlsx&amp;sheet=E0&amp;row=13&amp;col=10&amp;number=250008.016&amp;sourceID=14","250008.016")</f>
        <v>250008.016</v>
      </c>
    </row>
    <row r="14" spans="1:10">
      <c r="A14" s="3">
        <v>14</v>
      </c>
      <c r="B14" s="3">
        <v>11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HYPERLINK("http://141.218.60.56/~jnz1568/getInfo.php?workbook=14_11.xlsx&amp;sheet=E0&amp;row=14&amp;col=10&amp;number=254127.078&amp;sourceID=14","254127.078")</f>
        <v>254127.078</v>
      </c>
    </row>
    <row r="15" spans="1:10">
      <c r="A15" s="3">
        <v>14</v>
      </c>
      <c r="B15" s="3">
        <v>11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HYPERLINK("http://141.218.60.56/~jnz1568/getInfo.php?workbook=14_11.xlsx&amp;sheet=E0&amp;row=15&amp;col=10&amp;number=254129.031&amp;sourceID=14","254129.031")</f>
        <v>254129.031</v>
      </c>
    </row>
    <row r="16" spans="1:10">
      <c r="A16" s="3">
        <v>14</v>
      </c>
      <c r="B16" s="3">
        <v>11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HYPERLINK("http://141.218.60.56/~jnz1568/getInfo.php?workbook=14_11.xlsx&amp;sheet=E0&amp;row=16&amp;col=10&amp;number=265417.938&amp;sourceID=14","265417.938")</f>
        <v>265417.938</v>
      </c>
    </row>
    <row r="17" spans="1:10">
      <c r="A17" s="3">
        <v>14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HYPERLINK("http://141.218.60.56/~jnz1568/getInfo.php?workbook=14_11.xlsx&amp;sheet=E0&amp;row=17&amp;col=10&amp;number=276503.656&amp;sourceID=14","276503.656")</f>
        <v>276503.656</v>
      </c>
    </row>
    <row r="18" spans="1:10">
      <c r="A18" s="3">
        <v>14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HYPERLINK("http://141.218.60.56/~jnz1568/getInfo.php?workbook=14_11.xlsx&amp;sheet=E0&amp;row=18&amp;col=10&amp;number=276579.031&amp;sourceID=14","276579.031")</f>
        <v>276579.031</v>
      </c>
    </row>
    <row r="19" spans="1:10">
      <c r="A19" s="3">
        <v>14</v>
      </c>
      <c r="B19" s="3">
        <v>11</v>
      </c>
      <c r="C19" s="3">
        <v>16</v>
      </c>
      <c r="D19" s="3" t="s">
        <v>25</v>
      </c>
      <c r="E19" s="3" t="s">
        <v>17</v>
      </c>
      <c r="F19" s="3">
        <v>2</v>
      </c>
      <c r="G19" s="3">
        <v>2</v>
      </c>
      <c r="H19" s="3">
        <v>0</v>
      </c>
      <c r="I19" s="3">
        <v>1.5</v>
      </c>
      <c r="J19" s="4" t="str">
        <f>HYPERLINK("http://141.218.60.56/~jnz1568/getInfo.php?workbook=14_11.xlsx&amp;sheet=E0&amp;row=19&amp;col=10&amp;number=291497.5&amp;sourceID=14","291497.5")</f>
        <v>291497.5</v>
      </c>
    </row>
    <row r="20" spans="1:10">
      <c r="A20" s="3">
        <v>14</v>
      </c>
      <c r="B20" s="3">
        <v>11</v>
      </c>
      <c r="C20" s="3">
        <v>17</v>
      </c>
      <c r="D20" s="3" t="s">
        <v>25</v>
      </c>
      <c r="E20" s="3" t="s">
        <v>17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HYPERLINK("http://141.218.60.56/~jnz1568/getInfo.php?workbook=14_11.xlsx&amp;sheet=E0&amp;row=20&amp;col=10&amp;number=291497.594&amp;sourceID=14","291497.594")</f>
        <v>291497.594</v>
      </c>
    </row>
    <row r="21" spans="1:10">
      <c r="A21" s="3">
        <v>14</v>
      </c>
      <c r="B21" s="3">
        <v>11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HYPERLINK("http://141.218.60.56/~jnz1568/getInfo.php?workbook=14_11.xlsx&amp;sheet=E0&amp;row=21&amp;col=10&amp;number=293719&amp;sourceID=14","293719")</f>
        <v>293719</v>
      </c>
    </row>
    <row r="22" spans="1:10">
      <c r="A22" s="3">
        <v>14</v>
      </c>
      <c r="B22" s="3">
        <v>11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HYPERLINK("http://141.218.60.56/~jnz1568/getInfo.php?workbook=14_11.xlsx&amp;sheet=E0&amp;row=22&amp;col=10&amp;number=293719&amp;sourceID=14","293719")</f>
        <v>293719</v>
      </c>
    </row>
    <row r="23" spans="1:10">
      <c r="A23" s="3">
        <v>14</v>
      </c>
      <c r="B23" s="3">
        <v>11</v>
      </c>
      <c r="C23" s="3">
        <v>20</v>
      </c>
      <c r="D23" s="3" t="s">
        <v>27</v>
      </c>
      <c r="E23" s="3" t="s">
        <v>28</v>
      </c>
      <c r="F23" s="3">
        <v>2</v>
      </c>
      <c r="G23" s="3">
        <v>4</v>
      </c>
      <c r="H23" s="3">
        <v>0</v>
      </c>
      <c r="I23" s="3">
        <v>3.5</v>
      </c>
      <c r="J23" s="4" t="str">
        <f>HYPERLINK("http://141.218.60.56/~jnz1568/getInfo.php?workbook=14_11.xlsx&amp;sheet=E0&amp;row=23&amp;col=10&amp;number=293837.906&amp;sourceID=14","293837.906")</f>
        <v>293837.906</v>
      </c>
    </row>
    <row r="24" spans="1:10">
      <c r="A24" s="3">
        <v>14</v>
      </c>
      <c r="B24" s="3">
        <v>11</v>
      </c>
      <c r="C24" s="3">
        <v>21</v>
      </c>
      <c r="D24" s="3" t="s">
        <v>27</v>
      </c>
      <c r="E24" s="3" t="s">
        <v>28</v>
      </c>
      <c r="F24" s="3">
        <v>2</v>
      </c>
      <c r="G24" s="3">
        <v>4</v>
      </c>
      <c r="H24" s="3">
        <v>0</v>
      </c>
      <c r="I24" s="3">
        <v>4.5</v>
      </c>
      <c r="J24" s="4" t="str">
        <f>HYPERLINK("http://141.218.60.56/~jnz1568/getInfo.php?workbook=14_11.xlsx&amp;sheet=E0&amp;row=24&amp;col=10&amp;number=293837.906&amp;sourceID=14","293837.906")</f>
        <v>293837.906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14</v>
      </c>
      <c r="B4" s="3">
        <v>11</v>
      </c>
      <c r="C4" s="3">
        <v>2</v>
      </c>
      <c r="D4" s="3">
        <v>1</v>
      </c>
      <c r="E4" s="3">
        <v>1402.772</v>
      </c>
      <c r="F4" s="4" t="str">
        <f>HYPERLINK("http://141.218.60.56/~jnz1568/getInfo.php?workbook=14_11.xlsx&amp;sheet=A0&amp;row=4&amp;col=6&amp;number=911600000&amp;sourceID=14","911600000")</f>
        <v>911600000</v>
      </c>
      <c r="G4" s="4" t="str">
        <f>HYPERLINK("http://141.218.60.56/~jnz1568/getInfo.php?workbook=14_11.xlsx&amp;sheet=A0&amp;row=4&amp;col=7&amp;number=0&amp;sourceID=14","0")</f>
        <v>0</v>
      </c>
    </row>
    <row r="5" spans="1:7">
      <c r="A5" s="3">
        <v>14</v>
      </c>
      <c r="B5" s="3">
        <v>11</v>
      </c>
      <c r="C5" s="3">
        <v>3</v>
      </c>
      <c r="D5" s="3">
        <v>1</v>
      </c>
      <c r="E5" s="3">
        <v>1393.757</v>
      </c>
      <c r="F5" s="4" t="str">
        <f>HYPERLINK("http://141.218.60.56/~jnz1568/getInfo.php?workbook=14_11.xlsx&amp;sheet=A0&amp;row=5&amp;col=6&amp;number=930100000&amp;sourceID=14","930100000")</f>
        <v>930100000</v>
      </c>
      <c r="G5" s="4" t="str">
        <f>HYPERLINK("http://141.218.60.56/~jnz1568/getInfo.php?workbook=14_11.xlsx&amp;sheet=A0&amp;row=5&amp;col=7&amp;number=0&amp;sourceID=14","0")</f>
        <v>0</v>
      </c>
    </row>
    <row r="6" spans="1:7">
      <c r="A6" s="3">
        <v>14</v>
      </c>
      <c r="B6" s="3">
        <v>11</v>
      </c>
      <c r="C6" s="3">
        <v>4</v>
      </c>
      <c r="D6" s="3">
        <v>2</v>
      </c>
      <c r="E6" s="3">
        <v>1122.487</v>
      </c>
      <c r="F6" s="4" t="str">
        <f>HYPERLINK("http://141.218.60.56/~jnz1568/getInfo.php?workbook=14_11.xlsx&amp;sheet=A0&amp;row=6&amp;col=6&amp;number=1485000000&amp;sourceID=14","1485000000")</f>
        <v>1485000000</v>
      </c>
      <c r="G6" s="4" t="str">
        <f>HYPERLINK("http://141.218.60.56/~jnz1568/getInfo.php?workbook=14_11.xlsx&amp;sheet=A0&amp;row=6&amp;col=7&amp;number=0&amp;sourceID=14","0")</f>
        <v>0</v>
      </c>
    </row>
    <row r="7" spans="1:7">
      <c r="A7" s="3">
        <v>14</v>
      </c>
      <c r="B7" s="3">
        <v>11</v>
      </c>
      <c r="C7" s="3">
        <v>4</v>
      </c>
      <c r="D7" s="3">
        <v>3</v>
      </c>
      <c r="E7" s="3">
        <v>1128.327</v>
      </c>
      <c r="F7" s="4" t="str">
        <f>HYPERLINK("http://141.218.60.56/~jnz1568/getInfo.php?workbook=14_11.xlsx&amp;sheet=A0&amp;row=7&amp;col=6&amp;number=293200000&amp;sourceID=14","293200000")</f>
        <v>293200000</v>
      </c>
      <c r="G7" s="4" t="str">
        <f>HYPERLINK("http://141.218.60.56/~jnz1568/getInfo.php?workbook=14_11.xlsx&amp;sheet=A0&amp;row=7&amp;col=7&amp;number=0&amp;sourceID=14","0")</f>
        <v>0</v>
      </c>
    </row>
    <row r="8" spans="1:7">
      <c r="A8" s="3">
        <v>14</v>
      </c>
      <c r="B8" s="3">
        <v>11</v>
      </c>
      <c r="C8" s="3">
        <v>5</v>
      </c>
      <c r="D8" s="3">
        <v>3</v>
      </c>
      <c r="E8" s="3">
        <v>1128.342</v>
      </c>
      <c r="F8" s="4" t="str">
        <f>HYPERLINK("http://141.218.60.56/~jnz1568/getInfo.php?workbook=14_11.xlsx&amp;sheet=A0&amp;row=8&amp;col=6&amp;number=3958000000&amp;sourceID=14","3958000000")</f>
        <v>3958000000</v>
      </c>
      <c r="G8" s="4" t="str">
        <f>HYPERLINK("http://141.218.60.56/~jnz1568/getInfo.php?workbook=14_11.xlsx&amp;sheet=A0&amp;row=8&amp;col=7&amp;number=0&amp;sourceID=14","0")</f>
        <v>0</v>
      </c>
    </row>
    <row r="9" spans="1:7">
      <c r="A9" s="3">
        <v>14</v>
      </c>
      <c r="B9" s="3">
        <v>11</v>
      </c>
      <c r="C9" s="3">
        <v>7</v>
      </c>
      <c r="D9" s="3">
        <v>1</v>
      </c>
      <c r="E9" s="3">
        <v>458.156</v>
      </c>
      <c r="F9" s="4" t="str">
        <f>HYPERLINK("http://141.218.60.56/~jnz1568/getInfo.php?workbook=14_11.xlsx&amp;sheet=A0&amp;row=9&amp;col=6&amp;number=334700000&amp;sourceID=14","334700000")</f>
        <v>334700000</v>
      </c>
      <c r="G9" s="4" t="str">
        <f>HYPERLINK("http://141.218.60.56/~jnz1568/getInfo.php?workbook=14_11.xlsx&amp;sheet=A0&amp;row=9&amp;col=7&amp;number=0&amp;sourceID=14","0")</f>
        <v>0</v>
      </c>
    </row>
    <row r="10" spans="1:7">
      <c r="A10" s="3">
        <v>14</v>
      </c>
      <c r="B10" s="3">
        <v>11</v>
      </c>
      <c r="C10" s="3">
        <v>8</v>
      </c>
      <c r="D10" s="3">
        <v>1</v>
      </c>
      <c r="E10" s="3">
        <v>457.816</v>
      </c>
      <c r="F10" s="4" t="str">
        <f>HYPERLINK("http://141.218.60.56/~jnz1568/getInfo.php?workbook=14_11.xlsx&amp;sheet=A0&amp;row=10&amp;col=6&amp;number=322000000&amp;sourceID=14","322000000")</f>
        <v>322000000</v>
      </c>
      <c r="G10" s="4" t="str">
        <f>HYPERLINK("http://141.218.60.56/~jnz1568/getInfo.php?workbook=14_11.xlsx&amp;sheet=A0&amp;row=10&amp;col=7&amp;number=0&amp;sourceID=14","0")</f>
        <v>0</v>
      </c>
    </row>
    <row r="11" spans="1:7">
      <c r="A11" s="3">
        <v>14</v>
      </c>
      <c r="B11" s="3">
        <v>11</v>
      </c>
      <c r="C11" s="3">
        <v>6</v>
      </c>
      <c r="D11" s="3">
        <v>2</v>
      </c>
      <c r="E11" s="3">
        <v>815.055</v>
      </c>
      <c r="F11" s="4" t="str">
        <f>HYPERLINK("http://141.218.60.56/~jnz1568/getInfo.php?workbook=14_11.xlsx&amp;sheet=A0&amp;row=11&amp;col=6&amp;number=1166000000&amp;sourceID=14","1166000000")</f>
        <v>1166000000</v>
      </c>
      <c r="G11" s="4" t="str">
        <f>HYPERLINK("http://141.218.60.56/~jnz1568/getInfo.php?workbook=14_11.xlsx&amp;sheet=A0&amp;row=11&amp;col=7&amp;number=0&amp;sourceID=14","0")</f>
        <v>0</v>
      </c>
    </row>
    <row r="12" spans="1:7">
      <c r="A12" s="3">
        <v>14</v>
      </c>
      <c r="B12" s="3">
        <v>11</v>
      </c>
      <c r="C12" s="3">
        <v>9</v>
      </c>
      <c r="D12" s="3">
        <v>2</v>
      </c>
      <c r="E12" s="3">
        <v>559.534</v>
      </c>
      <c r="F12" s="4" t="str">
        <f>HYPERLINK("http://141.218.60.56/~jnz1568/getInfo.php?workbook=14_11.xlsx&amp;sheet=A0&amp;row=12&amp;col=6&amp;number=25370000&amp;sourceID=14","25370000")</f>
        <v>25370000</v>
      </c>
      <c r="G12" s="4" t="str">
        <f>HYPERLINK("http://141.218.60.56/~jnz1568/getInfo.php?workbook=14_11.xlsx&amp;sheet=A0&amp;row=12&amp;col=7&amp;number=0&amp;sourceID=14","0")</f>
        <v>0</v>
      </c>
    </row>
    <row r="13" spans="1:7">
      <c r="A13" s="3">
        <v>14</v>
      </c>
      <c r="B13" s="3">
        <v>11</v>
      </c>
      <c r="C13" s="3">
        <v>6</v>
      </c>
      <c r="D13" s="3">
        <v>3</v>
      </c>
      <c r="E13" s="3">
        <v>818.13</v>
      </c>
      <c r="F13" s="4" t="str">
        <f>HYPERLINK("http://141.218.60.56/~jnz1568/getInfo.php?workbook=14_11.xlsx&amp;sheet=A0&amp;row=13&amp;col=6&amp;number=2339000000&amp;sourceID=14","2339000000")</f>
        <v>2339000000</v>
      </c>
      <c r="G13" s="4" t="str">
        <f>HYPERLINK("http://141.218.60.56/~jnz1568/getInfo.php?workbook=14_11.xlsx&amp;sheet=A0&amp;row=13&amp;col=7&amp;number=0&amp;sourceID=14","0")</f>
        <v>0</v>
      </c>
    </row>
    <row r="14" spans="1:7">
      <c r="A14" s="3">
        <v>14</v>
      </c>
      <c r="B14" s="3">
        <v>11</v>
      </c>
      <c r="C14" s="3">
        <v>9</v>
      </c>
      <c r="D14" s="3">
        <v>3</v>
      </c>
      <c r="E14" s="3">
        <v>560.981</v>
      </c>
      <c r="F14" s="4" t="str">
        <f>HYPERLINK("http://141.218.60.56/~jnz1568/getInfo.php?workbook=14_11.xlsx&amp;sheet=A0&amp;row=14&amp;col=6&amp;number=5524000&amp;sourceID=14","5524000")</f>
        <v>5524000</v>
      </c>
      <c r="G14" s="4" t="str">
        <f>HYPERLINK("http://141.218.60.56/~jnz1568/getInfo.php?workbook=14_11.xlsx&amp;sheet=A0&amp;row=14&amp;col=7&amp;number=0&amp;sourceID=14","0")</f>
        <v>0</v>
      </c>
    </row>
    <row r="15" spans="1:7">
      <c r="A15" s="3">
        <v>14</v>
      </c>
      <c r="B15" s="3">
        <v>11</v>
      </c>
      <c r="C15" s="3">
        <v>10</v>
      </c>
      <c r="D15" s="3">
        <v>3</v>
      </c>
      <c r="E15" s="3">
        <v>560.981</v>
      </c>
      <c r="F15" s="4" t="str">
        <f>HYPERLINK("http://141.218.60.56/~jnz1568/getInfo.php?workbook=14_11.xlsx&amp;sheet=A0&amp;row=15&amp;col=6&amp;number=74640000&amp;sourceID=14","74640000")</f>
        <v>74640000</v>
      </c>
      <c r="G15" s="4" t="str">
        <f>HYPERLINK("http://141.218.60.56/~jnz1568/getInfo.php?workbook=14_11.xlsx&amp;sheet=A0&amp;row=15&amp;col=7&amp;number=0&amp;sourceID=14","0")</f>
        <v>0</v>
      </c>
    </row>
    <row r="16" spans="1:7">
      <c r="A16" s="3">
        <v>14</v>
      </c>
      <c r="B16" s="3">
        <v>11</v>
      </c>
      <c r="C16" s="3">
        <v>7</v>
      </c>
      <c r="D16" s="3">
        <v>4</v>
      </c>
      <c r="E16" s="3">
        <v>1727.38</v>
      </c>
      <c r="F16" s="4" t="str">
        <f>HYPERLINK("http://141.218.60.56/~jnz1568/getInfo.php?workbook=14_11.xlsx&amp;sheet=A0&amp;row=16&amp;col=6&amp;number=820800000&amp;sourceID=14","820800000")</f>
        <v>820800000</v>
      </c>
      <c r="G16" s="4" t="str">
        <f>HYPERLINK("http://141.218.60.56/~jnz1568/getInfo.php?workbook=14_11.xlsx&amp;sheet=A0&amp;row=16&amp;col=7&amp;number=0&amp;sourceID=14","0")</f>
        <v>0</v>
      </c>
    </row>
    <row r="17" spans="1:7">
      <c r="A17" s="3">
        <v>14</v>
      </c>
      <c r="B17" s="3">
        <v>11</v>
      </c>
      <c r="C17" s="3">
        <v>8</v>
      </c>
      <c r="D17" s="3">
        <v>4</v>
      </c>
      <c r="E17" s="3">
        <v>1722.565</v>
      </c>
      <c r="F17" s="4" t="str">
        <f>HYPERLINK("http://141.218.60.56/~jnz1568/getInfo.php?workbook=14_11.xlsx&amp;sheet=A0&amp;row=17&amp;col=6&amp;number=82200000&amp;sourceID=14","82200000")</f>
        <v>82200000</v>
      </c>
      <c r="G17" s="4" t="str">
        <f>HYPERLINK("http://141.218.60.56/~jnz1568/getInfo.php?workbook=14_11.xlsx&amp;sheet=A0&amp;row=17&amp;col=7&amp;number=0&amp;sourceID=14","0")</f>
        <v>0</v>
      </c>
    </row>
    <row r="18" spans="1:7">
      <c r="A18" s="3">
        <v>14</v>
      </c>
      <c r="B18" s="3">
        <v>11</v>
      </c>
      <c r="C18" s="3">
        <v>11</v>
      </c>
      <c r="D18" s="3">
        <v>4</v>
      </c>
      <c r="E18" s="3">
        <v>1066.652</v>
      </c>
      <c r="F18" s="4" t="str">
        <f>HYPERLINK("http://141.218.60.56/~jnz1568/getInfo.php?workbook=14_11.xlsx&amp;sheet=A0&amp;row=18&amp;col=6&amp;number=5468000000&amp;sourceID=14","5468000000")</f>
        <v>5468000000</v>
      </c>
      <c r="G18" s="4" t="str">
        <f>HYPERLINK("http://141.218.60.56/~jnz1568/getInfo.php?workbook=14_11.xlsx&amp;sheet=A0&amp;row=18&amp;col=7&amp;number=0&amp;sourceID=14","0")</f>
        <v>0</v>
      </c>
    </row>
    <row r="19" spans="1:7">
      <c r="A19" s="3">
        <v>14</v>
      </c>
      <c r="B19" s="3">
        <v>11</v>
      </c>
      <c r="C19" s="3">
        <v>8</v>
      </c>
      <c r="D19" s="3">
        <v>5</v>
      </c>
      <c r="E19" s="3">
        <v>1722.53</v>
      </c>
      <c r="F19" s="4" t="str">
        <f>HYPERLINK("http://141.218.60.56/~jnz1568/getInfo.php?workbook=14_11.xlsx&amp;sheet=A0&amp;row=19&amp;col=6&amp;number=328800000&amp;sourceID=14","328800000")</f>
        <v>328800000</v>
      </c>
      <c r="G19" s="4" t="str">
        <f>HYPERLINK("http://141.218.60.56/~jnz1568/getInfo.php?workbook=14_11.xlsx&amp;sheet=A0&amp;row=19&amp;col=7&amp;number=0&amp;sourceID=14","0")</f>
        <v>0</v>
      </c>
    </row>
    <row r="20" spans="1:7">
      <c r="A20" s="3">
        <v>14</v>
      </c>
      <c r="B20" s="3">
        <v>11</v>
      </c>
      <c r="C20" s="3">
        <v>11</v>
      </c>
      <c r="D20" s="3">
        <v>5</v>
      </c>
      <c r="E20" s="3">
        <v>1066.638</v>
      </c>
      <c r="F20" s="4" t="str">
        <f>HYPERLINK("http://141.218.60.56/~jnz1568/getInfo.php?workbook=14_11.xlsx&amp;sheet=A0&amp;row=20&amp;col=6&amp;number=173600000&amp;sourceID=14","173600000")</f>
        <v>173600000</v>
      </c>
      <c r="G20" s="4" t="str">
        <f>HYPERLINK("http://141.218.60.56/~jnz1568/getInfo.php?workbook=14_11.xlsx&amp;sheet=A0&amp;row=20&amp;col=7&amp;number=0&amp;sourceID=14","0")</f>
        <v>0</v>
      </c>
    </row>
    <row r="21" spans="1:7">
      <c r="A21" s="3">
        <v>14</v>
      </c>
      <c r="B21" s="3">
        <v>11</v>
      </c>
      <c r="C21" s="3">
        <v>12</v>
      </c>
      <c r="D21" s="3">
        <v>5</v>
      </c>
      <c r="E21" s="3">
        <v>1066.616</v>
      </c>
      <c r="F21" s="4" t="str">
        <f>HYPERLINK("http://141.218.60.56/~jnz1568/getInfo.php?workbook=14_11.xlsx&amp;sheet=A0&amp;row=21&amp;col=6&amp;number=2604000000&amp;sourceID=14","2604000000")</f>
        <v>2604000000</v>
      </c>
      <c r="G21" s="4" t="str">
        <f>HYPERLINK("http://141.218.60.56/~jnz1568/getInfo.php?workbook=14_11.xlsx&amp;sheet=A0&amp;row=21&amp;col=7&amp;number=0&amp;sourceID=14","0")</f>
        <v>0</v>
      </c>
    </row>
    <row r="22" spans="1:7">
      <c r="A22" s="3">
        <v>14</v>
      </c>
      <c r="B22" s="3">
        <v>11</v>
      </c>
      <c r="C22" s="3">
        <v>14</v>
      </c>
      <c r="D22" s="3">
        <v>1</v>
      </c>
      <c r="E22" s="3">
        <v>361.66</v>
      </c>
      <c r="F22" s="4" t="str">
        <f>HYPERLINK("http://141.218.60.56/~jnz1568/getInfo.php?workbook=14_11.xlsx&amp;sheet=A0&amp;row=22&amp;col=6&amp;number=245900000&amp;sourceID=14","245900000")</f>
        <v>245900000</v>
      </c>
      <c r="G22" s="4" t="str">
        <f>HYPERLINK("http://141.218.60.56/~jnz1568/getInfo.php?workbook=14_11.xlsx&amp;sheet=A0&amp;row=22&amp;col=7&amp;number=0&amp;sourceID=14","0")</f>
        <v>0</v>
      </c>
    </row>
    <row r="23" spans="1:7">
      <c r="A23" s="3">
        <v>14</v>
      </c>
      <c r="B23" s="3">
        <v>11</v>
      </c>
      <c r="C23" s="3">
        <v>15</v>
      </c>
      <c r="D23" s="3">
        <v>1</v>
      </c>
      <c r="E23" s="3">
        <v>361.561</v>
      </c>
      <c r="F23" s="4" t="str">
        <f>HYPERLINK("http://141.218.60.56/~jnz1568/getInfo.php?workbook=14_11.xlsx&amp;sheet=A0&amp;row=23&amp;col=6&amp;number=238700000&amp;sourceID=14","238700000")</f>
        <v>238700000</v>
      </c>
      <c r="G23" s="4" t="str">
        <f>HYPERLINK("http://141.218.60.56/~jnz1568/getInfo.php?workbook=14_11.xlsx&amp;sheet=A0&amp;row=23&amp;col=7&amp;number=0&amp;sourceID=14","0")</f>
        <v>0</v>
      </c>
    </row>
    <row r="24" spans="1:7">
      <c r="A24" s="3">
        <v>14</v>
      </c>
      <c r="B24" s="3">
        <v>11</v>
      </c>
      <c r="C24" s="3">
        <v>13</v>
      </c>
      <c r="D24" s="3">
        <v>2</v>
      </c>
      <c r="E24" s="3">
        <v>515.119</v>
      </c>
      <c r="F24" s="4" t="str">
        <f>HYPERLINK("http://141.218.60.56/~jnz1568/getInfo.php?workbook=14_11.xlsx&amp;sheet=A0&amp;row=24&amp;col=6&amp;number=447900000&amp;sourceID=14","447900000")</f>
        <v>447900000</v>
      </c>
      <c r="G24" s="4" t="str">
        <f>HYPERLINK("http://141.218.60.56/~jnz1568/getInfo.php?workbook=14_11.xlsx&amp;sheet=A0&amp;row=24&amp;col=7&amp;number=0&amp;sourceID=14","0")</f>
        <v>0</v>
      </c>
    </row>
    <row r="25" spans="1:7">
      <c r="A25" s="3">
        <v>14</v>
      </c>
      <c r="B25" s="3">
        <v>11</v>
      </c>
      <c r="C25" s="3">
        <v>16</v>
      </c>
      <c r="D25" s="3">
        <v>2</v>
      </c>
      <c r="E25" s="3">
        <v>454.113</v>
      </c>
      <c r="F25" s="4" t="str">
        <f>HYPERLINK("http://141.218.60.56/~jnz1568/getInfo.php?workbook=14_11.xlsx&amp;sheet=A0&amp;row=25&amp;col=6&amp;number=108100000&amp;sourceID=14","108100000")</f>
        <v>108100000</v>
      </c>
      <c r="G25" s="4" t="str">
        <f>HYPERLINK("http://141.218.60.56/~jnz1568/getInfo.php?workbook=14_11.xlsx&amp;sheet=A0&amp;row=25&amp;col=7&amp;number=0&amp;sourceID=14","0")</f>
        <v>0</v>
      </c>
    </row>
    <row r="26" spans="1:7">
      <c r="A26" s="3">
        <v>14</v>
      </c>
      <c r="B26" s="3">
        <v>11</v>
      </c>
      <c r="C26" s="3">
        <v>13</v>
      </c>
      <c r="D26" s="3">
        <v>3</v>
      </c>
      <c r="E26" s="3">
        <v>516.345</v>
      </c>
      <c r="F26" s="4" t="str">
        <f>HYPERLINK("http://141.218.60.56/~jnz1568/getInfo.php?workbook=14_11.xlsx&amp;sheet=A0&amp;row=26&amp;col=6&amp;number=897100000&amp;sourceID=14","897100000")</f>
        <v>897100000</v>
      </c>
      <c r="G26" s="4" t="str">
        <f>HYPERLINK("http://141.218.60.56/~jnz1568/getInfo.php?workbook=14_11.xlsx&amp;sheet=A0&amp;row=26&amp;col=7&amp;number=0&amp;sourceID=14","0")</f>
        <v>0</v>
      </c>
    </row>
    <row r="27" spans="1:7">
      <c r="A27" s="3">
        <v>14</v>
      </c>
      <c r="B27" s="3">
        <v>11</v>
      </c>
      <c r="C27" s="3">
        <v>16</v>
      </c>
      <c r="D27" s="3">
        <v>3</v>
      </c>
      <c r="E27" s="3">
        <v>455.066</v>
      </c>
      <c r="F27" s="4" t="str">
        <f>HYPERLINK("http://141.218.60.56/~jnz1568/getInfo.php?workbook=14_11.xlsx&amp;sheet=A0&amp;row=27&amp;col=6&amp;number=22370000&amp;sourceID=14","22370000")</f>
        <v>22370000</v>
      </c>
      <c r="G27" s="4" t="str">
        <f>HYPERLINK("http://141.218.60.56/~jnz1568/getInfo.php?workbook=14_11.xlsx&amp;sheet=A0&amp;row=27&amp;col=7&amp;number=0&amp;sourceID=14","0")</f>
        <v>0</v>
      </c>
    </row>
    <row r="28" spans="1:7">
      <c r="A28" s="3">
        <v>14</v>
      </c>
      <c r="B28" s="3">
        <v>11</v>
      </c>
      <c r="C28" s="3">
        <v>17</v>
      </c>
      <c r="D28" s="3">
        <v>3</v>
      </c>
      <c r="E28" s="3">
        <v>455.066</v>
      </c>
      <c r="F28" s="4" t="str">
        <f>HYPERLINK("http://141.218.60.56/~jnz1568/getInfo.php?workbook=14_11.xlsx&amp;sheet=A0&amp;row=28&amp;col=6&amp;number=134300000&amp;sourceID=14","134300000")</f>
        <v>134300000</v>
      </c>
      <c r="G28" s="4" t="str">
        <f>HYPERLINK("http://141.218.60.56/~jnz1568/getInfo.php?workbook=14_11.xlsx&amp;sheet=A0&amp;row=28&amp;col=7&amp;number=0&amp;sourceID=14","0")</f>
        <v>0</v>
      </c>
    </row>
    <row r="29" spans="1:7">
      <c r="A29" s="3">
        <v>14</v>
      </c>
      <c r="B29" s="3">
        <v>11</v>
      </c>
      <c r="C29" s="3">
        <v>14</v>
      </c>
      <c r="D29" s="3">
        <v>4</v>
      </c>
      <c r="E29" s="3">
        <v>861.12</v>
      </c>
      <c r="F29" s="4" t="str">
        <f>HYPERLINK("http://141.218.60.56/~jnz1568/getInfo.php?workbook=14_11.xlsx&amp;sheet=A0&amp;row=29&amp;col=6&amp;number=265000000&amp;sourceID=14","265000000")</f>
        <v>265000000</v>
      </c>
      <c r="G29" s="4" t="str">
        <f>HYPERLINK("http://141.218.60.56/~jnz1568/getInfo.php?workbook=14_11.xlsx&amp;sheet=A0&amp;row=29&amp;col=7&amp;number=0&amp;sourceID=14","0")</f>
        <v>0</v>
      </c>
    </row>
    <row r="30" spans="1:7">
      <c r="A30" s="3">
        <v>14</v>
      </c>
      <c r="B30" s="3">
        <v>11</v>
      </c>
      <c r="C30" s="3">
        <v>15</v>
      </c>
      <c r="D30" s="3">
        <v>4</v>
      </c>
      <c r="E30" s="3">
        <v>860.561</v>
      </c>
      <c r="F30" s="4" t="str">
        <f>HYPERLINK("http://141.218.60.56/~jnz1568/getInfo.php?workbook=14_11.xlsx&amp;sheet=A0&amp;row=30&amp;col=6&amp;number=26590000&amp;sourceID=14","26590000")</f>
        <v>26590000</v>
      </c>
      <c r="G30" s="4" t="str">
        <f>HYPERLINK("http://141.218.60.56/~jnz1568/getInfo.php?workbook=14_11.xlsx&amp;sheet=A0&amp;row=30&amp;col=7&amp;number=0&amp;sourceID=14","0")</f>
        <v>0</v>
      </c>
    </row>
    <row r="31" spans="1:7">
      <c r="A31" s="3">
        <v>14</v>
      </c>
      <c r="B31" s="3">
        <v>11</v>
      </c>
      <c r="C31" s="3">
        <v>18</v>
      </c>
      <c r="D31" s="3">
        <v>4</v>
      </c>
      <c r="E31" s="3">
        <v>749.945</v>
      </c>
      <c r="F31" s="4" t="str">
        <f>HYPERLINK("http://141.218.60.56/~jnz1568/getInfo.php?workbook=14_11.xlsx&amp;sheet=A0&amp;row=31&amp;col=6&amp;number=1983000000&amp;sourceID=14","1983000000")</f>
        <v>1983000000</v>
      </c>
      <c r="G31" s="4" t="str">
        <f>HYPERLINK("http://141.218.60.56/~jnz1568/getInfo.php?workbook=14_11.xlsx&amp;sheet=A0&amp;row=31&amp;col=7&amp;number=0&amp;sourceID=14","0")</f>
        <v>0</v>
      </c>
    </row>
    <row r="32" spans="1:7">
      <c r="A32" s="3">
        <v>14</v>
      </c>
      <c r="B32" s="3">
        <v>11</v>
      </c>
      <c r="C32" s="3">
        <v>15</v>
      </c>
      <c r="D32" s="3">
        <v>5</v>
      </c>
      <c r="E32" s="3">
        <v>860.553</v>
      </c>
      <c r="F32" s="4" t="str">
        <f>HYPERLINK("http://141.218.60.56/~jnz1568/getInfo.php?workbook=14_11.xlsx&amp;sheet=A0&amp;row=32&amp;col=6&amp;number=106400000&amp;sourceID=14","106400000")</f>
        <v>106400000</v>
      </c>
      <c r="G32" s="4" t="str">
        <f>HYPERLINK("http://141.218.60.56/~jnz1568/getInfo.php?workbook=14_11.xlsx&amp;sheet=A0&amp;row=32&amp;col=7&amp;number=0&amp;sourceID=14","0")</f>
        <v>0</v>
      </c>
    </row>
    <row r="33" spans="1:7">
      <c r="A33" s="3">
        <v>14</v>
      </c>
      <c r="B33" s="3">
        <v>11</v>
      </c>
      <c r="C33" s="3">
        <v>18</v>
      </c>
      <c r="D33" s="3">
        <v>5</v>
      </c>
      <c r="E33" s="3">
        <v>749.938</v>
      </c>
      <c r="F33" s="4" t="str">
        <f>HYPERLINK("http://141.218.60.56/~jnz1568/getInfo.php?workbook=14_11.xlsx&amp;sheet=A0&amp;row=33&amp;col=6&amp;number=62960000&amp;sourceID=14","62960000")</f>
        <v>62960000</v>
      </c>
      <c r="G33" s="4" t="str">
        <f>HYPERLINK("http://141.218.60.56/~jnz1568/getInfo.php?workbook=14_11.xlsx&amp;sheet=A0&amp;row=33&amp;col=7&amp;number=0&amp;sourceID=14","0")</f>
        <v>0</v>
      </c>
    </row>
    <row r="34" spans="1:7">
      <c r="A34" s="3">
        <v>14</v>
      </c>
      <c r="B34" s="3">
        <v>11</v>
      </c>
      <c r="C34" s="3">
        <v>19</v>
      </c>
      <c r="D34" s="3">
        <v>5</v>
      </c>
      <c r="E34" s="3">
        <v>749.938</v>
      </c>
      <c r="F34" s="4" t="str">
        <f>HYPERLINK("http://141.218.60.56/~jnz1568/getInfo.php?workbook=14_11.xlsx&amp;sheet=A0&amp;row=34&amp;col=6&amp;number=944400000&amp;sourceID=14","944400000")</f>
        <v>944400000</v>
      </c>
      <c r="G34" s="4" t="str">
        <f>HYPERLINK("http://141.218.60.56/~jnz1568/getInfo.php?workbook=14_11.xlsx&amp;sheet=A0&amp;row=34&amp;col=7&amp;number=0&amp;sourceID=14","0")</f>
        <v>0</v>
      </c>
    </row>
    <row r="35" spans="1:7">
      <c r="A35" s="3">
        <v>14</v>
      </c>
      <c r="B35" s="3">
        <v>11</v>
      </c>
      <c r="C35" s="3">
        <v>20</v>
      </c>
      <c r="D35" s="3">
        <v>11</v>
      </c>
      <c r="E35" s="3">
        <v>2518.209</v>
      </c>
      <c r="F35" s="4" t="str">
        <f>HYPERLINK("http://141.218.60.56/~jnz1568/getInfo.php?workbook=14_11.xlsx&amp;sheet=A0&amp;row=35&amp;col=6&amp;number=1062000000&amp;sourceID=14","1062000000")</f>
        <v>1062000000</v>
      </c>
      <c r="G35" s="4" t="str">
        <f>HYPERLINK("http://141.218.60.56/~jnz1568/getInfo.php?workbook=14_11.xlsx&amp;sheet=A0&amp;row=35&amp;col=7&amp;number=0&amp;sourceID=14","0")</f>
        <v>0</v>
      </c>
    </row>
    <row r="36" spans="1:7">
      <c r="A36" s="3">
        <v>14</v>
      </c>
      <c r="B36" s="3">
        <v>11</v>
      </c>
      <c r="C36" s="3">
        <v>20</v>
      </c>
      <c r="D36" s="3">
        <v>12</v>
      </c>
      <c r="E36" s="3">
        <v>2518.333</v>
      </c>
      <c r="F36" s="4" t="str">
        <f>HYPERLINK("http://141.218.60.56/~jnz1568/getInfo.php?workbook=14_11.xlsx&amp;sheet=A0&amp;row=36&amp;col=6&amp;number=38920000&amp;sourceID=14","38920000")</f>
        <v>38920000</v>
      </c>
      <c r="G36" s="4" t="str">
        <f>HYPERLINK("http://141.218.60.56/~jnz1568/getInfo.php?workbook=14_11.xlsx&amp;sheet=A0&amp;row=36&amp;col=7&amp;number=0&amp;sourceID=14","0")</f>
        <v>0</v>
      </c>
    </row>
    <row r="37" spans="1:7">
      <c r="A37" s="3">
        <v>14</v>
      </c>
      <c r="B37" s="3">
        <v>11</v>
      </c>
      <c r="C37" s="3">
        <v>21</v>
      </c>
      <c r="D37" s="3">
        <v>12</v>
      </c>
      <c r="E37" s="3">
        <v>2518.333</v>
      </c>
      <c r="F37" s="4" t="str">
        <f>HYPERLINK("http://141.218.60.56/~jnz1568/getInfo.php?workbook=14_11.xlsx&amp;sheet=A0&amp;row=37&amp;col=6&amp;number=1102000000&amp;sourceID=14","1102000000")</f>
        <v>1102000000</v>
      </c>
      <c r="G37" s="4" t="str">
        <f>HYPERLINK("http://141.218.60.56/~jnz1568/getInfo.php?workbook=14_11.xlsx&amp;sheet=A0&amp;row=37&amp;col=7&amp;number=0&amp;sourceID=14","0")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14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HYPERLINK("http://141.218.60.56/~jnz1568/getInfo.php?workbook=14_11.xlsx&amp;sheet=U0&amp;row=4&amp;col=6&amp;number=3&amp;sourceID=14","3")</f>
        <v>3</v>
      </c>
      <c r="G4" s="4" t="str">
        <f>HYPERLINK("http://141.218.60.56/~jnz1568/getInfo.php?workbook=14_11.xlsx&amp;sheet=U0&amp;row=4&amp;col=7&amp;number=6.44&amp;sourceID=14","6.44")</f>
        <v>6.44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HYPERLINK("http://141.218.60.56/~jnz1568/getInfo.php?workbook=14_11.xlsx&amp;sheet=U0&amp;row=5&amp;col=6&amp;number=3.1&amp;sourceID=14","3.1")</f>
        <v>3.1</v>
      </c>
      <c r="G5" s="4" t="str">
        <f>HYPERLINK("http://141.218.60.56/~jnz1568/getInfo.php?workbook=14_11.xlsx&amp;sheet=U0&amp;row=5&amp;col=7&amp;number=6.44&amp;sourceID=14","6.44")</f>
        <v>6.44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HYPERLINK("http://141.218.60.56/~jnz1568/getInfo.php?workbook=14_11.xlsx&amp;sheet=U0&amp;row=6&amp;col=6&amp;number=3.2&amp;sourceID=14","3.2")</f>
        <v>3.2</v>
      </c>
      <c r="G6" s="4" t="str">
        <f>HYPERLINK("http://141.218.60.56/~jnz1568/getInfo.php?workbook=14_11.xlsx&amp;sheet=U0&amp;row=6&amp;col=7&amp;number=6.44&amp;sourceID=14","6.44")</f>
        <v>6.44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HYPERLINK("http://141.218.60.56/~jnz1568/getInfo.php?workbook=14_11.xlsx&amp;sheet=U0&amp;row=7&amp;col=6&amp;number=3.3&amp;sourceID=14","3.3")</f>
        <v>3.3</v>
      </c>
      <c r="G7" s="4" t="str">
        <f>HYPERLINK("http://141.218.60.56/~jnz1568/getInfo.php?workbook=14_11.xlsx&amp;sheet=U0&amp;row=7&amp;col=7&amp;number=6.44&amp;sourceID=14","6.44")</f>
        <v>6.44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HYPERLINK("http://141.218.60.56/~jnz1568/getInfo.php?workbook=14_11.xlsx&amp;sheet=U0&amp;row=8&amp;col=6&amp;number=3.4&amp;sourceID=14","3.4")</f>
        <v>3.4</v>
      </c>
      <c r="G8" s="4" t="str">
        <f>HYPERLINK("http://141.218.60.56/~jnz1568/getInfo.php?workbook=14_11.xlsx&amp;sheet=U0&amp;row=8&amp;col=7&amp;number=6.45&amp;sourceID=14","6.45")</f>
        <v>6.45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HYPERLINK("http://141.218.60.56/~jnz1568/getInfo.php?workbook=14_11.xlsx&amp;sheet=U0&amp;row=9&amp;col=6&amp;number=3.5&amp;sourceID=14","3.5")</f>
        <v>3.5</v>
      </c>
      <c r="G9" s="4" t="str">
        <f>HYPERLINK("http://141.218.60.56/~jnz1568/getInfo.php?workbook=14_11.xlsx&amp;sheet=U0&amp;row=9&amp;col=7&amp;number=6.45&amp;sourceID=14","6.45")</f>
        <v>6.45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HYPERLINK("http://141.218.60.56/~jnz1568/getInfo.php?workbook=14_11.xlsx&amp;sheet=U0&amp;row=10&amp;col=6&amp;number=3.6&amp;sourceID=14","3.6")</f>
        <v>3.6</v>
      </c>
      <c r="G10" s="4" t="str">
        <f>HYPERLINK("http://141.218.60.56/~jnz1568/getInfo.php?workbook=14_11.xlsx&amp;sheet=U0&amp;row=10&amp;col=7&amp;number=6.46&amp;sourceID=14","6.46")</f>
        <v>6.46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HYPERLINK("http://141.218.60.56/~jnz1568/getInfo.php?workbook=14_11.xlsx&amp;sheet=U0&amp;row=11&amp;col=6&amp;number=3.7&amp;sourceID=14","3.7")</f>
        <v>3.7</v>
      </c>
      <c r="G11" s="4" t="str">
        <f>HYPERLINK("http://141.218.60.56/~jnz1568/getInfo.php?workbook=14_11.xlsx&amp;sheet=U0&amp;row=11&amp;col=7&amp;number=6.47&amp;sourceID=14","6.47")</f>
        <v>6.47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HYPERLINK("http://141.218.60.56/~jnz1568/getInfo.php?workbook=14_11.xlsx&amp;sheet=U0&amp;row=12&amp;col=6&amp;number=3.8&amp;sourceID=14","3.8")</f>
        <v>3.8</v>
      </c>
      <c r="G12" s="4" t="str">
        <f>HYPERLINK("http://141.218.60.56/~jnz1568/getInfo.php?workbook=14_11.xlsx&amp;sheet=U0&amp;row=12&amp;col=7&amp;number=6.48&amp;sourceID=14","6.48")</f>
        <v>6.48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HYPERLINK("http://141.218.60.56/~jnz1568/getInfo.php?workbook=14_11.xlsx&amp;sheet=U0&amp;row=13&amp;col=6&amp;number=3.9&amp;sourceID=14","3.9")</f>
        <v>3.9</v>
      </c>
      <c r="G13" s="4" t="str">
        <f>HYPERLINK("http://141.218.60.56/~jnz1568/getInfo.php?workbook=14_11.xlsx&amp;sheet=U0&amp;row=13&amp;col=7&amp;number=6.49&amp;sourceID=14","6.49")</f>
        <v>6.49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HYPERLINK("http://141.218.60.56/~jnz1568/getInfo.php?workbook=14_11.xlsx&amp;sheet=U0&amp;row=14&amp;col=6&amp;number=4&amp;sourceID=14","4")</f>
        <v>4</v>
      </c>
      <c r="G14" s="4" t="str">
        <f>HYPERLINK("http://141.218.60.56/~jnz1568/getInfo.php?workbook=14_11.xlsx&amp;sheet=U0&amp;row=14&amp;col=7&amp;number=6.51&amp;sourceID=14","6.51")</f>
        <v>6.51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HYPERLINK("http://141.218.60.56/~jnz1568/getInfo.php?workbook=14_11.xlsx&amp;sheet=U0&amp;row=15&amp;col=6&amp;number=4.1&amp;sourceID=14","4.1")</f>
        <v>4.1</v>
      </c>
      <c r="G15" s="4" t="str">
        <f>HYPERLINK("http://141.218.60.56/~jnz1568/getInfo.php?workbook=14_11.xlsx&amp;sheet=U0&amp;row=15&amp;col=7&amp;number=6.54&amp;sourceID=14","6.54")</f>
        <v>6.54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HYPERLINK("http://141.218.60.56/~jnz1568/getInfo.php?workbook=14_11.xlsx&amp;sheet=U0&amp;row=16&amp;col=6&amp;number=4.2&amp;sourceID=14","4.2")</f>
        <v>4.2</v>
      </c>
      <c r="G16" s="4" t="str">
        <f>HYPERLINK("http://141.218.60.56/~jnz1568/getInfo.php?workbook=14_11.xlsx&amp;sheet=U0&amp;row=16&amp;col=7&amp;number=6.56&amp;sourceID=14","6.56")</f>
        <v>6.56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HYPERLINK("http://141.218.60.56/~jnz1568/getInfo.php?workbook=14_11.xlsx&amp;sheet=U0&amp;row=17&amp;col=6&amp;number=4.3&amp;sourceID=14","4.3")</f>
        <v>4.3</v>
      </c>
      <c r="G17" s="4" t="str">
        <f>HYPERLINK("http://141.218.60.56/~jnz1568/getInfo.php?workbook=14_11.xlsx&amp;sheet=U0&amp;row=17&amp;col=7&amp;number=6.6&amp;sourceID=14","6.6")</f>
        <v>6.6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HYPERLINK("http://141.218.60.56/~jnz1568/getInfo.php?workbook=14_11.xlsx&amp;sheet=U0&amp;row=18&amp;col=6&amp;number=4.4&amp;sourceID=14","4.4")</f>
        <v>4.4</v>
      </c>
      <c r="G18" s="4" t="str">
        <f>HYPERLINK("http://141.218.60.56/~jnz1568/getInfo.php?workbook=14_11.xlsx&amp;sheet=U0&amp;row=18&amp;col=7&amp;number=6.65&amp;sourceID=14","6.65")</f>
        <v>6.65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HYPERLINK("http://141.218.60.56/~jnz1568/getInfo.php?workbook=14_11.xlsx&amp;sheet=U0&amp;row=19&amp;col=6&amp;number=4.5&amp;sourceID=14","4.5")</f>
        <v>4.5</v>
      </c>
      <c r="G19" s="4" t="str">
        <f>HYPERLINK("http://141.218.60.56/~jnz1568/getInfo.php?workbook=14_11.xlsx&amp;sheet=U0&amp;row=19&amp;col=7&amp;number=6.71&amp;sourceID=14","6.71")</f>
        <v>6.71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HYPERLINK("http://141.218.60.56/~jnz1568/getInfo.php?workbook=14_11.xlsx&amp;sheet=U0&amp;row=20&amp;col=6&amp;number=4.6&amp;sourceID=14","4.6")</f>
        <v>4.6</v>
      </c>
      <c r="G20" s="4" t="str">
        <f>HYPERLINK("http://141.218.60.56/~jnz1568/getInfo.php?workbook=14_11.xlsx&amp;sheet=U0&amp;row=20&amp;col=7&amp;number=6.78&amp;sourceID=14","6.78")</f>
        <v>6.78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HYPERLINK("http://141.218.60.56/~jnz1568/getInfo.php?workbook=14_11.xlsx&amp;sheet=U0&amp;row=21&amp;col=6&amp;number=4.7&amp;sourceID=14","4.7")</f>
        <v>4.7</v>
      </c>
      <c r="G21" s="4" t="str">
        <f>HYPERLINK("http://141.218.60.56/~jnz1568/getInfo.php?workbook=14_11.xlsx&amp;sheet=U0&amp;row=21&amp;col=7&amp;number=6.87&amp;sourceID=14","6.87")</f>
        <v>6.87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HYPERLINK("http://141.218.60.56/~jnz1568/getInfo.php?workbook=14_11.xlsx&amp;sheet=U0&amp;row=22&amp;col=6&amp;number=4.8&amp;sourceID=14","4.8")</f>
        <v>4.8</v>
      </c>
      <c r="G22" s="4" t="str">
        <f>HYPERLINK("http://141.218.60.56/~jnz1568/getInfo.php?workbook=14_11.xlsx&amp;sheet=U0&amp;row=22&amp;col=7&amp;number=6.98&amp;sourceID=14","6.98")</f>
        <v>6.98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HYPERLINK("http://141.218.60.56/~jnz1568/getInfo.php?workbook=14_11.xlsx&amp;sheet=U0&amp;row=23&amp;col=6&amp;number=4.9&amp;sourceID=14","4.9")</f>
        <v>4.9</v>
      </c>
      <c r="G23" s="4" t="str">
        <f>HYPERLINK("http://141.218.60.56/~jnz1568/getInfo.php?workbook=14_11.xlsx&amp;sheet=U0&amp;row=23&amp;col=7&amp;number=7.11&amp;sourceID=14","7.11")</f>
        <v>7.11</v>
      </c>
    </row>
    <row r="24" spans="1:7">
      <c r="A24" s="3">
        <v>14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HYPERLINK("http://141.218.60.56/~jnz1568/getInfo.php?workbook=14_11.xlsx&amp;sheet=U0&amp;row=24&amp;col=6&amp;number=3&amp;sourceID=14","3")</f>
        <v>3</v>
      </c>
      <c r="G24" s="4" t="str">
        <f>HYPERLINK("http://141.218.60.56/~jnz1568/getInfo.php?workbook=14_11.xlsx&amp;sheet=U0&amp;row=24&amp;col=7&amp;number=12.8&amp;sourceID=14","12.8")</f>
        <v>12.8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HYPERLINK("http://141.218.60.56/~jnz1568/getInfo.php?workbook=14_11.xlsx&amp;sheet=U0&amp;row=25&amp;col=6&amp;number=3.1&amp;sourceID=14","3.1")</f>
        <v>3.1</v>
      </c>
      <c r="G25" s="4" t="str">
        <f>HYPERLINK("http://141.218.60.56/~jnz1568/getInfo.php?workbook=14_11.xlsx&amp;sheet=U0&amp;row=25&amp;col=7&amp;number=12.8&amp;sourceID=14","12.8")</f>
        <v>12.8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HYPERLINK("http://141.218.60.56/~jnz1568/getInfo.php?workbook=14_11.xlsx&amp;sheet=U0&amp;row=26&amp;col=6&amp;number=3.2&amp;sourceID=14","3.2")</f>
        <v>3.2</v>
      </c>
      <c r="G26" s="4" t="str">
        <f>HYPERLINK("http://141.218.60.56/~jnz1568/getInfo.php?workbook=14_11.xlsx&amp;sheet=U0&amp;row=26&amp;col=7&amp;number=12.8&amp;sourceID=14","12.8")</f>
        <v>12.8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HYPERLINK("http://141.218.60.56/~jnz1568/getInfo.php?workbook=14_11.xlsx&amp;sheet=U0&amp;row=27&amp;col=6&amp;number=3.3&amp;sourceID=14","3.3")</f>
        <v>3.3</v>
      </c>
      <c r="G27" s="4" t="str">
        <f>HYPERLINK("http://141.218.60.56/~jnz1568/getInfo.php?workbook=14_11.xlsx&amp;sheet=U0&amp;row=27&amp;col=7&amp;number=12.8&amp;sourceID=14","12.8")</f>
        <v>12.8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HYPERLINK("http://141.218.60.56/~jnz1568/getInfo.php?workbook=14_11.xlsx&amp;sheet=U0&amp;row=28&amp;col=6&amp;number=3.4&amp;sourceID=14","3.4")</f>
        <v>3.4</v>
      </c>
      <c r="G28" s="4" t="str">
        <f>HYPERLINK("http://141.218.60.56/~jnz1568/getInfo.php?workbook=14_11.xlsx&amp;sheet=U0&amp;row=28&amp;col=7&amp;number=12.8&amp;sourceID=14","12.8")</f>
        <v>12.8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HYPERLINK("http://141.218.60.56/~jnz1568/getInfo.php?workbook=14_11.xlsx&amp;sheet=U0&amp;row=29&amp;col=6&amp;number=3.5&amp;sourceID=14","3.5")</f>
        <v>3.5</v>
      </c>
      <c r="G29" s="4" t="str">
        <f>HYPERLINK("http://141.218.60.56/~jnz1568/getInfo.php?workbook=14_11.xlsx&amp;sheet=U0&amp;row=29&amp;col=7&amp;number=12.8&amp;sourceID=14","12.8")</f>
        <v>12.8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HYPERLINK("http://141.218.60.56/~jnz1568/getInfo.php?workbook=14_11.xlsx&amp;sheet=U0&amp;row=30&amp;col=6&amp;number=3.6&amp;sourceID=14","3.6")</f>
        <v>3.6</v>
      </c>
      <c r="G30" s="4" t="str">
        <f>HYPERLINK("http://141.218.60.56/~jnz1568/getInfo.php?workbook=14_11.xlsx&amp;sheet=U0&amp;row=30&amp;col=7&amp;number=12.9&amp;sourceID=14","12.9")</f>
        <v>12.9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HYPERLINK("http://141.218.60.56/~jnz1568/getInfo.php?workbook=14_11.xlsx&amp;sheet=U0&amp;row=31&amp;col=6&amp;number=3.7&amp;sourceID=14","3.7")</f>
        <v>3.7</v>
      </c>
      <c r="G31" s="4" t="str">
        <f>HYPERLINK("http://141.218.60.56/~jnz1568/getInfo.php?workbook=14_11.xlsx&amp;sheet=U0&amp;row=31&amp;col=7&amp;number=12.9&amp;sourceID=14","12.9")</f>
        <v>12.9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HYPERLINK("http://141.218.60.56/~jnz1568/getInfo.php?workbook=14_11.xlsx&amp;sheet=U0&amp;row=32&amp;col=6&amp;number=3.8&amp;sourceID=14","3.8")</f>
        <v>3.8</v>
      </c>
      <c r="G32" s="4" t="str">
        <f>HYPERLINK("http://141.218.60.56/~jnz1568/getInfo.php?workbook=14_11.xlsx&amp;sheet=U0&amp;row=32&amp;col=7&amp;number=12.9&amp;sourceID=14","12.9")</f>
        <v>12.9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HYPERLINK("http://141.218.60.56/~jnz1568/getInfo.php?workbook=14_11.xlsx&amp;sheet=U0&amp;row=33&amp;col=6&amp;number=3.9&amp;sourceID=14","3.9")</f>
        <v>3.9</v>
      </c>
      <c r="G33" s="4" t="str">
        <f>HYPERLINK("http://141.218.60.56/~jnz1568/getInfo.php?workbook=14_11.xlsx&amp;sheet=U0&amp;row=33&amp;col=7&amp;number=12.9&amp;sourceID=14","12.9")</f>
        <v>12.9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HYPERLINK("http://141.218.60.56/~jnz1568/getInfo.php?workbook=14_11.xlsx&amp;sheet=U0&amp;row=34&amp;col=6&amp;number=4&amp;sourceID=14","4")</f>
        <v>4</v>
      </c>
      <c r="G34" s="4" t="str">
        <f>HYPERLINK("http://141.218.60.56/~jnz1568/getInfo.php?workbook=14_11.xlsx&amp;sheet=U0&amp;row=34&amp;col=7&amp;number=13&amp;sourceID=14","13")</f>
        <v>13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HYPERLINK("http://141.218.60.56/~jnz1568/getInfo.php?workbook=14_11.xlsx&amp;sheet=U0&amp;row=35&amp;col=6&amp;number=4.1&amp;sourceID=14","4.1")</f>
        <v>4.1</v>
      </c>
      <c r="G35" s="4" t="str">
        <f>HYPERLINK("http://141.218.60.56/~jnz1568/getInfo.php?workbook=14_11.xlsx&amp;sheet=U0&amp;row=35&amp;col=7&amp;number=13&amp;sourceID=14","13")</f>
        <v>13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HYPERLINK("http://141.218.60.56/~jnz1568/getInfo.php?workbook=14_11.xlsx&amp;sheet=U0&amp;row=36&amp;col=6&amp;number=4.2&amp;sourceID=14","4.2")</f>
        <v>4.2</v>
      </c>
      <c r="G36" s="4" t="str">
        <f>HYPERLINK("http://141.218.60.56/~jnz1568/getInfo.php?workbook=14_11.xlsx&amp;sheet=U0&amp;row=36&amp;col=7&amp;number=13.1&amp;sourceID=14","13.1")</f>
        <v>13.1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HYPERLINK("http://141.218.60.56/~jnz1568/getInfo.php?workbook=14_11.xlsx&amp;sheet=U0&amp;row=37&amp;col=6&amp;number=4.3&amp;sourceID=14","4.3")</f>
        <v>4.3</v>
      </c>
      <c r="G37" s="4" t="str">
        <f>HYPERLINK("http://141.218.60.56/~jnz1568/getInfo.php?workbook=14_11.xlsx&amp;sheet=U0&amp;row=37&amp;col=7&amp;number=13.1&amp;sourceID=14","13.1")</f>
        <v>13.1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HYPERLINK("http://141.218.60.56/~jnz1568/getInfo.php?workbook=14_11.xlsx&amp;sheet=U0&amp;row=38&amp;col=6&amp;number=4.4&amp;sourceID=14","4.4")</f>
        <v>4.4</v>
      </c>
      <c r="G38" s="4" t="str">
        <f>HYPERLINK("http://141.218.60.56/~jnz1568/getInfo.php?workbook=14_11.xlsx&amp;sheet=U0&amp;row=38&amp;col=7&amp;number=13.2&amp;sourceID=14","13.2")</f>
        <v>13.2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HYPERLINK("http://141.218.60.56/~jnz1568/getInfo.php?workbook=14_11.xlsx&amp;sheet=U0&amp;row=39&amp;col=6&amp;number=4.5&amp;sourceID=14","4.5")</f>
        <v>4.5</v>
      </c>
      <c r="G39" s="4" t="str">
        <f>HYPERLINK("http://141.218.60.56/~jnz1568/getInfo.php?workbook=14_11.xlsx&amp;sheet=U0&amp;row=39&amp;col=7&amp;number=13.4&amp;sourceID=14","13.4")</f>
        <v>13.4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HYPERLINK("http://141.218.60.56/~jnz1568/getInfo.php?workbook=14_11.xlsx&amp;sheet=U0&amp;row=40&amp;col=6&amp;number=4.6&amp;sourceID=14","4.6")</f>
        <v>4.6</v>
      </c>
      <c r="G40" s="4" t="str">
        <f>HYPERLINK("http://141.218.60.56/~jnz1568/getInfo.php?workbook=14_11.xlsx&amp;sheet=U0&amp;row=40&amp;col=7&amp;number=13.5&amp;sourceID=14","13.5")</f>
        <v>13.5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HYPERLINK("http://141.218.60.56/~jnz1568/getInfo.php?workbook=14_11.xlsx&amp;sheet=U0&amp;row=41&amp;col=6&amp;number=4.7&amp;sourceID=14","4.7")</f>
        <v>4.7</v>
      </c>
      <c r="G41" s="4" t="str">
        <f>HYPERLINK("http://141.218.60.56/~jnz1568/getInfo.php?workbook=14_11.xlsx&amp;sheet=U0&amp;row=41&amp;col=7&amp;number=13.7&amp;sourceID=14","13.7")</f>
        <v>13.7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HYPERLINK("http://141.218.60.56/~jnz1568/getInfo.php?workbook=14_11.xlsx&amp;sheet=U0&amp;row=42&amp;col=6&amp;number=4.8&amp;sourceID=14","4.8")</f>
        <v>4.8</v>
      </c>
      <c r="G42" s="4" t="str">
        <f>HYPERLINK("http://141.218.60.56/~jnz1568/getInfo.php?workbook=14_11.xlsx&amp;sheet=U0&amp;row=42&amp;col=7&amp;number=13.9&amp;sourceID=14","13.9")</f>
        <v>13.9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HYPERLINK("http://141.218.60.56/~jnz1568/getInfo.php?workbook=14_11.xlsx&amp;sheet=U0&amp;row=43&amp;col=6&amp;number=4.9&amp;sourceID=14","4.9")</f>
        <v>4.9</v>
      </c>
      <c r="G43" s="4" t="str">
        <f>HYPERLINK("http://141.218.60.56/~jnz1568/getInfo.php?workbook=14_11.xlsx&amp;sheet=U0&amp;row=43&amp;col=7&amp;number=14.2&amp;sourceID=14","14.2")</f>
        <v>14.2</v>
      </c>
    </row>
    <row r="44" spans="1:7">
      <c r="A44" s="3">
        <v>14</v>
      </c>
      <c r="B44" s="3">
        <v>11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HYPERLINK("http://141.218.60.56/~jnz1568/getInfo.php?workbook=14_11.xlsx&amp;sheet=U0&amp;row=44&amp;col=6&amp;number=3&amp;sourceID=14","3")</f>
        <v>3</v>
      </c>
      <c r="G44" s="4" t="str">
        <f>HYPERLINK("http://141.218.60.56/~jnz1568/getInfo.php?workbook=14_11.xlsx&amp;sheet=U0&amp;row=44&amp;col=7&amp;number=0.823&amp;sourceID=14","0.823")</f>
        <v>0.823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HYPERLINK("http://141.218.60.56/~jnz1568/getInfo.php?workbook=14_11.xlsx&amp;sheet=U0&amp;row=45&amp;col=6&amp;number=3.1&amp;sourceID=14","3.1")</f>
        <v>3.1</v>
      </c>
      <c r="G45" s="4" t="str">
        <f>HYPERLINK("http://141.218.60.56/~jnz1568/getInfo.php?workbook=14_11.xlsx&amp;sheet=U0&amp;row=45&amp;col=7&amp;number=0.823&amp;sourceID=14","0.823")</f>
        <v>0.823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HYPERLINK("http://141.218.60.56/~jnz1568/getInfo.php?workbook=14_11.xlsx&amp;sheet=U0&amp;row=46&amp;col=6&amp;number=3.2&amp;sourceID=14","3.2")</f>
        <v>3.2</v>
      </c>
      <c r="G46" s="4" t="str">
        <f>HYPERLINK("http://141.218.60.56/~jnz1568/getInfo.php?workbook=14_11.xlsx&amp;sheet=U0&amp;row=46&amp;col=7&amp;number=0.823&amp;sourceID=14","0.823")</f>
        <v>0.823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HYPERLINK("http://141.218.60.56/~jnz1568/getInfo.php?workbook=14_11.xlsx&amp;sheet=U0&amp;row=47&amp;col=6&amp;number=3.3&amp;sourceID=14","3.3")</f>
        <v>3.3</v>
      </c>
      <c r="G47" s="4" t="str">
        <f>HYPERLINK("http://141.218.60.56/~jnz1568/getInfo.php?workbook=14_11.xlsx&amp;sheet=U0&amp;row=47&amp;col=7&amp;number=0.824&amp;sourceID=14","0.824")</f>
        <v>0.824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HYPERLINK("http://141.218.60.56/~jnz1568/getInfo.php?workbook=14_11.xlsx&amp;sheet=U0&amp;row=48&amp;col=6&amp;number=3.4&amp;sourceID=14","3.4")</f>
        <v>3.4</v>
      </c>
      <c r="G48" s="4" t="str">
        <f>HYPERLINK("http://141.218.60.56/~jnz1568/getInfo.php?workbook=14_11.xlsx&amp;sheet=U0&amp;row=48&amp;col=7&amp;number=0.824&amp;sourceID=14","0.824")</f>
        <v>0.824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HYPERLINK("http://141.218.60.56/~jnz1568/getInfo.php?workbook=14_11.xlsx&amp;sheet=U0&amp;row=49&amp;col=6&amp;number=3.5&amp;sourceID=14","3.5")</f>
        <v>3.5</v>
      </c>
      <c r="G49" s="4" t="str">
        <f>HYPERLINK("http://141.218.60.56/~jnz1568/getInfo.php?workbook=14_11.xlsx&amp;sheet=U0&amp;row=49&amp;col=7&amp;number=0.824&amp;sourceID=14","0.824")</f>
        <v>0.824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HYPERLINK("http://141.218.60.56/~jnz1568/getInfo.php?workbook=14_11.xlsx&amp;sheet=U0&amp;row=50&amp;col=6&amp;number=3.6&amp;sourceID=14","3.6")</f>
        <v>3.6</v>
      </c>
      <c r="G50" s="4" t="str">
        <f>HYPERLINK("http://141.218.60.56/~jnz1568/getInfo.php?workbook=14_11.xlsx&amp;sheet=U0&amp;row=50&amp;col=7&amp;number=0.825&amp;sourceID=14","0.825")</f>
        <v>0.825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HYPERLINK("http://141.218.60.56/~jnz1568/getInfo.php?workbook=14_11.xlsx&amp;sheet=U0&amp;row=51&amp;col=6&amp;number=3.7&amp;sourceID=14","3.7")</f>
        <v>3.7</v>
      </c>
      <c r="G51" s="4" t="str">
        <f>HYPERLINK("http://141.218.60.56/~jnz1568/getInfo.php?workbook=14_11.xlsx&amp;sheet=U0&amp;row=51&amp;col=7&amp;number=0.825&amp;sourceID=14","0.825")</f>
        <v>0.825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HYPERLINK("http://141.218.60.56/~jnz1568/getInfo.php?workbook=14_11.xlsx&amp;sheet=U0&amp;row=52&amp;col=6&amp;number=3.8&amp;sourceID=14","3.8")</f>
        <v>3.8</v>
      </c>
      <c r="G52" s="4" t="str">
        <f>HYPERLINK("http://141.218.60.56/~jnz1568/getInfo.php?workbook=14_11.xlsx&amp;sheet=U0&amp;row=52&amp;col=7&amp;number=0.826&amp;sourceID=14","0.826")</f>
        <v>0.826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HYPERLINK("http://141.218.60.56/~jnz1568/getInfo.php?workbook=14_11.xlsx&amp;sheet=U0&amp;row=53&amp;col=6&amp;number=3.9&amp;sourceID=14","3.9")</f>
        <v>3.9</v>
      </c>
      <c r="G53" s="4" t="str">
        <f>HYPERLINK("http://141.218.60.56/~jnz1568/getInfo.php?workbook=14_11.xlsx&amp;sheet=U0&amp;row=53&amp;col=7&amp;number=0.827&amp;sourceID=14","0.827")</f>
        <v>0.827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HYPERLINK("http://141.218.60.56/~jnz1568/getInfo.php?workbook=14_11.xlsx&amp;sheet=U0&amp;row=54&amp;col=6&amp;number=4&amp;sourceID=14","4")</f>
        <v>4</v>
      </c>
      <c r="G54" s="4" t="str">
        <f>HYPERLINK("http://141.218.60.56/~jnz1568/getInfo.php?workbook=14_11.xlsx&amp;sheet=U0&amp;row=54&amp;col=7&amp;number=0.828&amp;sourceID=14","0.828")</f>
        <v>0.828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HYPERLINK("http://141.218.60.56/~jnz1568/getInfo.php?workbook=14_11.xlsx&amp;sheet=U0&amp;row=55&amp;col=6&amp;number=4.1&amp;sourceID=14","4.1")</f>
        <v>4.1</v>
      </c>
      <c r="G55" s="4" t="str">
        <f>HYPERLINK("http://141.218.60.56/~jnz1568/getInfo.php?workbook=14_11.xlsx&amp;sheet=U0&amp;row=55&amp;col=7&amp;number=0.83&amp;sourceID=14","0.83")</f>
        <v>0.83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HYPERLINK("http://141.218.60.56/~jnz1568/getInfo.php?workbook=14_11.xlsx&amp;sheet=U0&amp;row=56&amp;col=6&amp;number=4.2&amp;sourceID=14","4.2")</f>
        <v>4.2</v>
      </c>
      <c r="G56" s="4" t="str">
        <f>HYPERLINK("http://141.218.60.56/~jnz1568/getInfo.php?workbook=14_11.xlsx&amp;sheet=U0&amp;row=56&amp;col=7&amp;number=0.831&amp;sourceID=14","0.831")</f>
        <v>0.831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HYPERLINK("http://141.218.60.56/~jnz1568/getInfo.php?workbook=14_11.xlsx&amp;sheet=U0&amp;row=57&amp;col=6&amp;number=4.3&amp;sourceID=14","4.3")</f>
        <v>4.3</v>
      </c>
      <c r="G57" s="4" t="str">
        <f>HYPERLINK("http://141.218.60.56/~jnz1568/getInfo.php?workbook=14_11.xlsx&amp;sheet=U0&amp;row=57&amp;col=7&amp;number=0.834&amp;sourceID=14","0.834")</f>
        <v>0.834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HYPERLINK("http://141.218.60.56/~jnz1568/getInfo.php?workbook=14_11.xlsx&amp;sheet=U0&amp;row=58&amp;col=6&amp;number=4.4&amp;sourceID=14","4.4")</f>
        <v>4.4</v>
      </c>
      <c r="G58" s="4" t="str">
        <f>HYPERLINK("http://141.218.60.56/~jnz1568/getInfo.php?workbook=14_11.xlsx&amp;sheet=U0&amp;row=58&amp;col=7&amp;number=0.836&amp;sourceID=14","0.836")</f>
        <v>0.836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HYPERLINK("http://141.218.60.56/~jnz1568/getInfo.php?workbook=14_11.xlsx&amp;sheet=U0&amp;row=59&amp;col=6&amp;number=4.5&amp;sourceID=14","4.5")</f>
        <v>4.5</v>
      </c>
      <c r="G59" s="4" t="str">
        <f>HYPERLINK("http://141.218.60.56/~jnz1568/getInfo.php?workbook=14_11.xlsx&amp;sheet=U0&amp;row=59&amp;col=7&amp;number=0.84&amp;sourceID=14","0.84")</f>
        <v>0.84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HYPERLINK("http://141.218.60.56/~jnz1568/getInfo.php?workbook=14_11.xlsx&amp;sheet=U0&amp;row=60&amp;col=6&amp;number=4.6&amp;sourceID=14","4.6")</f>
        <v>4.6</v>
      </c>
      <c r="G60" s="4" t="str">
        <f>HYPERLINK("http://141.218.60.56/~jnz1568/getInfo.php?workbook=14_11.xlsx&amp;sheet=U0&amp;row=60&amp;col=7&amp;number=0.844&amp;sourceID=14","0.844")</f>
        <v>0.844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HYPERLINK("http://141.218.60.56/~jnz1568/getInfo.php?workbook=14_11.xlsx&amp;sheet=U0&amp;row=61&amp;col=6&amp;number=4.7&amp;sourceID=14","4.7")</f>
        <v>4.7</v>
      </c>
      <c r="G61" s="4" t="str">
        <f>HYPERLINK("http://141.218.60.56/~jnz1568/getInfo.php?workbook=14_11.xlsx&amp;sheet=U0&amp;row=61&amp;col=7&amp;number=0.849&amp;sourceID=14","0.849")</f>
        <v>0.849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HYPERLINK("http://141.218.60.56/~jnz1568/getInfo.php?workbook=14_11.xlsx&amp;sheet=U0&amp;row=62&amp;col=6&amp;number=4.8&amp;sourceID=14","4.8")</f>
        <v>4.8</v>
      </c>
      <c r="G62" s="4" t="str">
        <f>HYPERLINK("http://141.218.60.56/~jnz1568/getInfo.php?workbook=14_11.xlsx&amp;sheet=U0&amp;row=62&amp;col=7&amp;number=0.856&amp;sourceID=14","0.856")</f>
        <v>0.856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HYPERLINK("http://141.218.60.56/~jnz1568/getInfo.php?workbook=14_11.xlsx&amp;sheet=U0&amp;row=63&amp;col=6&amp;number=4.9&amp;sourceID=14","4.9")</f>
        <v>4.9</v>
      </c>
      <c r="G63" s="4" t="str">
        <f>HYPERLINK("http://141.218.60.56/~jnz1568/getInfo.php?workbook=14_11.xlsx&amp;sheet=U0&amp;row=63&amp;col=7&amp;number=0.865&amp;sourceID=14","0.865")</f>
        <v>0.865</v>
      </c>
    </row>
    <row r="64" spans="1:7">
      <c r="A64" s="3">
        <v>14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HYPERLINK("http://141.218.60.56/~jnz1568/getInfo.php?workbook=14_11.xlsx&amp;sheet=U0&amp;row=64&amp;col=6&amp;number=3&amp;sourceID=14","3")</f>
        <v>3</v>
      </c>
      <c r="G64" s="4" t="str">
        <f>HYPERLINK("http://141.218.60.56/~jnz1568/getInfo.php?workbook=14_11.xlsx&amp;sheet=U0&amp;row=64&amp;col=7&amp;number=1.23&amp;sourceID=14","1.23")</f>
        <v>1.23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HYPERLINK("http://141.218.60.56/~jnz1568/getInfo.php?workbook=14_11.xlsx&amp;sheet=U0&amp;row=65&amp;col=6&amp;number=3.1&amp;sourceID=14","3.1")</f>
        <v>3.1</v>
      </c>
      <c r="G65" s="4" t="str">
        <f>HYPERLINK("http://141.218.60.56/~jnz1568/getInfo.php?workbook=14_11.xlsx&amp;sheet=U0&amp;row=65&amp;col=7&amp;number=1.23&amp;sourceID=14","1.23")</f>
        <v>1.23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HYPERLINK("http://141.218.60.56/~jnz1568/getInfo.php?workbook=14_11.xlsx&amp;sheet=U0&amp;row=66&amp;col=6&amp;number=3.2&amp;sourceID=14","3.2")</f>
        <v>3.2</v>
      </c>
      <c r="G66" s="4" t="str">
        <f>HYPERLINK("http://141.218.60.56/~jnz1568/getInfo.php?workbook=14_11.xlsx&amp;sheet=U0&amp;row=66&amp;col=7&amp;number=1.23&amp;sourceID=14","1.23")</f>
        <v>1.23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HYPERLINK("http://141.218.60.56/~jnz1568/getInfo.php?workbook=14_11.xlsx&amp;sheet=U0&amp;row=67&amp;col=6&amp;number=3.3&amp;sourceID=14","3.3")</f>
        <v>3.3</v>
      </c>
      <c r="G67" s="4" t="str">
        <f>HYPERLINK("http://141.218.60.56/~jnz1568/getInfo.php?workbook=14_11.xlsx&amp;sheet=U0&amp;row=67&amp;col=7&amp;number=1.23&amp;sourceID=14","1.23")</f>
        <v>1.23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HYPERLINK("http://141.218.60.56/~jnz1568/getInfo.php?workbook=14_11.xlsx&amp;sheet=U0&amp;row=68&amp;col=6&amp;number=3.4&amp;sourceID=14","3.4")</f>
        <v>3.4</v>
      </c>
      <c r="G68" s="4" t="str">
        <f>HYPERLINK("http://141.218.60.56/~jnz1568/getInfo.php?workbook=14_11.xlsx&amp;sheet=U0&amp;row=68&amp;col=7&amp;number=1.23&amp;sourceID=14","1.23")</f>
        <v>1.23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HYPERLINK("http://141.218.60.56/~jnz1568/getInfo.php?workbook=14_11.xlsx&amp;sheet=U0&amp;row=69&amp;col=6&amp;number=3.5&amp;sourceID=14","3.5")</f>
        <v>3.5</v>
      </c>
      <c r="G69" s="4" t="str">
        <f>HYPERLINK("http://141.218.60.56/~jnz1568/getInfo.php?workbook=14_11.xlsx&amp;sheet=U0&amp;row=69&amp;col=7&amp;number=1.23&amp;sourceID=14","1.23")</f>
        <v>1.23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HYPERLINK("http://141.218.60.56/~jnz1568/getInfo.php?workbook=14_11.xlsx&amp;sheet=U0&amp;row=70&amp;col=6&amp;number=3.6&amp;sourceID=14","3.6")</f>
        <v>3.6</v>
      </c>
      <c r="G70" s="4" t="str">
        <f>HYPERLINK("http://141.218.60.56/~jnz1568/getInfo.php?workbook=14_11.xlsx&amp;sheet=U0&amp;row=70&amp;col=7&amp;number=1.24&amp;sourceID=14","1.24")</f>
        <v>1.24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HYPERLINK("http://141.218.60.56/~jnz1568/getInfo.php?workbook=14_11.xlsx&amp;sheet=U0&amp;row=71&amp;col=6&amp;number=3.7&amp;sourceID=14","3.7")</f>
        <v>3.7</v>
      </c>
      <c r="G71" s="4" t="str">
        <f>HYPERLINK("http://141.218.60.56/~jnz1568/getInfo.php?workbook=14_11.xlsx&amp;sheet=U0&amp;row=71&amp;col=7&amp;number=1.24&amp;sourceID=14","1.24")</f>
        <v>1.24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HYPERLINK("http://141.218.60.56/~jnz1568/getInfo.php?workbook=14_11.xlsx&amp;sheet=U0&amp;row=72&amp;col=6&amp;number=3.8&amp;sourceID=14","3.8")</f>
        <v>3.8</v>
      </c>
      <c r="G72" s="4" t="str">
        <f>HYPERLINK("http://141.218.60.56/~jnz1568/getInfo.php?workbook=14_11.xlsx&amp;sheet=U0&amp;row=72&amp;col=7&amp;number=1.24&amp;sourceID=14","1.24")</f>
        <v>1.24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HYPERLINK("http://141.218.60.56/~jnz1568/getInfo.php?workbook=14_11.xlsx&amp;sheet=U0&amp;row=73&amp;col=6&amp;number=3.9&amp;sourceID=14","3.9")</f>
        <v>3.9</v>
      </c>
      <c r="G73" s="4" t="str">
        <f>HYPERLINK("http://141.218.60.56/~jnz1568/getInfo.php?workbook=14_11.xlsx&amp;sheet=U0&amp;row=73&amp;col=7&amp;number=1.24&amp;sourceID=14","1.24")</f>
        <v>1.24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HYPERLINK("http://141.218.60.56/~jnz1568/getInfo.php?workbook=14_11.xlsx&amp;sheet=U0&amp;row=74&amp;col=6&amp;number=4&amp;sourceID=14","4")</f>
        <v>4</v>
      </c>
      <c r="G74" s="4" t="str">
        <f>HYPERLINK("http://141.218.60.56/~jnz1568/getInfo.php?workbook=14_11.xlsx&amp;sheet=U0&amp;row=74&amp;col=7&amp;number=1.24&amp;sourceID=14","1.24")</f>
        <v>1.24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HYPERLINK("http://141.218.60.56/~jnz1568/getInfo.php?workbook=14_11.xlsx&amp;sheet=U0&amp;row=75&amp;col=6&amp;number=4.1&amp;sourceID=14","4.1")</f>
        <v>4.1</v>
      </c>
      <c r="G75" s="4" t="str">
        <f>HYPERLINK("http://141.218.60.56/~jnz1568/getInfo.php?workbook=14_11.xlsx&amp;sheet=U0&amp;row=75&amp;col=7&amp;number=1.24&amp;sourceID=14","1.24")</f>
        <v>1.24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HYPERLINK("http://141.218.60.56/~jnz1568/getInfo.php?workbook=14_11.xlsx&amp;sheet=U0&amp;row=76&amp;col=6&amp;number=4.2&amp;sourceID=14","4.2")</f>
        <v>4.2</v>
      </c>
      <c r="G76" s="4" t="str">
        <f>HYPERLINK("http://141.218.60.56/~jnz1568/getInfo.php?workbook=14_11.xlsx&amp;sheet=U0&amp;row=76&amp;col=7&amp;number=1.25&amp;sourceID=14","1.25")</f>
        <v>1.25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HYPERLINK("http://141.218.60.56/~jnz1568/getInfo.php?workbook=14_11.xlsx&amp;sheet=U0&amp;row=77&amp;col=6&amp;number=4.3&amp;sourceID=14","4.3")</f>
        <v>4.3</v>
      </c>
      <c r="G77" s="4" t="str">
        <f>HYPERLINK("http://141.218.60.56/~jnz1568/getInfo.php?workbook=14_11.xlsx&amp;sheet=U0&amp;row=77&amp;col=7&amp;number=1.25&amp;sourceID=14","1.25")</f>
        <v>1.25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HYPERLINK("http://141.218.60.56/~jnz1568/getInfo.php?workbook=14_11.xlsx&amp;sheet=U0&amp;row=78&amp;col=6&amp;number=4.4&amp;sourceID=14","4.4")</f>
        <v>4.4</v>
      </c>
      <c r="G78" s="4" t="str">
        <f>HYPERLINK("http://141.218.60.56/~jnz1568/getInfo.php?workbook=14_11.xlsx&amp;sheet=U0&amp;row=78&amp;col=7&amp;number=1.25&amp;sourceID=14","1.25")</f>
        <v>1.25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HYPERLINK("http://141.218.60.56/~jnz1568/getInfo.php?workbook=14_11.xlsx&amp;sheet=U0&amp;row=79&amp;col=6&amp;number=4.5&amp;sourceID=14","4.5")</f>
        <v>4.5</v>
      </c>
      <c r="G79" s="4" t="str">
        <f>HYPERLINK("http://141.218.60.56/~jnz1568/getInfo.php?workbook=14_11.xlsx&amp;sheet=U0&amp;row=79&amp;col=7&amp;number=1.26&amp;sourceID=14","1.26")</f>
        <v>1.26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HYPERLINK("http://141.218.60.56/~jnz1568/getInfo.php?workbook=14_11.xlsx&amp;sheet=U0&amp;row=80&amp;col=6&amp;number=4.6&amp;sourceID=14","4.6")</f>
        <v>4.6</v>
      </c>
      <c r="G80" s="4" t="str">
        <f>HYPERLINK("http://141.218.60.56/~jnz1568/getInfo.php?workbook=14_11.xlsx&amp;sheet=U0&amp;row=80&amp;col=7&amp;number=1.26&amp;sourceID=14","1.26")</f>
        <v>1.26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HYPERLINK("http://141.218.60.56/~jnz1568/getInfo.php?workbook=14_11.xlsx&amp;sheet=U0&amp;row=81&amp;col=6&amp;number=4.7&amp;sourceID=14","4.7")</f>
        <v>4.7</v>
      </c>
      <c r="G81" s="4" t="str">
        <f>HYPERLINK("http://141.218.60.56/~jnz1568/getInfo.php?workbook=14_11.xlsx&amp;sheet=U0&amp;row=81&amp;col=7&amp;number=1.27&amp;sourceID=14","1.27")</f>
        <v>1.27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HYPERLINK("http://141.218.60.56/~jnz1568/getInfo.php?workbook=14_11.xlsx&amp;sheet=U0&amp;row=82&amp;col=6&amp;number=4.8&amp;sourceID=14","4.8")</f>
        <v>4.8</v>
      </c>
      <c r="G82" s="4" t="str">
        <f>HYPERLINK("http://141.218.60.56/~jnz1568/getInfo.php?workbook=14_11.xlsx&amp;sheet=U0&amp;row=82&amp;col=7&amp;number=1.28&amp;sourceID=14","1.28")</f>
        <v>1.28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HYPERLINK("http://141.218.60.56/~jnz1568/getInfo.php?workbook=14_11.xlsx&amp;sheet=U0&amp;row=83&amp;col=6&amp;number=4.9&amp;sourceID=14","4.9")</f>
        <v>4.9</v>
      </c>
      <c r="G83" s="4" t="str">
        <f>HYPERLINK("http://141.218.60.56/~jnz1568/getInfo.php?workbook=14_11.xlsx&amp;sheet=U0&amp;row=83&amp;col=7&amp;number=1.3&amp;sourceID=14","1.3")</f>
        <v>1.3</v>
      </c>
    </row>
    <row r="84" spans="1:7">
      <c r="A84" s="3">
        <v>14</v>
      </c>
      <c r="B84" s="3">
        <v>11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HYPERLINK("http://141.218.60.56/~jnz1568/getInfo.php?workbook=14_11.xlsx&amp;sheet=U0&amp;row=84&amp;col=6&amp;number=3&amp;sourceID=14","3")</f>
        <v>3</v>
      </c>
      <c r="G84" s="4" t="str">
        <f>HYPERLINK("http://141.218.60.56/~jnz1568/getInfo.php?workbook=14_11.xlsx&amp;sheet=U0&amp;row=84&amp;col=7&amp;number=0.867&amp;sourceID=14","0.867")</f>
        <v>0.867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HYPERLINK("http://141.218.60.56/~jnz1568/getInfo.php?workbook=14_11.xlsx&amp;sheet=U0&amp;row=85&amp;col=6&amp;number=3.1&amp;sourceID=14","3.1")</f>
        <v>3.1</v>
      </c>
      <c r="G85" s="4" t="str">
        <f>HYPERLINK("http://141.218.60.56/~jnz1568/getInfo.php?workbook=14_11.xlsx&amp;sheet=U0&amp;row=85&amp;col=7&amp;number=0.867&amp;sourceID=14","0.867")</f>
        <v>0.867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HYPERLINK("http://141.218.60.56/~jnz1568/getInfo.php?workbook=14_11.xlsx&amp;sheet=U0&amp;row=86&amp;col=6&amp;number=3.2&amp;sourceID=14","3.2")</f>
        <v>3.2</v>
      </c>
      <c r="G86" s="4" t="str">
        <f>HYPERLINK("http://141.218.60.56/~jnz1568/getInfo.php?workbook=14_11.xlsx&amp;sheet=U0&amp;row=86&amp;col=7&amp;number=0.867&amp;sourceID=14","0.867")</f>
        <v>0.867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HYPERLINK("http://141.218.60.56/~jnz1568/getInfo.php?workbook=14_11.xlsx&amp;sheet=U0&amp;row=87&amp;col=6&amp;number=3.3&amp;sourceID=14","3.3")</f>
        <v>3.3</v>
      </c>
      <c r="G87" s="4" t="str">
        <f>HYPERLINK("http://141.218.60.56/~jnz1568/getInfo.php?workbook=14_11.xlsx&amp;sheet=U0&amp;row=87&amp;col=7&amp;number=0.867&amp;sourceID=14","0.867")</f>
        <v>0.867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HYPERLINK("http://141.218.60.56/~jnz1568/getInfo.php?workbook=14_11.xlsx&amp;sheet=U0&amp;row=88&amp;col=6&amp;number=3.4&amp;sourceID=14","3.4")</f>
        <v>3.4</v>
      </c>
      <c r="G88" s="4" t="str">
        <f>HYPERLINK("http://141.218.60.56/~jnz1568/getInfo.php?workbook=14_11.xlsx&amp;sheet=U0&amp;row=88&amp;col=7&amp;number=0.868&amp;sourceID=14","0.868")</f>
        <v>0.868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HYPERLINK("http://141.218.60.56/~jnz1568/getInfo.php?workbook=14_11.xlsx&amp;sheet=U0&amp;row=89&amp;col=6&amp;number=3.5&amp;sourceID=14","3.5")</f>
        <v>3.5</v>
      </c>
      <c r="G89" s="4" t="str">
        <f>HYPERLINK("http://141.218.60.56/~jnz1568/getInfo.php?workbook=14_11.xlsx&amp;sheet=U0&amp;row=89&amp;col=7&amp;number=0.868&amp;sourceID=14","0.868")</f>
        <v>0.868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HYPERLINK("http://141.218.60.56/~jnz1568/getInfo.php?workbook=14_11.xlsx&amp;sheet=U0&amp;row=90&amp;col=6&amp;number=3.6&amp;sourceID=14","3.6")</f>
        <v>3.6</v>
      </c>
      <c r="G90" s="4" t="str">
        <f>HYPERLINK("http://141.218.60.56/~jnz1568/getInfo.php?workbook=14_11.xlsx&amp;sheet=U0&amp;row=90&amp;col=7&amp;number=0.868&amp;sourceID=14","0.868")</f>
        <v>0.868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HYPERLINK("http://141.218.60.56/~jnz1568/getInfo.php?workbook=14_11.xlsx&amp;sheet=U0&amp;row=91&amp;col=6&amp;number=3.7&amp;sourceID=14","3.7")</f>
        <v>3.7</v>
      </c>
      <c r="G91" s="4" t="str">
        <f>HYPERLINK("http://141.218.60.56/~jnz1568/getInfo.php?workbook=14_11.xlsx&amp;sheet=U0&amp;row=91&amp;col=7&amp;number=0.868&amp;sourceID=14","0.868")</f>
        <v>0.868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HYPERLINK("http://141.218.60.56/~jnz1568/getInfo.php?workbook=14_11.xlsx&amp;sheet=U0&amp;row=92&amp;col=6&amp;number=3.8&amp;sourceID=14","3.8")</f>
        <v>3.8</v>
      </c>
      <c r="G92" s="4" t="str">
        <f>HYPERLINK("http://141.218.60.56/~jnz1568/getInfo.php?workbook=14_11.xlsx&amp;sheet=U0&amp;row=92&amp;col=7&amp;number=0.869&amp;sourceID=14","0.869")</f>
        <v>0.869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HYPERLINK("http://141.218.60.56/~jnz1568/getInfo.php?workbook=14_11.xlsx&amp;sheet=U0&amp;row=93&amp;col=6&amp;number=3.9&amp;sourceID=14","3.9")</f>
        <v>3.9</v>
      </c>
      <c r="G93" s="4" t="str">
        <f>HYPERLINK("http://141.218.60.56/~jnz1568/getInfo.php?workbook=14_11.xlsx&amp;sheet=U0&amp;row=93&amp;col=7&amp;number=0.869&amp;sourceID=14","0.869")</f>
        <v>0.869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HYPERLINK("http://141.218.60.56/~jnz1568/getInfo.php?workbook=14_11.xlsx&amp;sheet=U0&amp;row=94&amp;col=6&amp;number=4&amp;sourceID=14","4")</f>
        <v>4</v>
      </c>
      <c r="G94" s="4" t="str">
        <f>HYPERLINK("http://141.218.60.56/~jnz1568/getInfo.php?workbook=14_11.xlsx&amp;sheet=U0&amp;row=94&amp;col=7&amp;number=0.87&amp;sourceID=14","0.87")</f>
        <v>0.87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HYPERLINK("http://141.218.60.56/~jnz1568/getInfo.php?workbook=14_11.xlsx&amp;sheet=U0&amp;row=95&amp;col=6&amp;number=4.1&amp;sourceID=14","4.1")</f>
        <v>4.1</v>
      </c>
      <c r="G95" s="4" t="str">
        <f>HYPERLINK("http://141.218.60.56/~jnz1568/getInfo.php?workbook=14_11.xlsx&amp;sheet=U0&amp;row=95&amp;col=7&amp;number=0.87&amp;sourceID=14","0.87")</f>
        <v>0.87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HYPERLINK("http://141.218.60.56/~jnz1568/getInfo.php?workbook=14_11.xlsx&amp;sheet=U0&amp;row=96&amp;col=6&amp;number=4.2&amp;sourceID=14","4.2")</f>
        <v>4.2</v>
      </c>
      <c r="G96" s="4" t="str">
        <f>HYPERLINK("http://141.218.60.56/~jnz1568/getInfo.php?workbook=14_11.xlsx&amp;sheet=U0&amp;row=96&amp;col=7&amp;number=0.871&amp;sourceID=14","0.871")</f>
        <v>0.871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HYPERLINK("http://141.218.60.56/~jnz1568/getInfo.php?workbook=14_11.xlsx&amp;sheet=U0&amp;row=97&amp;col=6&amp;number=4.3&amp;sourceID=14","4.3")</f>
        <v>4.3</v>
      </c>
      <c r="G97" s="4" t="str">
        <f>HYPERLINK("http://141.218.60.56/~jnz1568/getInfo.php?workbook=14_11.xlsx&amp;sheet=U0&amp;row=97&amp;col=7&amp;number=0.872&amp;sourceID=14","0.872")</f>
        <v>0.872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HYPERLINK("http://141.218.60.56/~jnz1568/getInfo.php?workbook=14_11.xlsx&amp;sheet=U0&amp;row=98&amp;col=6&amp;number=4.4&amp;sourceID=14","4.4")</f>
        <v>4.4</v>
      </c>
      <c r="G98" s="4" t="str">
        <f>HYPERLINK("http://141.218.60.56/~jnz1568/getInfo.php?workbook=14_11.xlsx&amp;sheet=U0&amp;row=98&amp;col=7&amp;number=0.873&amp;sourceID=14","0.873")</f>
        <v>0.873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HYPERLINK("http://141.218.60.56/~jnz1568/getInfo.php?workbook=14_11.xlsx&amp;sheet=U0&amp;row=99&amp;col=6&amp;number=4.5&amp;sourceID=14","4.5")</f>
        <v>4.5</v>
      </c>
      <c r="G99" s="4" t="str">
        <f>HYPERLINK("http://141.218.60.56/~jnz1568/getInfo.php?workbook=14_11.xlsx&amp;sheet=U0&amp;row=99&amp;col=7&amp;number=0.875&amp;sourceID=14","0.875")</f>
        <v>0.875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HYPERLINK("http://141.218.60.56/~jnz1568/getInfo.php?workbook=14_11.xlsx&amp;sheet=U0&amp;row=100&amp;col=6&amp;number=4.6&amp;sourceID=14","4.6")</f>
        <v>4.6</v>
      </c>
      <c r="G100" s="4" t="str">
        <f>HYPERLINK("http://141.218.60.56/~jnz1568/getInfo.php?workbook=14_11.xlsx&amp;sheet=U0&amp;row=100&amp;col=7&amp;number=0.877&amp;sourceID=14","0.877")</f>
        <v>0.877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HYPERLINK("http://141.218.60.56/~jnz1568/getInfo.php?workbook=14_11.xlsx&amp;sheet=U0&amp;row=101&amp;col=6&amp;number=4.7&amp;sourceID=14","4.7")</f>
        <v>4.7</v>
      </c>
      <c r="G101" s="4" t="str">
        <f>HYPERLINK("http://141.218.60.56/~jnz1568/getInfo.php?workbook=14_11.xlsx&amp;sheet=U0&amp;row=101&amp;col=7&amp;number=0.879&amp;sourceID=14","0.879")</f>
        <v>0.879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HYPERLINK("http://141.218.60.56/~jnz1568/getInfo.php?workbook=14_11.xlsx&amp;sheet=U0&amp;row=102&amp;col=6&amp;number=4.8&amp;sourceID=14","4.8")</f>
        <v>4.8</v>
      </c>
      <c r="G102" s="4" t="str">
        <f>HYPERLINK("http://141.218.60.56/~jnz1568/getInfo.php?workbook=14_11.xlsx&amp;sheet=U0&amp;row=102&amp;col=7&amp;number=0.882&amp;sourceID=14","0.882")</f>
        <v>0.882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HYPERLINK("http://141.218.60.56/~jnz1568/getInfo.php?workbook=14_11.xlsx&amp;sheet=U0&amp;row=103&amp;col=6&amp;number=4.9&amp;sourceID=14","4.9")</f>
        <v>4.9</v>
      </c>
      <c r="G103" s="4" t="str">
        <f>HYPERLINK("http://141.218.60.56/~jnz1568/getInfo.php?workbook=14_11.xlsx&amp;sheet=U0&amp;row=103&amp;col=7&amp;number=0.884&amp;sourceID=14","0.884")</f>
        <v>0.884</v>
      </c>
    </row>
    <row r="104" spans="1:7">
      <c r="A104" s="3">
        <v>14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HYPERLINK("http://141.218.60.56/~jnz1568/getInfo.php?workbook=14_11.xlsx&amp;sheet=U0&amp;row=104&amp;col=6&amp;number=3&amp;sourceID=14","3")</f>
        <v>3</v>
      </c>
      <c r="G104" s="4" t="str">
        <f>HYPERLINK("http://141.218.60.56/~jnz1568/getInfo.php?workbook=14_11.xlsx&amp;sheet=U0&amp;row=104&amp;col=7&amp;number=0.091&amp;sourceID=14","0.091")</f>
        <v>0.091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HYPERLINK("http://141.218.60.56/~jnz1568/getInfo.php?workbook=14_11.xlsx&amp;sheet=U0&amp;row=105&amp;col=6&amp;number=3.1&amp;sourceID=14","3.1")</f>
        <v>3.1</v>
      </c>
      <c r="G105" s="4" t="str">
        <f>HYPERLINK("http://141.218.60.56/~jnz1568/getInfo.php?workbook=14_11.xlsx&amp;sheet=U0&amp;row=105&amp;col=7&amp;number=0.091&amp;sourceID=14","0.091")</f>
        <v>0.091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HYPERLINK("http://141.218.60.56/~jnz1568/getInfo.php?workbook=14_11.xlsx&amp;sheet=U0&amp;row=106&amp;col=6&amp;number=3.2&amp;sourceID=14","3.2")</f>
        <v>3.2</v>
      </c>
      <c r="G106" s="4" t="str">
        <f>HYPERLINK("http://141.218.60.56/~jnz1568/getInfo.php?workbook=14_11.xlsx&amp;sheet=U0&amp;row=106&amp;col=7&amp;number=0.091&amp;sourceID=14","0.091")</f>
        <v>0.091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HYPERLINK("http://141.218.60.56/~jnz1568/getInfo.php?workbook=14_11.xlsx&amp;sheet=U0&amp;row=107&amp;col=6&amp;number=3.3&amp;sourceID=14","3.3")</f>
        <v>3.3</v>
      </c>
      <c r="G107" s="4" t="str">
        <f>HYPERLINK("http://141.218.60.56/~jnz1568/getInfo.php?workbook=14_11.xlsx&amp;sheet=U0&amp;row=107&amp;col=7&amp;number=0.0909&amp;sourceID=14","0.0909")</f>
        <v>0.0909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HYPERLINK("http://141.218.60.56/~jnz1568/getInfo.php?workbook=14_11.xlsx&amp;sheet=U0&amp;row=108&amp;col=6&amp;number=3.4&amp;sourceID=14","3.4")</f>
        <v>3.4</v>
      </c>
      <c r="G108" s="4" t="str">
        <f>HYPERLINK("http://141.218.60.56/~jnz1568/getInfo.php?workbook=14_11.xlsx&amp;sheet=U0&amp;row=108&amp;col=7&amp;number=0.0909&amp;sourceID=14","0.0909")</f>
        <v>0.0909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HYPERLINK("http://141.218.60.56/~jnz1568/getInfo.php?workbook=14_11.xlsx&amp;sheet=U0&amp;row=109&amp;col=6&amp;number=3.5&amp;sourceID=14","3.5")</f>
        <v>3.5</v>
      </c>
      <c r="G109" s="4" t="str">
        <f>HYPERLINK("http://141.218.60.56/~jnz1568/getInfo.php?workbook=14_11.xlsx&amp;sheet=U0&amp;row=109&amp;col=7&amp;number=0.0908&amp;sourceID=14","0.0908")</f>
        <v>0.0908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HYPERLINK("http://141.218.60.56/~jnz1568/getInfo.php?workbook=14_11.xlsx&amp;sheet=U0&amp;row=110&amp;col=6&amp;number=3.6&amp;sourceID=14","3.6")</f>
        <v>3.6</v>
      </c>
      <c r="G110" s="4" t="str">
        <f>HYPERLINK("http://141.218.60.56/~jnz1568/getInfo.php?workbook=14_11.xlsx&amp;sheet=U0&amp;row=110&amp;col=7&amp;number=0.0907&amp;sourceID=14","0.0907")</f>
        <v>0.0907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HYPERLINK("http://141.218.60.56/~jnz1568/getInfo.php?workbook=14_11.xlsx&amp;sheet=U0&amp;row=111&amp;col=6&amp;number=3.7&amp;sourceID=14","3.7")</f>
        <v>3.7</v>
      </c>
      <c r="G111" s="4" t="str">
        <f>HYPERLINK("http://141.218.60.56/~jnz1568/getInfo.php?workbook=14_11.xlsx&amp;sheet=U0&amp;row=111&amp;col=7&amp;number=0.0906&amp;sourceID=14","0.0906")</f>
        <v>0.0906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HYPERLINK("http://141.218.60.56/~jnz1568/getInfo.php?workbook=14_11.xlsx&amp;sheet=U0&amp;row=112&amp;col=6&amp;number=3.8&amp;sourceID=14","3.8")</f>
        <v>3.8</v>
      </c>
      <c r="G112" s="4" t="str">
        <f>HYPERLINK("http://141.218.60.56/~jnz1568/getInfo.php?workbook=14_11.xlsx&amp;sheet=U0&amp;row=112&amp;col=7&amp;number=0.0905&amp;sourceID=14","0.0905")</f>
        <v>0.0905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HYPERLINK("http://141.218.60.56/~jnz1568/getInfo.php?workbook=14_11.xlsx&amp;sheet=U0&amp;row=113&amp;col=6&amp;number=3.9&amp;sourceID=14","3.9")</f>
        <v>3.9</v>
      </c>
      <c r="G113" s="4" t="str">
        <f>HYPERLINK("http://141.218.60.56/~jnz1568/getInfo.php?workbook=14_11.xlsx&amp;sheet=U0&amp;row=113&amp;col=7&amp;number=0.0903&amp;sourceID=14","0.0903")</f>
        <v>0.0903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HYPERLINK("http://141.218.60.56/~jnz1568/getInfo.php?workbook=14_11.xlsx&amp;sheet=U0&amp;row=114&amp;col=6&amp;number=4&amp;sourceID=14","4")</f>
        <v>4</v>
      </c>
      <c r="G114" s="4" t="str">
        <f>HYPERLINK("http://141.218.60.56/~jnz1568/getInfo.php?workbook=14_11.xlsx&amp;sheet=U0&amp;row=114&amp;col=7&amp;number=0.0901&amp;sourceID=14","0.0901")</f>
        <v>0.0901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HYPERLINK("http://141.218.60.56/~jnz1568/getInfo.php?workbook=14_11.xlsx&amp;sheet=U0&amp;row=115&amp;col=6&amp;number=4.1&amp;sourceID=14","4.1")</f>
        <v>4.1</v>
      </c>
      <c r="G115" s="4" t="str">
        <f>HYPERLINK("http://141.218.60.56/~jnz1568/getInfo.php?workbook=14_11.xlsx&amp;sheet=U0&amp;row=115&amp;col=7&amp;number=0.0899&amp;sourceID=14","0.0899")</f>
        <v>0.0899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HYPERLINK("http://141.218.60.56/~jnz1568/getInfo.php?workbook=14_11.xlsx&amp;sheet=U0&amp;row=116&amp;col=6&amp;number=4.2&amp;sourceID=14","4.2")</f>
        <v>4.2</v>
      </c>
      <c r="G116" s="4" t="str">
        <f>HYPERLINK("http://141.218.60.56/~jnz1568/getInfo.php?workbook=14_11.xlsx&amp;sheet=U0&amp;row=116&amp;col=7&amp;number=0.0896&amp;sourceID=14","0.0896")</f>
        <v>0.0896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HYPERLINK("http://141.218.60.56/~jnz1568/getInfo.php?workbook=14_11.xlsx&amp;sheet=U0&amp;row=117&amp;col=6&amp;number=4.3&amp;sourceID=14","4.3")</f>
        <v>4.3</v>
      </c>
      <c r="G117" s="4" t="str">
        <f>HYPERLINK("http://141.218.60.56/~jnz1568/getInfo.php?workbook=14_11.xlsx&amp;sheet=U0&amp;row=117&amp;col=7&amp;number=0.0892&amp;sourceID=14","0.0892")</f>
        <v>0.0892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HYPERLINK("http://141.218.60.56/~jnz1568/getInfo.php?workbook=14_11.xlsx&amp;sheet=U0&amp;row=118&amp;col=6&amp;number=4.4&amp;sourceID=14","4.4")</f>
        <v>4.4</v>
      </c>
      <c r="G118" s="4" t="str">
        <f>HYPERLINK("http://141.218.60.56/~jnz1568/getInfo.php?workbook=14_11.xlsx&amp;sheet=U0&amp;row=118&amp;col=7&amp;number=0.0888&amp;sourceID=14","0.0888")</f>
        <v>0.0888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HYPERLINK("http://141.218.60.56/~jnz1568/getInfo.php?workbook=14_11.xlsx&amp;sheet=U0&amp;row=119&amp;col=6&amp;number=4.5&amp;sourceID=14","4.5")</f>
        <v>4.5</v>
      </c>
      <c r="G119" s="4" t="str">
        <f>HYPERLINK("http://141.218.60.56/~jnz1568/getInfo.php?workbook=14_11.xlsx&amp;sheet=U0&amp;row=119&amp;col=7&amp;number=0.0882&amp;sourceID=14","0.0882")</f>
        <v>0.0882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HYPERLINK("http://141.218.60.56/~jnz1568/getInfo.php?workbook=14_11.xlsx&amp;sheet=U0&amp;row=120&amp;col=6&amp;number=4.6&amp;sourceID=14","4.6")</f>
        <v>4.6</v>
      </c>
      <c r="G120" s="4" t="str">
        <f>HYPERLINK("http://141.218.60.56/~jnz1568/getInfo.php?workbook=14_11.xlsx&amp;sheet=U0&amp;row=120&amp;col=7&amp;number=0.0876&amp;sourceID=14","0.0876")</f>
        <v>0.0876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HYPERLINK("http://141.218.60.56/~jnz1568/getInfo.php?workbook=14_11.xlsx&amp;sheet=U0&amp;row=121&amp;col=6&amp;number=4.7&amp;sourceID=14","4.7")</f>
        <v>4.7</v>
      </c>
      <c r="G121" s="4" t="str">
        <f>HYPERLINK("http://141.218.60.56/~jnz1568/getInfo.php?workbook=14_11.xlsx&amp;sheet=U0&amp;row=121&amp;col=7&amp;number=0.0868&amp;sourceID=14","0.0868")</f>
        <v>0.0868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HYPERLINK("http://141.218.60.56/~jnz1568/getInfo.php?workbook=14_11.xlsx&amp;sheet=U0&amp;row=122&amp;col=6&amp;number=4.8&amp;sourceID=14","4.8")</f>
        <v>4.8</v>
      </c>
      <c r="G122" s="4" t="str">
        <f>HYPERLINK("http://141.218.60.56/~jnz1568/getInfo.php?workbook=14_11.xlsx&amp;sheet=U0&amp;row=122&amp;col=7&amp;number=0.0859&amp;sourceID=14","0.0859")</f>
        <v>0.0859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HYPERLINK("http://141.218.60.56/~jnz1568/getInfo.php?workbook=14_11.xlsx&amp;sheet=U0&amp;row=123&amp;col=6&amp;number=4.9&amp;sourceID=14","4.9")</f>
        <v>4.9</v>
      </c>
      <c r="G123" s="4" t="str">
        <f>HYPERLINK("http://141.218.60.56/~jnz1568/getInfo.php?workbook=14_11.xlsx&amp;sheet=U0&amp;row=123&amp;col=7&amp;number=0.085&amp;sourceID=14","0.085")</f>
        <v>0.085</v>
      </c>
    </row>
    <row r="124" spans="1:7">
      <c r="A124" s="3">
        <v>14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HYPERLINK("http://141.218.60.56/~jnz1568/getInfo.php?workbook=14_11.xlsx&amp;sheet=U0&amp;row=124&amp;col=6&amp;number=3&amp;sourceID=14","3")</f>
        <v>3</v>
      </c>
      <c r="G124" s="4" t="str">
        <f>HYPERLINK("http://141.218.60.56/~jnz1568/getInfo.php?workbook=14_11.xlsx&amp;sheet=U0&amp;row=124&amp;col=7&amp;number=0.184&amp;sourceID=14","0.184")</f>
        <v>0.184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HYPERLINK("http://141.218.60.56/~jnz1568/getInfo.php?workbook=14_11.xlsx&amp;sheet=U0&amp;row=125&amp;col=6&amp;number=3.1&amp;sourceID=14","3.1")</f>
        <v>3.1</v>
      </c>
      <c r="G125" s="4" t="str">
        <f>HYPERLINK("http://141.218.60.56/~jnz1568/getInfo.php?workbook=14_11.xlsx&amp;sheet=U0&amp;row=125&amp;col=7&amp;number=0.184&amp;sourceID=14","0.184")</f>
        <v>0.184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HYPERLINK("http://141.218.60.56/~jnz1568/getInfo.php?workbook=14_11.xlsx&amp;sheet=U0&amp;row=126&amp;col=6&amp;number=3.2&amp;sourceID=14","3.2")</f>
        <v>3.2</v>
      </c>
      <c r="G126" s="4" t="str">
        <f>HYPERLINK("http://141.218.60.56/~jnz1568/getInfo.php?workbook=14_11.xlsx&amp;sheet=U0&amp;row=126&amp;col=7&amp;number=0.184&amp;sourceID=14","0.184")</f>
        <v>0.184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HYPERLINK("http://141.218.60.56/~jnz1568/getInfo.php?workbook=14_11.xlsx&amp;sheet=U0&amp;row=127&amp;col=6&amp;number=3.3&amp;sourceID=14","3.3")</f>
        <v>3.3</v>
      </c>
      <c r="G127" s="4" t="str">
        <f>HYPERLINK("http://141.218.60.56/~jnz1568/getInfo.php?workbook=14_11.xlsx&amp;sheet=U0&amp;row=127&amp;col=7&amp;number=0.184&amp;sourceID=14","0.184")</f>
        <v>0.184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HYPERLINK("http://141.218.60.56/~jnz1568/getInfo.php?workbook=14_11.xlsx&amp;sheet=U0&amp;row=128&amp;col=6&amp;number=3.4&amp;sourceID=14","3.4")</f>
        <v>3.4</v>
      </c>
      <c r="G128" s="4" t="str">
        <f>HYPERLINK("http://141.218.60.56/~jnz1568/getInfo.php?workbook=14_11.xlsx&amp;sheet=U0&amp;row=128&amp;col=7&amp;number=0.184&amp;sourceID=14","0.184")</f>
        <v>0.184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HYPERLINK("http://141.218.60.56/~jnz1568/getInfo.php?workbook=14_11.xlsx&amp;sheet=U0&amp;row=129&amp;col=6&amp;number=3.5&amp;sourceID=14","3.5")</f>
        <v>3.5</v>
      </c>
      <c r="G129" s="4" t="str">
        <f>HYPERLINK("http://141.218.60.56/~jnz1568/getInfo.php?workbook=14_11.xlsx&amp;sheet=U0&amp;row=129&amp;col=7&amp;number=0.184&amp;sourceID=14","0.184")</f>
        <v>0.184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HYPERLINK("http://141.218.60.56/~jnz1568/getInfo.php?workbook=14_11.xlsx&amp;sheet=U0&amp;row=130&amp;col=6&amp;number=3.6&amp;sourceID=14","3.6")</f>
        <v>3.6</v>
      </c>
      <c r="G130" s="4" t="str">
        <f>HYPERLINK("http://141.218.60.56/~jnz1568/getInfo.php?workbook=14_11.xlsx&amp;sheet=U0&amp;row=130&amp;col=7&amp;number=0.183&amp;sourceID=14","0.183")</f>
        <v>0.183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HYPERLINK("http://141.218.60.56/~jnz1568/getInfo.php?workbook=14_11.xlsx&amp;sheet=U0&amp;row=131&amp;col=6&amp;number=3.7&amp;sourceID=14","3.7")</f>
        <v>3.7</v>
      </c>
      <c r="G131" s="4" t="str">
        <f>HYPERLINK("http://141.218.60.56/~jnz1568/getInfo.php?workbook=14_11.xlsx&amp;sheet=U0&amp;row=131&amp;col=7&amp;number=0.183&amp;sourceID=14","0.183")</f>
        <v>0.183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HYPERLINK("http://141.218.60.56/~jnz1568/getInfo.php?workbook=14_11.xlsx&amp;sheet=U0&amp;row=132&amp;col=6&amp;number=3.8&amp;sourceID=14","3.8")</f>
        <v>3.8</v>
      </c>
      <c r="G132" s="4" t="str">
        <f>HYPERLINK("http://141.218.60.56/~jnz1568/getInfo.php?workbook=14_11.xlsx&amp;sheet=U0&amp;row=132&amp;col=7&amp;number=0.183&amp;sourceID=14","0.183")</f>
        <v>0.183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HYPERLINK("http://141.218.60.56/~jnz1568/getInfo.php?workbook=14_11.xlsx&amp;sheet=U0&amp;row=133&amp;col=6&amp;number=3.9&amp;sourceID=14","3.9")</f>
        <v>3.9</v>
      </c>
      <c r="G133" s="4" t="str">
        <f>HYPERLINK("http://141.218.60.56/~jnz1568/getInfo.php?workbook=14_11.xlsx&amp;sheet=U0&amp;row=133&amp;col=7&amp;number=0.183&amp;sourceID=14","0.183")</f>
        <v>0.183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HYPERLINK("http://141.218.60.56/~jnz1568/getInfo.php?workbook=14_11.xlsx&amp;sheet=U0&amp;row=134&amp;col=6&amp;number=4&amp;sourceID=14","4")</f>
        <v>4</v>
      </c>
      <c r="G134" s="4" t="str">
        <f>HYPERLINK("http://141.218.60.56/~jnz1568/getInfo.php?workbook=14_11.xlsx&amp;sheet=U0&amp;row=134&amp;col=7&amp;number=0.182&amp;sourceID=14","0.182")</f>
        <v>0.182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HYPERLINK("http://141.218.60.56/~jnz1568/getInfo.php?workbook=14_11.xlsx&amp;sheet=U0&amp;row=135&amp;col=6&amp;number=4.1&amp;sourceID=14","4.1")</f>
        <v>4.1</v>
      </c>
      <c r="G135" s="4" t="str">
        <f>HYPERLINK("http://141.218.60.56/~jnz1568/getInfo.php?workbook=14_11.xlsx&amp;sheet=U0&amp;row=135&amp;col=7&amp;number=0.182&amp;sourceID=14","0.182")</f>
        <v>0.182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HYPERLINK("http://141.218.60.56/~jnz1568/getInfo.php?workbook=14_11.xlsx&amp;sheet=U0&amp;row=136&amp;col=6&amp;number=4.2&amp;sourceID=14","4.2")</f>
        <v>4.2</v>
      </c>
      <c r="G136" s="4" t="str">
        <f>HYPERLINK("http://141.218.60.56/~jnz1568/getInfo.php?workbook=14_11.xlsx&amp;sheet=U0&amp;row=136&amp;col=7&amp;number=0.181&amp;sourceID=14","0.181")</f>
        <v>0.181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HYPERLINK("http://141.218.60.56/~jnz1568/getInfo.php?workbook=14_11.xlsx&amp;sheet=U0&amp;row=137&amp;col=6&amp;number=4.3&amp;sourceID=14","4.3")</f>
        <v>4.3</v>
      </c>
      <c r="G137" s="4" t="str">
        <f>HYPERLINK("http://141.218.60.56/~jnz1568/getInfo.php?workbook=14_11.xlsx&amp;sheet=U0&amp;row=137&amp;col=7&amp;number=0.18&amp;sourceID=14","0.18")</f>
        <v>0.18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HYPERLINK("http://141.218.60.56/~jnz1568/getInfo.php?workbook=14_11.xlsx&amp;sheet=U0&amp;row=138&amp;col=6&amp;number=4.4&amp;sourceID=14","4.4")</f>
        <v>4.4</v>
      </c>
      <c r="G138" s="4" t="str">
        <f>HYPERLINK("http://141.218.60.56/~jnz1568/getInfo.php?workbook=14_11.xlsx&amp;sheet=U0&amp;row=138&amp;col=7&amp;number=0.179&amp;sourceID=14","0.179")</f>
        <v>0.179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HYPERLINK("http://141.218.60.56/~jnz1568/getInfo.php?workbook=14_11.xlsx&amp;sheet=U0&amp;row=139&amp;col=6&amp;number=4.5&amp;sourceID=14","4.5")</f>
        <v>4.5</v>
      </c>
      <c r="G139" s="4" t="str">
        <f>HYPERLINK("http://141.218.60.56/~jnz1568/getInfo.php?workbook=14_11.xlsx&amp;sheet=U0&amp;row=139&amp;col=7&amp;number=0.178&amp;sourceID=14","0.178")</f>
        <v>0.178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HYPERLINK("http://141.218.60.56/~jnz1568/getInfo.php?workbook=14_11.xlsx&amp;sheet=U0&amp;row=140&amp;col=6&amp;number=4.6&amp;sourceID=14","4.6")</f>
        <v>4.6</v>
      </c>
      <c r="G140" s="4" t="str">
        <f>HYPERLINK("http://141.218.60.56/~jnz1568/getInfo.php?workbook=14_11.xlsx&amp;sheet=U0&amp;row=140&amp;col=7&amp;number=0.177&amp;sourceID=14","0.177")</f>
        <v>0.177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HYPERLINK("http://141.218.60.56/~jnz1568/getInfo.php?workbook=14_11.xlsx&amp;sheet=U0&amp;row=141&amp;col=6&amp;number=4.7&amp;sourceID=14","4.7")</f>
        <v>4.7</v>
      </c>
      <c r="G141" s="4" t="str">
        <f>HYPERLINK("http://141.218.60.56/~jnz1568/getInfo.php?workbook=14_11.xlsx&amp;sheet=U0&amp;row=141&amp;col=7&amp;number=0.176&amp;sourceID=14","0.176")</f>
        <v>0.176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HYPERLINK("http://141.218.60.56/~jnz1568/getInfo.php?workbook=14_11.xlsx&amp;sheet=U0&amp;row=142&amp;col=6&amp;number=4.8&amp;sourceID=14","4.8")</f>
        <v>4.8</v>
      </c>
      <c r="G142" s="4" t="str">
        <f>HYPERLINK("http://141.218.60.56/~jnz1568/getInfo.php?workbook=14_11.xlsx&amp;sheet=U0&amp;row=142&amp;col=7&amp;number=0.174&amp;sourceID=14","0.174")</f>
        <v>0.174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HYPERLINK("http://141.218.60.56/~jnz1568/getInfo.php?workbook=14_11.xlsx&amp;sheet=U0&amp;row=143&amp;col=6&amp;number=4.9&amp;sourceID=14","4.9")</f>
        <v>4.9</v>
      </c>
      <c r="G143" s="4" t="str">
        <f>HYPERLINK("http://141.218.60.56/~jnz1568/getInfo.php?workbook=14_11.xlsx&amp;sheet=U0&amp;row=143&amp;col=7&amp;number=0.172&amp;sourceID=14","0.172")</f>
        <v>0.172</v>
      </c>
    </row>
    <row r="144" spans="1:7">
      <c r="A144" s="3">
        <v>14</v>
      </c>
      <c r="B144" s="3">
        <v>11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HYPERLINK("http://141.218.60.56/~jnz1568/getInfo.php?workbook=14_11.xlsx&amp;sheet=U0&amp;row=144&amp;col=6&amp;number=3&amp;sourceID=14","3")</f>
        <v>3</v>
      </c>
      <c r="G144" s="4" t="str">
        <f>HYPERLINK("http://141.218.60.56/~jnz1568/getInfo.php?workbook=14_11.xlsx&amp;sheet=U0&amp;row=144&amp;col=7&amp;number=0.0938&amp;sourceID=14","0.0938")</f>
        <v>0.0938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HYPERLINK("http://141.218.60.56/~jnz1568/getInfo.php?workbook=14_11.xlsx&amp;sheet=U0&amp;row=145&amp;col=6&amp;number=3.1&amp;sourceID=14","3.1")</f>
        <v>3.1</v>
      </c>
      <c r="G145" s="4" t="str">
        <f>HYPERLINK("http://141.218.60.56/~jnz1568/getInfo.php?workbook=14_11.xlsx&amp;sheet=U0&amp;row=145&amp;col=7&amp;number=0.0938&amp;sourceID=14","0.0938")</f>
        <v>0.0938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HYPERLINK("http://141.218.60.56/~jnz1568/getInfo.php?workbook=14_11.xlsx&amp;sheet=U0&amp;row=146&amp;col=6&amp;number=3.2&amp;sourceID=14","3.2")</f>
        <v>3.2</v>
      </c>
      <c r="G146" s="4" t="str">
        <f>HYPERLINK("http://141.218.60.56/~jnz1568/getInfo.php?workbook=14_11.xlsx&amp;sheet=U0&amp;row=146&amp;col=7&amp;number=0.0937&amp;sourceID=14","0.0937")</f>
        <v>0.0937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HYPERLINK("http://141.218.60.56/~jnz1568/getInfo.php?workbook=14_11.xlsx&amp;sheet=U0&amp;row=147&amp;col=6&amp;number=3.3&amp;sourceID=14","3.3")</f>
        <v>3.3</v>
      </c>
      <c r="G147" s="4" t="str">
        <f>HYPERLINK("http://141.218.60.56/~jnz1568/getInfo.php?workbook=14_11.xlsx&amp;sheet=U0&amp;row=147&amp;col=7&amp;number=0.0936&amp;sourceID=14","0.0936")</f>
        <v>0.0936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HYPERLINK("http://141.218.60.56/~jnz1568/getInfo.php?workbook=14_11.xlsx&amp;sheet=U0&amp;row=148&amp;col=6&amp;number=3.4&amp;sourceID=14","3.4")</f>
        <v>3.4</v>
      </c>
      <c r="G148" s="4" t="str">
        <f>HYPERLINK("http://141.218.60.56/~jnz1568/getInfo.php?workbook=14_11.xlsx&amp;sheet=U0&amp;row=148&amp;col=7&amp;number=0.0935&amp;sourceID=14","0.0935")</f>
        <v>0.0935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HYPERLINK("http://141.218.60.56/~jnz1568/getInfo.php?workbook=14_11.xlsx&amp;sheet=U0&amp;row=149&amp;col=6&amp;number=3.5&amp;sourceID=14","3.5")</f>
        <v>3.5</v>
      </c>
      <c r="G149" s="4" t="str">
        <f>HYPERLINK("http://141.218.60.56/~jnz1568/getInfo.php?workbook=14_11.xlsx&amp;sheet=U0&amp;row=149&amp;col=7&amp;number=0.0934&amp;sourceID=14","0.0934")</f>
        <v>0.0934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HYPERLINK("http://141.218.60.56/~jnz1568/getInfo.php?workbook=14_11.xlsx&amp;sheet=U0&amp;row=150&amp;col=6&amp;number=3.6&amp;sourceID=14","3.6")</f>
        <v>3.6</v>
      </c>
      <c r="G150" s="4" t="str">
        <f>HYPERLINK("http://141.218.60.56/~jnz1568/getInfo.php?workbook=14_11.xlsx&amp;sheet=U0&amp;row=150&amp;col=7&amp;number=0.0932&amp;sourceID=14","0.0932")</f>
        <v>0.0932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HYPERLINK("http://141.218.60.56/~jnz1568/getInfo.php?workbook=14_11.xlsx&amp;sheet=U0&amp;row=151&amp;col=6&amp;number=3.7&amp;sourceID=14","3.7")</f>
        <v>3.7</v>
      </c>
      <c r="G151" s="4" t="str">
        <f>HYPERLINK("http://141.218.60.56/~jnz1568/getInfo.php?workbook=14_11.xlsx&amp;sheet=U0&amp;row=151&amp;col=7&amp;number=0.093&amp;sourceID=14","0.093")</f>
        <v>0.093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HYPERLINK("http://141.218.60.56/~jnz1568/getInfo.php?workbook=14_11.xlsx&amp;sheet=U0&amp;row=152&amp;col=6&amp;number=3.8&amp;sourceID=14","3.8")</f>
        <v>3.8</v>
      </c>
      <c r="G152" s="4" t="str">
        <f>HYPERLINK("http://141.218.60.56/~jnz1568/getInfo.php?workbook=14_11.xlsx&amp;sheet=U0&amp;row=152&amp;col=7&amp;number=0.0927&amp;sourceID=14","0.0927")</f>
        <v>0.0927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HYPERLINK("http://141.218.60.56/~jnz1568/getInfo.php?workbook=14_11.xlsx&amp;sheet=U0&amp;row=153&amp;col=6&amp;number=3.9&amp;sourceID=14","3.9")</f>
        <v>3.9</v>
      </c>
      <c r="G153" s="4" t="str">
        <f>HYPERLINK("http://141.218.60.56/~jnz1568/getInfo.php?workbook=14_11.xlsx&amp;sheet=U0&amp;row=153&amp;col=7&amp;number=0.0924&amp;sourceID=14","0.0924")</f>
        <v>0.0924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HYPERLINK("http://141.218.60.56/~jnz1568/getInfo.php?workbook=14_11.xlsx&amp;sheet=U0&amp;row=154&amp;col=6&amp;number=4&amp;sourceID=14","4")</f>
        <v>4</v>
      </c>
      <c r="G154" s="4" t="str">
        <f>HYPERLINK("http://141.218.60.56/~jnz1568/getInfo.php?workbook=14_11.xlsx&amp;sheet=U0&amp;row=154&amp;col=7&amp;number=0.092&amp;sourceID=14","0.092")</f>
        <v>0.092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HYPERLINK("http://141.218.60.56/~jnz1568/getInfo.php?workbook=14_11.xlsx&amp;sheet=U0&amp;row=155&amp;col=6&amp;number=4.1&amp;sourceID=14","4.1")</f>
        <v>4.1</v>
      </c>
      <c r="G155" s="4" t="str">
        <f>HYPERLINK("http://141.218.60.56/~jnz1568/getInfo.php?workbook=14_11.xlsx&amp;sheet=U0&amp;row=155&amp;col=7&amp;number=0.0915&amp;sourceID=14","0.0915")</f>
        <v>0.0915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HYPERLINK("http://141.218.60.56/~jnz1568/getInfo.php?workbook=14_11.xlsx&amp;sheet=U0&amp;row=156&amp;col=6&amp;number=4.2&amp;sourceID=14","4.2")</f>
        <v>4.2</v>
      </c>
      <c r="G156" s="4" t="str">
        <f>HYPERLINK("http://141.218.60.56/~jnz1568/getInfo.php?workbook=14_11.xlsx&amp;sheet=U0&amp;row=156&amp;col=7&amp;number=0.0909&amp;sourceID=14","0.0909")</f>
        <v>0.0909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HYPERLINK("http://141.218.60.56/~jnz1568/getInfo.php?workbook=14_11.xlsx&amp;sheet=U0&amp;row=157&amp;col=6&amp;number=4.3&amp;sourceID=14","4.3")</f>
        <v>4.3</v>
      </c>
      <c r="G157" s="4" t="str">
        <f>HYPERLINK("http://141.218.60.56/~jnz1568/getInfo.php?workbook=14_11.xlsx&amp;sheet=U0&amp;row=157&amp;col=7&amp;number=0.0901&amp;sourceID=14","0.0901")</f>
        <v>0.0901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HYPERLINK("http://141.218.60.56/~jnz1568/getInfo.php?workbook=14_11.xlsx&amp;sheet=U0&amp;row=158&amp;col=6&amp;number=4.4&amp;sourceID=14","4.4")</f>
        <v>4.4</v>
      </c>
      <c r="G158" s="4" t="str">
        <f>HYPERLINK("http://141.218.60.56/~jnz1568/getInfo.php?workbook=14_11.xlsx&amp;sheet=U0&amp;row=158&amp;col=7&amp;number=0.0892&amp;sourceID=14","0.0892")</f>
        <v>0.0892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HYPERLINK("http://141.218.60.56/~jnz1568/getInfo.php?workbook=14_11.xlsx&amp;sheet=U0&amp;row=159&amp;col=6&amp;number=4.5&amp;sourceID=14","4.5")</f>
        <v>4.5</v>
      </c>
      <c r="G159" s="4" t="str">
        <f>HYPERLINK("http://141.218.60.56/~jnz1568/getInfo.php?workbook=14_11.xlsx&amp;sheet=U0&amp;row=159&amp;col=7&amp;number=0.0881&amp;sourceID=14","0.0881")</f>
        <v>0.0881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HYPERLINK("http://141.218.60.56/~jnz1568/getInfo.php?workbook=14_11.xlsx&amp;sheet=U0&amp;row=160&amp;col=6&amp;number=4.6&amp;sourceID=14","4.6")</f>
        <v>4.6</v>
      </c>
      <c r="G160" s="4" t="str">
        <f>HYPERLINK("http://141.218.60.56/~jnz1568/getInfo.php?workbook=14_11.xlsx&amp;sheet=U0&amp;row=160&amp;col=7&amp;number=0.0869&amp;sourceID=14","0.0869")</f>
        <v>0.0869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HYPERLINK("http://141.218.60.56/~jnz1568/getInfo.php?workbook=14_11.xlsx&amp;sheet=U0&amp;row=161&amp;col=6&amp;number=4.7&amp;sourceID=14","4.7")</f>
        <v>4.7</v>
      </c>
      <c r="G161" s="4" t="str">
        <f>HYPERLINK("http://141.218.60.56/~jnz1568/getInfo.php?workbook=14_11.xlsx&amp;sheet=U0&amp;row=161&amp;col=7&amp;number=0.0854&amp;sourceID=14","0.0854")</f>
        <v>0.0854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HYPERLINK("http://141.218.60.56/~jnz1568/getInfo.php?workbook=14_11.xlsx&amp;sheet=U0&amp;row=162&amp;col=6&amp;number=4.8&amp;sourceID=14","4.8")</f>
        <v>4.8</v>
      </c>
      <c r="G162" s="4" t="str">
        <f>HYPERLINK("http://141.218.60.56/~jnz1568/getInfo.php?workbook=14_11.xlsx&amp;sheet=U0&amp;row=162&amp;col=7&amp;number=0.0837&amp;sourceID=14","0.0837")</f>
        <v>0.0837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HYPERLINK("http://141.218.60.56/~jnz1568/getInfo.php?workbook=14_11.xlsx&amp;sheet=U0&amp;row=163&amp;col=6&amp;number=4.9&amp;sourceID=14","4.9")</f>
        <v>4.9</v>
      </c>
      <c r="G163" s="4" t="str">
        <f>HYPERLINK("http://141.218.60.56/~jnz1568/getInfo.php?workbook=14_11.xlsx&amp;sheet=U0&amp;row=163&amp;col=7&amp;number=0.0819&amp;sourceID=14","0.0819")</f>
        <v>0.0819</v>
      </c>
    </row>
    <row r="164" spans="1:7">
      <c r="A164" s="3">
        <v>14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HYPERLINK("http://141.218.60.56/~jnz1568/getInfo.php?workbook=14_11.xlsx&amp;sheet=U0&amp;row=164&amp;col=6&amp;number=3&amp;sourceID=14","3")</f>
        <v>3</v>
      </c>
      <c r="G164" s="4" t="str">
        <f>HYPERLINK("http://141.218.60.56/~jnz1568/getInfo.php?workbook=14_11.xlsx&amp;sheet=U0&amp;row=164&amp;col=7&amp;number=0.14&amp;sourceID=14","0.14")</f>
        <v>0.14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HYPERLINK("http://141.218.60.56/~jnz1568/getInfo.php?workbook=14_11.xlsx&amp;sheet=U0&amp;row=165&amp;col=6&amp;number=3.1&amp;sourceID=14","3.1")</f>
        <v>3.1</v>
      </c>
      <c r="G165" s="4" t="str">
        <f>HYPERLINK("http://141.218.60.56/~jnz1568/getInfo.php?workbook=14_11.xlsx&amp;sheet=U0&amp;row=165&amp;col=7&amp;number=0.14&amp;sourceID=14","0.14")</f>
        <v>0.14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HYPERLINK("http://141.218.60.56/~jnz1568/getInfo.php?workbook=14_11.xlsx&amp;sheet=U0&amp;row=166&amp;col=6&amp;number=3.2&amp;sourceID=14","3.2")</f>
        <v>3.2</v>
      </c>
      <c r="G166" s="4" t="str">
        <f>HYPERLINK("http://141.218.60.56/~jnz1568/getInfo.php?workbook=14_11.xlsx&amp;sheet=U0&amp;row=166&amp;col=7&amp;number=0.14&amp;sourceID=14","0.14")</f>
        <v>0.14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HYPERLINK("http://141.218.60.56/~jnz1568/getInfo.php?workbook=14_11.xlsx&amp;sheet=U0&amp;row=167&amp;col=6&amp;number=3.3&amp;sourceID=14","3.3")</f>
        <v>3.3</v>
      </c>
      <c r="G167" s="4" t="str">
        <f>HYPERLINK("http://141.218.60.56/~jnz1568/getInfo.php?workbook=14_11.xlsx&amp;sheet=U0&amp;row=167&amp;col=7&amp;number=0.14&amp;sourceID=14","0.14")</f>
        <v>0.14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HYPERLINK("http://141.218.60.56/~jnz1568/getInfo.php?workbook=14_11.xlsx&amp;sheet=U0&amp;row=168&amp;col=6&amp;number=3.4&amp;sourceID=14","3.4")</f>
        <v>3.4</v>
      </c>
      <c r="G168" s="4" t="str">
        <f>HYPERLINK("http://141.218.60.56/~jnz1568/getInfo.php?workbook=14_11.xlsx&amp;sheet=U0&amp;row=168&amp;col=7&amp;number=0.14&amp;sourceID=14","0.14")</f>
        <v>0.14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HYPERLINK("http://141.218.60.56/~jnz1568/getInfo.php?workbook=14_11.xlsx&amp;sheet=U0&amp;row=169&amp;col=6&amp;number=3.5&amp;sourceID=14","3.5")</f>
        <v>3.5</v>
      </c>
      <c r="G169" s="4" t="str">
        <f>HYPERLINK("http://141.218.60.56/~jnz1568/getInfo.php?workbook=14_11.xlsx&amp;sheet=U0&amp;row=169&amp;col=7&amp;number=0.14&amp;sourceID=14","0.14")</f>
        <v>0.14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HYPERLINK("http://141.218.60.56/~jnz1568/getInfo.php?workbook=14_11.xlsx&amp;sheet=U0&amp;row=170&amp;col=6&amp;number=3.6&amp;sourceID=14","3.6")</f>
        <v>3.6</v>
      </c>
      <c r="G170" s="4" t="str">
        <f>HYPERLINK("http://141.218.60.56/~jnz1568/getInfo.php?workbook=14_11.xlsx&amp;sheet=U0&amp;row=170&amp;col=7&amp;number=0.14&amp;sourceID=14","0.14")</f>
        <v>0.14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HYPERLINK("http://141.218.60.56/~jnz1568/getInfo.php?workbook=14_11.xlsx&amp;sheet=U0&amp;row=171&amp;col=6&amp;number=3.7&amp;sourceID=14","3.7")</f>
        <v>3.7</v>
      </c>
      <c r="G171" s="4" t="str">
        <f>HYPERLINK("http://141.218.60.56/~jnz1568/getInfo.php?workbook=14_11.xlsx&amp;sheet=U0&amp;row=171&amp;col=7&amp;number=0.139&amp;sourceID=14","0.139")</f>
        <v>0.139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HYPERLINK("http://141.218.60.56/~jnz1568/getInfo.php?workbook=14_11.xlsx&amp;sheet=U0&amp;row=172&amp;col=6&amp;number=3.8&amp;sourceID=14","3.8")</f>
        <v>3.8</v>
      </c>
      <c r="G172" s="4" t="str">
        <f>HYPERLINK("http://141.218.60.56/~jnz1568/getInfo.php?workbook=14_11.xlsx&amp;sheet=U0&amp;row=172&amp;col=7&amp;number=0.139&amp;sourceID=14","0.139")</f>
        <v>0.139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HYPERLINK("http://141.218.60.56/~jnz1568/getInfo.php?workbook=14_11.xlsx&amp;sheet=U0&amp;row=173&amp;col=6&amp;number=3.9&amp;sourceID=14","3.9")</f>
        <v>3.9</v>
      </c>
      <c r="G173" s="4" t="str">
        <f>HYPERLINK("http://141.218.60.56/~jnz1568/getInfo.php?workbook=14_11.xlsx&amp;sheet=U0&amp;row=173&amp;col=7&amp;number=0.138&amp;sourceID=14","0.138")</f>
        <v>0.138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HYPERLINK("http://141.218.60.56/~jnz1568/getInfo.php?workbook=14_11.xlsx&amp;sheet=U0&amp;row=174&amp;col=6&amp;number=4&amp;sourceID=14","4")</f>
        <v>4</v>
      </c>
      <c r="G174" s="4" t="str">
        <f>HYPERLINK("http://141.218.60.56/~jnz1568/getInfo.php?workbook=14_11.xlsx&amp;sheet=U0&amp;row=174&amp;col=7&amp;number=0.138&amp;sourceID=14","0.138")</f>
        <v>0.138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HYPERLINK("http://141.218.60.56/~jnz1568/getInfo.php?workbook=14_11.xlsx&amp;sheet=U0&amp;row=175&amp;col=6&amp;number=4.1&amp;sourceID=14","4.1")</f>
        <v>4.1</v>
      </c>
      <c r="G175" s="4" t="str">
        <f>HYPERLINK("http://141.218.60.56/~jnz1568/getInfo.php?workbook=14_11.xlsx&amp;sheet=U0&amp;row=175&amp;col=7&amp;number=0.137&amp;sourceID=14","0.137")</f>
        <v>0.137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HYPERLINK("http://141.218.60.56/~jnz1568/getInfo.php?workbook=14_11.xlsx&amp;sheet=U0&amp;row=176&amp;col=6&amp;number=4.2&amp;sourceID=14","4.2")</f>
        <v>4.2</v>
      </c>
      <c r="G176" s="4" t="str">
        <f>HYPERLINK("http://141.218.60.56/~jnz1568/getInfo.php?workbook=14_11.xlsx&amp;sheet=U0&amp;row=176&amp;col=7&amp;number=0.136&amp;sourceID=14","0.136")</f>
        <v>0.136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HYPERLINK("http://141.218.60.56/~jnz1568/getInfo.php?workbook=14_11.xlsx&amp;sheet=U0&amp;row=177&amp;col=6&amp;number=4.3&amp;sourceID=14","4.3")</f>
        <v>4.3</v>
      </c>
      <c r="G177" s="4" t="str">
        <f>HYPERLINK("http://141.218.60.56/~jnz1568/getInfo.php?workbook=14_11.xlsx&amp;sheet=U0&amp;row=177&amp;col=7&amp;number=0.135&amp;sourceID=14","0.135")</f>
        <v>0.135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HYPERLINK("http://141.218.60.56/~jnz1568/getInfo.php?workbook=14_11.xlsx&amp;sheet=U0&amp;row=178&amp;col=6&amp;number=4.4&amp;sourceID=14","4.4")</f>
        <v>4.4</v>
      </c>
      <c r="G178" s="4" t="str">
        <f>HYPERLINK("http://141.218.60.56/~jnz1568/getInfo.php?workbook=14_11.xlsx&amp;sheet=U0&amp;row=178&amp;col=7&amp;number=0.134&amp;sourceID=14","0.134")</f>
        <v>0.134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HYPERLINK("http://141.218.60.56/~jnz1568/getInfo.php?workbook=14_11.xlsx&amp;sheet=U0&amp;row=179&amp;col=6&amp;number=4.5&amp;sourceID=14","4.5")</f>
        <v>4.5</v>
      </c>
      <c r="G179" s="4" t="str">
        <f>HYPERLINK("http://141.218.60.56/~jnz1568/getInfo.php?workbook=14_11.xlsx&amp;sheet=U0&amp;row=179&amp;col=7&amp;number=0.132&amp;sourceID=14","0.132")</f>
        <v>0.132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HYPERLINK("http://141.218.60.56/~jnz1568/getInfo.php?workbook=14_11.xlsx&amp;sheet=U0&amp;row=180&amp;col=6&amp;number=4.6&amp;sourceID=14","4.6")</f>
        <v>4.6</v>
      </c>
      <c r="G180" s="4" t="str">
        <f>HYPERLINK("http://141.218.60.56/~jnz1568/getInfo.php?workbook=14_11.xlsx&amp;sheet=U0&amp;row=180&amp;col=7&amp;number=0.13&amp;sourceID=14","0.13")</f>
        <v>0.13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HYPERLINK("http://141.218.60.56/~jnz1568/getInfo.php?workbook=14_11.xlsx&amp;sheet=U0&amp;row=181&amp;col=6&amp;number=4.7&amp;sourceID=14","4.7")</f>
        <v>4.7</v>
      </c>
      <c r="G181" s="4" t="str">
        <f>HYPERLINK("http://141.218.60.56/~jnz1568/getInfo.php?workbook=14_11.xlsx&amp;sheet=U0&amp;row=181&amp;col=7&amp;number=0.128&amp;sourceID=14","0.128")</f>
        <v>0.128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HYPERLINK("http://141.218.60.56/~jnz1568/getInfo.php?workbook=14_11.xlsx&amp;sheet=U0&amp;row=182&amp;col=6&amp;number=4.8&amp;sourceID=14","4.8")</f>
        <v>4.8</v>
      </c>
      <c r="G182" s="4" t="str">
        <f>HYPERLINK("http://141.218.60.56/~jnz1568/getInfo.php?workbook=14_11.xlsx&amp;sheet=U0&amp;row=182&amp;col=7&amp;number=0.125&amp;sourceID=14","0.125")</f>
        <v>0.125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HYPERLINK("http://141.218.60.56/~jnz1568/getInfo.php?workbook=14_11.xlsx&amp;sheet=U0&amp;row=183&amp;col=6&amp;number=4.9&amp;sourceID=14","4.9")</f>
        <v>4.9</v>
      </c>
      <c r="G183" s="4" t="str">
        <f>HYPERLINK("http://141.218.60.56/~jnz1568/getInfo.php?workbook=14_11.xlsx&amp;sheet=U0&amp;row=183&amp;col=7&amp;number=0.123&amp;sourceID=14","0.123")</f>
        <v>0.123</v>
      </c>
    </row>
    <row r="184" spans="1:7">
      <c r="A184" s="3">
        <v>14</v>
      </c>
      <c r="B184" s="3">
        <v>11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HYPERLINK("http://141.218.60.56/~jnz1568/getInfo.php?workbook=14_11.xlsx&amp;sheet=U0&amp;row=184&amp;col=6&amp;number=3&amp;sourceID=14","3")</f>
        <v>3</v>
      </c>
      <c r="G184" s="4" t="str">
        <f>HYPERLINK("http://141.218.60.56/~jnz1568/getInfo.php?workbook=14_11.xlsx&amp;sheet=U0&amp;row=184&amp;col=7&amp;number=0.121&amp;sourceID=14","0.121")</f>
        <v>0.121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HYPERLINK("http://141.218.60.56/~jnz1568/getInfo.php?workbook=14_11.xlsx&amp;sheet=U0&amp;row=185&amp;col=6&amp;number=3.1&amp;sourceID=14","3.1")</f>
        <v>3.1</v>
      </c>
      <c r="G185" s="4" t="str">
        <f>HYPERLINK("http://141.218.60.56/~jnz1568/getInfo.php?workbook=14_11.xlsx&amp;sheet=U0&amp;row=185&amp;col=7&amp;number=0.121&amp;sourceID=14","0.121")</f>
        <v>0.121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HYPERLINK("http://141.218.60.56/~jnz1568/getInfo.php?workbook=14_11.xlsx&amp;sheet=U0&amp;row=186&amp;col=6&amp;number=3.2&amp;sourceID=14","3.2")</f>
        <v>3.2</v>
      </c>
      <c r="G186" s="4" t="str">
        <f>HYPERLINK("http://141.218.60.56/~jnz1568/getInfo.php?workbook=14_11.xlsx&amp;sheet=U0&amp;row=186&amp;col=7&amp;number=0.121&amp;sourceID=14","0.121")</f>
        <v>0.121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HYPERLINK("http://141.218.60.56/~jnz1568/getInfo.php?workbook=14_11.xlsx&amp;sheet=U0&amp;row=187&amp;col=6&amp;number=3.3&amp;sourceID=14","3.3")</f>
        <v>3.3</v>
      </c>
      <c r="G187" s="4" t="str">
        <f>HYPERLINK("http://141.218.60.56/~jnz1568/getInfo.php?workbook=14_11.xlsx&amp;sheet=U0&amp;row=187&amp;col=7&amp;number=0.121&amp;sourceID=14","0.121")</f>
        <v>0.121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HYPERLINK("http://141.218.60.56/~jnz1568/getInfo.php?workbook=14_11.xlsx&amp;sheet=U0&amp;row=188&amp;col=6&amp;number=3.4&amp;sourceID=14","3.4")</f>
        <v>3.4</v>
      </c>
      <c r="G188" s="4" t="str">
        <f>HYPERLINK("http://141.218.60.56/~jnz1568/getInfo.php?workbook=14_11.xlsx&amp;sheet=U0&amp;row=188&amp;col=7&amp;number=0.121&amp;sourceID=14","0.121")</f>
        <v>0.121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HYPERLINK("http://141.218.60.56/~jnz1568/getInfo.php?workbook=14_11.xlsx&amp;sheet=U0&amp;row=189&amp;col=6&amp;number=3.5&amp;sourceID=14","3.5")</f>
        <v>3.5</v>
      </c>
      <c r="G189" s="4" t="str">
        <f>HYPERLINK("http://141.218.60.56/~jnz1568/getInfo.php?workbook=14_11.xlsx&amp;sheet=U0&amp;row=189&amp;col=7&amp;number=0.121&amp;sourceID=14","0.121")</f>
        <v>0.121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HYPERLINK("http://141.218.60.56/~jnz1568/getInfo.php?workbook=14_11.xlsx&amp;sheet=U0&amp;row=190&amp;col=6&amp;number=3.6&amp;sourceID=14","3.6")</f>
        <v>3.6</v>
      </c>
      <c r="G190" s="4" t="str">
        <f>HYPERLINK("http://141.218.60.56/~jnz1568/getInfo.php?workbook=14_11.xlsx&amp;sheet=U0&amp;row=190&amp;col=7&amp;number=0.121&amp;sourceID=14","0.121")</f>
        <v>0.121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HYPERLINK("http://141.218.60.56/~jnz1568/getInfo.php?workbook=14_11.xlsx&amp;sheet=U0&amp;row=191&amp;col=6&amp;number=3.7&amp;sourceID=14","3.7")</f>
        <v>3.7</v>
      </c>
      <c r="G191" s="4" t="str">
        <f>HYPERLINK("http://141.218.60.56/~jnz1568/getInfo.php?workbook=14_11.xlsx&amp;sheet=U0&amp;row=191&amp;col=7&amp;number=0.121&amp;sourceID=14","0.121")</f>
        <v>0.121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HYPERLINK("http://141.218.60.56/~jnz1568/getInfo.php?workbook=14_11.xlsx&amp;sheet=U0&amp;row=192&amp;col=6&amp;number=3.8&amp;sourceID=14","3.8")</f>
        <v>3.8</v>
      </c>
      <c r="G192" s="4" t="str">
        <f>HYPERLINK("http://141.218.60.56/~jnz1568/getInfo.php?workbook=14_11.xlsx&amp;sheet=U0&amp;row=192&amp;col=7&amp;number=0.121&amp;sourceID=14","0.121")</f>
        <v>0.121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HYPERLINK("http://141.218.60.56/~jnz1568/getInfo.php?workbook=14_11.xlsx&amp;sheet=U0&amp;row=193&amp;col=6&amp;number=3.9&amp;sourceID=14","3.9")</f>
        <v>3.9</v>
      </c>
      <c r="G193" s="4" t="str">
        <f>HYPERLINK("http://141.218.60.56/~jnz1568/getInfo.php?workbook=14_11.xlsx&amp;sheet=U0&amp;row=193&amp;col=7&amp;number=0.121&amp;sourceID=14","0.121")</f>
        <v>0.121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HYPERLINK("http://141.218.60.56/~jnz1568/getInfo.php?workbook=14_11.xlsx&amp;sheet=U0&amp;row=194&amp;col=6&amp;number=4&amp;sourceID=14","4")</f>
        <v>4</v>
      </c>
      <c r="G194" s="4" t="str">
        <f>HYPERLINK("http://141.218.60.56/~jnz1568/getInfo.php?workbook=14_11.xlsx&amp;sheet=U0&amp;row=194&amp;col=7&amp;number=0.121&amp;sourceID=14","0.121")</f>
        <v>0.121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HYPERLINK("http://141.218.60.56/~jnz1568/getInfo.php?workbook=14_11.xlsx&amp;sheet=U0&amp;row=195&amp;col=6&amp;number=4.1&amp;sourceID=14","4.1")</f>
        <v>4.1</v>
      </c>
      <c r="G195" s="4" t="str">
        <f>HYPERLINK("http://141.218.60.56/~jnz1568/getInfo.php?workbook=14_11.xlsx&amp;sheet=U0&amp;row=195&amp;col=7&amp;number=0.12&amp;sourceID=14","0.12")</f>
        <v>0.12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HYPERLINK("http://141.218.60.56/~jnz1568/getInfo.php?workbook=14_11.xlsx&amp;sheet=U0&amp;row=196&amp;col=6&amp;number=4.2&amp;sourceID=14","4.2")</f>
        <v>4.2</v>
      </c>
      <c r="G196" s="4" t="str">
        <f>HYPERLINK("http://141.218.60.56/~jnz1568/getInfo.php?workbook=14_11.xlsx&amp;sheet=U0&amp;row=196&amp;col=7&amp;number=0.12&amp;sourceID=14","0.12")</f>
        <v>0.12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HYPERLINK("http://141.218.60.56/~jnz1568/getInfo.php?workbook=14_11.xlsx&amp;sheet=U0&amp;row=197&amp;col=6&amp;number=4.3&amp;sourceID=14","4.3")</f>
        <v>4.3</v>
      </c>
      <c r="G197" s="4" t="str">
        <f>HYPERLINK("http://141.218.60.56/~jnz1568/getInfo.php?workbook=14_11.xlsx&amp;sheet=U0&amp;row=197&amp;col=7&amp;number=0.12&amp;sourceID=14","0.12")</f>
        <v>0.12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HYPERLINK("http://141.218.60.56/~jnz1568/getInfo.php?workbook=14_11.xlsx&amp;sheet=U0&amp;row=198&amp;col=6&amp;number=4.4&amp;sourceID=14","4.4")</f>
        <v>4.4</v>
      </c>
      <c r="G198" s="4" t="str">
        <f>HYPERLINK("http://141.218.60.56/~jnz1568/getInfo.php?workbook=14_11.xlsx&amp;sheet=U0&amp;row=198&amp;col=7&amp;number=0.12&amp;sourceID=14","0.12")</f>
        <v>0.12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HYPERLINK("http://141.218.60.56/~jnz1568/getInfo.php?workbook=14_11.xlsx&amp;sheet=U0&amp;row=199&amp;col=6&amp;number=4.5&amp;sourceID=14","4.5")</f>
        <v>4.5</v>
      </c>
      <c r="G199" s="4" t="str">
        <f>HYPERLINK("http://141.218.60.56/~jnz1568/getInfo.php?workbook=14_11.xlsx&amp;sheet=U0&amp;row=199&amp;col=7&amp;number=0.12&amp;sourceID=14","0.12")</f>
        <v>0.12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HYPERLINK("http://141.218.60.56/~jnz1568/getInfo.php?workbook=14_11.xlsx&amp;sheet=U0&amp;row=200&amp;col=6&amp;number=4.6&amp;sourceID=14","4.6")</f>
        <v>4.6</v>
      </c>
      <c r="G200" s="4" t="str">
        <f>HYPERLINK("http://141.218.60.56/~jnz1568/getInfo.php?workbook=14_11.xlsx&amp;sheet=U0&amp;row=200&amp;col=7&amp;number=0.119&amp;sourceID=14","0.119")</f>
        <v>0.119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HYPERLINK("http://141.218.60.56/~jnz1568/getInfo.php?workbook=14_11.xlsx&amp;sheet=U0&amp;row=201&amp;col=6&amp;number=4.7&amp;sourceID=14","4.7")</f>
        <v>4.7</v>
      </c>
      <c r="G201" s="4" t="str">
        <f>HYPERLINK("http://141.218.60.56/~jnz1568/getInfo.php?workbook=14_11.xlsx&amp;sheet=U0&amp;row=201&amp;col=7&amp;number=0.119&amp;sourceID=14","0.119")</f>
        <v>0.119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HYPERLINK("http://141.218.60.56/~jnz1568/getInfo.php?workbook=14_11.xlsx&amp;sheet=U0&amp;row=202&amp;col=6&amp;number=4.8&amp;sourceID=14","4.8")</f>
        <v>4.8</v>
      </c>
      <c r="G202" s="4" t="str">
        <f>HYPERLINK("http://141.218.60.56/~jnz1568/getInfo.php?workbook=14_11.xlsx&amp;sheet=U0&amp;row=202&amp;col=7&amp;number=0.119&amp;sourceID=14","0.119")</f>
        <v>0.119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HYPERLINK("http://141.218.60.56/~jnz1568/getInfo.php?workbook=14_11.xlsx&amp;sheet=U0&amp;row=203&amp;col=6&amp;number=4.9&amp;sourceID=14","4.9")</f>
        <v>4.9</v>
      </c>
      <c r="G203" s="4" t="str">
        <f>HYPERLINK("http://141.218.60.56/~jnz1568/getInfo.php?workbook=14_11.xlsx&amp;sheet=U0&amp;row=203&amp;col=7&amp;number=0.119&amp;sourceID=14","0.119")</f>
        <v>0.119</v>
      </c>
    </row>
    <row r="204" spans="1:7">
      <c r="A204" s="3">
        <v>14</v>
      </c>
      <c r="B204" s="3">
        <v>11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HYPERLINK("http://141.218.60.56/~jnz1568/getInfo.php?workbook=14_11.xlsx&amp;sheet=U0&amp;row=204&amp;col=6&amp;number=3&amp;sourceID=14","3")</f>
        <v>3</v>
      </c>
      <c r="G204" s="4" t="str">
        <f>HYPERLINK("http://141.218.60.56/~jnz1568/getInfo.php?workbook=14_11.xlsx&amp;sheet=U0&amp;row=204&amp;col=7&amp;number=0.161&amp;sourceID=14","0.161")</f>
        <v>0.161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HYPERLINK("http://141.218.60.56/~jnz1568/getInfo.php?workbook=14_11.xlsx&amp;sheet=U0&amp;row=205&amp;col=6&amp;number=3.1&amp;sourceID=14","3.1")</f>
        <v>3.1</v>
      </c>
      <c r="G205" s="4" t="str">
        <f>HYPERLINK("http://141.218.60.56/~jnz1568/getInfo.php?workbook=14_11.xlsx&amp;sheet=U0&amp;row=205&amp;col=7&amp;number=0.161&amp;sourceID=14","0.161")</f>
        <v>0.161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HYPERLINK("http://141.218.60.56/~jnz1568/getInfo.php?workbook=14_11.xlsx&amp;sheet=U0&amp;row=206&amp;col=6&amp;number=3.2&amp;sourceID=14","3.2")</f>
        <v>3.2</v>
      </c>
      <c r="G206" s="4" t="str">
        <f>HYPERLINK("http://141.218.60.56/~jnz1568/getInfo.php?workbook=14_11.xlsx&amp;sheet=U0&amp;row=206&amp;col=7&amp;number=0.161&amp;sourceID=14","0.161")</f>
        <v>0.161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HYPERLINK("http://141.218.60.56/~jnz1568/getInfo.php?workbook=14_11.xlsx&amp;sheet=U0&amp;row=207&amp;col=6&amp;number=3.3&amp;sourceID=14","3.3")</f>
        <v>3.3</v>
      </c>
      <c r="G207" s="4" t="str">
        <f>HYPERLINK("http://141.218.60.56/~jnz1568/getInfo.php?workbook=14_11.xlsx&amp;sheet=U0&amp;row=207&amp;col=7&amp;number=0.161&amp;sourceID=14","0.161")</f>
        <v>0.161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HYPERLINK("http://141.218.60.56/~jnz1568/getInfo.php?workbook=14_11.xlsx&amp;sheet=U0&amp;row=208&amp;col=6&amp;number=3.4&amp;sourceID=14","3.4")</f>
        <v>3.4</v>
      </c>
      <c r="G208" s="4" t="str">
        <f>HYPERLINK("http://141.218.60.56/~jnz1568/getInfo.php?workbook=14_11.xlsx&amp;sheet=U0&amp;row=208&amp;col=7&amp;number=0.161&amp;sourceID=14","0.161")</f>
        <v>0.161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HYPERLINK("http://141.218.60.56/~jnz1568/getInfo.php?workbook=14_11.xlsx&amp;sheet=U0&amp;row=209&amp;col=6&amp;number=3.5&amp;sourceID=14","3.5")</f>
        <v>3.5</v>
      </c>
      <c r="G209" s="4" t="str">
        <f>HYPERLINK("http://141.218.60.56/~jnz1568/getInfo.php?workbook=14_11.xlsx&amp;sheet=U0&amp;row=209&amp;col=7&amp;number=0.161&amp;sourceID=14","0.161")</f>
        <v>0.161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HYPERLINK("http://141.218.60.56/~jnz1568/getInfo.php?workbook=14_11.xlsx&amp;sheet=U0&amp;row=210&amp;col=6&amp;number=3.6&amp;sourceID=14","3.6")</f>
        <v>3.6</v>
      </c>
      <c r="G210" s="4" t="str">
        <f>HYPERLINK("http://141.218.60.56/~jnz1568/getInfo.php?workbook=14_11.xlsx&amp;sheet=U0&amp;row=210&amp;col=7&amp;number=0.161&amp;sourceID=14","0.161")</f>
        <v>0.161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HYPERLINK("http://141.218.60.56/~jnz1568/getInfo.php?workbook=14_11.xlsx&amp;sheet=U0&amp;row=211&amp;col=6&amp;number=3.7&amp;sourceID=14","3.7")</f>
        <v>3.7</v>
      </c>
      <c r="G211" s="4" t="str">
        <f>HYPERLINK("http://141.218.60.56/~jnz1568/getInfo.php?workbook=14_11.xlsx&amp;sheet=U0&amp;row=211&amp;col=7&amp;number=0.161&amp;sourceID=14","0.161")</f>
        <v>0.161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HYPERLINK("http://141.218.60.56/~jnz1568/getInfo.php?workbook=14_11.xlsx&amp;sheet=U0&amp;row=212&amp;col=6&amp;number=3.8&amp;sourceID=14","3.8")</f>
        <v>3.8</v>
      </c>
      <c r="G212" s="4" t="str">
        <f>HYPERLINK("http://141.218.60.56/~jnz1568/getInfo.php?workbook=14_11.xlsx&amp;sheet=U0&amp;row=212&amp;col=7&amp;number=0.161&amp;sourceID=14","0.161")</f>
        <v>0.161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HYPERLINK("http://141.218.60.56/~jnz1568/getInfo.php?workbook=14_11.xlsx&amp;sheet=U0&amp;row=213&amp;col=6&amp;number=3.9&amp;sourceID=14","3.9")</f>
        <v>3.9</v>
      </c>
      <c r="G213" s="4" t="str">
        <f>HYPERLINK("http://141.218.60.56/~jnz1568/getInfo.php?workbook=14_11.xlsx&amp;sheet=U0&amp;row=213&amp;col=7&amp;number=0.161&amp;sourceID=14","0.161")</f>
        <v>0.161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HYPERLINK("http://141.218.60.56/~jnz1568/getInfo.php?workbook=14_11.xlsx&amp;sheet=U0&amp;row=214&amp;col=6&amp;number=4&amp;sourceID=14","4")</f>
        <v>4</v>
      </c>
      <c r="G214" s="4" t="str">
        <f>HYPERLINK("http://141.218.60.56/~jnz1568/getInfo.php?workbook=14_11.xlsx&amp;sheet=U0&amp;row=214&amp;col=7&amp;number=0.161&amp;sourceID=14","0.161")</f>
        <v>0.161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HYPERLINK("http://141.218.60.56/~jnz1568/getInfo.php?workbook=14_11.xlsx&amp;sheet=U0&amp;row=215&amp;col=6&amp;number=4.1&amp;sourceID=14","4.1")</f>
        <v>4.1</v>
      </c>
      <c r="G215" s="4" t="str">
        <f>HYPERLINK("http://141.218.60.56/~jnz1568/getInfo.php?workbook=14_11.xlsx&amp;sheet=U0&amp;row=215&amp;col=7&amp;number=0.161&amp;sourceID=14","0.161")</f>
        <v>0.161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HYPERLINK("http://141.218.60.56/~jnz1568/getInfo.php?workbook=14_11.xlsx&amp;sheet=U0&amp;row=216&amp;col=6&amp;number=4.2&amp;sourceID=14","4.2")</f>
        <v>4.2</v>
      </c>
      <c r="G216" s="4" t="str">
        <f>HYPERLINK("http://141.218.60.56/~jnz1568/getInfo.php?workbook=14_11.xlsx&amp;sheet=U0&amp;row=216&amp;col=7&amp;number=0.16&amp;sourceID=14","0.16")</f>
        <v>0.16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HYPERLINK("http://141.218.60.56/~jnz1568/getInfo.php?workbook=14_11.xlsx&amp;sheet=U0&amp;row=217&amp;col=6&amp;number=4.3&amp;sourceID=14","4.3")</f>
        <v>4.3</v>
      </c>
      <c r="G217" s="4" t="str">
        <f>HYPERLINK("http://141.218.60.56/~jnz1568/getInfo.php?workbook=14_11.xlsx&amp;sheet=U0&amp;row=217&amp;col=7&amp;number=0.16&amp;sourceID=14","0.16")</f>
        <v>0.16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HYPERLINK("http://141.218.60.56/~jnz1568/getInfo.php?workbook=14_11.xlsx&amp;sheet=U0&amp;row=218&amp;col=6&amp;number=4.4&amp;sourceID=14","4.4")</f>
        <v>4.4</v>
      </c>
      <c r="G218" s="4" t="str">
        <f>HYPERLINK("http://141.218.60.56/~jnz1568/getInfo.php?workbook=14_11.xlsx&amp;sheet=U0&amp;row=218&amp;col=7&amp;number=0.16&amp;sourceID=14","0.16")</f>
        <v>0.16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HYPERLINK("http://141.218.60.56/~jnz1568/getInfo.php?workbook=14_11.xlsx&amp;sheet=U0&amp;row=219&amp;col=6&amp;number=4.5&amp;sourceID=14","4.5")</f>
        <v>4.5</v>
      </c>
      <c r="G219" s="4" t="str">
        <f>HYPERLINK("http://141.218.60.56/~jnz1568/getInfo.php?workbook=14_11.xlsx&amp;sheet=U0&amp;row=219&amp;col=7&amp;number=0.16&amp;sourceID=14","0.16")</f>
        <v>0.16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HYPERLINK("http://141.218.60.56/~jnz1568/getInfo.php?workbook=14_11.xlsx&amp;sheet=U0&amp;row=220&amp;col=6&amp;number=4.6&amp;sourceID=14","4.6")</f>
        <v>4.6</v>
      </c>
      <c r="G220" s="4" t="str">
        <f>HYPERLINK("http://141.218.60.56/~jnz1568/getInfo.php?workbook=14_11.xlsx&amp;sheet=U0&amp;row=220&amp;col=7&amp;number=0.159&amp;sourceID=14","0.159")</f>
        <v>0.159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HYPERLINK("http://141.218.60.56/~jnz1568/getInfo.php?workbook=14_11.xlsx&amp;sheet=U0&amp;row=221&amp;col=6&amp;number=4.7&amp;sourceID=14","4.7")</f>
        <v>4.7</v>
      </c>
      <c r="G221" s="4" t="str">
        <f>HYPERLINK("http://141.218.60.56/~jnz1568/getInfo.php?workbook=14_11.xlsx&amp;sheet=U0&amp;row=221&amp;col=7&amp;number=0.159&amp;sourceID=14","0.159")</f>
        <v>0.159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HYPERLINK("http://141.218.60.56/~jnz1568/getInfo.php?workbook=14_11.xlsx&amp;sheet=U0&amp;row=222&amp;col=6&amp;number=4.8&amp;sourceID=14","4.8")</f>
        <v>4.8</v>
      </c>
      <c r="G222" s="4" t="str">
        <f>HYPERLINK("http://141.218.60.56/~jnz1568/getInfo.php?workbook=14_11.xlsx&amp;sheet=U0&amp;row=222&amp;col=7&amp;number=0.159&amp;sourceID=14","0.159")</f>
        <v>0.159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HYPERLINK("http://141.218.60.56/~jnz1568/getInfo.php?workbook=14_11.xlsx&amp;sheet=U0&amp;row=223&amp;col=6&amp;number=4.9&amp;sourceID=14","4.9")</f>
        <v>4.9</v>
      </c>
      <c r="G223" s="4" t="str">
        <f>HYPERLINK("http://141.218.60.56/~jnz1568/getInfo.php?workbook=14_11.xlsx&amp;sheet=U0&amp;row=223&amp;col=7&amp;number=0.158&amp;sourceID=14","0.158")</f>
        <v>0.158</v>
      </c>
    </row>
    <row r="224" spans="1:7">
      <c r="A224" s="3">
        <v>14</v>
      </c>
      <c r="B224" s="3">
        <v>11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HYPERLINK("http://141.218.60.56/~jnz1568/getInfo.php?workbook=14_11.xlsx&amp;sheet=U0&amp;row=224&amp;col=6&amp;number=3&amp;sourceID=14","3")</f>
        <v>3</v>
      </c>
      <c r="G224" s="4" t="str">
        <f>HYPERLINK("http://141.218.60.56/~jnz1568/getInfo.php?workbook=14_11.xlsx&amp;sheet=U0&amp;row=224&amp;col=7&amp;number=0.178&amp;sourceID=14","0.178")</f>
        <v>0.178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HYPERLINK("http://141.218.60.56/~jnz1568/getInfo.php?workbook=14_11.xlsx&amp;sheet=U0&amp;row=225&amp;col=6&amp;number=3.1&amp;sourceID=14","3.1")</f>
        <v>3.1</v>
      </c>
      <c r="G225" s="4" t="str">
        <f>HYPERLINK("http://141.218.60.56/~jnz1568/getInfo.php?workbook=14_11.xlsx&amp;sheet=U0&amp;row=225&amp;col=7&amp;number=0.178&amp;sourceID=14","0.178")</f>
        <v>0.178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HYPERLINK("http://141.218.60.56/~jnz1568/getInfo.php?workbook=14_11.xlsx&amp;sheet=U0&amp;row=226&amp;col=6&amp;number=3.2&amp;sourceID=14","3.2")</f>
        <v>3.2</v>
      </c>
      <c r="G226" s="4" t="str">
        <f>HYPERLINK("http://141.218.60.56/~jnz1568/getInfo.php?workbook=14_11.xlsx&amp;sheet=U0&amp;row=226&amp;col=7&amp;number=0.178&amp;sourceID=14","0.178")</f>
        <v>0.178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HYPERLINK("http://141.218.60.56/~jnz1568/getInfo.php?workbook=14_11.xlsx&amp;sheet=U0&amp;row=227&amp;col=6&amp;number=3.3&amp;sourceID=14","3.3")</f>
        <v>3.3</v>
      </c>
      <c r="G227" s="4" t="str">
        <f>HYPERLINK("http://141.218.60.56/~jnz1568/getInfo.php?workbook=14_11.xlsx&amp;sheet=U0&amp;row=227&amp;col=7&amp;number=0.178&amp;sourceID=14","0.178")</f>
        <v>0.178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HYPERLINK("http://141.218.60.56/~jnz1568/getInfo.php?workbook=14_11.xlsx&amp;sheet=U0&amp;row=228&amp;col=6&amp;number=3.4&amp;sourceID=14","3.4")</f>
        <v>3.4</v>
      </c>
      <c r="G228" s="4" t="str">
        <f>HYPERLINK("http://141.218.60.56/~jnz1568/getInfo.php?workbook=14_11.xlsx&amp;sheet=U0&amp;row=228&amp;col=7&amp;number=0.178&amp;sourceID=14","0.178")</f>
        <v>0.178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HYPERLINK("http://141.218.60.56/~jnz1568/getInfo.php?workbook=14_11.xlsx&amp;sheet=U0&amp;row=229&amp;col=6&amp;number=3.5&amp;sourceID=14","3.5")</f>
        <v>3.5</v>
      </c>
      <c r="G229" s="4" t="str">
        <f>HYPERLINK("http://141.218.60.56/~jnz1568/getInfo.php?workbook=14_11.xlsx&amp;sheet=U0&amp;row=229&amp;col=7&amp;number=0.178&amp;sourceID=14","0.178")</f>
        <v>0.178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HYPERLINK("http://141.218.60.56/~jnz1568/getInfo.php?workbook=14_11.xlsx&amp;sheet=U0&amp;row=230&amp;col=6&amp;number=3.6&amp;sourceID=14","3.6")</f>
        <v>3.6</v>
      </c>
      <c r="G230" s="4" t="str">
        <f>HYPERLINK("http://141.218.60.56/~jnz1568/getInfo.php?workbook=14_11.xlsx&amp;sheet=U0&amp;row=230&amp;col=7&amp;number=0.178&amp;sourceID=14","0.178")</f>
        <v>0.178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HYPERLINK("http://141.218.60.56/~jnz1568/getInfo.php?workbook=14_11.xlsx&amp;sheet=U0&amp;row=231&amp;col=6&amp;number=3.7&amp;sourceID=14","3.7")</f>
        <v>3.7</v>
      </c>
      <c r="G231" s="4" t="str">
        <f>HYPERLINK("http://141.218.60.56/~jnz1568/getInfo.php?workbook=14_11.xlsx&amp;sheet=U0&amp;row=231&amp;col=7&amp;number=0.178&amp;sourceID=14","0.178")</f>
        <v>0.178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HYPERLINK("http://141.218.60.56/~jnz1568/getInfo.php?workbook=14_11.xlsx&amp;sheet=U0&amp;row=232&amp;col=6&amp;number=3.8&amp;sourceID=14","3.8")</f>
        <v>3.8</v>
      </c>
      <c r="G232" s="4" t="str">
        <f>HYPERLINK("http://141.218.60.56/~jnz1568/getInfo.php?workbook=14_11.xlsx&amp;sheet=U0&amp;row=232&amp;col=7&amp;number=0.178&amp;sourceID=14","0.178")</f>
        <v>0.178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HYPERLINK("http://141.218.60.56/~jnz1568/getInfo.php?workbook=14_11.xlsx&amp;sheet=U0&amp;row=233&amp;col=6&amp;number=3.9&amp;sourceID=14","3.9")</f>
        <v>3.9</v>
      </c>
      <c r="G233" s="4" t="str">
        <f>HYPERLINK("http://141.218.60.56/~jnz1568/getInfo.php?workbook=14_11.xlsx&amp;sheet=U0&amp;row=233&amp;col=7&amp;number=0.179&amp;sourceID=14","0.179")</f>
        <v>0.179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HYPERLINK("http://141.218.60.56/~jnz1568/getInfo.php?workbook=14_11.xlsx&amp;sheet=U0&amp;row=234&amp;col=6&amp;number=4&amp;sourceID=14","4")</f>
        <v>4</v>
      </c>
      <c r="G234" s="4" t="str">
        <f>HYPERLINK("http://141.218.60.56/~jnz1568/getInfo.php?workbook=14_11.xlsx&amp;sheet=U0&amp;row=234&amp;col=7&amp;number=0.179&amp;sourceID=14","0.179")</f>
        <v>0.179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HYPERLINK("http://141.218.60.56/~jnz1568/getInfo.php?workbook=14_11.xlsx&amp;sheet=U0&amp;row=235&amp;col=6&amp;number=4.1&amp;sourceID=14","4.1")</f>
        <v>4.1</v>
      </c>
      <c r="G235" s="4" t="str">
        <f>HYPERLINK("http://141.218.60.56/~jnz1568/getInfo.php?workbook=14_11.xlsx&amp;sheet=U0&amp;row=235&amp;col=7&amp;number=0.179&amp;sourceID=14","0.179")</f>
        <v>0.179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HYPERLINK("http://141.218.60.56/~jnz1568/getInfo.php?workbook=14_11.xlsx&amp;sheet=U0&amp;row=236&amp;col=6&amp;number=4.2&amp;sourceID=14","4.2")</f>
        <v>4.2</v>
      </c>
      <c r="G236" s="4" t="str">
        <f>HYPERLINK("http://141.218.60.56/~jnz1568/getInfo.php?workbook=14_11.xlsx&amp;sheet=U0&amp;row=236&amp;col=7&amp;number=0.179&amp;sourceID=14","0.179")</f>
        <v>0.179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HYPERLINK("http://141.218.60.56/~jnz1568/getInfo.php?workbook=14_11.xlsx&amp;sheet=U0&amp;row=237&amp;col=6&amp;number=4.3&amp;sourceID=14","4.3")</f>
        <v>4.3</v>
      </c>
      <c r="G237" s="4" t="str">
        <f>HYPERLINK("http://141.218.60.56/~jnz1568/getInfo.php?workbook=14_11.xlsx&amp;sheet=U0&amp;row=237&amp;col=7&amp;number=0.179&amp;sourceID=14","0.179")</f>
        <v>0.179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HYPERLINK("http://141.218.60.56/~jnz1568/getInfo.php?workbook=14_11.xlsx&amp;sheet=U0&amp;row=238&amp;col=6&amp;number=4.4&amp;sourceID=14","4.4")</f>
        <v>4.4</v>
      </c>
      <c r="G238" s="4" t="str">
        <f>HYPERLINK("http://141.218.60.56/~jnz1568/getInfo.php?workbook=14_11.xlsx&amp;sheet=U0&amp;row=238&amp;col=7&amp;number=0.179&amp;sourceID=14","0.179")</f>
        <v>0.179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HYPERLINK("http://141.218.60.56/~jnz1568/getInfo.php?workbook=14_11.xlsx&amp;sheet=U0&amp;row=239&amp;col=6&amp;number=4.5&amp;sourceID=14","4.5")</f>
        <v>4.5</v>
      </c>
      <c r="G239" s="4" t="str">
        <f>HYPERLINK("http://141.218.60.56/~jnz1568/getInfo.php?workbook=14_11.xlsx&amp;sheet=U0&amp;row=239&amp;col=7&amp;number=0.179&amp;sourceID=14","0.179")</f>
        <v>0.179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HYPERLINK("http://141.218.60.56/~jnz1568/getInfo.php?workbook=14_11.xlsx&amp;sheet=U0&amp;row=240&amp;col=6&amp;number=4.6&amp;sourceID=14","4.6")</f>
        <v>4.6</v>
      </c>
      <c r="G240" s="4" t="str">
        <f>HYPERLINK("http://141.218.60.56/~jnz1568/getInfo.php?workbook=14_11.xlsx&amp;sheet=U0&amp;row=240&amp;col=7&amp;number=0.179&amp;sourceID=14","0.179")</f>
        <v>0.179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HYPERLINK("http://141.218.60.56/~jnz1568/getInfo.php?workbook=14_11.xlsx&amp;sheet=U0&amp;row=241&amp;col=6&amp;number=4.7&amp;sourceID=14","4.7")</f>
        <v>4.7</v>
      </c>
      <c r="G241" s="4" t="str">
        <f>HYPERLINK("http://141.218.60.56/~jnz1568/getInfo.php?workbook=14_11.xlsx&amp;sheet=U0&amp;row=241&amp;col=7&amp;number=0.18&amp;sourceID=14","0.18")</f>
        <v>0.18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HYPERLINK("http://141.218.60.56/~jnz1568/getInfo.php?workbook=14_11.xlsx&amp;sheet=U0&amp;row=242&amp;col=6&amp;number=4.8&amp;sourceID=14","4.8")</f>
        <v>4.8</v>
      </c>
      <c r="G242" s="4" t="str">
        <f>HYPERLINK("http://141.218.60.56/~jnz1568/getInfo.php?workbook=14_11.xlsx&amp;sheet=U0&amp;row=242&amp;col=7&amp;number=0.18&amp;sourceID=14","0.18")</f>
        <v>0.18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HYPERLINK("http://141.218.60.56/~jnz1568/getInfo.php?workbook=14_11.xlsx&amp;sheet=U0&amp;row=243&amp;col=6&amp;number=4.9&amp;sourceID=14","4.9")</f>
        <v>4.9</v>
      </c>
      <c r="G243" s="4" t="str">
        <f>HYPERLINK("http://141.218.60.56/~jnz1568/getInfo.php?workbook=14_11.xlsx&amp;sheet=U0&amp;row=243&amp;col=7&amp;number=0.18&amp;sourceID=14","0.18")</f>
        <v>0.18</v>
      </c>
    </row>
    <row r="244" spans="1:7">
      <c r="A244" s="3">
        <v>14</v>
      </c>
      <c r="B244" s="3">
        <v>11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HYPERLINK("http://141.218.60.56/~jnz1568/getInfo.php?workbook=14_11.xlsx&amp;sheet=U0&amp;row=244&amp;col=6&amp;number=3&amp;sourceID=14","3")</f>
        <v>3</v>
      </c>
      <c r="G244" s="4" t="str">
        <f>HYPERLINK("http://141.218.60.56/~jnz1568/getInfo.php?workbook=14_11.xlsx&amp;sheet=U0&amp;row=244&amp;col=7&amp;number=0.0244&amp;sourceID=14","0.0244")</f>
        <v>0.0244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HYPERLINK("http://141.218.60.56/~jnz1568/getInfo.php?workbook=14_11.xlsx&amp;sheet=U0&amp;row=245&amp;col=6&amp;number=3.1&amp;sourceID=14","3.1")</f>
        <v>3.1</v>
      </c>
      <c r="G245" s="4" t="str">
        <f>HYPERLINK("http://141.218.60.56/~jnz1568/getInfo.php?workbook=14_11.xlsx&amp;sheet=U0&amp;row=245&amp;col=7&amp;number=0.0244&amp;sourceID=14","0.0244")</f>
        <v>0.0244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HYPERLINK("http://141.218.60.56/~jnz1568/getInfo.php?workbook=14_11.xlsx&amp;sheet=U0&amp;row=246&amp;col=6&amp;number=3.2&amp;sourceID=14","3.2")</f>
        <v>3.2</v>
      </c>
      <c r="G246" s="4" t="str">
        <f>HYPERLINK("http://141.218.60.56/~jnz1568/getInfo.php?workbook=14_11.xlsx&amp;sheet=U0&amp;row=246&amp;col=7&amp;number=0.0244&amp;sourceID=14","0.0244")</f>
        <v>0.0244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HYPERLINK("http://141.218.60.56/~jnz1568/getInfo.php?workbook=14_11.xlsx&amp;sheet=U0&amp;row=247&amp;col=6&amp;number=3.3&amp;sourceID=14","3.3")</f>
        <v>3.3</v>
      </c>
      <c r="G247" s="4" t="str">
        <f>HYPERLINK("http://141.218.60.56/~jnz1568/getInfo.php?workbook=14_11.xlsx&amp;sheet=U0&amp;row=247&amp;col=7&amp;number=0.0244&amp;sourceID=14","0.0244")</f>
        <v>0.0244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HYPERLINK("http://141.218.60.56/~jnz1568/getInfo.php?workbook=14_11.xlsx&amp;sheet=U0&amp;row=248&amp;col=6&amp;number=3.4&amp;sourceID=14","3.4")</f>
        <v>3.4</v>
      </c>
      <c r="G248" s="4" t="str">
        <f>HYPERLINK("http://141.218.60.56/~jnz1568/getInfo.php?workbook=14_11.xlsx&amp;sheet=U0&amp;row=248&amp;col=7&amp;number=0.0244&amp;sourceID=14","0.0244")</f>
        <v>0.0244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HYPERLINK("http://141.218.60.56/~jnz1568/getInfo.php?workbook=14_11.xlsx&amp;sheet=U0&amp;row=249&amp;col=6&amp;number=3.5&amp;sourceID=14","3.5")</f>
        <v>3.5</v>
      </c>
      <c r="G249" s="4" t="str">
        <f>HYPERLINK("http://141.218.60.56/~jnz1568/getInfo.php?workbook=14_11.xlsx&amp;sheet=U0&amp;row=249&amp;col=7&amp;number=0.0243&amp;sourceID=14","0.0243")</f>
        <v>0.0243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HYPERLINK("http://141.218.60.56/~jnz1568/getInfo.php?workbook=14_11.xlsx&amp;sheet=U0&amp;row=250&amp;col=6&amp;number=3.6&amp;sourceID=14","3.6")</f>
        <v>3.6</v>
      </c>
      <c r="G250" s="4" t="str">
        <f>HYPERLINK("http://141.218.60.56/~jnz1568/getInfo.php?workbook=14_11.xlsx&amp;sheet=U0&amp;row=250&amp;col=7&amp;number=0.0243&amp;sourceID=14","0.0243")</f>
        <v>0.0243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HYPERLINK("http://141.218.60.56/~jnz1568/getInfo.php?workbook=14_11.xlsx&amp;sheet=U0&amp;row=251&amp;col=6&amp;number=3.7&amp;sourceID=14","3.7")</f>
        <v>3.7</v>
      </c>
      <c r="G251" s="4" t="str">
        <f>HYPERLINK("http://141.218.60.56/~jnz1568/getInfo.php?workbook=14_11.xlsx&amp;sheet=U0&amp;row=251&amp;col=7&amp;number=0.0243&amp;sourceID=14","0.0243")</f>
        <v>0.0243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HYPERLINK("http://141.218.60.56/~jnz1568/getInfo.php?workbook=14_11.xlsx&amp;sheet=U0&amp;row=252&amp;col=6&amp;number=3.8&amp;sourceID=14","3.8")</f>
        <v>3.8</v>
      </c>
      <c r="G252" s="4" t="str">
        <f>HYPERLINK("http://141.218.60.56/~jnz1568/getInfo.php?workbook=14_11.xlsx&amp;sheet=U0&amp;row=252&amp;col=7&amp;number=0.0242&amp;sourceID=14","0.0242")</f>
        <v>0.0242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HYPERLINK("http://141.218.60.56/~jnz1568/getInfo.php?workbook=14_11.xlsx&amp;sheet=U0&amp;row=253&amp;col=6&amp;number=3.9&amp;sourceID=14","3.9")</f>
        <v>3.9</v>
      </c>
      <c r="G253" s="4" t="str">
        <f>HYPERLINK("http://141.218.60.56/~jnz1568/getInfo.php?workbook=14_11.xlsx&amp;sheet=U0&amp;row=253&amp;col=7&amp;number=0.0242&amp;sourceID=14","0.0242")</f>
        <v>0.0242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HYPERLINK("http://141.218.60.56/~jnz1568/getInfo.php?workbook=14_11.xlsx&amp;sheet=U0&amp;row=254&amp;col=6&amp;number=4&amp;sourceID=14","4")</f>
        <v>4</v>
      </c>
      <c r="G254" s="4" t="str">
        <f>HYPERLINK("http://141.218.60.56/~jnz1568/getInfo.php?workbook=14_11.xlsx&amp;sheet=U0&amp;row=254&amp;col=7&amp;number=0.0241&amp;sourceID=14","0.0241")</f>
        <v>0.0241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HYPERLINK("http://141.218.60.56/~jnz1568/getInfo.php?workbook=14_11.xlsx&amp;sheet=U0&amp;row=255&amp;col=6&amp;number=4.1&amp;sourceID=14","4.1")</f>
        <v>4.1</v>
      </c>
      <c r="G255" s="4" t="str">
        <f>HYPERLINK("http://141.218.60.56/~jnz1568/getInfo.php?workbook=14_11.xlsx&amp;sheet=U0&amp;row=255&amp;col=7&amp;number=0.024&amp;sourceID=14","0.024")</f>
        <v>0.024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HYPERLINK("http://141.218.60.56/~jnz1568/getInfo.php?workbook=14_11.xlsx&amp;sheet=U0&amp;row=256&amp;col=6&amp;number=4.2&amp;sourceID=14","4.2")</f>
        <v>4.2</v>
      </c>
      <c r="G256" s="4" t="str">
        <f>HYPERLINK("http://141.218.60.56/~jnz1568/getInfo.php?workbook=14_11.xlsx&amp;sheet=U0&amp;row=256&amp;col=7&amp;number=0.0239&amp;sourceID=14","0.0239")</f>
        <v>0.0239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HYPERLINK("http://141.218.60.56/~jnz1568/getInfo.php?workbook=14_11.xlsx&amp;sheet=U0&amp;row=257&amp;col=6&amp;number=4.3&amp;sourceID=14","4.3")</f>
        <v>4.3</v>
      </c>
      <c r="G257" s="4" t="str">
        <f>HYPERLINK("http://141.218.60.56/~jnz1568/getInfo.php?workbook=14_11.xlsx&amp;sheet=U0&amp;row=257&amp;col=7&amp;number=0.0237&amp;sourceID=14","0.0237")</f>
        <v>0.0237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HYPERLINK("http://141.218.60.56/~jnz1568/getInfo.php?workbook=14_11.xlsx&amp;sheet=U0&amp;row=258&amp;col=6&amp;number=4.4&amp;sourceID=14","4.4")</f>
        <v>4.4</v>
      </c>
      <c r="G258" s="4" t="str">
        <f>HYPERLINK("http://141.218.60.56/~jnz1568/getInfo.php?workbook=14_11.xlsx&amp;sheet=U0&amp;row=258&amp;col=7&amp;number=0.0235&amp;sourceID=14","0.0235")</f>
        <v>0.0235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HYPERLINK("http://141.218.60.56/~jnz1568/getInfo.php?workbook=14_11.xlsx&amp;sheet=U0&amp;row=259&amp;col=6&amp;number=4.5&amp;sourceID=14","4.5")</f>
        <v>4.5</v>
      </c>
      <c r="G259" s="4" t="str">
        <f>HYPERLINK("http://141.218.60.56/~jnz1568/getInfo.php?workbook=14_11.xlsx&amp;sheet=U0&amp;row=259&amp;col=7&amp;number=0.0233&amp;sourceID=14","0.0233")</f>
        <v>0.0233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HYPERLINK("http://141.218.60.56/~jnz1568/getInfo.php?workbook=14_11.xlsx&amp;sheet=U0&amp;row=260&amp;col=6&amp;number=4.6&amp;sourceID=14","4.6")</f>
        <v>4.6</v>
      </c>
      <c r="G260" s="4" t="str">
        <f>HYPERLINK("http://141.218.60.56/~jnz1568/getInfo.php?workbook=14_11.xlsx&amp;sheet=U0&amp;row=260&amp;col=7&amp;number=0.0231&amp;sourceID=14","0.0231")</f>
        <v>0.0231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HYPERLINK("http://141.218.60.56/~jnz1568/getInfo.php?workbook=14_11.xlsx&amp;sheet=U0&amp;row=261&amp;col=6&amp;number=4.7&amp;sourceID=14","4.7")</f>
        <v>4.7</v>
      </c>
      <c r="G261" s="4" t="str">
        <f>HYPERLINK("http://141.218.60.56/~jnz1568/getInfo.php?workbook=14_11.xlsx&amp;sheet=U0&amp;row=261&amp;col=7&amp;number=0.0228&amp;sourceID=14","0.0228")</f>
        <v>0.0228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HYPERLINK("http://141.218.60.56/~jnz1568/getInfo.php?workbook=14_11.xlsx&amp;sheet=U0&amp;row=262&amp;col=6&amp;number=4.8&amp;sourceID=14","4.8")</f>
        <v>4.8</v>
      </c>
      <c r="G262" s="4" t="str">
        <f>HYPERLINK("http://141.218.60.56/~jnz1568/getInfo.php?workbook=14_11.xlsx&amp;sheet=U0&amp;row=262&amp;col=7&amp;number=0.0225&amp;sourceID=14","0.0225")</f>
        <v>0.0225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HYPERLINK("http://141.218.60.56/~jnz1568/getInfo.php?workbook=14_11.xlsx&amp;sheet=U0&amp;row=263&amp;col=6&amp;number=4.9&amp;sourceID=14","4.9")</f>
        <v>4.9</v>
      </c>
      <c r="G263" s="4" t="str">
        <f>HYPERLINK("http://141.218.60.56/~jnz1568/getInfo.php?workbook=14_11.xlsx&amp;sheet=U0&amp;row=263&amp;col=7&amp;number=0.0221&amp;sourceID=14","0.0221")</f>
        <v>0.0221</v>
      </c>
    </row>
    <row r="264" spans="1:7">
      <c r="A264" s="3">
        <v>14</v>
      </c>
      <c r="B264" s="3">
        <v>11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HYPERLINK("http://141.218.60.56/~jnz1568/getInfo.php?workbook=14_11.xlsx&amp;sheet=U0&amp;row=264&amp;col=6&amp;number=3&amp;sourceID=14","3")</f>
        <v>3</v>
      </c>
      <c r="G264" s="4" t="str">
        <f>HYPERLINK("http://141.218.60.56/~jnz1568/getInfo.php?workbook=14_11.xlsx&amp;sheet=U0&amp;row=264&amp;col=7&amp;number=0.0493&amp;sourceID=14","0.0493")</f>
        <v>0.0493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HYPERLINK("http://141.218.60.56/~jnz1568/getInfo.php?workbook=14_11.xlsx&amp;sheet=U0&amp;row=265&amp;col=6&amp;number=3.1&amp;sourceID=14","3.1")</f>
        <v>3.1</v>
      </c>
      <c r="G265" s="4" t="str">
        <f>HYPERLINK("http://141.218.60.56/~jnz1568/getInfo.php?workbook=14_11.xlsx&amp;sheet=U0&amp;row=265&amp;col=7&amp;number=0.0493&amp;sourceID=14","0.0493")</f>
        <v>0.0493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HYPERLINK("http://141.218.60.56/~jnz1568/getInfo.php?workbook=14_11.xlsx&amp;sheet=U0&amp;row=266&amp;col=6&amp;number=3.2&amp;sourceID=14","3.2")</f>
        <v>3.2</v>
      </c>
      <c r="G266" s="4" t="str">
        <f>HYPERLINK("http://141.218.60.56/~jnz1568/getInfo.php?workbook=14_11.xlsx&amp;sheet=U0&amp;row=266&amp;col=7&amp;number=0.0492&amp;sourceID=14","0.0492")</f>
        <v>0.0492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HYPERLINK("http://141.218.60.56/~jnz1568/getInfo.php?workbook=14_11.xlsx&amp;sheet=U0&amp;row=267&amp;col=6&amp;number=3.3&amp;sourceID=14","3.3")</f>
        <v>3.3</v>
      </c>
      <c r="G267" s="4" t="str">
        <f>HYPERLINK("http://141.218.60.56/~jnz1568/getInfo.php?workbook=14_11.xlsx&amp;sheet=U0&amp;row=267&amp;col=7&amp;number=0.0492&amp;sourceID=14","0.0492")</f>
        <v>0.0492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HYPERLINK("http://141.218.60.56/~jnz1568/getInfo.php?workbook=14_11.xlsx&amp;sheet=U0&amp;row=268&amp;col=6&amp;number=3.4&amp;sourceID=14","3.4")</f>
        <v>3.4</v>
      </c>
      <c r="G268" s="4" t="str">
        <f>HYPERLINK("http://141.218.60.56/~jnz1568/getInfo.php?workbook=14_11.xlsx&amp;sheet=U0&amp;row=268&amp;col=7&amp;number=0.0492&amp;sourceID=14","0.0492")</f>
        <v>0.0492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HYPERLINK("http://141.218.60.56/~jnz1568/getInfo.php?workbook=14_11.xlsx&amp;sheet=U0&amp;row=269&amp;col=6&amp;number=3.5&amp;sourceID=14","3.5")</f>
        <v>3.5</v>
      </c>
      <c r="G269" s="4" t="str">
        <f>HYPERLINK("http://141.218.60.56/~jnz1568/getInfo.php?workbook=14_11.xlsx&amp;sheet=U0&amp;row=269&amp;col=7&amp;number=0.0491&amp;sourceID=14","0.0491")</f>
        <v>0.0491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HYPERLINK("http://141.218.60.56/~jnz1568/getInfo.php?workbook=14_11.xlsx&amp;sheet=U0&amp;row=270&amp;col=6&amp;number=3.6&amp;sourceID=14","3.6")</f>
        <v>3.6</v>
      </c>
      <c r="G270" s="4" t="str">
        <f>HYPERLINK("http://141.218.60.56/~jnz1568/getInfo.php?workbook=14_11.xlsx&amp;sheet=U0&amp;row=270&amp;col=7&amp;number=0.049&amp;sourceID=14","0.049")</f>
        <v>0.049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HYPERLINK("http://141.218.60.56/~jnz1568/getInfo.php?workbook=14_11.xlsx&amp;sheet=U0&amp;row=271&amp;col=6&amp;number=3.7&amp;sourceID=14","3.7")</f>
        <v>3.7</v>
      </c>
      <c r="G271" s="4" t="str">
        <f>HYPERLINK("http://141.218.60.56/~jnz1568/getInfo.php?workbook=14_11.xlsx&amp;sheet=U0&amp;row=271&amp;col=7&amp;number=0.049&amp;sourceID=14","0.049")</f>
        <v>0.049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HYPERLINK("http://141.218.60.56/~jnz1568/getInfo.php?workbook=14_11.xlsx&amp;sheet=U0&amp;row=272&amp;col=6&amp;number=3.8&amp;sourceID=14","3.8")</f>
        <v>3.8</v>
      </c>
      <c r="G272" s="4" t="str">
        <f>HYPERLINK("http://141.218.60.56/~jnz1568/getInfo.php?workbook=14_11.xlsx&amp;sheet=U0&amp;row=272&amp;col=7&amp;number=0.0489&amp;sourceID=14","0.0489")</f>
        <v>0.0489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HYPERLINK("http://141.218.60.56/~jnz1568/getInfo.php?workbook=14_11.xlsx&amp;sheet=U0&amp;row=273&amp;col=6&amp;number=3.9&amp;sourceID=14","3.9")</f>
        <v>3.9</v>
      </c>
      <c r="G273" s="4" t="str">
        <f>HYPERLINK("http://141.218.60.56/~jnz1568/getInfo.php?workbook=14_11.xlsx&amp;sheet=U0&amp;row=273&amp;col=7&amp;number=0.0487&amp;sourceID=14","0.0487")</f>
        <v>0.0487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HYPERLINK("http://141.218.60.56/~jnz1568/getInfo.php?workbook=14_11.xlsx&amp;sheet=U0&amp;row=274&amp;col=6&amp;number=4&amp;sourceID=14","4")</f>
        <v>4</v>
      </c>
      <c r="G274" s="4" t="str">
        <f>HYPERLINK("http://141.218.60.56/~jnz1568/getInfo.php?workbook=14_11.xlsx&amp;sheet=U0&amp;row=274&amp;col=7&amp;number=0.0486&amp;sourceID=14","0.0486")</f>
        <v>0.0486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HYPERLINK("http://141.218.60.56/~jnz1568/getInfo.php?workbook=14_11.xlsx&amp;sheet=U0&amp;row=275&amp;col=6&amp;number=4.1&amp;sourceID=14","4.1")</f>
        <v>4.1</v>
      </c>
      <c r="G275" s="4" t="str">
        <f>HYPERLINK("http://141.218.60.56/~jnz1568/getInfo.php?workbook=14_11.xlsx&amp;sheet=U0&amp;row=275&amp;col=7&amp;number=0.0484&amp;sourceID=14","0.0484")</f>
        <v>0.0484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HYPERLINK("http://141.218.60.56/~jnz1568/getInfo.php?workbook=14_11.xlsx&amp;sheet=U0&amp;row=276&amp;col=6&amp;number=4.2&amp;sourceID=14","4.2")</f>
        <v>4.2</v>
      </c>
      <c r="G276" s="4" t="str">
        <f>HYPERLINK("http://141.218.60.56/~jnz1568/getInfo.php?workbook=14_11.xlsx&amp;sheet=U0&amp;row=276&amp;col=7&amp;number=0.0481&amp;sourceID=14","0.0481")</f>
        <v>0.0481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HYPERLINK("http://141.218.60.56/~jnz1568/getInfo.php?workbook=14_11.xlsx&amp;sheet=U0&amp;row=277&amp;col=6&amp;number=4.3&amp;sourceID=14","4.3")</f>
        <v>4.3</v>
      </c>
      <c r="G277" s="4" t="str">
        <f>HYPERLINK("http://141.218.60.56/~jnz1568/getInfo.php?workbook=14_11.xlsx&amp;sheet=U0&amp;row=277&amp;col=7&amp;number=0.0479&amp;sourceID=14","0.0479")</f>
        <v>0.0479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HYPERLINK("http://141.218.60.56/~jnz1568/getInfo.php?workbook=14_11.xlsx&amp;sheet=U0&amp;row=278&amp;col=6&amp;number=4.4&amp;sourceID=14","4.4")</f>
        <v>4.4</v>
      </c>
      <c r="G278" s="4" t="str">
        <f>HYPERLINK("http://141.218.60.56/~jnz1568/getInfo.php?workbook=14_11.xlsx&amp;sheet=U0&amp;row=278&amp;col=7&amp;number=0.0475&amp;sourceID=14","0.0475")</f>
        <v>0.0475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HYPERLINK("http://141.218.60.56/~jnz1568/getInfo.php?workbook=14_11.xlsx&amp;sheet=U0&amp;row=279&amp;col=6&amp;number=4.5&amp;sourceID=14","4.5")</f>
        <v>4.5</v>
      </c>
      <c r="G279" s="4" t="str">
        <f>HYPERLINK("http://141.218.60.56/~jnz1568/getInfo.php?workbook=14_11.xlsx&amp;sheet=U0&amp;row=279&amp;col=7&amp;number=0.0471&amp;sourceID=14","0.0471")</f>
        <v>0.0471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HYPERLINK("http://141.218.60.56/~jnz1568/getInfo.php?workbook=14_11.xlsx&amp;sheet=U0&amp;row=280&amp;col=6&amp;number=4.6&amp;sourceID=14","4.6")</f>
        <v>4.6</v>
      </c>
      <c r="G280" s="4" t="str">
        <f>HYPERLINK("http://141.218.60.56/~jnz1568/getInfo.php?workbook=14_11.xlsx&amp;sheet=U0&amp;row=280&amp;col=7&amp;number=0.0466&amp;sourceID=14","0.0466")</f>
        <v>0.0466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HYPERLINK("http://141.218.60.56/~jnz1568/getInfo.php?workbook=14_11.xlsx&amp;sheet=U0&amp;row=281&amp;col=6&amp;number=4.7&amp;sourceID=14","4.7")</f>
        <v>4.7</v>
      </c>
      <c r="G281" s="4" t="str">
        <f>HYPERLINK("http://141.218.60.56/~jnz1568/getInfo.php?workbook=14_11.xlsx&amp;sheet=U0&amp;row=281&amp;col=7&amp;number=0.046&amp;sourceID=14","0.046")</f>
        <v>0.046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HYPERLINK("http://141.218.60.56/~jnz1568/getInfo.php?workbook=14_11.xlsx&amp;sheet=U0&amp;row=282&amp;col=6&amp;number=4.8&amp;sourceID=14","4.8")</f>
        <v>4.8</v>
      </c>
      <c r="G282" s="4" t="str">
        <f>HYPERLINK("http://141.218.60.56/~jnz1568/getInfo.php?workbook=14_11.xlsx&amp;sheet=U0&amp;row=282&amp;col=7&amp;number=0.0454&amp;sourceID=14","0.0454")</f>
        <v>0.0454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HYPERLINK("http://141.218.60.56/~jnz1568/getInfo.php?workbook=14_11.xlsx&amp;sheet=U0&amp;row=283&amp;col=6&amp;number=4.9&amp;sourceID=14","4.9")</f>
        <v>4.9</v>
      </c>
      <c r="G283" s="4" t="str">
        <f>HYPERLINK("http://141.218.60.56/~jnz1568/getInfo.php?workbook=14_11.xlsx&amp;sheet=U0&amp;row=283&amp;col=7&amp;number=0.0447&amp;sourceID=14","0.0447")</f>
        <v>0.0447</v>
      </c>
    </row>
    <row r="284" spans="1:7">
      <c r="A284" s="3">
        <v>14</v>
      </c>
      <c r="B284" s="3">
        <v>11</v>
      </c>
      <c r="C284" s="3">
        <v>1</v>
      </c>
      <c r="D284" s="3">
        <v>18</v>
      </c>
      <c r="E284" s="3">
        <v>1</v>
      </c>
      <c r="F284" s="4" t="str">
        <f>HYPERLINK("http://141.218.60.56/~jnz1568/getInfo.php?workbook=14_11.xlsx&amp;sheet=U0&amp;row=284&amp;col=6&amp;number=3&amp;sourceID=14","3")</f>
        <v>3</v>
      </c>
      <c r="G284" s="4" t="str">
        <f>HYPERLINK("http://141.218.60.56/~jnz1568/getInfo.php?workbook=14_11.xlsx&amp;sheet=U0&amp;row=284&amp;col=7&amp;number=0.0515&amp;sourceID=14","0.0515")</f>
        <v>0.0515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HYPERLINK("http://141.218.60.56/~jnz1568/getInfo.php?workbook=14_11.xlsx&amp;sheet=U0&amp;row=285&amp;col=6&amp;number=3.1&amp;sourceID=14","3.1")</f>
        <v>3.1</v>
      </c>
      <c r="G285" s="4" t="str">
        <f>HYPERLINK("http://141.218.60.56/~jnz1568/getInfo.php?workbook=14_11.xlsx&amp;sheet=U0&amp;row=285&amp;col=7&amp;number=0.0514&amp;sourceID=14","0.0514")</f>
        <v>0.0514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HYPERLINK("http://141.218.60.56/~jnz1568/getInfo.php?workbook=14_11.xlsx&amp;sheet=U0&amp;row=286&amp;col=6&amp;number=3.2&amp;sourceID=14","3.2")</f>
        <v>3.2</v>
      </c>
      <c r="G286" s="4" t="str">
        <f>HYPERLINK("http://141.218.60.56/~jnz1568/getInfo.php?workbook=14_11.xlsx&amp;sheet=U0&amp;row=286&amp;col=7&amp;number=0.0514&amp;sourceID=14","0.0514")</f>
        <v>0.0514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HYPERLINK("http://141.218.60.56/~jnz1568/getInfo.php?workbook=14_11.xlsx&amp;sheet=U0&amp;row=287&amp;col=6&amp;number=3.3&amp;sourceID=14","3.3")</f>
        <v>3.3</v>
      </c>
      <c r="G287" s="4" t="str">
        <f>HYPERLINK("http://141.218.60.56/~jnz1568/getInfo.php?workbook=14_11.xlsx&amp;sheet=U0&amp;row=287&amp;col=7&amp;number=0.0514&amp;sourceID=14","0.0514")</f>
        <v>0.0514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HYPERLINK("http://141.218.60.56/~jnz1568/getInfo.php?workbook=14_11.xlsx&amp;sheet=U0&amp;row=288&amp;col=6&amp;number=3.4&amp;sourceID=14","3.4")</f>
        <v>3.4</v>
      </c>
      <c r="G288" s="4" t="str">
        <f>HYPERLINK("http://141.218.60.56/~jnz1568/getInfo.php?workbook=14_11.xlsx&amp;sheet=U0&amp;row=288&amp;col=7&amp;number=0.0514&amp;sourceID=14","0.0514")</f>
        <v>0.0514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HYPERLINK("http://141.218.60.56/~jnz1568/getInfo.php?workbook=14_11.xlsx&amp;sheet=U0&amp;row=289&amp;col=6&amp;number=3.5&amp;sourceID=14","3.5")</f>
        <v>3.5</v>
      </c>
      <c r="G289" s="4" t="str">
        <f>HYPERLINK("http://141.218.60.56/~jnz1568/getInfo.php?workbook=14_11.xlsx&amp;sheet=U0&amp;row=289&amp;col=7&amp;number=0.0514&amp;sourceID=14","0.0514")</f>
        <v>0.0514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HYPERLINK("http://141.218.60.56/~jnz1568/getInfo.php?workbook=14_11.xlsx&amp;sheet=U0&amp;row=290&amp;col=6&amp;number=3.6&amp;sourceID=14","3.6")</f>
        <v>3.6</v>
      </c>
      <c r="G290" s="4" t="str">
        <f>HYPERLINK("http://141.218.60.56/~jnz1568/getInfo.php?workbook=14_11.xlsx&amp;sheet=U0&amp;row=290&amp;col=7&amp;number=0.0513&amp;sourceID=14","0.0513")</f>
        <v>0.0513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HYPERLINK("http://141.218.60.56/~jnz1568/getInfo.php?workbook=14_11.xlsx&amp;sheet=U0&amp;row=291&amp;col=6&amp;number=3.7&amp;sourceID=14","3.7")</f>
        <v>3.7</v>
      </c>
      <c r="G291" s="4" t="str">
        <f>HYPERLINK("http://141.218.60.56/~jnz1568/getInfo.php?workbook=14_11.xlsx&amp;sheet=U0&amp;row=291&amp;col=7&amp;number=0.0513&amp;sourceID=14","0.0513")</f>
        <v>0.0513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HYPERLINK("http://141.218.60.56/~jnz1568/getInfo.php?workbook=14_11.xlsx&amp;sheet=U0&amp;row=292&amp;col=6&amp;number=3.8&amp;sourceID=14","3.8")</f>
        <v>3.8</v>
      </c>
      <c r="G292" s="4" t="str">
        <f>HYPERLINK("http://141.218.60.56/~jnz1568/getInfo.php?workbook=14_11.xlsx&amp;sheet=U0&amp;row=292&amp;col=7&amp;number=0.0513&amp;sourceID=14","0.0513")</f>
        <v>0.0513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HYPERLINK("http://141.218.60.56/~jnz1568/getInfo.php?workbook=14_11.xlsx&amp;sheet=U0&amp;row=293&amp;col=6&amp;number=3.9&amp;sourceID=14","3.9")</f>
        <v>3.9</v>
      </c>
      <c r="G293" s="4" t="str">
        <f>HYPERLINK("http://141.218.60.56/~jnz1568/getInfo.php?workbook=14_11.xlsx&amp;sheet=U0&amp;row=293&amp;col=7&amp;number=0.0512&amp;sourceID=14","0.0512")</f>
        <v>0.0512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HYPERLINK("http://141.218.60.56/~jnz1568/getInfo.php?workbook=14_11.xlsx&amp;sheet=U0&amp;row=294&amp;col=6&amp;number=4&amp;sourceID=14","4")</f>
        <v>4</v>
      </c>
      <c r="G294" s="4" t="str">
        <f>HYPERLINK("http://141.218.60.56/~jnz1568/getInfo.php?workbook=14_11.xlsx&amp;sheet=U0&amp;row=294&amp;col=7&amp;number=0.0511&amp;sourceID=14","0.0511")</f>
        <v>0.0511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HYPERLINK("http://141.218.60.56/~jnz1568/getInfo.php?workbook=14_11.xlsx&amp;sheet=U0&amp;row=295&amp;col=6&amp;number=4.1&amp;sourceID=14","4.1")</f>
        <v>4.1</v>
      </c>
      <c r="G295" s="4" t="str">
        <f>HYPERLINK("http://141.218.60.56/~jnz1568/getInfo.php?workbook=14_11.xlsx&amp;sheet=U0&amp;row=295&amp;col=7&amp;number=0.051&amp;sourceID=14","0.051")</f>
        <v>0.051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HYPERLINK("http://141.218.60.56/~jnz1568/getInfo.php?workbook=14_11.xlsx&amp;sheet=U0&amp;row=296&amp;col=6&amp;number=4.2&amp;sourceID=14","4.2")</f>
        <v>4.2</v>
      </c>
      <c r="G296" s="4" t="str">
        <f>HYPERLINK("http://141.218.60.56/~jnz1568/getInfo.php?workbook=14_11.xlsx&amp;sheet=U0&amp;row=296&amp;col=7&amp;number=0.0509&amp;sourceID=14","0.0509")</f>
        <v>0.0509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HYPERLINK("http://141.218.60.56/~jnz1568/getInfo.php?workbook=14_11.xlsx&amp;sheet=U0&amp;row=297&amp;col=6&amp;number=4.3&amp;sourceID=14","4.3")</f>
        <v>4.3</v>
      </c>
      <c r="G297" s="4" t="str">
        <f>HYPERLINK("http://141.218.60.56/~jnz1568/getInfo.php?workbook=14_11.xlsx&amp;sheet=U0&amp;row=297&amp;col=7&amp;number=0.0508&amp;sourceID=14","0.0508")</f>
        <v>0.0508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HYPERLINK("http://141.218.60.56/~jnz1568/getInfo.php?workbook=14_11.xlsx&amp;sheet=U0&amp;row=298&amp;col=6&amp;number=4.4&amp;sourceID=14","4.4")</f>
        <v>4.4</v>
      </c>
      <c r="G298" s="4" t="str">
        <f>HYPERLINK("http://141.218.60.56/~jnz1568/getInfo.php?workbook=14_11.xlsx&amp;sheet=U0&amp;row=298&amp;col=7&amp;number=0.0507&amp;sourceID=14","0.0507")</f>
        <v>0.0507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HYPERLINK("http://141.218.60.56/~jnz1568/getInfo.php?workbook=14_11.xlsx&amp;sheet=U0&amp;row=299&amp;col=6&amp;number=4.5&amp;sourceID=14","4.5")</f>
        <v>4.5</v>
      </c>
      <c r="G299" s="4" t="str">
        <f>HYPERLINK("http://141.218.60.56/~jnz1568/getInfo.php?workbook=14_11.xlsx&amp;sheet=U0&amp;row=299&amp;col=7&amp;number=0.0505&amp;sourceID=14","0.0505")</f>
        <v>0.0505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HYPERLINK("http://141.218.60.56/~jnz1568/getInfo.php?workbook=14_11.xlsx&amp;sheet=U0&amp;row=300&amp;col=6&amp;number=4.6&amp;sourceID=14","4.6")</f>
        <v>4.6</v>
      </c>
      <c r="G300" s="4" t="str">
        <f>HYPERLINK("http://141.218.60.56/~jnz1568/getInfo.php?workbook=14_11.xlsx&amp;sheet=U0&amp;row=300&amp;col=7&amp;number=0.0503&amp;sourceID=14","0.0503")</f>
        <v>0.0503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HYPERLINK("http://141.218.60.56/~jnz1568/getInfo.php?workbook=14_11.xlsx&amp;sheet=U0&amp;row=301&amp;col=6&amp;number=4.7&amp;sourceID=14","4.7")</f>
        <v>4.7</v>
      </c>
      <c r="G301" s="4" t="str">
        <f>HYPERLINK("http://141.218.60.56/~jnz1568/getInfo.php?workbook=14_11.xlsx&amp;sheet=U0&amp;row=301&amp;col=7&amp;number=0.0501&amp;sourceID=14","0.0501")</f>
        <v>0.0501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HYPERLINK("http://141.218.60.56/~jnz1568/getInfo.php?workbook=14_11.xlsx&amp;sheet=U0&amp;row=302&amp;col=6&amp;number=4.8&amp;sourceID=14","4.8")</f>
        <v>4.8</v>
      </c>
      <c r="G302" s="4" t="str">
        <f>HYPERLINK("http://141.218.60.56/~jnz1568/getInfo.php?workbook=14_11.xlsx&amp;sheet=U0&amp;row=302&amp;col=7&amp;number=0.0499&amp;sourceID=14","0.0499")</f>
        <v>0.0499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HYPERLINK("http://141.218.60.56/~jnz1568/getInfo.php?workbook=14_11.xlsx&amp;sheet=U0&amp;row=303&amp;col=6&amp;number=4.9&amp;sourceID=14","4.9")</f>
        <v>4.9</v>
      </c>
      <c r="G303" s="4" t="str">
        <f>HYPERLINK("http://141.218.60.56/~jnz1568/getInfo.php?workbook=14_11.xlsx&amp;sheet=U0&amp;row=303&amp;col=7&amp;number=0.0496&amp;sourceID=14","0.0496")</f>
        <v>0.0496</v>
      </c>
    </row>
    <row r="304" spans="1:7">
      <c r="A304" s="3">
        <v>14</v>
      </c>
      <c r="B304" s="3">
        <v>11</v>
      </c>
      <c r="C304" s="3">
        <v>1</v>
      </c>
      <c r="D304" s="3">
        <v>19</v>
      </c>
      <c r="E304" s="3">
        <v>1</v>
      </c>
      <c r="F304" s="4" t="str">
        <f>HYPERLINK("http://141.218.60.56/~jnz1568/getInfo.php?workbook=14_11.xlsx&amp;sheet=U0&amp;row=304&amp;col=6&amp;number=3&amp;sourceID=14","3")</f>
        <v>3</v>
      </c>
      <c r="G304" s="4" t="str">
        <f>HYPERLINK("http://141.218.60.56/~jnz1568/getInfo.php?workbook=14_11.xlsx&amp;sheet=U0&amp;row=304&amp;col=7&amp;number=0.0686&amp;sourceID=14","0.0686")</f>
        <v>0.0686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HYPERLINK("http://141.218.60.56/~jnz1568/getInfo.php?workbook=14_11.xlsx&amp;sheet=U0&amp;row=305&amp;col=6&amp;number=3.1&amp;sourceID=14","3.1")</f>
        <v>3.1</v>
      </c>
      <c r="G305" s="4" t="str">
        <f>HYPERLINK("http://141.218.60.56/~jnz1568/getInfo.php?workbook=14_11.xlsx&amp;sheet=U0&amp;row=305&amp;col=7&amp;number=0.0686&amp;sourceID=14","0.0686")</f>
        <v>0.0686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HYPERLINK("http://141.218.60.56/~jnz1568/getInfo.php?workbook=14_11.xlsx&amp;sheet=U0&amp;row=306&amp;col=6&amp;number=3.2&amp;sourceID=14","3.2")</f>
        <v>3.2</v>
      </c>
      <c r="G306" s="4" t="str">
        <f>HYPERLINK("http://141.218.60.56/~jnz1568/getInfo.php?workbook=14_11.xlsx&amp;sheet=U0&amp;row=306&amp;col=7&amp;number=0.0686&amp;sourceID=14","0.0686")</f>
        <v>0.0686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HYPERLINK("http://141.218.60.56/~jnz1568/getInfo.php?workbook=14_11.xlsx&amp;sheet=U0&amp;row=307&amp;col=6&amp;number=3.3&amp;sourceID=14","3.3")</f>
        <v>3.3</v>
      </c>
      <c r="G307" s="4" t="str">
        <f>HYPERLINK("http://141.218.60.56/~jnz1568/getInfo.php?workbook=14_11.xlsx&amp;sheet=U0&amp;row=307&amp;col=7&amp;number=0.0686&amp;sourceID=14","0.0686")</f>
        <v>0.0686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HYPERLINK("http://141.218.60.56/~jnz1568/getInfo.php?workbook=14_11.xlsx&amp;sheet=U0&amp;row=308&amp;col=6&amp;number=3.4&amp;sourceID=14","3.4")</f>
        <v>3.4</v>
      </c>
      <c r="G308" s="4" t="str">
        <f>HYPERLINK("http://141.218.60.56/~jnz1568/getInfo.php?workbook=14_11.xlsx&amp;sheet=U0&amp;row=308&amp;col=7&amp;number=0.0685&amp;sourceID=14","0.0685")</f>
        <v>0.0685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HYPERLINK("http://141.218.60.56/~jnz1568/getInfo.php?workbook=14_11.xlsx&amp;sheet=U0&amp;row=309&amp;col=6&amp;number=3.5&amp;sourceID=14","3.5")</f>
        <v>3.5</v>
      </c>
      <c r="G309" s="4" t="str">
        <f>HYPERLINK("http://141.218.60.56/~jnz1568/getInfo.php?workbook=14_11.xlsx&amp;sheet=U0&amp;row=309&amp;col=7&amp;number=0.0685&amp;sourceID=14","0.0685")</f>
        <v>0.0685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HYPERLINK("http://141.218.60.56/~jnz1568/getInfo.php?workbook=14_11.xlsx&amp;sheet=U0&amp;row=310&amp;col=6&amp;number=3.6&amp;sourceID=14","3.6")</f>
        <v>3.6</v>
      </c>
      <c r="G310" s="4" t="str">
        <f>HYPERLINK("http://141.218.60.56/~jnz1568/getInfo.php?workbook=14_11.xlsx&amp;sheet=U0&amp;row=310&amp;col=7&amp;number=0.0685&amp;sourceID=14","0.0685")</f>
        <v>0.0685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HYPERLINK("http://141.218.60.56/~jnz1568/getInfo.php?workbook=14_11.xlsx&amp;sheet=U0&amp;row=311&amp;col=6&amp;number=3.7&amp;sourceID=14","3.7")</f>
        <v>3.7</v>
      </c>
      <c r="G311" s="4" t="str">
        <f>HYPERLINK("http://141.218.60.56/~jnz1568/getInfo.php?workbook=14_11.xlsx&amp;sheet=U0&amp;row=311&amp;col=7&amp;number=0.0684&amp;sourceID=14","0.0684")</f>
        <v>0.0684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HYPERLINK("http://141.218.60.56/~jnz1568/getInfo.php?workbook=14_11.xlsx&amp;sheet=U0&amp;row=312&amp;col=6&amp;number=3.8&amp;sourceID=14","3.8")</f>
        <v>3.8</v>
      </c>
      <c r="G312" s="4" t="str">
        <f>HYPERLINK("http://141.218.60.56/~jnz1568/getInfo.php?workbook=14_11.xlsx&amp;sheet=U0&amp;row=312&amp;col=7&amp;number=0.0683&amp;sourceID=14","0.0683")</f>
        <v>0.0683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HYPERLINK("http://141.218.60.56/~jnz1568/getInfo.php?workbook=14_11.xlsx&amp;sheet=U0&amp;row=313&amp;col=6&amp;number=3.9&amp;sourceID=14","3.9")</f>
        <v>3.9</v>
      </c>
      <c r="G313" s="4" t="str">
        <f>HYPERLINK("http://141.218.60.56/~jnz1568/getInfo.php?workbook=14_11.xlsx&amp;sheet=U0&amp;row=313&amp;col=7&amp;number=0.0683&amp;sourceID=14","0.0683")</f>
        <v>0.0683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HYPERLINK("http://141.218.60.56/~jnz1568/getInfo.php?workbook=14_11.xlsx&amp;sheet=U0&amp;row=314&amp;col=6&amp;number=4&amp;sourceID=14","4")</f>
        <v>4</v>
      </c>
      <c r="G314" s="4" t="str">
        <f>HYPERLINK("http://141.218.60.56/~jnz1568/getInfo.php?workbook=14_11.xlsx&amp;sheet=U0&amp;row=314&amp;col=7&amp;number=0.0682&amp;sourceID=14","0.0682")</f>
        <v>0.0682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HYPERLINK("http://141.218.60.56/~jnz1568/getInfo.php?workbook=14_11.xlsx&amp;sheet=U0&amp;row=315&amp;col=6&amp;number=4.1&amp;sourceID=14","4.1")</f>
        <v>4.1</v>
      </c>
      <c r="G315" s="4" t="str">
        <f>HYPERLINK("http://141.218.60.56/~jnz1568/getInfo.php?workbook=14_11.xlsx&amp;sheet=U0&amp;row=315&amp;col=7&amp;number=0.0681&amp;sourceID=14","0.0681")</f>
        <v>0.0681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HYPERLINK("http://141.218.60.56/~jnz1568/getInfo.php?workbook=14_11.xlsx&amp;sheet=U0&amp;row=316&amp;col=6&amp;number=4.2&amp;sourceID=14","4.2")</f>
        <v>4.2</v>
      </c>
      <c r="G316" s="4" t="str">
        <f>HYPERLINK("http://141.218.60.56/~jnz1568/getInfo.php?workbook=14_11.xlsx&amp;sheet=U0&amp;row=316&amp;col=7&amp;number=0.0679&amp;sourceID=14","0.0679")</f>
        <v>0.0679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HYPERLINK("http://141.218.60.56/~jnz1568/getInfo.php?workbook=14_11.xlsx&amp;sheet=U0&amp;row=317&amp;col=6&amp;number=4.3&amp;sourceID=14","4.3")</f>
        <v>4.3</v>
      </c>
      <c r="G317" s="4" t="str">
        <f>HYPERLINK("http://141.218.60.56/~jnz1568/getInfo.php?workbook=14_11.xlsx&amp;sheet=U0&amp;row=317&amp;col=7&amp;number=0.0677&amp;sourceID=14","0.0677")</f>
        <v>0.0677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HYPERLINK("http://141.218.60.56/~jnz1568/getInfo.php?workbook=14_11.xlsx&amp;sheet=U0&amp;row=318&amp;col=6&amp;number=4.4&amp;sourceID=14","4.4")</f>
        <v>4.4</v>
      </c>
      <c r="G318" s="4" t="str">
        <f>HYPERLINK("http://141.218.60.56/~jnz1568/getInfo.php?workbook=14_11.xlsx&amp;sheet=U0&amp;row=318&amp;col=7&amp;number=0.0675&amp;sourceID=14","0.0675")</f>
        <v>0.0675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HYPERLINK("http://141.218.60.56/~jnz1568/getInfo.php?workbook=14_11.xlsx&amp;sheet=U0&amp;row=319&amp;col=6&amp;number=4.5&amp;sourceID=14","4.5")</f>
        <v>4.5</v>
      </c>
      <c r="G319" s="4" t="str">
        <f>HYPERLINK("http://141.218.60.56/~jnz1568/getInfo.php?workbook=14_11.xlsx&amp;sheet=U0&amp;row=319&amp;col=7&amp;number=0.0673&amp;sourceID=14","0.0673")</f>
        <v>0.0673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HYPERLINK("http://141.218.60.56/~jnz1568/getInfo.php?workbook=14_11.xlsx&amp;sheet=U0&amp;row=320&amp;col=6&amp;number=4.6&amp;sourceID=14","4.6")</f>
        <v>4.6</v>
      </c>
      <c r="G320" s="4" t="str">
        <f>HYPERLINK("http://141.218.60.56/~jnz1568/getInfo.php?workbook=14_11.xlsx&amp;sheet=U0&amp;row=320&amp;col=7&amp;number=0.067&amp;sourceID=14","0.067")</f>
        <v>0.067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HYPERLINK("http://141.218.60.56/~jnz1568/getInfo.php?workbook=14_11.xlsx&amp;sheet=U0&amp;row=321&amp;col=6&amp;number=4.7&amp;sourceID=14","4.7")</f>
        <v>4.7</v>
      </c>
      <c r="G321" s="4" t="str">
        <f>HYPERLINK("http://141.218.60.56/~jnz1568/getInfo.php?workbook=14_11.xlsx&amp;sheet=U0&amp;row=321&amp;col=7&amp;number=0.0668&amp;sourceID=14","0.0668")</f>
        <v>0.0668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HYPERLINK("http://141.218.60.56/~jnz1568/getInfo.php?workbook=14_11.xlsx&amp;sheet=U0&amp;row=322&amp;col=6&amp;number=4.8&amp;sourceID=14","4.8")</f>
        <v>4.8</v>
      </c>
      <c r="G322" s="4" t="str">
        <f>HYPERLINK("http://141.218.60.56/~jnz1568/getInfo.php?workbook=14_11.xlsx&amp;sheet=U0&amp;row=322&amp;col=7&amp;number=0.0665&amp;sourceID=14","0.0665")</f>
        <v>0.0665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HYPERLINK("http://141.218.60.56/~jnz1568/getInfo.php?workbook=14_11.xlsx&amp;sheet=U0&amp;row=323&amp;col=6&amp;number=4.9&amp;sourceID=14","4.9")</f>
        <v>4.9</v>
      </c>
      <c r="G323" s="4" t="str">
        <f>HYPERLINK("http://141.218.60.56/~jnz1568/getInfo.php?workbook=14_11.xlsx&amp;sheet=U0&amp;row=323&amp;col=7&amp;number=0.0662&amp;sourceID=14","0.0662")</f>
        <v>0.0662</v>
      </c>
    </row>
    <row r="324" spans="1:7">
      <c r="A324" s="3">
        <v>14</v>
      </c>
      <c r="B324" s="3">
        <v>11</v>
      </c>
      <c r="C324" s="3">
        <v>1</v>
      </c>
      <c r="D324" s="3">
        <v>20</v>
      </c>
      <c r="E324" s="3">
        <v>1</v>
      </c>
      <c r="F324" s="4" t="str">
        <f>HYPERLINK("http://141.218.60.56/~jnz1568/getInfo.php?workbook=14_11.xlsx&amp;sheet=U0&amp;row=324&amp;col=6&amp;number=3&amp;sourceID=14","3")</f>
        <v>3</v>
      </c>
      <c r="G324" s="4" t="str">
        <f>HYPERLINK("http://141.218.60.56/~jnz1568/getInfo.php?workbook=14_11.xlsx&amp;sheet=U0&amp;row=324&amp;col=7&amp;number=0.012&amp;sourceID=14","0.012")</f>
        <v>0.012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HYPERLINK("http://141.218.60.56/~jnz1568/getInfo.php?workbook=14_11.xlsx&amp;sheet=U0&amp;row=325&amp;col=6&amp;number=3.1&amp;sourceID=14","3.1")</f>
        <v>3.1</v>
      </c>
      <c r="G325" s="4" t="str">
        <f>HYPERLINK("http://141.218.60.56/~jnz1568/getInfo.php?workbook=14_11.xlsx&amp;sheet=U0&amp;row=325&amp;col=7&amp;number=0.012&amp;sourceID=14","0.012")</f>
        <v>0.012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HYPERLINK("http://141.218.60.56/~jnz1568/getInfo.php?workbook=14_11.xlsx&amp;sheet=U0&amp;row=326&amp;col=6&amp;number=3.2&amp;sourceID=14","3.2")</f>
        <v>3.2</v>
      </c>
      <c r="G326" s="4" t="str">
        <f>HYPERLINK("http://141.218.60.56/~jnz1568/getInfo.php?workbook=14_11.xlsx&amp;sheet=U0&amp;row=326&amp;col=7&amp;number=0.012&amp;sourceID=14","0.012")</f>
        <v>0.012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HYPERLINK("http://141.218.60.56/~jnz1568/getInfo.php?workbook=14_11.xlsx&amp;sheet=U0&amp;row=327&amp;col=6&amp;number=3.3&amp;sourceID=14","3.3")</f>
        <v>3.3</v>
      </c>
      <c r="G327" s="4" t="str">
        <f>HYPERLINK("http://141.218.60.56/~jnz1568/getInfo.php?workbook=14_11.xlsx&amp;sheet=U0&amp;row=327&amp;col=7&amp;number=0.0119&amp;sourceID=14","0.0119")</f>
        <v>0.0119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HYPERLINK("http://141.218.60.56/~jnz1568/getInfo.php?workbook=14_11.xlsx&amp;sheet=U0&amp;row=328&amp;col=6&amp;number=3.4&amp;sourceID=14","3.4")</f>
        <v>3.4</v>
      </c>
      <c r="G328" s="4" t="str">
        <f>HYPERLINK("http://141.218.60.56/~jnz1568/getInfo.php?workbook=14_11.xlsx&amp;sheet=U0&amp;row=328&amp;col=7&amp;number=0.0119&amp;sourceID=14","0.0119")</f>
        <v>0.0119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HYPERLINK("http://141.218.60.56/~jnz1568/getInfo.php?workbook=14_11.xlsx&amp;sheet=U0&amp;row=329&amp;col=6&amp;number=3.5&amp;sourceID=14","3.5")</f>
        <v>3.5</v>
      </c>
      <c r="G329" s="4" t="str">
        <f>HYPERLINK("http://141.218.60.56/~jnz1568/getInfo.php?workbook=14_11.xlsx&amp;sheet=U0&amp;row=329&amp;col=7&amp;number=0.0119&amp;sourceID=14","0.0119")</f>
        <v>0.0119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HYPERLINK("http://141.218.60.56/~jnz1568/getInfo.php?workbook=14_11.xlsx&amp;sheet=U0&amp;row=330&amp;col=6&amp;number=3.6&amp;sourceID=14","3.6")</f>
        <v>3.6</v>
      </c>
      <c r="G330" s="4" t="str">
        <f>HYPERLINK("http://141.218.60.56/~jnz1568/getInfo.php?workbook=14_11.xlsx&amp;sheet=U0&amp;row=330&amp;col=7&amp;number=0.0119&amp;sourceID=14","0.0119")</f>
        <v>0.0119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HYPERLINK("http://141.218.60.56/~jnz1568/getInfo.php?workbook=14_11.xlsx&amp;sheet=U0&amp;row=331&amp;col=6&amp;number=3.7&amp;sourceID=14","3.7")</f>
        <v>3.7</v>
      </c>
      <c r="G331" s="4" t="str">
        <f>HYPERLINK("http://141.218.60.56/~jnz1568/getInfo.php?workbook=14_11.xlsx&amp;sheet=U0&amp;row=331&amp;col=7&amp;number=0.0118&amp;sourceID=14","0.0118")</f>
        <v>0.0118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HYPERLINK("http://141.218.60.56/~jnz1568/getInfo.php?workbook=14_11.xlsx&amp;sheet=U0&amp;row=332&amp;col=6&amp;number=3.8&amp;sourceID=14","3.8")</f>
        <v>3.8</v>
      </c>
      <c r="G332" s="4" t="str">
        <f>HYPERLINK("http://141.218.60.56/~jnz1568/getInfo.php?workbook=14_11.xlsx&amp;sheet=U0&amp;row=332&amp;col=7&amp;number=0.0118&amp;sourceID=14","0.0118")</f>
        <v>0.0118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HYPERLINK("http://141.218.60.56/~jnz1568/getInfo.php?workbook=14_11.xlsx&amp;sheet=U0&amp;row=333&amp;col=6&amp;number=3.9&amp;sourceID=14","3.9")</f>
        <v>3.9</v>
      </c>
      <c r="G333" s="4" t="str">
        <f>HYPERLINK("http://141.218.60.56/~jnz1568/getInfo.php?workbook=14_11.xlsx&amp;sheet=U0&amp;row=333&amp;col=7&amp;number=0.0118&amp;sourceID=14","0.0118")</f>
        <v>0.0118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HYPERLINK("http://141.218.60.56/~jnz1568/getInfo.php?workbook=14_11.xlsx&amp;sheet=U0&amp;row=334&amp;col=6&amp;number=4&amp;sourceID=14","4")</f>
        <v>4</v>
      </c>
      <c r="G334" s="4" t="str">
        <f>HYPERLINK("http://141.218.60.56/~jnz1568/getInfo.php?workbook=14_11.xlsx&amp;sheet=U0&amp;row=334&amp;col=7&amp;number=0.0117&amp;sourceID=14","0.0117")</f>
        <v>0.0117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HYPERLINK("http://141.218.60.56/~jnz1568/getInfo.php?workbook=14_11.xlsx&amp;sheet=U0&amp;row=335&amp;col=6&amp;number=4.1&amp;sourceID=14","4.1")</f>
        <v>4.1</v>
      </c>
      <c r="G335" s="4" t="str">
        <f>HYPERLINK("http://141.218.60.56/~jnz1568/getInfo.php?workbook=14_11.xlsx&amp;sheet=U0&amp;row=335&amp;col=7&amp;number=0.0116&amp;sourceID=14","0.0116")</f>
        <v>0.0116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HYPERLINK("http://141.218.60.56/~jnz1568/getInfo.php?workbook=14_11.xlsx&amp;sheet=U0&amp;row=336&amp;col=6&amp;number=4.2&amp;sourceID=14","4.2")</f>
        <v>4.2</v>
      </c>
      <c r="G336" s="4" t="str">
        <f>HYPERLINK("http://141.218.60.56/~jnz1568/getInfo.php?workbook=14_11.xlsx&amp;sheet=U0&amp;row=336&amp;col=7&amp;number=0.0115&amp;sourceID=14","0.0115")</f>
        <v>0.0115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HYPERLINK("http://141.218.60.56/~jnz1568/getInfo.php?workbook=14_11.xlsx&amp;sheet=U0&amp;row=337&amp;col=6&amp;number=4.3&amp;sourceID=14","4.3")</f>
        <v>4.3</v>
      </c>
      <c r="G337" s="4" t="str">
        <f>HYPERLINK("http://141.218.60.56/~jnz1568/getInfo.php?workbook=14_11.xlsx&amp;sheet=U0&amp;row=337&amp;col=7&amp;number=0.0114&amp;sourceID=14","0.0114")</f>
        <v>0.0114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HYPERLINK("http://141.218.60.56/~jnz1568/getInfo.php?workbook=14_11.xlsx&amp;sheet=U0&amp;row=338&amp;col=6&amp;number=4.4&amp;sourceID=14","4.4")</f>
        <v>4.4</v>
      </c>
      <c r="G338" s="4" t="str">
        <f>HYPERLINK("http://141.218.60.56/~jnz1568/getInfo.php?workbook=14_11.xlsx&amp;sheet=U0&amp;row=338&amp;col=7&amp;number=0.0113&amp;sourceID=14","0.0113")</f>
        <v>0.0113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HYPERLINK("http://141.218.60.56/~jnz1568/getInfo.php?workbook=14_11.xlsx&amp;sheet=U0&amp;row=339&amp;col=6&amp;number=4.5&amp;sourceID=14","4.5")</f>
        <v>4.5</v>
      </c>
      <c r="G339" s="4" t="str">
        <f>HYPERLINK("http://141.218.60.56/~jnz1568/getInfo.php?workbook=14_11.xlsx&amp;sheet=U0&amp;row=339&amp;col=7&amp;number=0.0112&amp;sourceID=14","0.0112")</f>
        <v>0.0112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HYPERLINK("http://141.218.60.56/~jnz1568/getInfo.php?workbook=14_11.xlsx&amp;sheet=U0&amp;row=340&amp;col=6&amp;number=4.6&amp;sourceID=14","4.6")</f>
        <v>4.6</v>
      </c>
      <c r="G340" s="4" t="str">
        <f>HYPERLINK("http://141.218.60.56/~jnz1568/getInfo.php?workbook=14_11.xlsx&amp;sheet=U0&amp;row=340&amp;col=7&amp;number=0.011&amp;sourceID=14","0.011")</f>
        <v>0.011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HYPERLINK("http://141.218.60.56/~jnz1568/getInfo.php?workbook=14_11.xlsx&amp;sheet=U0&amp;row=341&amp;col=6&amp;number=4.7&amp;sourceID=14","4.7")</f>
        <v>4.7</v>
      </c>
      <c r="G341" s="4" t="str">
        <f>HYPERLINK("http://141.218.60.56/~jnz1568/getInfo.php?workbook=14_11.xlsx&amp;sheet=U0&amp;row=341&amp;col=7&amp;number=0.0108&amp;sourceID=14","0.0108")</f>
        <v>0.0108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HYPERLINK("http://141.218.60.56/~jnz1568/getInfo.php?workbook=14_11.xlsx&amp;sheet=U0&amp;row=342&amp;col=6&amp;number=4.8&amp;sourceID=14","4.8")</f>
        <v>4.8</v>
      </c>
      <c r="G342" s="4" t="str">
        <f>HYPERLINK("http://141.218.60.56/~jnz1568/getInfo.php?workbook=14_11.xlsx&amp;sheet=U0&amp;row=342&amp;col=7&amp;number=0.0105&amp;sourceID=14","0.0105")</f>
        <v>0.0105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HYPERLINK("http://141.218.60.56/~jnz1568/getInfo.php?workbook=14_11.xlsx&amp;sheet=U0&amp;row=343&amp;col=6&amp;number=4.9&amp;sourceID=14","4.9")</f>
        <v>4.9</v>
      </c>
      <c r="G343" s="4" t="str">
        <f>HYPERLINK("http://141.218.60.56/~jnz1568/getInfo.php?workbook=14_11.xlsx&amp;sheet=U0&amp;row=343&amp;col=7&amp;number=0.0103&amp;sourceID=14","0.0103")</f>
        <v>0.0103</v>
      </c>
    </row>
    <row r="344" spans="1:7">
      <c r="A344" s="3">
        <v>14</v>
      </c>
      <c r="B344" s="3">
        <v>11</v>
      </c>
      <c r="C344" s="3">
        <v>1</v>
      </c>
      <c r="D344" s="3">
        <v>21</v>
      </c>
      <c r="E344" s="3">
        <v>1</v>
      </c>
      <c r="F344" s="4" t="str">
        <f>HYPERLINK("http://141.218.60.56/~jnz1568/getInfo.php?workbook=14_11.xlsx&amp;sheet=U0&amp;row=344&amp;col=6&amp;number=3&amp;sourceID=14","3")</f>
        <v>3</v>
      </c>
      <c r="G344" s="4" t="str">
        <f>HYPERLINK("http://141.218.60.56/~jnz1568/getInfo.php?workbook=14_11.xlsx&amp;sheet=U0&amp;row=344&amp;col=7&amp;number=0.015&amp;sourceID=14","0.015")</f>
        <v>0.015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HYPERLINK("http://141.218.60.56/~jnz1568/getInfo.php?workbook=14_11.xlsx&amp;sheet=U0&amp;row=345&amp;col=6&amp;number=3.1&amp;sourceID=14","3.1")</f>
        <v>3.1</v>
      </c>
      <c r="G345" s="4" t="str">
        <f>HYPERLINK("http://141.218.60.56/~jnz1568/getInfo.php?workbook=14_11.xlsx&amp;sheet=U0&amp;row=345&amp;col=7&amp;number=0.015&amp;sourceID=14","0.015")</f>
        <v>0.015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HYPERLINK("http://141.218.60.56/~jnz1568/getInfo.php?workbook=14_11.xlsx&amp;sheet=U0&amp;row=346&amp;col=6&amp;number=3.2&amp;sourceID=14","3.2")</f>
        <v>3.2</v>
      </c>
      <c r="G346" s="4" t="str">
        <f>HYPERLINK("http://141.218.60.56/~jnz1568/getInfo.php?workbook=14_11.xlsx&amp;sheet=U0&amp;row=346&amp;col=7&amp;number=0.0149&amp;sourceID=14","0.0149")</f>
        <v>0.0149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HYPERLINK("http://141.218.60.56/~jnz1568/getInfo.php?workbook=14_11.xlsx&amp;sheet=U0&amp;row=347&amp;col=6&amp;number=3.3&amp;sourceID=14","3.3")</f>
        <v>3.3</v>
      </c>
      <c r="G347" s="4" t="str">
        <f>HYPERLINK("http://141.218.60.56/~jnz1568/getInfo.php?workbook=14_11.xlsx&amp;sheet=U0&amp;row=347&amp;col=7&amp;number=0.0149&amp;sourceID=14","0.0149")</f>
        <v>0.0149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HYPERLINK("http://141.218.60.56/~jnz1568/getInfo.php?workbook=14_11.xlsx&amp;sheet=U0&amp;row=348&amp;col=6&amp;number=3.4&amp;sourceID=14","3.4")</f>
        <v>3.4</v>
      </c>
      <c r="G348" s="4" t="str">
        <f>HYPERLINK("http://141.218.60.56/~jnz1568/getInfo.php?workbook=14_11.xlsx&amp;sheet=U0&amp;row=348&amp;col=7&amp;number=0.0149&amp;sourceID=14","0.0149")</f>
        <v>0.0149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HYPERLINK("http://141.218.60.56/~jnz1568/getInfo.php?workbook=14_11.xlsx&amp;sheet=U0&amp;row=349&amp;col=6&amp;number=3.5&amp;sourceID=14","3.5")</f>
        <v>3.5</v>
      </c>
      <c r="G349" s="4" t="str">
        <f>HYPERLINK("http://141.218.60.56/~jnz1568/getInfo.php?workbook=14_11.xlsx&amp;sheet=U0&amp;row=349&amp;col=7&amp;number=0.0149&amp;sourceID=14","0.0149")</f>
        <v>0.0149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HYPERLINK("http://141.218.60.56/~jnz1568/getInfo.php?workbook=14_11.xlsx&amp;sheet=U0&amp;row=350&amp;col=6&amp;number=3.6&amp;sourceID=14","3.6")</f>
        <v>3.6</v>
      </c>
      <c r="G350" s="4" t="str">
        <f>HYPERLINK("http://141.218.60.56/~jnz1568/getInfo.php?workbook=14_11.xlsx&amp;sheet=U0&amp;row=350&amp;col=7&amp;number=0.0148&amp;sourceID=14","0.0148")</f>
        <v>0.0148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HYPERLINK("http://141.218.60.56/~jnz1568/getInfo.php?workbook=14_11.xlsx&amp;sheet=U0&amp;row=351&amp;col=6&amp;number=3.7&amp;sourceID=14","3.7")</f>
        <v>3.7</v>
      </c>
      <c r="G351" s="4" t="str">
        <f>HYPERLINK("http://141.218.60.56/~jnz1568/getInfo.php?workbook=14_11.xlsx&amp;sheet=U0&amp;row=351&amp;col=7&amp;number=0.0148&amp;sourceID=14","0.0148")</f>
        <v>0.0148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HYPERLINK("http://141.218.60.56/~jnz1568/getInfo.php?workbook=14_11.xlsx&amp;sheet=U0&amp;row=352&amp;col=6&amp;number=3.8&amp;sourceID=14","3.8")</f>
        <v>3.8</v>
      </c>
      <c r="G352" s="4" t="str">
        <f>HYPERLINK("http://141.218.60.56/~jnz1568/getInfo.php?workbook=14_11.xlsx&amp;sheet=U0&amp;row=352&amp;col=7&amp;number=0.0148&amp;sourceID=14","0.0148")</f>
        <v>0.0148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HYPERLINK("http://141.218.60.56/~jnz1568/getInfo.php?workbook=14_11.xlsx&amp;sheet=U0&amp;row=353&amp;col=6&amp;number=3.9&amp;sourceID=14","3.9")</f>
        <v>3.9</v>
      </c>
      <c r="G353" s="4" t="str">
        <f>HYPERLINK("http://141.218.60.56/~jnz1568/getInfo.php?workbook=14_11.xlsx&amp;sheet=U0&amp;row=353&amp;col=7&amp;number=0.0147&amp;sourceID=14","0.0147")</f>
        <v>0.0147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HYPERLINK("http://141.218.60.56/~jnz1568/getInfo.php?workbook=14_11.xlsx&amp;sheet=U0&amp;row=354&amp;col=6&amp;number=4&amp;sourceID=14","4")</f>
        <v>4</v>
      </c>
      <c r="G354" s="4" t="str">
        <f>HYPERLINK("http://141.218.60.56/~jnz1568/getInfo.php?workbook=14_11.xlsx&amp;sheet=U0&amp;row=354&amp;col=7&amp;number=0.0146&amp;sourceID=14","0.0146")</f>
        <v>0.0146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HYPERLINK("http://141.218.60.56/~jnz1568/getInfo.php?workbook=14_11.xlsx&amp;sheet=U0&amp;row=355&amp;col=6&amp;number=4.1&amp;sourceID=14","4.1")</f>
        <v>4.1</v>
      </c>
      <c r="G355" s="4" t="str">
        <f>HYPERLINK("http://141.218.60.56/~jnz1568/getInfo.php?workbook=14_11.xlsx&amp;sheet=U0&amp;row=355&amp;col=7&amp;number=0.0145&amp;sourceID=14","0.0145")</f>
        <v>0.0145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HYPERLINK("http://141.218.60.56/~jnz1568/getInfo.php?workbook=14_11.xlsx&amp;sheet=U0&amp;row=356&amp;col=6&amp;number=4.2&amp;sourceID=14","4.2")</f>
        <v>4.2</v>
      </c>
      <c r="G356" s="4" t="str">
        <f>HYPERLINK("http://141.218.60.56/~jnz1568/getInfo.php?workbook=14_11.xlsx&amp;sheet=U0&amp;row=356&amp;col=7&amp;number=0.0144&amp;sourceID=14","0.0144")</f>
        <v>0.0144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HYPERLINK("http://141.218.60.56/~jnz1568/getInfo.php?workbook=14_11.xlsx&amp;sheet=U0&amp;row=357&amp;col=6&amp;number=4.3&amp;sourceID=14","4.3")</f>
        <v>4.3</v>
      </c>
      <c r="G357" s="4" t="str">
        <f>HYPERLINK("http://141.218.60.56/~jnz1568/getInfo.php?workbook=14_11.xlsx&amp;sheet=U0&amp;row=357&amp;col=7&amp;number=0.0143&amp;sourceID=14","0.0143")</f>
        <v>0.0143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HYPERLINK("http://141.218.60.56/~jnz1568/getInfo.php?workbook=14_11.xlsx&amp;sheet=U0&amp;row=358&amp;col=6&amp;number=4.4&amp;sourceID=14","4.4")</f>
        <v>4.4</v>
      </c>
      <c r="G358" s="4" t="str">
        <f>HYPERLINK("http://141.218.60.56/~jnz1568/getInfo.php?workbook=14_11.xlsx&amp;sheet=U0&amp;row=358&amp;col=7&amp;number=0.0141&amp;sourceID=14","0.0141")</f>
        <v>0.0141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HYPERLINK("http://141.218.60.56/~jnz1568/getInfo.php?workbook=14_11.xlsx&amp;sheet=U0&amp;row=359&amp;col=6&amp;number=4.5&amp;sourceID=14","4.5")</f>
        <v>4.5</v>
      </c>
      <c r="G359" s="4" t="str">
        <f>HYPERLINK("http://141.218.60.56/~jnz1568/getInfo.php?workbook=14_11.xlsx&amp;sheet=U0&amp;row=359&amp;col=7&amp;number=0.0139&amp;sourceID=14","0.0139")</f>
        <v>0.0139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HYPERLINK("http://141.218.60.56/~jnz1568/getInfo.php?workbook=14_11.xlsx&amp;sheet=U0&amp;row=360&amp;col=6&amp;number=4.6&amp;sourceID=14","4.6")</f>
        <v>4.6</v>
      </c>
      <c r="G360" s="4" t="str">
        <f>HYPERLINK("http://141.218.60.56/~jnz1568/getInfo.php?workbook=14_11.xlsx&amp;sheet=U0&amp;row=360&amp;col=7&amp;number=0.0137&amp;sourceID=14","0.0137")</f>
        <v>0.0137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HYPERLINK("http://141.218.60.56/~jnz1568/getInfo.php?workbook=14_11.xlsx&amp;sheet=U0&amp;row=361&amp;col=6&amp;number=4.7&amp;sourceID=14","4.7")</f>
        <v>4.7</v>
      </c>
      <c r="G361" s="4" t="str">
        <f>HYPERLINK("http://141.218.60.56/~jnz1568/getInfo.php?workbook=14_11.xlsx&amp;sheet=U0&amp;row=361&amp;col=7&amp;number=0.0135&amp;sourceID=14","0.0135")</f>
        <v>0.0135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HYPERLINK("http://141.218.60.56/~jnz1568/getInfo.php?workbook=14_11.xlsx&amp;sheet=U0&amp;row=362&amp;col=6&amp;number=4.8&amp;sourceID=14","4.8")</f>
        <v>4.8</v>
      </c>
      <c r="G362" s="4" t="str">
        <f>HYPERLINK("http://141.218.60.56/~jnz1568/getInfo.php?workbook=14_11.xlsx&amp;sheet=U0&amp;row=362&amp;col=7&amp;number=0.0132&amp;sourceID=14","0.0132")</f>
        <v>0.0132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HYPERLINK("http://141.218.60.56/~jnz1568/getInfo.php?workbook=14_11.xlsx&amp;sheet=U0&amp;row=363&amp;col=6&amp;number=4.9&amp;sourceID=14","4.9")</f>
        <v>4.9</v>
      </c>
      <c r="G363" s="4" t="str">
        <f>HYPERLINK("http://141.218.60.56/~jnz1568/getInfo.php?workbook=14_11.xlsx&amp;sheet=U0&amp;row=363&amp;col=7&amp;number=0.0129&amp;sourceID=14","0.0129")</f>
        <v>0.0129</v>
      </c>
    </row>
    <row r="364" spans="1:7">
      <c r="A364" s="3">
        <v>14</v>
      </c>
      <c r="B364" s="3">
        <v>11</v>
      </c>
      <c r="C364" s="3">
        <v>2</v>
      </c>
      <c r="D364" s="3">
        <v>4</v>
      </c>
      <c r="E364" s="3">
        <v>1</v>
      </c>
      <c r="F364" s="4" t="str">
        <f>HYPERLINK("http://141.218.60.56/~jnz1568/getInfo.php?workbook=14_11.xlsx&amp;sheet=U0&amp;row=364&amp;col=6&amp;number=3&amp;sourceID=14","3")</f>
        <v>3</v>
      </c>
      <c r="G364" s="4" t="str">
        <f>HYPERLINK("http://141.218.60.56/~jnz1568/getInfo.php?workbook=14_11.xlsx&amp;sheet=U0&amp;row=364&amp;col=7&amp;number=11.4&amp;sourceID=14","11.4")</f>
        <v>11.4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HYPERLINK("http://141.218.60.56/~jnz1568/getInfo.php?workbook=14_11.xlsx&amp;sheet=U0&amp;row=365&amp;col=6&amp;number=3.1&amp;sourceID=14","3.1")</f>
        <v>3.1</v>
      </c>
      <c r="G365" s="4" t="str">
        <f>HYPERLINK("http://141.218.60.56/~jnz1568/getInfo.php?workbook=14_11.xlsx&amp;sheet=U0&amp;row=365&amp;col=7&amp;number=11.4&amp;sourceID=14","11.4")</f>
        <v>11.4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HYPERLINK("http://141.218.60.56/~jnz1568/getInfo.php?workbook=14_11.xlsx&amp;sheet=U0&amp;row=366&amp;col=6&amp;number=3.2&amp;sourceID=14","3.2")</f>
        <v>3.2</v>
      </c>
      <c r="G366" s="4" t="str">
        <f>HYPERLINK("http://141.218.60.56/~jnz1568/getInfo.php?workbook=14_11.xlsx&amp;sheet=U0&amp;row=366&amp;col=7&amp;number=11.4&amp;sourceID=14","11.4")</f>
        <v>11.4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HYPERLINK("http://141.218.60.56/~jnz1568/getInfo.php?workbook=14_11.xlsx&amp;sheet=U0&amp;row=367&amp;col=6&amp;number=3.3&amp;sourceID=14","3.3")</f>
        <v>3.3</v>
      </c>
      <c r="G367" s="4" t="str">
        <f>HYPERLINK("http://141.218.60.56/~jnz1568/getInfo.php?workbook=14_11.xlsx&amp;sheet=U0&amp;row=367&amp;col=7&amp;number=11.5&amp;sourceID=14","11.5")</f>
        <v>11.5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HYPERLINK("http://141.218.60.56/~jnz1568/getInfo.php?workbook=14_11.xlsx&amp;sheet=U0&amp;row=368&amp;col=6&amp;number=3.4&amp;sourceID=14","3.4")</f>
        <v>3.4</v>
      </c>
      <c r="G368" s="4" t="str">
        <f>HYPERLINK("http://141.218.60.56/~jnz1568/getInfo.php?workbook=14_11.xlsx&amp;sheet=U0&amp;row=368&amp;col=7&amp;number=11.5&amp;sourceID=14","11.5")</f>
        <v>11.5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HYPERLINK("http://141.218.60.56/~jnz1568/getInfo.php?workbook=14_11.xlsx&amp;sheet=U0&amp;row=369&amp;col=6&amp;number=3.5&amp;sourceID=14","3.5")</f>
        <v>3.5</v>
      </c>
      <c r="G369" s="4" t="str">
        <f>HYPERLINK("http://141.218.60.56/~jnz1568/getInfo.php?workbook=14_11.xlsx&amp;sheet=U0&amp;row=369&amp;col=7&amp;number=11.5&amp;sourceID=14","11.5")</f>
        <v>11.5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HYPERLINK("http://141.218.60.56/~jnz1568/getInfo.php?workbook=14_11.xlsx&amp;sheet=U0&amp;row=370&amp;col=6&amp;number=3.6&amp;sourceID=14","3.6")</f>
        <v>3.6</v>
      </c>
      <c r="G370" s="4" t="str">
        <f>HYPERLINK("http://141.218.60.56/~jnz1568/getInfo.php?workbook=14_11.xlsx&amp;sheet=U0&amp;row=370&amp;col=7&amp;number=11.5&amp;sourceID=14","11.5")</f>
        <v>11.5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HYPERLINK("http://141.218.60.56/~jnz1568/getInfo.php?workbook=14_11.xlsx&amp;sheet=U0&amp;row=371&amp;col=6&amp;number=3.7&amp;sourceID=14","3.7")</f>
        <v>3.7</v>
      </c>
      <c r="G371" s="4" t="str">
        <f>HYPERLINK("http://141.218.60.56/~jnz1568/getInfo.php?workbook=14_11.xlsx&amp;sheet=U0&amp;row=371&amp;col=7&amp;number=11.5&amp;sourceID=14","11.5")</f>
        <v>11.5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HYPERLINK("http://141.218.60.56/~jnz1568/getInfo.php?workbook=14_11.xlsx&amp;sheet=U0&amp;row=372&amp;col=6&amp;number=3.8&amp;sourceID=14","3.8")</f>
        <v>3.8</v>
      </c>
      <c r="G372" s="4" t="str">
        <f>HYPERLINK("http://141.218.60.56/~jnz1568/getInfo.php?workbook=14_11.xlsx&amp;sheet=U0&amp;row=372&amp;col=7&amp;number=11.5&amp;sourceID=14","11.5")</f>
        <v>11.5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HYPERLINK("http://141.218.60.56/~jnz1568/getInfo.php?workbook=14_11.xlsx&amp;sheet=U0&amp;row=373&amp;col=6&amp;number=3.9&amp;sourceID=14","3.9")</f>
        <v>3.9</v>
      </c>
      <c r="G373" s="4" t="str">
        <f>HYPERLINK("http://141.218.60.56/~jnz1568/getInfo.php?workbook=14_11.xlsx&amp;sheet=U0&amp;row=373&amp;col=7&amp;number=11.6&amp;sourceID=14","11.6")</f>
        <v>11.6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HYPERLINK("http://141.218.60.56/~jnz1568/getInfo.php?workbook=14_11.xlsx&amp;sheet=U0&amp;row=374&amp;col=6&amp;number=4&amp;sourceID=14","4")</f>
        <v>4</v>
      </c>
      <c r="G374" s="4" t="str">
        <f>HYPERLINK("http://141.218.60.56/~jnz1568/getInfo.php?workbook=14_11.xlsx&amp;sheet=U0&amp;row=374&amp;col=7&amp;number=11.6&amp;sourceID=14","11.6")</f>
        <v>11.6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HYPERLINK("http://141.218.60.56/~jnz1568/getInfo.php?workbook=14_11.xlsx&amp;sheet=U0&amp;row=375&amp;col=6&amp;number=4.1&amp;sourceID=14","4.1")</f>
        <v>4.1</v>
      </c>
      <c r="G375" s="4" t="str">
        <f>HYPERLINK("http://141.218.60.56/~jnz1568/getInfo.php?workbook=14_11.xlsx&amp;sheet=U0&amp;row=375&amp;col=7&amp;number=11.7&amp;sourceID=14","11.7")</f>
        <v>11.7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HYPERLINK("http://141.218.60.56/~jnz1568/getInfo.php?workbook=14_11.xlsx&amp;sheet=U0&amp;row=376&amp;col=6&amp;number=4.2&amp;sourceID=14","4.2")</f>
        <v>4.2</v>
      </c>
      <c r="G376" s="4" t="str">
        <f>HYPERLINK("http://141.218.60.56/~jnz1568/getInfo.php?workbook=14_11.xlsx&amp;sheet=U0&amp;row=376&amp;col=7&amp;number=11.7&amp;sourceID=14","11.7")</f>
        <v>11.7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HYPERLINK("http://141.218.60.56/~jnz1568/getInfo.php?workbook=14_11.xlsx&amp;sheet=U0&amp;row=377&amp;col=6&amp;number=4.3&amp;sourceID=14","4.3")</f>
        <v>4.3</v>
      </c>
      <c r="G377" s="4" t="str">
        <f>HYPERLINK("http://141.218.60.56/~jnz1568/getInfo.php?workbook=14_11.xlsx&amp;sheet=U0&amp;row=377&amp;col=7&amp;number=11.8&amp;sourceID=14","11.8")</f>
        <v>11.8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HYPERLINK("http://141.218.60.56/~jnz1568/getInfo.php?workbook=14_11.xlsx&amp;sheet=U0&amp;row=378&amp;col=6&amp;number=4.4&amp;sourceID=14","4.4")</f>
        <v>4.4</v>
      </c>
      <c r="G378" s="4" t="str">
        <f>HYPERLINK("http://141.218.60.56/~jnz1568/getInfo.php?workbook=14_11.xlsx&amp;sheet=U0&amp;row=378&amp;col=7&amp;number=11.9&amp;sourceID=14","11.9")</f>
        <v>11.9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HYPERLINK("http://141.218.60.56/~jnz1568/getInfo.php?workbook=14_11.xlsx&amp;sheet=U0&amp;row=379&amp;col=6&amp;number=4.5&amp;sourceID=14","4.5")</f>
        <v>4.5</v>
      </c>
      <c r="G379" s="4" t="str">
        <f>HYPERLINK("http://141.218.60.56/~jnz1568/getInfo.php?workbook=14_11.xlsx&amp;sheet=U0&amp;row=379&amp;col=7&amp;number=12.1&amp;sourceID=14","12.1")</f>
        <v>12.1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HYPERLINK("http://141.218.60.56/~jnz1568/getInfo.php?workbook=14_11.xlsx&amp;sheet=U0&amp;row=380&amp;col=6&amp;number=4.6&amp;sourceID=14","4.6")</f>
        <v>4.6</v>
      </c>
      <c r="G380" s="4" t="str">
        <f>HYPERLINK("http://141.218.60.56/~jnz1568/getInfo.php?workbook=14_11.xlsx&amp;sheet=U0&amp;row=380&amp;col=7&amp;number=12.2&amp;sourceID=14","12.2")</f>
        <v>12.2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HYPERLINK("http://141.218.60.56/~jnz1568/getInfo.php?workbook=14_11.xlsx&amp;sheet=U0&amp;row=381&amp;col=6&amp;number=4.7&amp;sourceID=14","4.7")</f>
        <v>4.7</v>
      </c>
      <c r="G381" s="4" t="str">
        <f>HYPERLINK("http://141.218.60.56/~jnz1568/getInfo.php?workbook=14_11.xlsx&amp;sheet=U0&amp;row=381&amp;col=7&amp;number=12.4&amp;sourceID=14","12.4")</f>
        <v>12.4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HYPERLINK("http://141.218.60.56/~jnz1568/getInfo.php?workbook=14_11.xlsx&amp;sheet=U0&amp;row=382&amp;col=6&amp;number=4.8&amp;sourceID=14","4.8")</f>
        <v>4.8</v>
      </c>
      <c r="G382" s="4" t="str">
        <f>HYPERLINK("http://141.218.60.56/~jnz1568/getInfo.php?workbook=14_11.xlsx&amp;sheet=U0&amp;row=382&amp;col=7&amp;number=12.7&amp;sourceID=14","12.7")</f>
        <v>12.7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HYPERLINK("http://141.218.60.56/~jnz1568/getInfo.php?workbook=14_11.xlsx&amp;sheet=U0&amp;row=383&amp;col=6&amp;number=4.9&amp;sourceID=14","4.9")</f>
        <v>4.9</v>
      </c>
      <c r="G383" s="4" t="str">
        <f>HYPERLINK("http://141.218.60.56/~jnz1568/getInfo.php?workbook=14_11.xlsx&amp;sheet=U0&amp;row=383&amp;col=7&amp;number=13&amp;sourceID=14","13")</f>
        <v>13</v>
      </c>
    </row>
    <row r="384" spans="1:7">
      <c r="A384" s="3">
        <v>14</v>
      </c>
      <c r="B384" s="3">
        <v>11</v>
      </c>
      <c r="C384" s="3">
        <v>2</v>
      </c>
      <c r="D384" s="3">
        <v>5</v>
      </c>
      <c r="E384" s="3">
        <v>1</v>
      </c>
      <c r="F384" s="4" t="str">
        <f>HYPERLINK("http://141.218.60.56/~jnz1568/getInfo.php?workbook=14_11.xlsx&amp;sheet=U0&amp;row=384&amp;col=6&amp;number=3&amp;sourceID=14","3")</f>
        <v>3</v>
      </c>
      <c r="G384" s="4" t="str">
        <f>HYPERLINK("http://141.218.60.56/~jnz1568/getInfo.php?workbook=14_11.xlsx&amp;sheet=U0&amp;row=384&amp;col=7&amp;number=1.01&amp;sourceID=14","1.01")</f>
        <v>1.01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HYPERLINK("http://141.218.60.56/~jnz1568/getInfo.php?workbook=14_11.xlsx&amp;sheet=U0&amp;row=385&amp;col=6&amp;number=3.1&amp;sourceID=14","3.1")</f>
        <v>3.1</v>
      </c>
      <c r="G385" s="4" t="str">
        <f>HYPERLINK("http://141.218.60.56/~jnz1568/getInfo.php?workbook=14_11.xlsx&amp;sheet=U0&amp;row=385&amp;col=7&amp;number=1.01&amp;sourceID=14","1.01")</f>
        <v>1.01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HYPERLINK("http://141.218.60.56/~jnz1568/getInfo.php?workbook=14_11.xlsx&amp;sheet=U0&amp;row=386&amp;col=6&amp;number=3.2&amp;sourceID=14","3.2")</f>
        <v>3.2</v>
      </c>
      <c r="G386" s="4" t="str">
        <f>HYPERLINK("http://141.218.60.56/~jnz1568/getInfo.php?workbook=14_11.xlsx&amp;sheet=U0&amp;row=386&amp;col=7&amp;number=1.01&amp;sourceID=14","1.01")</f>
        <v>1.01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HYPERLINK("http://141.218.60.56/~jnz1568/getInfo.php?workbook=14_11.xlsx&amp;sheet=U0&amp;row=387&amp;col=6&amp;number=3.3&amp;sourceID=14","3.3")</f>
        <v>3.3</v>
      </c>
      <c r="G387" s="4" t="str">
        <f>HYPERLINK("http://141.218.60.56/~jnz1568/getInfo.php?workbook=14_11.xlsx&amp;sheet=U0&amp;row=387&amp;col=7&amp;number=1.01&amp;sourceID=14","1.01")</f>
        <v>1.01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HYPERLINK("http://141.218.60.56/~jnz1568/getInfo.php?workbook=14_11.xlsx&amp;sheet=U0&amp;row=388&amp;col=6&amp;number=3.4&amp;sourceID=14","3.4")</f>
        <v>3.4</v>
      </c>
      <c r="G388" s="4" t="str">
        <f>HYPERLINK("http://141.218.60.56/~jnz1568/getInfo.php?workbook=14_11.xlsx&amp;sheet=U0&amp;row=388&amp;col=7&amp;number=1.01&amp;sourceID=14","1.01")</f>
        <v>1.01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HYPERLINK("http://141.218.60.56/~jnz1568/getInfo.php?workbook=14_11.xlsx&amp;sheet=U0&amp;row=389&amp;col=6&amp;number=3.5&amp;sourceID=14","3.5")</f>
        <v>3.5</v>
      </c>
      <c r="G389" s="4" t="str">
        <f>HYPERLINK("http://141.218.60.56/~jnz1568/getInfo.php?workbook=14_11.xlsx&amp;sheet=U0&amp;row=389&amp;col=7&amp;number=1&amp;sourceID=14","1")</f>
        <v>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HYPERLINK("http://141.218.60.56/~jnz1568/getInfo.php?workbook=14_11.xlsx&amp;sheet=U0&amp;row=390&amp;col=6&amp;number=3.6&amp;sourceID=14","3.6")</f>
        <v>3.6</v>
      </c>
      <c r="G390" s="4" t="str">
        <f>HYPERLINK("http://141.218.60.56/~jnz1568/getInfo.php?workbook=14_11.xlsx&amp;sheet=U0&amp;row=390&amp;col=7&amp;number=1&amp;sourceID=14","1")</f>
        <v>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HYPERLINK("http://141.218.60.56/~jnz1568/getInfo.php?workbook=14_11.xlsx&amp;sheet=U0&amp;row=391&amp;col=6&amp;number=3.7&amp;sourceID=14","3.7")</f>
        <v>3.7</v>
      </c>
      <c r="G391" s="4" t="str">
        <f>HYPERLINK("http://141.218.60.56/~jnz1568/getInfo.php?workbook=14_11.xlsx&amp;sheet=U0&amp;row=391&amp;col=7&amp;number=0.997&amp;sourceID=14","0.997")</f>
        <v>0.997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HYPERLINK("http://141.218.60.56/~jnz1568/getInfo.php?workbook=14_11.xlsx&amp;sheet=U0&amp;row=392&amp;col=6&amp;number=3.8&amp;sourceID=14","3.8")</f>
        <v>3.8</v>
      </c>
      <c r="G392" s="4" t="str">
        <f>HYPERLINK("http://141.218.60.56/~jnz1568/getInfo.php?workbook=14_11.xlsx&amp;sheet=U0&amp;row=392&amp;col=7&amp;number=0.992&amp;sourceID=14","0.992")</f>
        <v>0.992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HYPERLINK("http://141.218.60.56/~jnz1568/getInfo.php?workbook=14_11.xlsx&amp;sheet=U0&amp;row=393&amp;col=6&amp;number=3.9&amp;sourceID=14","3.9")</f>
        <v>3.9</v>
      </c>
      <c r="G393" s="4" t="str">
        <f>HYPERLINK("http://141.218.60.56/~jnz1568/getInfo.php?workbook=14_11.xlsx&amp;sheet=U0&amp;row=393&amp;col=7&amp;number=0.986&amp;sourceID=14","0.986")</f>
        <v>0.986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HYPERLINK("http://141.218.60.56/~jnz1568/getInfo.php?workbook=14_11.xlsx&amp;sheet=U0&amp;row=394&amp;col=6&amp;number=4&amp;sourceID=14","4")</f>
        <v>4</v>
      </c>
      <c r="G394" s="4" t="str">
        <f>HYPERLINK("http://141.218.60.56/~jnz1568/getInfo.php?workbook=14_11.xlsx&amp;sheet=U0&amp;row=394&amp;col=7&amp;number=0.979&amp;sourceID=14","0.979")</f>
        <v>0.979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HYPERLINK("http://141.218.60.56/~jnz1568/getInfo.php?workbook=14_11.xlsx&amp;sheet=U0&amp;row=395&amp;col=6&amp;number=4.1&amp;sourceID=14","4.1")</f>
        <v>4.1</v>
      </c>
      <c r="G395" s="4" t="str">
        <f>HYPERLINK("http://141.218.60.56/~jnz1568/getInfo.php?workbook=14_11.xlsx&amp;sheet=U0&amp;row=395&amp;col=7&amp;number=0.97&amp;sourceID=14","0.97")</f>
        <v>0.97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HYPERLINK("http://141.218.60.56/~jnz1568/getInfo.php?workbook=14_11.xlsx&amp;sheet=U0&amp;row=396&amp;col=6&amp;number=4.2&amp;sourceID=14","4.2")</f>
        <v>4.2</v>
      </c>
      <c r="G396" s="4" t="str">
        <f>HYPERLINK("http://141.218.60.56/~jnz1568/getInfo.php?workbook=14_11.xlsx&amp;sheet=U0&amp;row=396&amp;col=7&amp;number=0.959&amp;sourceID=14","0.959")</f>
        <v>0.959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HYPERLINK("http://141.218.60.56/~jnz1568/getInfo.php?workbook=14_11.xlsx&amp;sheet=U0&amp;row=397&amp;col=6&amp;number=4.3&amp;sourceID=14","4.3")</f>
        <v>4.3</v>
      </c>
      <c r="G397" s="4" t="str">
        <f>HYPERLINK("http://141.218.60.56/~jnz1568/getInfo.php?workbook=14_11.xlsx&amp;sheet=U0&amp;row=397&amp;col=7&amp;number=0.945&amp;sourceID=14","0.945")</f>
        <v>0.945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HYPERLINK("http://141.218.60.56/~jnz1568/getInfo.php?workbook=14_11.xlsx&amp;sheet=U0&amp;row=398&amp;col=6&amp;number=4.4&amp;sourceID=14","4.4")</f>
        <v>4.4</v>
      </c>
      <c r="G398" s="4" t="str">
        <f>HYPERLINK("http://141.218.60.56/~jnz1568/getInfo.php?workbook=14_11.xlsx&amp;sheet=U0&amp;row=398&amp;col=7&amp;number=0.929&amp;sourceID=14","0.929")</f>
        <v>0.929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HYPERLINK("http://141.218.60.56/~jnz1568/getInfo.php?workbook=14_11.xlsx&amp;sheet=U0&amp;row=399&amp;col=6&amp;number=4.5&amp;sourceID=14","4.5")</f>
        <v>4.5</v>
      </c>
      <c r="G399" s="4" t="str">
        <f>HYPERLINK("http://141.218.60.56/~jnz1568/getInfo.php?workbook=14_11.xlsx&amp;sheet=U0&amp;row=399&amp;col=7&amp;number=0.91&amp;sourceID=14","0.91")</f>
        <v>0.91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HYPERLINK("http://141.218.60.56/~jnz1568/getInfo.php?workbook=14_11.xlsx&amp;sheet=U0&amp;row=400&amp;col=6&amp;number=4.6&amp;sourceID=14","4.6")</f>
        <v>4.6</v>
      </c>
      <c r="G400" s="4" t="str">
        <f>HYPERLINK("http://141.218.60.56/~jnz1568/getInfo.php?workbook=14_11.xlsx&amp;sheet=U0&amp;row=400&amp;col=7&amp;number=0.889&amp;sourceID=14","0.889")</f>
        <v>0.889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HYPERLINK("http://141.218.60.56/~jnz1568/getInfo.php?workbook=14_11.xlsx&amp;sheet=U0&amp;row=401&amp;col=6&amp;number=4.7&amp;sourceID=14","4.7")</f>
        <v>4.7</v>
      </c>
      <c r="G401" s="4" t="str">
        <f>HYPERLINK("http://141.218.60.56/~jnz1568/getInfo.php?workbook=14_11.xlsx&amp;sheet=U0&amp;row=401&amp;col=7&amp;number=0.864&amp;sourceID=14","0.864")</f>
        <v>0.864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HYPERLINK("http://141.218.60.56/~jnz1568/getInfo.php?workbook=14_11.xlsx&amp;sheet=U0&amp;row=402&amp;col=6&amp;number=4.8&amp;sourceID=14","4.8")</f>
        <v>4.8</v>
      </c>
      <c r="G402" s="4" t="str">
        <f>HYPERLINK("http://141.218.60.56/~jnz1568/getInfo.php?workbook=14_11.xlsx&amp;sheet=U0&amp;row=402&amp;col=7&amp;number=0.836&amp;sourceID=14","0.836")</f>
        <v>0.836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HYPERLINK("http://141.218.60.56/~jnz1568/getInfo.php?workbook=14_11.xlsx&amp;sheet=U0&amp;row=403&amp;col=6&amp;number=4.9&amp;sourceID=14","4.9")</f>
        <v>4.9</v>
      </c>
      <c r="G403" s="4" t="str">
        <f>HYPERLINK("http://141.218.60.56/~jnz1568/getInfo.php?workbook=14_11.xlsx&amp;sheet=U0&amp;row=403&amp;col=7&amp;number=0.806&amp;sourceID=14","0.806")</f>
        <v>0.806</v>
      </c>
    </row>
    <row r="404" spans="1:7">
      <c r="A404" s="3">
        <v>14</v>
      </c>
      <c r="B404" s="3">
        <v>11</v>
      </c>
      <c r="C404" s="3">
        <v>2</v>
      </c>
      <c r="D404" s="3">
        <v>6</v>
      </c>
      <c r="E404" s="3">
        <v>1</v>
      </c>
      <c r="F404" s="4" t="str">
        <f>HYPERLINK("http://141.218.60.56/~jnz1568/getInfo.php?workbook=14_11.xlsx&amp;sheet=U0&amp;row=404&amp;col=6&amp;number=3&amp;sourceID=14","3")</f>
        <v>3</v>
      </c>
      <c r="G404" s="4" t="str">
        <f>HYPERLINK("http://141.218.60.56/~jnz1568/getInfo.php?workbook=14_11.xlsx&amp;sheet=U0&amp;row=404&amp;col=7&amp;number=0.403&amp;sourceID=14","0.403")</f>
        <v>0.403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HYPERLINK("http://141.218.60.56/~jnz1568/getInfo.php?workbook=14_11.xlsx&amp;sheet=U0&amp;row=405&amp;col=6&amp;number=3.1&amp;sourceID=14","3.1")</f>
        <v>3.1</v>
      </c>
      <c r="G405" s="4" t="str">
        <f>HYPERLINK("http://141.218.60.56/~jnz1568/getInfo.php?workbook=14_11.xlsx&amp;sheet=U0&amp;row=405&amp;col=7&amp;number=0.403&amp;sourceID=14","0.403")</f>
        <v>0.403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HYPERLINK("http://141.218.60.56/~jnz1568/getInfo.php?workbook=14_11.xlsx&amp;sheet=U0&amp;row=406&amp;col=6&amp;number=3.2&amp;sourceID=14","3.2")</f>
        <v>3.2</v>
      </c>
      <c r="G406" s="4" t="str">
        <f>HYPERLINK("http://141.218.60.56/~jnz1568/getInfo.php?workbook=14_11.xlsx&amp;sheet=U0&amp;row=406&amp;col=7&amp;number=0.403&amp;sourceID=14","0.403")</f>
        <v>0.403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HYPERLINK("http://141.218.60.56/~jnz1568/getInfo.php?workbook=14_11.xlsx&amp;sheet=U0&amp;row=407&amp;col=6&amp;number=3.3&amp;sourceID=14","3.3")</f>
        <v>3.3</v>
      </c>
      <c r="G407" s="4" t="str">
        <f>HYPERLINK("http://141.218.60.56/~jnz1568/getInfo.php?workbook=14_11.xlsx&amp;sheet=U0&amp;row=407&amp;col=7&amp;number=0.404&amp;sourceID=14","0.404")</f>
        <v>0.404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HYPERLINK("http://141.218.60.56/~jnz1568/getInfo.php?workbook=14_11.xlsx&amp;sheet=U0&amp;row=408&amp;col=6&amp;number=3.4&amp;sourceID=14","3.4")</f>
        <v>3.4</v>
      </c>
      <c r="G408" s="4" t="str">
        <f>HYPERLINK("http://141.218.60.56/~jnz1568/getInfo.php?workbook=14_11.xlsx&amp;sheet=U0&amp;row=408&amp;col=7&amp;number=0.404&amp;sourceID=14","0.404")</f>
        <v>0.404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HYPERLINK("http://141.218.60.56/~jnz1568/getInfo.php?workbook=14_11.xlsx&amp;sheet=U0&amp;row=409&amp;col=6&amp;number=3.5&amp;sourceID=14","3.5")</f>
        <v>3.5</v>
      </c>
      <c r="G409" s="4" t="str">
        <f>HYPERLINK("http://141.218.60.56/~jnz1568/getInfo.php?workbook=14_11.xlsx&amp;sheet=U0&amp;row=409&amp;col=7&amp;number=0.405&amp;sourceID=14","0.405")</f>
        <v>0.405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HYPERLINK("http://141.218.60.56/~jnz1568/getInfo.php?workbook=14_11.xlsx&amp;sheet=U0&amp;row=410&amp;col=6&amp;number=3.6&amp;sourceID=14","3.6")</f>
        <v>3.6</v>
      </c>
      <c r="G410" s="4" t="str">
        <f>HYPERLINK("http://141.218.60.56/~jnz1568/getInfo.php?workbook=14_11.xlsx&amp;sheet=U0&amp;row=410&amp;col=7&amp;number=0.406&amp;sourceID=14","0.406")</f>
        <v>0.406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HYPERLINK("http://141.218.60.56/~jnz1568/getInfo.php?workbook=14_11.xlsx&amp;sheet=U0&amp;row=411&amp;col=6&amp;number=3.7&amp;sourceID=14","3.7")</f>
        <v>3.7</v>
      </c>
      <c r="G411" s="4" t="str">
        <f>HYPERLINK("http://141.218.60.56/~jnz1568/getInfo.php?workbook=14_11.xlsx&amp;sheet=U0&amp;row=411&amp;col=7&amp;number=0.407&amp;sourceID=14","0.407")</f>
        <v>0.407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HYPERLINK("http://141.218.60.56/~jnz1568/getInfo.php?workbook=14_11.xlsx&amp;sheet=U0&amp;row=412&amp;col=6&amp;number=3.8&amp;sourceID=14","3.8")</f>
        <v>3.8</v>
      </c>
      <c r="G412" s="4" t="str">
        <f>HYPERLINK("http://141.218.60.56/~jnz1568/getInfo.php?workbook=14_11.xlsx&amp;sheet=U0&amp;row=412&amp;col=7&amp;number=0.408&amp;sourceID=14","0.408")</f>
        <v>0.408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HYPERLINK("http://141.218.60.56/~jnz1568/getInfo.php?workbook=14_11.xlsx&amp;sheet=U0&amp;row=413&amp;col=6&amp;number=3.9&amp;sourceID=14","3.9")</f>
        <v>3.9</v>
      </c>
      <c r="G413" s="4" t="str">
        <f>HYPERLINK("http://141.218.60.56/~jnz1568/getInfo.php?workbook=14_11.xlsx&amp;sheet=U0&amp;row=413&amp;col=7&amp;number=0.409&amp;sourceID=14","0.409")</f>
        <v>0.409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HYPERLINK("http://141.218.60.56/~jnz1568/getInfo.php?workbook=14_11.xlsx&amp;sheet=U0&amp;row=414&amp;col=6&amp;number=4&amp;sourceID=14","4")</f>
        <v>4</v>
      </c>
      <c r="G414" s="4" t="str">
        <f>HYPERLINK("http://141.218.60.56/~jnz1568/getInfo.php?workbook=14_11.xlsx&amp;sheet=U0&amp;row=414&amp;col=7&amp;number=0.411&amp;sourceID=14","0.411")</f>
        <v>0.411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HYPERLINK("http://141.218.60.56/~jnz1568/getInfo.php?workbook=14_11.xlsx&amp;sheet=U0&amp;row=415&amp;col=6&amp;number=4.1&amp;sourceID=14","4.1")</f>
        <v>4.1</v>
      </c>
      <c r="G415" s="4" t="str">
        <f>HYPERLINK("http://141.218.60.56/~jnz1568/getInfo.php?workbook=14_11.xlsx&amp;sheet=U0&amp;row=415&amp;col=7&amp;number=0.414&amp;sourceID=14","0.414")</f>
        <v>0.414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HYPERLINK("http://141.218.60.56/~jnz1568/getInfo.php?workbook=14_11.xlsx&amp;sheet=U0&amp;row=416&amp;col=6&amp;number=4.2&amp;sourceID=14","4.2")</f>
        <v>4.2</v>
      </c>
      <c r="G416" s="4" t="str">
        <f>HYPERLINK("http://141.218.60.56/~jnz1568/getInfo.php?workbook=14_11.xlsx&amp;sheet=U0&amp;row=416&amp;col=7&amp;number=0.417&amp;sourceID=14","0.417")</f>
        <v>0.417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HYPERLINK("http://141.218.60.56/~jnz1568/getInfo.php?workbook=14_11.xlsx&amp;sheet=U0&amp;row=417&amp;col=6&amp;number=4.3&amp;sourceID=14","4.3")</f>
        <v>4.3</v>
      </c>
      <c r="G417" s="4" t="str">
        <f>HYPERLINK("http://141.218.60.56/~jnz1568/getInfo.php?workbook=14_11.xlsx&amp;sheet=U0&amp;row=417&amp;col=7&amp;number=0.421&amp;sourceID=14","0.421")</f>
        <v>0.421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HYPERLINK("http://141.218.60.56/~jnz1568/getInfo.php?workbook=14_11.xlsx&amp;sheet=U0&amp;row=418&amp;col=6&amp;number=4.4&amp;sourceID=14","4.4")</f>
        <v>4.4</v>
      </c>
      <c r="G418" s="4" t="str">
        <f>HYPERLINK("http://141.218.60.56/~jnz1568/getInfo.php?workbook=14_11.xlsx&amp;sheet=U0&amp;row=418&amp;col=7&amp;number=0.426&amp;sourceID=14","0.426")</f>
        <v>0.426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HYPERLINK("http://141.218.60.56/~jnz1568/getInfo.php?workbook=14_11.xlsx&amp;sheet=U0&amp;row=419&amp;col=6&amp;number=4.5&amp;sourceID=14","4.5")</f>
        <v>4.5</v>
      </c>
      <c r="G419" s="4" t="str">
        <f>HYPERLINK("http://141.218.60.56/~jnz1568/getInfo.php?workbook=14_11.xlsx&amp;sheet=U0&amp;row=419&amp;col=7&amp;number=0.432&amp;sourceID=14","0.432")</f>
        <v>0.432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HYPERLINK("http://141.218.60.56/~jnz1568/getInfo.php?workbook=14_11.xlsx&amp;sheet=U0&amp;row=420&amp;col=6&amp;number=4.6&amp;sourceID=14","4.6")</f>
        <v>4.6</v>
      </c>
      <c r="G420" s="4" t="str">
        <f>HYPERLINK("http://141.218.60.56/~jnz1568/getInfo.php?workbook=14_11.xlsx&amp;sheet=U0&amp;row=420&amp;col=7&amp;number=0.44&amp;sourceID=14","0.44")</f>
        <v>0.44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HYPERLINK("http://141.218.60.56/~jnz1568/getInfo.php?workbook=14_11.xlsx&amp;sheet=U0&amp;row=421&amp;col=6&amp;number=4.7&amp;sourceID=14","4.7")</f>
        <v>4.7</v>
      </c>
      <c r="G421" s="4" t="str">
        <f>HYPERLINK("http://141.218.60.56/~jnz1568/getInfo.php?workbook=14_11.xlsx&amp;sheet=U0&amp;row=421&amp;col=7&amp;number=0.45&amp;sourceID=14","0.45")</f>
        <v>0.45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HYPERLINK("http://141.218.60.56/~jnz1568/getInfo.php?workbook=14_11.xlsx&amp;sheet=U0&amp;row=422&amp;col=6&amp;number=4.8&amp;sourceID=14","4.8")</f>
        <v>4.8</v>
      </c>
      <c r="G422" s="4" t="str">
        <f>HYPERLINK("http://141.218.60.56/~jnz1568/getInfo.php?workbook=14_11.xlsx&amp;sheet=U0&amp;row=422&amp;col=7&amp;number=0.463&amp;sourceID=14","0.463")</f>
        <v>0.463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HYPERLINK("http://141.218.60.56/~jnz1568/getInfo.php?workbook=14_11.xlsx&amp;sheet=U0&amp;row=423&amp;col=6&amp;number=4.9&amp;sourceID=14","4.9")</f>
        <v>4.9</v>
      </c>
      <c r="G423" s="4" t="str">
        <f>HYPERLINK("http://141.218.60.56/~jnz1568/getInfo.php?workbook=14_11.xlsx&amp;sheet=U0&amp;row=423&amp;col=7&amp;number=0.479&amp;sourceID=14","0.479")</f>
        <v>0.479</v>
      </c>
    </row>
    <row r="424" spans="1:7">
      <c r="A424" s="3">
        <v>14</v>
      </c>
      <c r="B424" s="3">
        <v>11</v>
      </c>
      <c r="C424" s="3">
        <v>2</v>
      </c>
      <c r="D424" s="3">
        <v>8</v>
      </c>
      <c r="E424" s="3">
        <v>1</v>
      </c>
      <c r="F424" s="4" t="str">
        <f>HYPERLINK("http://141.218.60.56/~jnz1568/getInfo.php?workbook=14_11.xlsx&amp;sheet=U0&amp;row=424&amp;col=6&amp;number=3&amp;sourceID=14","3")</f>
        <v>3</v>
      </c>
      <c r="G424" s="4" t="str">
        <f>HYPERLINK("http://141.218.60.56/~jnz1568/getInfo.php?workbook=14_11.xlsx&amp;sheet=U0&amp;row=424&amp;col=7&amp;number=0.195&amp;sourceID=14","0.195")</f>
        <v>0.195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HYPERLINK("http://141.218.60.56/~jnz1568/getInfo.php?workbook=14_11.xlsx&amp;sheet=U0&amp;row=425&amp;col=6&amp;number=3.1&amp;sourceID=14","3.1")</f>
        <v>3.1</v>
      </c>
      <c r="G425" s="4" t="str">
        <f>HYPERLINK("http://141.218.60.56/~jnz1568/getInfo.php?workbook=14_11.xlsx&amp;sheet=U0&amp;row=425&amp;col=7&amp;number=0.195&amp;sourceID=14","0.195")</f>
        <v>0.195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HYPERLINK("http://141.218.60.56/~jnz1568/getInfo.php?workbook=14_11.xlsx&amp;sheet=U0&amp;row=426&amp;col=6&amp;number=3.2&amp;sourceID=14","3.2")</f>
        <v>3.2</v>
      </c>
      <c r="G426" s="4" t="str">
        <f>HYPERLINK("http://141.218.60.56/~jnz1568/getInfo.php?workbook=14_11.xlsx&amp;sheet=U0&amp;row=426&amp;col=7&amp;number=0.195&amp;sourceID=14","0.195")</f>
        <v>0.195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HYPERLINK("http://141.218.60.56/~jnz1568/getInfo.php?workbook=14_11.xlsx&amp;sheet=U0&amp;row=427&amp;col=6&amp;number=3.3&amp;sourceID=14","3.3")</f>
        <v>3.3</v>
      </c>
      <c r="G427" s="4" t="str">
        <f>HYPERLINK("http://141.218.60.56/~jnz1568/getInfo.php?workbook=14_11.xlsx&amp;sheet=U0&amp;row=427&amp;col=7&amp;number=0.195&amp;sourceID=14","0.195")</f>
        <v>0.195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HYPERLINK("http://141.218.60.56/~jnz1568/getInfo.php?workbook=14_11.xlsx&amp;sheet=U0&amp;row=428&amp;col=6&amp;number=3.4&amp;sourceID=14","3.4")</f>
        <v>3.4</v>
      </c>
      <c r="G428" s="4" t="str">
        <f>HYPERLINK("http://141.218.60.56/~jnz1568/getInfo.php?workbook=14_11.xlsx&amp;sheet=U0&amp;row=428&amp;col=7&amp;number=0.195&amp;sourceID=14","0.195")</f>
        <v>0.195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HYPERLINK("http://141.218.60.56/~jnz1568/getInfo.php?workbook=14_11.xlsx&amp;sheet=U0&amp;row=429&amp;col=6&amp;number=3.5&amp;sourceID=14","3.5")</f>
        <v>3.5</v>
      </c>
      <c r="G429" s="4" t="str">
        <f>HYPERLINK("http://141.218.60.56/~jnz1568/getInfo.php?workbook=14_11.xlsx&amp;sheet=U0&amp;row=429&amp;col=7&amp;number=0.195&amp;sourceID=14","0.195")</f>
        <v>0.195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HYPERLINK("http://141.218.60.56/~jnz1568/getInfo.php?workbook=14_11.xlsx&amp;sheet=U0&amp;row=430&amp;col=6&amp;number=3.6&amp;sourceID=14","3.6")</f>
        <v>3.6</v>
      </c>
      <c r="G430" s="4" t="str">
        <f>HYPERLINK("http://141.218.60.56/~jnz1568/getInfo.php?workbook=14_11.xlsx&amp;sheet=U0&amp;row=430&amp;col=7&amp;number=0.195&amp;sourceID=14","0.195")</f>
        <v>0.195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HYPERLINK("http://141.218.60.56/~jnz1568/getInfo.php?workbook=14_11.xlsx&amp;sheet=U0&amp;row=431&amp;col=6&amp;number=3.7&amp;sourceID=14","3.7")</f>
        <v>3.7</v>
      </c>
      <c r="G431" s="4" t="str">
        <f>HYPERLINK("http://141.218.60.56/~jnz1568/getInfo.php?workbook=14_11.xlsx&amp;sheet=U0&amp;row=431&amp;col=7&amp;number=0.194&amp;sourceID=14","0.194")</f>
        <v>0.194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HYPERLINK("http://141.218.60.56/~jnz1568/getInfo.php?workbook=14_11.xlsx&amp;sheet=U0&amp;row=432&amp;col=6&amp;number=3.8&amp;sourceID=14","3.8")</f>
        <v>3.8</v>
      </c>
      <c r="G432" s="4" t="str">
        <f>HYPERLINK("http://141.218.60.56/~jnz1568/getInfo.php?workbook=14_11.xlsx&amp;sheet=U0&amp;row=432&amp;col=7&amp;number=0.194&amp;sourceID=14","0.194")</f>
        <v>0.194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HYPERLINK("http://141.218.60.56/~jnz1568/getInfo.php?workbook=14_11.xlsx&amp;sheet=U0&amp;row=433&amp;col=6&amp;number=3.9&amp;sourceID=14","3.9")</f>
        <v>3.9</v>
      </c>
      <c r="G433" s="4" t="str">
        <f>HYPERLINK("http://141.218.60.56/~jnz1568/getInfo.php?workbook=14_11.xlsx&amp;sheet=U0&amp;row=433&amp;col=7&amp;number=0.194&amp;sourceID=14","0.194")</f>
        <v>0.194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HYPERLINK("http://141.218.60.56/~jnz1568/getInfo.php?workbook=14_11.xlsx&amp;sheet=U0&amp;row=434&amp;col=6&amp;number=4&amp;sourceID=14","4")</f>
        <v>4</v>
      </c>
      <c r="G434" s="4" t="str">
        <f>HYPERLINK("http://141.218.60.56/~jnz1568/getInfo.php?workbook=14_11.xlsx&amp;sheet=U0&amp;row=434&amp;col=7&amp;number=0.193&amp;sourceID=14","0.193")</f>
        <v>0.193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HYPERLINK("http://141.218.60.56/~jnz1568/getInfo.php?workbook=14_11.xlsx&amp;sheet=U0&amp;row=435&amp;col=6&amp;number=4.1&amp;sourceID=14","4.1")</f>
        <v>4.1</v>
      </c>
      <c r="G435" s="4" t="str">
        <f>HYPERLINK("http://141.218.60.56/~jnz1568/getInfo.php?workbook=14_11.xlsx&amp;sheet=U0&amp;row=435&amp;col=7&amp;number=0.193&amp;sourceID=14","0.193")</f>
        <v>0.193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HYPERLINK("http://141.218.60.56/~jnz1568/getInfo.php?workbook=14_11.xlsx&amp;sheet=U0&amp;row=436&amp;col=6&amp;number=4.2&amp;sourceID=14","4.2")</f>
        <v>4.2</v>
      </c>
      <c r="G436" s="4" t="str">
        <f>HYPERLINK("http://141.218.60.56/~jnz1568/getInfo.php?workbook=14_11.xlsx&amp;sheet=U0&amp;row=436&amp;col=7&amp;number=0.192&amp;sourceID=14","0.192")</f>
        <v>0.192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HYPERLINK("http://141.218.60.56/~jnz1568/getInfo.php?workbook=14_11.xlsx&amp;sheet=U0&amp;row=437&amp;col=6&amp;number=4.3&amp;sourceID=14","4.3")</f>
        <v>4.3</v>
      </c>
      <c r="G437" s="4" t="str">
        <f>HYPERLINK("http://141.218.60.56/~jnz1568/getInfo.php?workbook=14_11.xlsx&amp;sheet=U0&amp;row=437&amp;col=7&amp;number=0.191&amp;sourceID=14","0.191")</f>
        <v>0.191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HYPERLINK("http://141.218.60.56/~jnz1568/getInfo.php?workbook=14_11.xlsx&amp;sheet=U0&amp;row=438&amp;col=6&amp;number=4.4&amp;sourceID=14","4.4")</f>
        <v>4.4</v>
      </c>
      <c r="G438" s="4" t="str">
        <f>HYPERLINK("http://141.218.60.56/~jnz1568/getInfo.php?workbook=14_11.xlsx&amp;sheet=U0&amp;row=438&amp;col=7&amp;number=0.19&amp;sourceID=14","0.19")</f>
        <v>0.19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HYPERLINK("http://141.218.60.56/~jnz1568/getInfo.php?workbook=14_11.xlsx&amp;sheet=U0&amp;row=439&amp;col=6&amp;number=4.5&amp;sourceID=14","4.5")</f>
        <v>4.5</v>
      </c>
      <c r="G439" s="4" t="str">
        <f>HYPERLINK("http://141.218.60.56/~jnz1568/getInfo.php?workbook=14_11.xlsx&amp;sheet=U0&amp;row=439&amp;col=7&amp;number=0.189&amp;sourceID=14","0.189")</f>
        <v>0.189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HYPERLINK("http://141.218.60.56/~jnz1568/getInfo.php?workbook=14_11.xlsx&amp;sheet=U0&amp;row=440&amp;col=6&amp;number=4.6&amp;sourceID=14","4.6")</f>
        <v>4.6</v>
      </c>
      <c r="G440" s="4" t="str">
        <f>HYPERLINK("http://141.218.60.56/~jnz1568/getInfo.php?workbook=14_11.xlsx&amp;sheet=U0&amp;row=440&amp;col=7&amp;number=0.188&amp;sourceID=14","0.188")</f>
        <v>0.188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HYPERLINK("http://141.218.60.56/~jnz1568/getInfo.php?workbook=14_11.xlsx&amp;sheet=U0&amp;row=441&amp;col=6&amp;number=4.7&amp;sourceID=14","4.7")</f>
        <v>4.7</v>
      </c>
      <c r="G441" s="4" t="str">
        <f>HYPERLINK("http://141.218.60.56/~jnz1568/getInfo.php?workbook=14_11.xlsx&amp;sheet=U0&amp;row=441&amp;col=7&amp;number=0.186&amp;sourceID=14","0.186")</f>
        <v>0.186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HYPERLINK("http://141.218.60.56/~jnz1568/getInfo.php?workbook=14_11.xlsx&amp;sheet=U0&amp;row=442&amp;col=6&amp;number=4.8&amp;sourceID=14","4.8")</f>
        <v>4.8</v>
      </c>
      <c r="G442" s="4" t="str">
        <f>HYPERLINK("http://141.218.60.56/~jnz1568/getInfo.php?workbook=14_11.xlsx&amp;sheet=U0&amp;row=442&amp;col=7&amp;number=0.185&amp;sourceID=14","0.185")</f>
        <v>0.185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HYPERLINK("http://141.218.60.56/~jnz1568/getInfo.php?workbook=14_11.xlsx&amp;sheet=U0&amp;row=443&amp;col=6&amp;number=4.9&amp;sourceID=14","4.9")</f>
        <v>4.9</v>
      </c>
      <c r="G443" s="4" t="str">
        <f>HYPERLINK("http://141.218.60.56/~jnz1568/getInfo.php?workbook=14_11.xlsx&amp;sheet=U0&amp;row=443&amp;col=7&amp;number=0.184&amp;sourceID=14","0.184")</f>
        <v>0.184</v>
      </c>
    </row>
    <row r="444" spans="1:7">
      <c r="A444" s="3">
        <v>14</v>
      </c>
      <c r="B444" s="3">
        <v>11</v>
      </c>
      <c r="C444" s="3">
        <v>2</v>
      </c>
      <c r="D444" s="3">
        <v>9</v>
      </c>
      <c r="E444" s="3">
        <v>1</v>
      </c>
      <c r="F444" s="4" t="str">
        <f>HYPERLINK("http://141.218.60.56/~jnz1568/getInfo.php?workbook=14_11.xlsx&amp;sheet=U0&amp;row=444&amp;col=6&amp;number=3&amp;sourceID=14","3")</f>
        <v>3</v>
      </c>
      <c r="G444" s="4" t="str">
        <f>HYPERLINK("http://141.218.60.56/~jnz1568/getInfo.php?workbook=14_11.xlsx&amp;sheet=U0&amp;row=444&amp;col=7&amp;number=0.337&amp;sourceID=14","0.337")</f>
        <v>0.337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HYPERLINK("http://141.218.60.56/~jnz1568/getInfo.php?workbook=14_11.xlsx&amp;sheet=U0&amp;row=445&amp;col=6&amp;number=3.1&amp;sourceID=14","3.1")</f>
        <v>3.1</v>
      </c>
      <c r="G445" s="4" t="str">
        <f>HYPERLINK("http://141.218.60.56/~jnz1568/getInfo.php?workbook=14_11.xlsx&amp;sheet=U0&amp;row=445&amp;col=7&amp;number=0.337&amp;sourceID=14","0.337")</f>
        <v>0.337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HYPERLINK("http://141.218.60.56/~jnz1568/getInfo.php?workbook=14_11.xlsx&amp;sheet=U0&amp;row=446&amp;col=6&amp;number=3.2&amp;sourceID=14","3.2")</f>
        <v>3.2</v>
      </c>
      <c r="G446" s="4" t="str">
        <f>HYPERLINK("http://141.218.60.56/~jnz1568/getInfo.php?workbook=14_11.xlsx&amp;sheet=U0&amp;row=446&amp;col=7&amp;number=0.336&amp;sourceID=14","0.336")</f>
        <v>0.336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HYPERLINK("http://141.218.60.56/~jnz1568/getInfo.php?workbook=14_11.xlsx&amp;sheet=U0&amp;row=447&amp;col=6&amp;number=3.3&amp;sourceID=14","3.3")</f>
        <v>3.3</v>
      </c>
      <c r="G447" s="4" t="str">
        <f>HYPERLINK("http://141.218.60.56/~jnz1568/getInfo.php?workbook=14_11.xlsx&amp;sheet=U0&amp;row=447&amp;col=7&amp;number=0.336&amp;sourceID=14","0.336")</f>
        <v>0.336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HYPERLINK("http://141.218.60.56/~jnz1568/getInfo.php?workbook=14_11.xlsx&amp;sheet=U0&amp;row=448&amp;col=6&amp;number=3.4&amp;sourceID=14","3.4")</f>
        <v>3.4</v>
      </c>
      <c r="G448" s="4" t="str">
        <f>HYPERLINK("http://141.218.60.56/~jnz1568/getInfo.php?workbook=14_11.xlsx&amp;sheet=U0&amp;row=448&amp;col=7&amp;number=0.336&amp;sourceID=14","0.336")</f>
        <v>0.336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HYPERLINK("http://141.218.60.56/~jnz1568/getInfo.php?workbook=14_11.xlsx&amp;sheet=U0&amp;row=449&amp;col=6&amp;number=3.5&amp;sourceID=14","3.5")</f>
        <v>3.5</v>
      </c>
      <c r="G449" s="4" t="str">
        <f>HYPERLINK("http://141.218.60.56/~jnz1568/getInfo.php?workbook=14_11.xlsx&amp;sheet=U0&amp;row=449&amp;col=7&amp;number=0.336&amp;sourceID=14","0.336")</f>
        <v>0.336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HYPERLINK("http://141.218.60.56/~jnz1568/getInfo.php?workbook=14_11.xlsx&amp;sheet=U0&amp;row=450&amp;col=6&amp;number=3.6&amp;sourceID=14","3.6")</f>
        <v>3.6</v>
      </c>
      <c r="G450" s="4" t="str">
        <f>HYPERLINK("http://141.218.60.56/~jnz1568/getInfo.php?workbook=14_11.xlsx&amp;sheet=U0&amp;row=450&amp;col=7&amp;number=0.336&amp;sourceID=14","0.336")</f>
        <v>0.336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HYPERLINK("http://141.218.60.56/~jnz1568/getInfo.php?workbook=14_11.xlsx&amp;sheet=U0&amp;row=451&amp;col=6&amp;number=3.7&amp;sourceID=14","3.7")</f>
        <v>3.7</v>
      </c>
      <c r="G451" s="4" t="str">
        <f>HYPERLINK("http://141.218.60.56/~jnz1568/getInfo.php?workbook=14_11.xlsx&amp;sheet=U0&amp;row=451&amp;col=7&amp;number=0.335&amp;sourceID=14","0.335")</f>
        <v>0.335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HYPERLINK("http://141.218.60.56/~jnz1568/getInfo.php?workbook=14_11.xlsx&amp;sheet=U0&amp;row=452&amp;col=6&amp;number=3.8&amp;sourceID=14","3.8")</f>
        <v>3.8</v>
      </c>
      <c r="G452" s="4" t="str">
        <f>HYPERLINK("http://141.218.60.56/~jnz1568/getInfo.php?workbook=14_11.xlsx&amp;sheet=U0&amp;row=452&amp;col=7&amp;number=0.335&amp;sourceID=14","0.335")</f>
        <v>0.335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HYPERLINK("http://141.218.60.56/~jnz1568/getInfo.php?workbook=14_11.xlsx&amp;sheet=U0&amp;row=453&amp;col=6&amp;number=3.9&amp;sourceID=14","3.9")</f>
        <v>3.9</v>
      </c>
      <c r="G453" s="4" t="str">
        <f>HYPERLINK("http://141.218.60.56/~jnz1568/getInfo.php?workbook=14_11.xlsx&amp;sheet=U0&amp;row=453&amp;col=7&amp;number=0.334&amp;sourceID=14","0.334")</f>
        <v>0.334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HYPERLINK("http://141.218.60.56/~jnz1568/getInfo.php?workbook=14_11.xlsx&amp;sheet=U0&amp;row=454&amp;col=6&amp;number=4&amp;sourceID=14","4")</f>
        <v>4</v>
      </c>
      <c r="G454" s="4" t="str">
        <f>HYPERLINK("http://141.218.60.56/~jnz1568/getInfo.php?workbook=14_11.xlsx&amp;sheet=U0&amp;row=454&amp;col=7&amp;number=0.333&amp;sourceID=14","0.333")</f>
        <v>0.333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HYPERLINK("http://141.218.60.56/~jnz1568/getInfo.php?workbook=14_11.xlsx&amp;sheet=U0&amp;row=455&amp;col=6&amp;number=4.1&amp;sourceID=14","4.1")</f>
        <v>4.1</v>
      </c>
      <c r="G455" s="4" t="str">
        <f>HYPERLINK("http://141.218.60.56/~jnz1568/getInfo.php?workbook=14_11.xlsx&amp;sheet=U0&amp;row=455&amp;col=7&amp;number=0.333&amp;sourceID=14","0.333")</f>
        <v>0.333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HYPERLINK("http://141.218.60.56/~jnz1568/getInfo.php?workbook=14_11.xlsx&amp;sheet=U0&amp;row=456&amp;col=6&amp;number=4.2&amp;sourceID=14","4.2")</f>
        <v>4.2</v>
      </c>
      <c r="G456" s="4" t="str">
        <f>HYPERLINK("http://141.218.60.56/~jnz1568/getInfo.php?workbook=14_11.xlsx&amp;sheet=U0&amp;row=456&amp;col=7&amp;number=0.332&amp;sourceID=14","0.332")</f>
        <v>0.332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HYPERLINK("http://141.218.60.56/~jnz1568/getInfo.php?workbook=14_11.xlsx&amp;sheet=U0&amp;row=457&amp;col=6&amp;number=4.3&amp;sourceID=14","4.3")</f>
        <v>4.3</v>
      </c>
      <c r="G457" s="4" t="str">
        <f>HYPERLINK("http://141.218.60.56/~jnz1568/getInfo.php?workbook=14_11.xlsx&amp;sheet=U0&amp;row=457&amp;col=7&amp;number=0.33&amp;sourceID=14","0.33")</f>
        <v>0.33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HYPERLINK("http://141.218.60.56/~jnz1568/getInfo.php?workbook=14_11.xlsx&amp;sheet=U0&amp;row=458&amp;col=6&amp;number=4.4&amp;sourceID=14","4.4")</f>
        <v>4.4</v>
      </c>
      <c r="G458" s="4" t="str">
        <f>HYPERLINK("http://141.218.60.56/~jnz1568/getInfo.php?workbook=14_11.xlsx&amp;sheet=U0&amp;row=458&amp;col=7&amp;number=0.329&amp;sourceID=14","0.329")</f>
        <v>0.329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HYPERLINK("http://141.218.60.56/~jnz1568/getInfo.php?workbook=14_11.xlsx&amp;sheet=U0&amp;row=459&amp;col=6&amp;number=4.5&amp;sourceID=14","4.5")</f>
        <v>4.5</v>
      </c>
      <c r="G459" s="4" t="str">
        <f>HYPERLINK("http://141.218.60.56/~jnz1568/getInfo.php?workbook=14_11.xlsx&amp;sheet=U0&amp;row=459&amp;col=7&amp;number=0.328&amp;sourceID=14","0.328")</f>
        <v>0.328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HYPERLINK("http://141.218.60.56/~jnz1568/getInfo.php?workbook=14_11.xlsx&amp;sheet=U0&amp;row=460&amp;col=6&amp;number=4.6&amp;sourceID=14","4.6")</f>
        <v>4.6</v>
      </c>
      <c r="G460" s="4" t="str">
        <f>HYPERLINK("http://141.218.60.56/~jnz1568/getInfo.php?workbook=14_11.xlsx&amp;sheet=U0&amp;row=460&amp;col=7&amp;number=0.326&amp;sourceID=14","0.326")</f>
        <v>0.326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HYPERLINK("http://141.218.60.56/~jnz1568/getInfo.php?workbook=14_11.xlsx&amp;sheet=U0&amp;row=461&amp;col=6&amp;number=4.7&amp;sourceID=14","4.7")</f>
        <v>4.7</v>
      </c>
      <c r="G461" s="4" t="str">
        <f>HYPERLINK("http://141.218.60.56/~jnz1568/getInfo.php?workbook=14_11.xlsx&amp;sheet=U0&amp;row=461&amp;col=7&amp;number=0.324&amp;sourceID=14","0.324")</f>
        <v>0.324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HYPERLINK("http://141.218.60.56/~jnz1568/getInfo.php?workbook=14_11.xlsx&amp;sheet=U0&amp;row=462&amp;col=6&amp;number=4.8&amp;sourceID=14","4.8")</f>
        <v>4.8</v>
      </c>
      <c r="G462" s="4" t="str">
        <f>HYPERLINK("http://141.218.60.56/~jnz1568/getInfo.php?workbook=14_11.xlsx&amp;sheet=U0&amp;row=462&amp;col=7&amp;number=0.321&amp;sourceID=14","0.321")</f>
        <v>0.321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HYPERLINK("http://141.218.60.56/~jnz1568/getInfo.php?workbook=14_11.xlsx&amp;sheet=U0&amp;row=463&amp;col=6&amp;number=4.9&amp;sourceID=14","4.9")</f>
        <v>4.9</v>
      </c>
      <c r="G463" s="4" t="str">
        <f>HYPERLINK("http://141.218.60.56/~jnz1568/getInfo.php?workbook=14_11.xlsx&amp;sheet=U0&amp;row=463&amp;col=7&amp;number=0.319&amp;sourceID=14","0.319")</f>
        <v>0.319</v>
      </c>
    </row>
    <row r="464" spans="1:7">
      <c r="A464" s="3">
        <v>14</v>
      </c>
      <c r="B464" s="3">
        <v>11</v>
      </c>
      <c r="C464" s="3">
        <v>2</v>
      </c>
      <c r="D464" s="3">
        <v>10</v>
      </c>
      <c r="E464" s="3">
        <v>1</v>
      </c>
      <c r="F464" s="4" t="str">
        <f>HYPERLINK("http://141.218.60.56/~jnz1568/getInfo.php?workbook=14_11.xlsx&amp;sheet=U0&amp;row=464&amp;col=6&amp;number=3&amp;sourceID=14","3")</f>
        <v>3</v>
      </c>
      <c r="G464" s="4" t="str">
        <f>HYPERLINK("http://141.218.60.56/~jnz1568/getInfo.php?workbook=14_11.xlsx&amp;sheet=U0&amp;row=464&amp;col=7&amp;number=0.153&amp;sourceID=14","0.153")</f>
        <v>0.153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HYPERLINK("http://141.218.60.56/~jnz1568/getInfo.php?workbook=14_11.xlsx&amp;sheet=U0&amp;row=465&amp;col=6&amp;number=3.1&amp;sourceID=14","3.1")</f>
        <v>3.1</v>
      </c>
      <c r="G465" s="4" t="str">
        <f>HYPERLINK("http://141.218.60.56/~jnz1568/getInfo.php?workbook=14_11.xlsx&amp;sheet=U0&amp;row=465&amp;col=7&amp;number=0.153&amp;sourceID=14","0.153")</f>
        <v>0.153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HYPERLINK("http://141.218.60.56/~jnz1568/getInfo.php?workbook=14_11.xlsx&amp;sheet=U0&amp;row=466&amp;col=6&amp;number=3.2&amp;sourceID=14","3.2")</f>
        <v>3.2</v>
      </c>
      <c r="G466" s="4" t="str">
        <f>HYPERLINK("http://141.218.60.56/~jnz1568/getInfo.php?workbook=14_11.xlsx&amp;sheet=U0&amp;row=466&amp;col=7&amp;number=0.152&amp;sourceID=14","0.152")</f>
        <v>0.152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HYPERLINK("http://141.218.60.56/~jnz1568/getInfo.php?workbook=14_11.xlsx&amp;sheet=U0&amp;row=467&amp;col=6&amp;number=3.3&amp;sourceID=14","3.3")</f>
        <v>3.3</v>
      </c>
      <c r="G467" s="4" t="str">
        <f>HYPERLINK("http://141.218.60.56/~jnz1568/getInfo.php?workbook=14_11.xlsx&amp;sheet=U0&amp;row=467&amp;col=7&amp;number=0.152&amp;sourceID=14","0.152")</f>
        <v>0.152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HYPERLINK("http://141.218.60.56/~jnz1568/getInfo.php?workbook=14_11.xlsx&amp;sheet=U0&amp;row=468&amp;col=6&amp;number=3.4&amp;sourceID=14","3.4")</f>
        <v>3.4</v>
      </c>
      <c r="G468" s="4" t="str">
        <f>HYPERLINK("http://141.218.60.56/~jnz1568/getInfo.php?workbook=14_11.xlsx&amp;sheet=U0&amp;row=468&amp;col=7&amp;number=0.152&amp;sourceID=14","0.152")</f>
        <v>0.152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HYPERLINK("http://141.218.60.56/~jnz1568/getInfo.php?workbook=14_11.xlsx&amp;sheet=U0&amp;row=469&amp;col=6&amp;number=3.5&amp;sourceID=14","3.5")</f>
        <v>3.5</v>
      </c>
      <c r="G469" s="4" t="str">
        <f>HYPERLINK("http://141.218.60.56/~jnz1568/getInfo.php?workbook=14_11.xlsx&amp;sheet=U0&amp;row=469&amp;col=7&amp;number=0.151&amp;sourceID=14","0.151")</f>
        <v>0.151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HYPERLINK("http://141.218.60.56/~jnz1568/getInfo.php?workbook=14_11.xlsx&amp;sheet=U0&amp;row=470&amp;col=6&amp;number=3.6&amp;sourceID=14","3.6")</f>
        <v>3.6</v>
      </c>
      <c r="G470" s="4" t="str">
        <f>HYPERLINK("http://141.218.60.56/~jnz1568/getInfo.php?workbook=14_11.xlsx&amp;sheet=U0&amp;row=470&amp;col=7&amp;number=0.151&amp;sourceID=14","0.151")</f>
        <v>0.151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HYPERLINK("http://141.218.60.56/~jnz1568/getInfo.php?workbook=14_11.xlsx&amp;sheet=U0&amp;row=471&amp;col=6&amp;number=3.7&amp;sourceID=14","3.7")</f>
        <v>3.7</v>
      </c>
      <c r="G471" s="4" t="str">
        <f>HYPERLINK("http://141.218.60.56/~jnz1568/getInfo.php?workbook=14_11.xlsx&amp;sheet=U0&amp;row=471&amp;col=7&amp;number=0.15&amp;sourceID=14","0.15")</f>
        <v>0.15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HYPERLINK("http://141.218.60.56/~jnz1568/getInfo.php?workbook=14_11.xlsx&amp;sheet=U0&amp;row=472&amp;col=6&amp;number=3.8&amp;sourceID=14","3.8")</f>
        <v>3.8</v>
      </c>
      <c r="G472" s="4" t="str">
        <f>HYPERLINK("http://141.218.60.56/~jnz1568/getInfo.php?workbook=14_11.xlsx&amp;sheet=U0&amp;row=472&amp;col=7&amp;number=0.149&amp;sourceID=14","0.149")</f>
        <v>0.149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HYPERLINK("http://141.218.60.56/~jnz1568/getInfo.php?workbook=14_11.xlsx&amp;sheet=U0&amp;row=473&amp;col=6&amp;number=3.9&amp;sourceID=14","3.9")</f>
        <v>3.9</v>
      </c>
      <c r="G473" s="4" t="str">
        <f>HYPERLINK("http://141.218.60.56/~jnz1568/getInfo.php?workbook=14_11.xlsx&amp;sheet=U0&amp;row=473&amp;col=7&amp;number=0.148&amp;sourceID=14","0.148")</f>
        <v>0.148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HYPERLINK("http://141.218.60.56/~jnz1568/getInfo.php?workbook=14_11.xlsx&amp;sheet=U0&amp;row=474&amp;col=6&amp;number=4&amp;sourceID=14","4")</f>
        <v>4</v>
      </c>
      <c r="G474" s="4" t="str">
        <f>HYPERLINK("http://141.218.60.56/~jnz1568/getInfo.php?workbook=14_11.xlsx&amp;sheet=U0&amp;row=474&amp;col=7&amp;number=0.147&amp;sourceID=14","0.147")</f>
        <v>0.147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HYPERLINK("http://141.218.60.56/~jnz1568/getInfo.php?workbook=14_11.xlsx&amp;sheet=U0&amp;row=475&amp;col=6&amp;number=4.1&amp;sourceID=14","4.1")</f>
        <v>4.1</v>
      </c>
      <c r="G475" s="4" t="str">
        <f>HYPERLINK("http://141.218.60.56/~jnz1568/getInfo.php?workbook=14_11.xlsx&amp;sheet=U0&amp;row=475&amp;col=7&amp;number=0.145&amp;sourceID=14","0.145")</f>
        <v>0.145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HYPERLINK("http://141.218.60.56/~jnz1568/getInfo.php?workbook=14_11.xlsx&amp;sheet=U0&amp;row=476&amp;col=6&amp;number=4.2&amp;sourceID=14","4.2")</f>
        <v>4.2</v>
      </c>
      <c r="G476" s="4" t="str">
        <f>HYPERLINK("http://141.218.60.56/~jnz1568/getInfo.php?workbook=14_11.xlsx&amp;sheet=U0&amp;row=476&amp;col=7&amp;number=0.143&amp;sourceID=14","0.143")</f>
        <v>0.143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HYPERLINK("http://141.218.60.56/~jnz1568/getInfo.php?workbook=14_11.xlsx&amp;sheet=U0&amp;row=477&amp;col=6&amp;number=4.3&amp;sourceID=14","4.3")</f>
        <v>4.3</v>
      </c>
      <c r="G477" s="4" t="str">
        <f>HYPERLINK("http://141.218.60.56/~jnz1568/getInfo.php?workbook=14_11.xlsx&amp;sheet=U0&amp;row=477&amp;col=7&amp;number=0.141&amp;sourceID=14","0.141")</f>
        <v>0.141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HYPERLINK("http://141.218.60.56/~jnz1568/getInfo.php?workbook=14_11.xlsx&amp;sheet=U0&amp;row=478&amp;col=6&amp;number=4.4&amp;sourceID=14","4.4")</f>
        <v>4.4</v>
      </c>
      <c r="G478" s="4" t="str">
        <f>HYPERLINK("http://141.218.60.56/~jnz1568/getInfo.php?workbook=14_11.xlsx&amp;sheet=U0&amp;row=478&amp;col=7&amp;number=0.138&amp;sourceID=14","0.138")</f>
        <v>0.138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HYPERLINK("http://141.218.60.56/~jnz1568/getInfo.php?workbook=14_11.xlsx&amp;sheet=U0&amp;row=479&amp;col=6&amp;number=4.5&amp;sourceID=14","4.5")</f>
        <v>4.5</v>
      </c>
      <c r="G479" s="4" t="str">
        <f>HYPERLINK("http://141.218.60.56/~jnz1568/getInfo.php?workbook=14_11.xlsx&amp;sheet=U0&amp;row=479&amp;col=7&amp;number=0.134&amp;sourceID=14","0.134")</f>
        <v>0.134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HYPERLINK("http://141.218.60.56/~jnz1568/getInfo.php?workbook=14_11.xlsx&amp;sheet=U0&amp;row=480&amp;col=6&amp;number=4.6&amp;sourceID=14","4.6")</f>
        <v>4.6</v>
      </c>
      <c r="G480" s="4" t="str">
        <f>HYPERLINK("http://141.218.60.56/~jnz1568/getInfo.php?workbook=14_11.xlsx&amp;sheet=U0&amp;row=480&amp;col=7&amp;number=0.131&amp;sourceID=14","0.131")</f>
        <v>0.131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HYPERLINK("http://141.218.60.56/~jnz1568/getInfo.php?workbook=14_11.xlsx&amp;sheet=U0&amp;row=481&amp;col=6&amp;number=4.7&amp;sourceID=14","4.7")</f>
        <v>4.7</v>
      </c>
      <c r="G481" s="4" t="str">
        <f>HYPERLINK("http://141.218.60.56/~jnz1568/getInfo.php?workbook=14_11.xlsx&amp;sheet=U0&amp;row=481&amp;col=7&amp;number=0.126&amp;sourceID=14","0.126")</f>
        <v>0.126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HYPERLINK("http://141.218.60.56/~jnz1568/getInfo.php?workbook=14_11.xlsx&amp;sheet=U0&amp;row=482&amp;col=6&amp;number=4.8&amp;sourceID=14","4.8")</f>
        <v>4.8</v>
      </c>
      <c r="G482" s="4" t="str">
        <f>HYPERLINK("http://141.218.60.56/~jnz1568/getInfo.php?workbook=14_11.xlsx&amp;sheet=U0&amp;row=482&amp;col=7&amp;number=0.121&amp;sourceID=14","0.121")</f>
        <v>0.121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HYPERLINK("http://141.218.60.56/~jnz1568/getInfo.php?workbook=14_11.xlsx&amp;sheet=U0&amp;row=483&amp;col=6&amp;number=4.9&amp;sourceID=14","4.9")</f>
        <v>4.9</v>
      </c>
      <c r="G483" s="4" t="str">
        <f>HYPERLINK("http://141.218.60.56/~jnz1568/getInfo.php?workbook=14_11.xlsx&amp;sheet=U0&amp;row=483&amp;col=7&amp;number=0.116&amp;sourceID=14","0.116")</f>
        <v>0.116</v>
      </c>
    </row>
    <row r="484" spans="1:7">
      <c r="A484" s="3">
        <v>14</v>
      </c>
      <c r="B484" s="3">
        <v>11</v>
      </c>
      <c r="C484" s="3">
        <v>2</v>
      </c>
      <c r="D484" s="3">
        <v>11</v>
      </c>
      <c r="E484" s="3">
        <v>1</v>
      </c>
      <c r="F484" s="4" t="str">
        <f>HYPERLINK("http://141.218.60.56/~jnz1568/getInfo.php?workbook=14_11.xlsx&amp;sheet=U0&amp;row=484&amp;col=6&amp;number=3&amp;sourceID=14","3")</f>
        <v>3</v>
      </c>
      <c r="G484" s="4" t="str">
        <f>HYPERLINK("http://141.218.60.56/~jnz1568/getInfo.php?workbook=14_11.xlsx&amp;sheet=U0&amp;row=484&amp;col=7&amp;number=0.542&amp;sourceID=14","0.542")</f>
        <v>0.542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HYPERLINK("http://141.218.60.56/~jnz1568/getInfo.php?workbook=14_11.xlsx&amp;sheet=U0&amp;row=485&amp;col=6&amp;number=3.1&amp;sourceID=14","3.1")</f>
        <v>3.1</v>
      </c>
      <c r="G485" s="4" t="str">
        <f>HYPERLINK("http://141.218.60.56/~jnz1568/getInfo.php?workbook=14_11.xlsx&amp;sheet=U0&amp;row=485&amp;col=7&amp;number=0.543&amp;sourceID=14","0.543")</f>
        <v>0.543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HYPERLINK("http://141.218.60.56/~jnz1568/getInfo.php?workbook=14_11.xlsx&amp;sheet=U0&amp;row=486&amp;col=6&amp;number=3.2&amp;sourceID=14","3.2")</f>
        <v>3.2</v>
      </c>
      <c r="G486" s="4" t="str">
        <f>HYPERLINK("http://141.218.60.56/~jnz1568/getInfo.php?workbook=14_11.xlsx&amp;sheet=U0&amp;row=486&amp;col=7&amp;number=0.543&amp;sourceID=14","0.543")</f>
        <v>0.543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HYPERLINK("http://141.218.60.56/~jnz1568/getInfo.php?workbook=14_11.xlsx&amp;sheet=U0&amp;row=487&amp;col=6&amp;number=3.3&amp;sourceID=14","3.3")</f>
        <v>3.3</v>
      </c>
      <c r="G487" s="4" t="str">
        <f>HYPERLINK("http://141.218.60.56/~jnz1568/getInfo.php?workbook=14_11.xlsx&amp;sheet=U0&amp;row=487&amp;col=7&amp;number=0.543&amp;sourceID=14","0.543")</f>
        <v>0.543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HYPERLINK("http://141.218.60.56/~jnz1568/getInfo.php?workbook=14_11.xlsx&amp;sheet=U0&amp;row=488&amp;col=6&amp;number=3.4&amp;sourceID=14","3.4")</f>
        <v>3.4</v>
      </c>
      <c r="G488" s="4" t="str">
        <f>HYPERLINK("http://141.218.60.56/~jnz1568/getInfo.php?workbook=14_11.xlsx&amp;sheet=U0&amp;row=488&amp;col=7&amp;number=0.544&amp;sourceID=14","0.544")</f>
        <v>0.544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HYPERLINK("http://141.218.60.56/~jnz1568/getInfo.php?workbook=14_11.xlsx&amp;sheet=U0&amp;row=489&amp;col=6&amp;number=3.5&amp;sourceID=14","3.5")</f>
        <v>3.5</v>
      </c>
      <c r="G489" s="4" t="str">
        <f>HYPERLINK("http://141.218.60.56/~jnz1568/getInfo.php?workbook=14_11.xlsx&amp;sheet=U0&amp;row=489&amp;col=7&amp;number=0.545&amp;sourceID=14","0.545")</f>
        <v>0.545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HYPERLINK("http://141.218.60.56/~jnz1568/getInfo.php?workbook=14_11.xlsx&amp;sheet=U0&amp;row=490&amp;col=6&amp;number=3.6&amp;sourceID=14","3.6")</f>
        <v>3.6</v>
      </c>
      <c r="G490" s="4" t="str">
        <f>HYPERLINK("http://141.218.60.56/~jnz1568/getInfo.php?workbook=14_11.xlsx&amp;sheet=U0&amp;row=490&amp;col=7&amp;number=0.546&amp;sourceID=14","0.546")</f>
        <v>0.546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HYPERLINK("http://141.218.60.56/~jnz1568/getInfo.php?workbook=14_11.xlsx&amp;sheet=U0&amp;row=491&amp;col=6&amp;number=3.7&amp;sourceID=14","3.7")</f>
        <v>3.7</v>
      </c>
      <c r="G491" s="4" t="str">
        <f>HYPERLINK("http://141.218.60.56/~jnz1568/getInfo.php?workbook=14_11.xlsx&amp;sheet=U0&amp;row=491&amp;col=7&amp;number=0.547&amp;sourceID=14","0.547")</f>
        <v>0.547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HYPERLINK("http://141.218.60.56/~jnz1568/getInfo.php?workbook=14_11.xlsx&amp;sheet=U0&amp;row=492&amp;col=6&amp;number=3.8&amp;sourceID=14","3.8")</f>
        <v>3.8</v>
      </c>
      <c r="G492" s="4" t="str">
        <f>HYPERLINK("http://141.218.60.56/~jnz1568/getInfo.php?workbook=14_11.xlsx&amp;sheet=U0&amp;row=492&amp;col=7&amp;number=0.549&amp;sourceID=14","0.549")</f>
        <v>0.549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HYPERLINK("http://141.218.60.56/~jnz1568/getInfo.php?workbook=14_11.xlsx&amp;sheet=U0&amp;row=493&amp;col=6&amp;number=3.9&amp;sourceID=14","3.9")</f>
        <v>3.9</v>
      </c>
      <c r="G493" s="4" t="str">
        <f>HYPERLINK("http://141.218.60.56/~jnz1568/getInfo.php?workbook=14_11.xlsx&amp;sheet=U0&amp;row=493&amp;col=7&amp;number=0.55&amp;sourceID=14","0.55")</f>
        <v>0.55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HYPERLINK("http://141.218.60.56/~jnz1568/getInfo.php?workbook=14_11.xlsx&amp;sheet=U0&amp;row=494&amp;col=6&amp;number=4&amp;sourceID=14","4")</f>
        <v>4</v>
      </c>
      <c r="G494" s="4" t="str">
        <f>HYPERLINK("http://141.218.60.56/~jnz1568/getInfo.php?workbook=14_11.xlsx&amp;sheet=U0&amp;row=494&amp;col=7&amp;number=0.553&amp;sourceID=14","0.553")</f>
        <v>0.553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HYPERLINK("http://141.218.60.56/~jnz1568/getInfo.php?workbook=14_11.xlsx&amp;sheet=U0&amp;row=495&amp;col=6&amp;number=4.1&amp;sourceID=14","4.1")</f>
        <v>4.1</v>
      </c>
      <c r="G495" s="4" t="str">
        <f>HYPERLINK("http://141.218.60.56/~jnz1568/getInfo.php?workbook=14_11.xlsx&amp;sheet=U0&amp;row=495&amp;col=7&amp;number=0.556&amp;sourceID=14","0.556")</f>
        <v>0.556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HYPERLINK("http://141.218.60.56/~jnz1568/getInfo.php?workbook=14_11.xlsx&amp;sheet=U0&amp;row=496&amp;col=6&amp;number=4.2&amp;sourceID=14","4.2")</f>
        <v>4.2</v>
      </c>
      <c r="G496" s="4" t="str">
        <f>HYPERLINK("http://141.218.60.56/~jnz1568/getInfo.php?workbook=14_11.xlsx&amp;sheet=U0&amp;row=496&amp;col=7&amp;number=0.559&amp;sourceID=14","0.559")</f>
        <v>0.559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HYPERLINK("http://141.218.60.56/~jnz1568/getInfo.php?workbook=14_11.xlsx&amp;sheet=U0&amp;row=497&amp;col=6&amp;number=4.3&amp;sourceID=14","4.3")</f>
        <v>4.3</v>
      </c>
      <c r="G497" s="4" t="str">
        <f>HYPERLINK("http://141.218.60.56/~jnz1568/getInfo.php?workbook=14_11.xlsx&amp;sheet=U0&amp;row=497&amp;col=7&amp;number=0.564&amp;sourceID=14","0.564")</f>
        <v>0.564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HYPERLINK("http://141.218.60.56/~jnz1568/getInfo.php?workbook=14_11.xlsx&amp;sheet=U0&amp;row=498&amp;col=6&amp;number=4.4&amp;sourceID=14","4.4")</f>
        <v>4.4</v>
      </c>
      <c r="G498" s="4" t="str">
        <f>HYPERLINK("http://141.218.60.56/~jnz1568/getInfo.php?workbook=14_11.xlsx&amp;sheet=U0&amp;row=498&amp;col=7&amp;number=0.569&amp;sourceID=14","0.569")</f>
        <v>0.569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HYPERLINK("http://141.218.60.56/~jnz1568/getInfo.php?workbook=14_11.xlsx&amp;sheet=U0&amp;row=499&amp;col=6&amp;number=4.5&amp;sourceID=14","4.5")</f>
        <v>4.5</v>
      </c>
      <c r="G499" s="4" t="str">
        <f>HYPERLINK("http://141.218.60.56/~jnz1568/getInfo.php?workbook=14_11.xlsx&amp;sheet=U0&amp;row=499&amp;col=7&amp;number=0.576&amp;sourceID=14","0.576")</f>
        <v>0.576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HYPERLINK("http://141.218.60.56/~jnz1568/getInfo.php?workbook=14_11.xlsx&amp;sheet=U0&amp;row=500&amp;col=6&amp;number=4.6&amp;sourceID=14","4.6")</f>
        <v>4.6</v>
      </c>
      <c r="G500" s="4" t="str">
        <f>HYPERLINK("http://141.218.60.56/~jnz1568/getInfo.php?workbook=14_11.xlsx&amp;sheet=U0&amp;row=500&amp;col=7&amp;number=0.585&amp;sourceID=14","0.585")</f>
        <v>0.585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HYPERLINK("http://141.218.60.56/~jnz1568/getInfo.php?workbook=14_11.xlsx&amp;sheet=U0&amp;row=501&amp;col=6&amp;number=4.7&amp;sourceID=14","4.7")</f>
        <v>4.7</v>
      </c>
      <c r="G501" s="4" t="str">
        <f>HYPERLINK("http://141.218.60.56/~jnz1568/getInfo.php?workbook=14_11.xlsx&amp;sheet=U0&amp;row=501&amp;col=7&amp;number=0.595&amp;sourceID=14","0.595")</f>
        <v>0.595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HYPERLINK("http://141.218.60.56/~jnz1568/getInfo.php?workbook=14_11.xlsx&amp;sheet=U0&amp;row=502&amp;col=6&amp;number=4.8&amp;sourceID=14","4.8")</f>
        <v>4.8</v>
      </c>
      <c r="G502" s="4" t="str">
        <f>HYPERLINK("http://141.218.60.56/~jnz1568/getInfo.php?workbook=14_11.xlsx&amp;sheet=U0&amp;row=502&amp;col=7&amp;number=0.608&amp;sourceID=14","0.608")</f>
        <v>0.608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HYPERLINK("http://141.218.60.56/~jnz1568/getInfo.php?workbook=14_11.xlsx&amp;sheet=U0&amp;row=503&amp;col=6&amp;number=4.9&amp;sourceID=14","4.9")</f>
        <v>4.9</v>
      </c>
      <c r="G503" s="4" t="str">
        <f>HYPERLINK("http://141.218.60.56/~jnz1568/getInfo.php?workbook=14_11.xlsx&amp;sheet=U0&amp;row=503&amp;col=7&amp;number=0.623&amp;sourceID=14","0.623")</f>
        <v>0.623</v>
      </c>
    </row>
    <row r="504" spans="1:7">
      <c r="A504" s="3">
        <v>14</v>
      </c>
      <c r="B504" s="3">
        <v>11</v>
      </c>
      <c r="C504" s="3">
        <v>2</v>
      </c>
      <c r="D504" s="3">
        <v>12</v>
      </c>
      <c r="E504" s="3">
        <v>1</v>
      </c>
      <c r="F504" s="4" t="str">
        <f>HYPERLINK("http://141.218.60.56/~jnz1568/getInfo.php?workbook=14_11.xlsx&amp;sheet=U0&amp;row=504&amp;col=6&amp;number=3&amp;sourceID=14","3")</f>
        <v>3</v>
      </c>
      <c r="G504" s="4" t="str">
        <f>HYPERLINK("http://141.218.60.56/~jnz1568/getInfo.php?workbook=14_11.xlsx&amp;sheet=U0&amp;row=504&amp;col=7&amp;number=0.25&amp;sourceID=14","0.25")</f>
        <v>0.25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HYPERLINK("http://141.218.60.56/~jnz1568/getInfo.php?workbook=14_11.xlsx&amp;sheet=U0&amp;row=505&amp;col=6&amp;number=3.1&amp;sourceID=14","3.1")</f>
        <v>3.1</v>
      </c>
      <c r="G505" s="4" t="str">
        <f>HYPERLINK("http://141.218.60.56/~jnz1568/getInfo.php?workbook=14_11.xlsx&amp;sheet=U0&amp;row=505&amp;col=7&amp;number=0.249&amp;sourceID=14","0.249")</f>
        <v>0.249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HYPERLINK("http://141.218.60.56/~jnz1568/getInfo.php?workbook=14_11.xlsx&amp;sheet=U0&amp;row=506&amp;col=6&amp;number=3.2&amp;sourceID=14","3.2")</f>
        <v>3.2</v>
      </c>
      <c r="G506" s="4" t="str">
        <f>HYPERLINK("http://141.218.60.56/~jnz1568/getInfo.php?workbook=14_11.xlsx&amp;sheet=U0&amp;row=506&amp;col=7&amp;number=0.249&amp;sourceID=14","0.249")</f>
        <v>0.249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HYPERLINK("http://141.218.60.56/~jnz1568/getInfo.php?workbook=14_11.xlsx&amp;sheet=U0&amp;row=507&amp;col=6&amp;number=3.3&amp;sourceID=14","3.3")</f>
        <v>3.3</v>
      </c>
      <c r="G507" s="4" t="str">
        <f>HYPERLINK("http://141.218.60.56/~jnz1568/getInfo.php?workbook=14_11.xlsx&amp;sheet=U0&amp;row=507&amp;col=7&amp;number=0.249&amp;sourceID=14","0.249")</f>
        <v>0.249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HYPERLINK("http://141.218.60.56/~jnz1568/getInfo.php?workbook=14_11.xlsx&amp;sheet=U0&amp;row=508&amp;col=6&amp;number=3.4&amp;sourceID=14","3.4")</f>
        <v>3.4</v>
      </c>
      <c r="G508" s="4" t="str">
        <f>HYPERLINK("http://141.218.60.56/~jnz1568/getInfo.php?workbook=14_11.xlsx&amp;sheet=U0&amp;row=508&amp;col=7&amp;number=0.248&amp;sourceID=14","0.248")</f>
        <v>0.248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HYPERLINK("http://141.218.60.56/~jnz1568/getInfo.php?workbook=14_11.xlsx&amp;sheet=U0&amp;row=509&amp;col=6&amp;number=3.5&amp;sourceID=14","3.5")</f>
        <v>3.5</v>
      </c>
      <c r="G509" s="4" t="str">
        <f>HYPERLINK("http://141.218.60.56/~jnz1568/getInfo.php?workbook=14_11.xlsx&amp;sheet=U0&amp;row=509&amp;col=7&amp;number=0.247&amp;sourceID=14","0.247")</f>
        <v>0.247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HYPERLINK("http://141.218.60.56/~jnz1568/getInfo.php?workbook=14_11.xlsx&amp;sheet=U0&amp;row=510&amp;col=6&amp;number=3.6&amp;sourceID=14","3.6")</f>
        <v>3.6</v>
      </c>
      <c r="G510" s="4" t="str">
        <f>HYPERLINK("http://141.218.60.56/~jnz1568/getInfo.php?workbook=14_11.xlsx&amp;sheet=U0&amp;row=510&amp;col=7&amp;number=0.247&amp;sourceID=14","0.247")</f>
        <v>0.247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HYPERLINK("http://141.218.60.56/~jnz1568/getInfo.php?workbook=14_11.xlsx&amp;sheet=U0&amp;row=511&amp;col=6&amp;number=3.7&amp;sourceID=14","3.7")</f>
        <v>3.7</v>
      </c>
      <c r="G511" s="4" t="str">
        <f>HYPERLINK("http://141.218.60.56/~jnz1568/getInfo.php?workbook=14_11.xlsx&amp;sheet=U0&amp;row=511&amp;col=7&amp;number=0.246&amp;sourceID=14","0.246")</f>
        <v>0.246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HYPERLINK("http://141.218.60.56/~jnz1568/getInfo.php?workbook=14_11.xlsx&amp;sheet=U0&amp;row=512&amp;col=6&amp;number=3.8&amp;sourceID=14","3.8")</f>
        <v>3.8</v>
      </c>
      <c r="G512" s="4" t="str">
        <f>HYPERLINK("http://141.218.60.56/~jnz1568/getInfo.php?workbook=14_11.xlsx&amp;sheet=U0&amp;row=512&amp;col=7&amp;number=0.245&amp;sourceID=14","0.245")</f>
        <v>0.245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HYPERLINK("http://141.218.60.56/~jnz1568/getInfo.php?workbook=14_11.xlsx&amp;sheet=U0&amp;row=513&amp;col=6&amp;number=3.9&amp;sourceID=14","3.9")</f>
        <v>3.9</v>
      </c>
      <c r="G513" s="4" t="str">
        <f>HYPERLINK("http://141.218.60.56/~jnz1568/getInfo.php?workbook=14_11.xlsx&amp;sheet=U0&amp;row=513&amp;col=7&amp;number=0.243&amp;sourceID=14","0.243")</f>
        <v>0.243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HYPERLINK("http://141.218.60.56/~jnz1568/getInfo.php?workbook=14_11.xlsx&amp;sheet=U0&amp;row=514&amp;col=6&amp;number=4&amp;sourceID=14","4")</f>
        <v>4</v>
      </c>
      <c r="G514" s="4" t="str">
        <f>HYPERLINK("http://141.218.60.56/~jnz1568/getInfo.php?workbook=14_11.xlsx&amp;sheet=U0&amp;row=514&amp;col=7&amp;number=0.241&amp;sourceID=14","0.241")</f>
        <v>0.241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HYPERLINK("http://141.218.60.56/~jnz1568/getInfo.php?workbook=14_11.xlsx&amp;sheet=U0&amp;row=515&amp;col=6&amp;number=4.1&amp;sourceID=14","4.1")</f>
        <v>4.1</v>
      </c>
      <c r="G515" s="4" t="str">
        <f>HYPERLINK("http://141.218.60.56/~jnz1568/getInfo.php?workbook=14_11.xlsx&amp;sheet=U0&amp;row=515&amp;col=7&amp;number=0.239&amp;sourceID=14","0.239")</f>
        <v>0.239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HYPERLINK("http://141.218.60.56/~jnz1568/getInfo.php?workbook=14_11.xlsx&amp;sheet=U0&amp;row=516&amp;col=6&amp;number=4.2&amp;sourceID=14","4.2")</f>
        <v>4.2</v>
      </c>
      <c r="G516" s="4" t="str">
        <f>HYPERLINK("http://141.218.60.56/~jnz1568/getInfo.php?workbook=14_11.xlsx&amp;sheet=U0&amp;row=516&amp;col=7&amp;number=0.236&amp;sourceID=14","0.236")</f>
        <v>0.236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HYPERLINK("http://141.218.60.56/~jnz1568/getInfo.php?workbook=14_11.xlsx&amp;sheet=U0&amp;row=517&amp;col=6&amp;number=4.3&amp;sourceID=14","4.3")</f>
        <v>4.3</v>
      </c>
      <c r="G517" s="4" t="str">
        <f>HYPERLINK("http://141.218.60.56/~jnz1568/getInfo.php?workbook=14_11.xlsx&amp;sheet=U0&amp;row=517&amp;col=7&amp;number=0.233&amp;sourceID=14","0.233")</f>
        <v>0.233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HYPERLINK("http://141.218.60.56/~jnz1568/getInfo.php?workbook=14_11.xlsx&amp;sheet=U0&amp;row=518&amp;col=6&amp;number=4.4&amp;sourceID=14","4.4")</f>
        <v>4.4</v>
      </c>
      <c r="G518" s="4" t="str">
        <f>HYPERLINK("http://141.218.60.56/~jnz1568/getInfo.php?workbook=14_11.xlsx&amp;sheet=U0&amp;row=518&amp;col=7&amp;number=0.228&amp;sourceID=14","0.228")</f>
        <v>0.228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HYPERLINK("http://141.218.60.56/~jnz1568/getInfo.php?workbook=14_11.xlsx&amp;sheet=U0&amp;row=519&amp;col=6&amp;number=4.5&amp;sourceID=14","4.5")</f>
        <v>4.5</v>
      </c>
      <c r="G519" s="4" t="str">
        <f>HYPERLINK("http://141.218.60.56/~jnz1568/getInfo.php?workbook=14_11.xlsx&amp;sheet=U0&amp;row=519&amp;col=7&amp;number=0.223&amp;sourceID=14","0.223")</f>
        <v>0.223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HYPERLINK("http://141.218.60.56/~jnz1568/getInfo.php?workbook=14_11.xlsx&amp;sheet=U0&amp;row=520&amp;col=6&amp;number=4.6&amp;sourceID=14","4.6")</f>
        <v>4.6</v>
      </c>
      <c r="G520" s="4" t="str">
        <f>HYPERLINK("http://141.218.60.56/~jnz1568/getInfo.php?workbook=14_11.xlsx&amp;sheet=U0&amp;row=520&amp;col=7&amp;number=0.218&amp;sourceID=14","0.218")</f>
        <v>0.218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HYPERLINK("http://141.218.60.56/~jnz1568/getInfo.php?workbook=14_11.xlsx&amp;sheet=U0&amp;row=521&amp;col=6&amp;number=4.7&amp;sourceID=14","4.7")</f>
        <v>4.7</v>
      </c>
      <c r="G521" s="4" t="str">
        <f>HYPERLINK("http://141.218.60.56/~jnz1568/getInfo.php?workbook=14_11.xlsx&amp;sheet=U0&amp;row=521&amp;col=7&amp;number=0.211&amp;sourceID=14","0.211")</f>
        <v>0.211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HYPERLINK("http://141.218.60.56/~jnz1568/getInfo.php?workbook=14_11.xlsx&amp;sheet=U0&amp;row=522&amp;col=6&amp;number=4.8&amp;sourceID=14","4.8")</f>
        <v>4.8</v>
      </c>
      <c r="G522" s="4" t="str">
        <f>HYPERLINK("http://141.218.60.56/~jnz1568/getInfo.php?workbook=14_11.xlsx&amp;sheet=U0&amp;row=522&amp;col=7&amp;number=0.203&amp;sourceID=14","0.203")</f>
        <v>0.203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HYPERLINK("http://141.218.60.56/~jnz1568/getInfo.php?workbook=14_11.xlsx&amp;sheet=U0&amp;row=523&amp;col=6&amp;number=4.9&amp;sourceID=14","4.9")</f>
        <v>4.9</v>
      </c>
      <c r="G523" s="4" t="str">
        <f>HYPERLINK("http://141.218.60.56/~jnz1568/getInfo.php?workbook=14_11.xlsx&amp;sheet=U0&amp;row=523&amp;col=7&amp;number=0.195&amp;sourceID=14","0.195")</f>
        <v>0.195</v>
      </c>
    </row>
    <row r="524" spans="1:7">
      <c r="A524" s="3">
        <v>14</v>
      </c>
      <c r="B524" s="3">
        <v>11</v>
      </c>
      <c r="C524" s="3">
        <v>2</v>
      </c>
      <c r="D524" s="3">
        <v>13</v>
      </c>
      <c r="E524" s="3">
        <v>1</v>
      </c>
      <c r="F524" s="4" t="str">
        <f>HYPERLINK("http://141.218.60.56/~jnz1568/getInfo.php?workbook=14_11.xlsx&amp;sheet=U0&amp;row=524&amp;col=6&amp;number=3&amp;sourceID=14","3")</f>
        <v>3</v>
      </c>
      <c r="G524" s="4" t="str">
        <f>HYPERLINK("http://141.218.60.56/~jnz1568/getInfo.php?workbook=14_11.xlsx&amp;sheet=U0&amp;row=524&amp;col=7&amp;number=0.0712&amp;sourceID=14","0.0712")</f>
        <v>0.0712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HYPERLINK("http://141.218.60.56/~jnz1568/getInfo.php?workbook=14_11.xlsx&amp;sheet=U0&amp;row=525&amp;col=6&amp;number=3.1&amp;sourceID=14","3.1")</f>
        <v>3.1</v>
      </c>
      <c r="G525" s="4" t="str">
        <f>HYPERLINK("http://141.218.60.56/~jnz1568/getInfo.php?workbook=14_11.xlsx&amp;sheet=U0&amp;row=525&amp;col=7&amp;number=0.0712&amp;sourceID=14","0.0712")</f>
        <v>0.0712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HYPERLINK("http://141.218.60.56/~jnz1568/getInfo.php?workbook=14_11.xlsx&amp;sheet=U0&amp;row=526&amp;col=6&amp;number=3.2&amp;sourceID=14","3.2")</f>
        <v>3.2</v>
      </c>
      <c r="G526" s="4" t="str">
        <f>HYPERLINK("http://141.218.60.56/~jnz1568/getInfo.php?workbook=14_11.xlsx&amp;sheet=U0&amp;row=526&amp;col=7&amp;number=0.0712&amp;sourceID=14","0.0712")</f>
        <v>0.0712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HYPERLINK("http://141.218.60.56/~jnz1568/getInfo.php?workbook=14_11.xlsx&amp;sheet=U0&amp;row=527&amp;col=6&amp;number=3.3&amp;sourceID=14","3.3")</f>
        <v>3.3</v>
      </c>
      <c r="G527" s="4" t="str">
        <f>HYPERLINK("http://141.218.60.56/~jnz1568/getInfo.php?workbook=14_11.xlsx&amp;sheet=U0&amp;row=527&amp;col=7&amp;number=0.0712&amp;sourceID=14","0.0712")</f>
        <v>0.0712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HYPERLINK("http://141.218.60.56/~jnz1568/getInfo.php?workbook=14_11.xlsx&amp;sheet=U0&amp;row=528&amp;col=6&amp;number=3.4&amp;sourceID=14","3.4")</f>
        <v>3.4</v>
      </c>
      <c r="G528" s="4" t="str">
        <f>HYPERLINK("http://141.218.60.56/~jnz1568/getInfo.php?workbook=14_11.xlsx&amp;sheet=U0&amp;row=528&amp;col=7&amp;number=0.0712&amp;sourceID=14","0.0712")</f>
        <v>0.0712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HYPERLINK("http://141.218.60.56/~jnz1568/getInfo.php?workbook=14_11.xlsx&amp;sheet=U0&amp;row=529&amp;col=6&amp;number=3.5&amp;sourceID=14","3.5")</f>
        <v>3.5</v>
      </c>
      <c r="G529" s="4" t="str">
        <f>HYPERLINK("http://141.218.60.56/~jnz1568/getInfo.php?workbook=14_11.xlsx&amp;sheet=U0&amp;row=529&amp;col=7&amp;number=0.0711&amp;sourceID=14","0.0711")</f>
        <v>0.0711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HYPERLINK("http://141.218.60.56/~jnz1568/getInfo.php?workbook=14_11.xlsx&amp;sheet=U0&amp;row=530&amp;col=6&amp;number=3.6&amp;sourceID=14","3.6")</f>
        <v>3.6</v>
      </c>
      <c r="G530" s="4" t="str">
        <f>HYPERLINK("http://141.218.60.56/~jnz1568/getInfo.php?workbook=14_11.xlsx&amp;sheet=U0&amp;row=530&amp;col=7&amp;number=0.0711&amp;sourceID=14","0.0711")</f>
        <v>0.0711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HYPERLINK("http://141.218.60.56/~jnz1568/getInfo.php?workbook=14_11.xlsx&amp;sheet=U0&amp;row=531&amp;col=6&amp;number=3.7&amp;sourceID=14","3.7")</f>
        <v>3.7</v>
      </c>
      <c r="G531" s="4" t="str">
        <f>HYPERLINK("http://141.218.60.56/~jnz1568/getInfo.php?workbook=14_11.xlsx&amp;sheet=U0&amp;row=531&amp;col=7&amp;number=0.0711&amp;sourceID=14","0.0711")</f>
        <v>0.0711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HYPERLINK("http://141.218.60.56/~jnz1568/getInfo.php?workbook=14_11.xlsx&amp;sheet=U0&amp;row=532&amp;col=6&amp;number=3.8&amp;sourceID=14","3.8")</f>
        <v>3.8</v>
      </c>
      <c r="G532" s="4" t="str">
        <f>HYPERLINK("http://141.218.60.56/~jnz1568/getInfo.php?workbook=14_11.xlsx&amp;sheet=U0&amp;row=532&amp;col=7&amp;number=0.0711&amp;sourceID=14","0.0711")</f>
        <v>0.0711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HYPERLINK("http://141.218.60.56/~jnz1568/getInfo.php?workbook=14_11.xlsx&amp;sheet=U0&amp;row=533&amp;col=6&amp;number=3.9&amp;sourceID=14","3.9")</f>
        <v>3.9</v>
      </c>
      <c r="G533" s="4" t="str">
        <f>HYPERLINK("http://141.218.60.56/~jnz1568/getInfo.php?workbook=14_11.xlsx&amp;sheet=U0&amp;row=533&amp;col=7&amp;number=0.0711&amp;sourceID=14","0.0711")</f>
        <v>0.0711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HYPERLINK("http://141.218.60.56/~jnz1568/getInfo.php?workbook=14_11.xlsx&amp;sheet=U0&amp;row=534&amp;col=6&amp;number=4&amp;sourceID=14","4")</f>
        <v>4</v>
      </c>
      <c r="G534" s="4" t="str">
        <f>HYPERLINK("http://141.218.60.56/~jnz1568/getInfo.php?workbook=14_11.xlsx&amp;sheet=U0&amp;row=534&amp;col=7&amp;number=0.071&amp;sourceID=14","0.071")</f>
        <v>0.071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HYPERLINK("http://141.218.60.56/~jnz1568/getInfo.php?workbook=14_11.xlsx&amp;sheet=U0&amp;row=535&amp;col=6&amp;number=4.1&amp;sourceID=14","4.1")</f>
        <v>4.1</v>
      </c>
      <c r="G535" s="4" t="str">
        <f>HYPERLINK("http://141.218.60.56/~jnz1568/getInfo.php?workbook=14_11.xlsx&amp;sheet=U0&amp;row=535&amp;col=7&amp;number=0.071&amp;sourceID=14","0.071")</f>
        <v>0.071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HYPERLINK("http://141.218.60.56/~jnz1568/getInfo.php?workbook=14_11.xlsx&amp;sheet=U0&amp;row=536&amp;col=6&amp;number=4.2&amp;sourceID=14","4.2")</f>
        <v>4.2</v>
      </c>
      <c r="G536" s="4" t="str">
        <f>HYPERLINK("http://141.218.60.56/~jnz1568/getInfo.php?workbook=14_11.xlsx&amp;sheet=U0&amp;row=536&amp;col=7&amp;number=0.071&amp;sourceID=14","0.071")</f>
        <v>0.071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HYPERLINK("http://141.218.60.56/~jnz1568/getInfo.php?workbook=14_11.xlsx&amp;sheet=U0&amp;row=537&amp;col=6&amp;number=4.3&amp;sourceID=14","4.3")</f>
        <v>4.3</v>
      </c>
      <c r="G537" s="4" t="str">
        <f>HYPERLINK("http://141.218.60.56/~jnz1568/getInfo.php?workbook=14_11.xlsx&amp;sheet=U0&amp;row=537&amp;col=7&amp;number=0.071&amp;sourceID=14","0.071")</f>
        <v>0.071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HYPERLINK("http://141.218.60.56/~jnz1568/getInfo.php?workbook=14_11.xlsx&amp;sheet=U0&amp;row=538&amp;col=6&amp;number=4.4&amp;sourceID=14","4.4")</f>
        <v>4.4</v>
      </c>
      <c r="G538" s="4" t="str">
        <f>HYPERLINK("http://141.218.60.56/~jnz1568/getInfo.php?workbook=14_11.xlsx&amp;sheet=U0&amp;row=538&amp;col=7&amp;number=0.071&amp;sourceID=14","0.071")</f>
        <v>0.071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HYPERLINK("http://141.218.60.56/~jnz1568/getInfo.php?workbook=14_11.xlsx&amp;sheet=U0&amp;row=539&amp;col=6&amp;number=4.5&amp;sourceID=14","4.5")</f>
        <v>4.5</v>
      </c>
      <c r="G539" s="4" t="str">
        <f>HYPERLINK("http://141.218.60.56/~jnz1568/getInfo.php?workbook=14_11.xlsx&amp;sheet=U0&amp;row=539&amp;col=7&amp;number=0.0711&amp;sourceID=14","0.0711")</f>
        <v>0.0711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HYPERLINK("http://141.218.60.56/~jnz1568/getInfo.php?workbook=14_11.xlsx&amp;sheet=U0&amp;row=540&amp;col=6&amp;number=4.6&amp;sourceID=14","4.6")</f>
        <v>4.6</v>
      </c>
      <c r="G540" s="4" t="str">
        <f>HYPERLINK("http://141.218.60.56/~jnz1568/getInfo.php?workbook=14_11.xlsx&amp;sheet=U0&amp;row=540&amp;col=7&amp;number=0.0712&amp;sourceID=14","0.0712")</f>
        <v>0.0712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HYPERLINK("http://141.218.60.56/~jnz1568/getInfo.php?workbook=14_11.xlsx&amp;sheet=U0&amp;row=541&amp;col=6&amp;number=4.7&amp;sourceID=14","4.7")</f>
        <v>4.7</v>
      </c>
      <c r="G541" s="4" t="str">
        <f>HYPERLINK("http://141.218.60.56/~jnz1568/getInfo.php?workbook=14_11.xlsx&amp;sheet=U0&amp;row=541&amp;col=7&amp;number=0.0715&amp;sourceID=14","0.0715")</f>
        <v>0.0715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HYPERLINK("http://141.218.60.56/~jnz1568/getInfo.php?workbook=14_11.xlsx&amp;sheet=U0&amp;row=542&amp;col=6&amp;number=4.8&amp;sourceID=14","4.8")</f>
        <v>4.8</v>
      </c>
      <c r="G542" s="4" t="str">
        <f>HYPERLINK("http://141.218.60.56/~jnz1568/getInfo.php?workbook=14_11.xlsx&amp;sheet=U0&amp;row=542&amp;col=7&amp;number=0.072&amp;sourceID=14","0.072")</f>
        <v>0.072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HYPERLINK("http://141.218.60.56/~jnz1568/getInfo.php?workbook=14_11.xlsx&amp;sheet=U0&amp;row=543&amp;col=6&amp;number=4.9&amp;sourceID=14","4.9")</f>
        <v>4.9</v>
      </c>
      <c r="G543" s="4" t="str">
        <f>HYPERLINK("http://141.218.60.56/~jnz1568/getInfo.php?workbook=14_11.xlsx&amp;sheet=U0&amp;row=543&amp;col=7&amp;number=0.0728&amp;sourceID=14","0.0728")</f>
        <v>0.0728</v>
      </c>
    </row>
    <row r="544" spans="1:7">
      <c r="A544" s="3">
        <v>14</v>
      </c>
      <c r="B544" s="3">
        <v>11</v>
      </c>
      <c r="C544" s="3">
        <v>2</v>
      </c>
      <c r="D544" s="3">
        <v>15</v>
      </c>
      <c r="E544" s="3">
        <v>1</v>
      </c>
      <c r="F544" s="4" t="str">
        <f>HYPERLINK("http://141.218.60.56/~jnz1568/getInfo.php?workbook=14_11.xlsx&amp;sheet=U0&amp;row=544&amp;col=6&amp;number=3&amp;sourceID=14","3")</f>
        <v>3</v>
      </c>
      <c r="G544" s="4" t="str">
        <f>HYPERLINK("http://141.218.60.56/~jnz1568/getInfo.php?workbook=14_11.xlsx&amp;sheet=U0&amp;row=544&amp;col=7&amp;number=0.061&amp;sourceID=14","0.061")</f>
        <v>0.061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HYPERLINK("http://141.218.60.56/~jnz1568/getInfo.php?workbook=14_11.xlsx&amp;sheet=U0&amp;row=545&amp;col=6&amp;number=3.1&amp;sourceID=14","3.1")</f>
        <v>3.1</v>
      </c>
      <c r="G545" s="4" t="str">
        <f>HYPERLINK("http://141.218.60.56/~jnz1568/getInfo.php?workbook=14_11.xlsx&amp;sheet=U0&amp;row=545&amp;col=7&amp;number=0.061&amp;sourceID=14","0.061")</f>
        <v>0.061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HYPERLINK("http://141.218.60.56/~jnz1568/getInfo.php?workbook=14_11.xlsx&amp;sheet=U0&amp;row=546&amp;col=6&amp;number=3.2&amp;sourceID=14","3.2")</f>
        <v>3.2</v>
      </c>
      <c r="G546" s="4" t="str">
        <f>HYPERLINK("http://141.218.60.56/~jnz1568/getInfo.php?workbook=14_11.xlsx&amp;sheet=U0&amp;row=546&amp;col=7&amp;number=0.0609&amp;sourceID=14","0.0609")</f>
        <v>0.0609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HYPERLINK("http://141.218.60.56/~jnz1568/getInfo.php?workbook=14_11.xlsx&amp;sheet=U0&amp;row=547&amp;col=6&amp;number=3.3&amp;sourceID=14","3.3")</f>
        <v>3.3</v>
      </c>
      <c r="G547" s="4" t="str">
        <f>HYPERLINK("http://141.218.60.56/~jnz1568/getInfo.php?workbook=14_11.xlsx&amp;sheet=U0&amp;row=547&amp;col=7&amp;number=0.0609&amp;sourceID=14","0.0609")</f>
        <v>0.0609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HYPERLINK("http://141.218.60.56/~jnz1568/getInfo.php?workbook=14_11.xlsx&amp;sheet=U0&amp;row=548&amp;col=6&amp;number=3.4&amp;sourceID=14","3.4")</f>
        <v>3.4</v>
      </c>
      <c r="G548" s="4" t="str">
        <f>HYPERLINK("http://141.218.60.56/~jnz1568/getInfo.php?workbook=14_11.xlsx&amp;sheet=U0&amp;row=548&amp;col=7&amp;number=0.0608&amp;sourceID=14","0.0608")</f>
        <v>0.0608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HYPERLINK("http://141.218.60.56/~jnz1568/getInfo.php?workbook=14_11.xlsx&amp;sheet=U0&amp;row=549&amp;col=6&amp;number=3.5&amp;sourceID=14","3.5")</f>
        <v>3.5</v>
      </c>
      <c r="G549" s="4" t="str">
        <f>HYPERLINK("http://141.218.60.56/~jnz1568/getInfo.php?workbook=14_11.xlsx&amp;sheet=U0&amp;row=549&amp;col=7&amp;number=0.0607&amp;sourceID=14","0.0607")</f>
        <v>0.0607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HYPERLINK("http://141.218.60.56/~jnz1568/getInfo.php?workbook=14_11.xlsx&amp;sheet=U0&amp;row=550&amp;col=6&amp;number=3.6&amp;sourceID=14","3.6")</f>
        <v>3.6</v>
      </c>
      <c r="G550" s="4" t="str">
        <f>HYPERLINK("http://141.218.60.56/~jnz1568/getInfo.php?workbook=14_11.xlsx&amp;sheet=U0&amp;row=550&amp;col=7&amp;number=0.0606&amp;sourceID=14","0.0606")</f>
        <v>0.0606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HYPERLINK("http://141.218.60.56/~jnz1568/getInfo.php?workbook=14_11.xlsx&amp;sheet=U0&amp;row=551&amp;col=6&amp;number=3.7&amp;sourceID=14","3.7")</f>
        <v>3.7</v>
      </c>
      <c r="G551" s="4" t="str">
        <f>HYPERLINK("http://141.218.60.56/~jnz1568/getInfo.php?workbook=14_11.xlsx&amp;sheet=U0&amp;row=551&amp;col=7&amp;number=0.0605&amp;sourceID=14","0.0605")</f>
        <v>0.0605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HYPERLINK("http://141.218.60.56/~jnz1568/getInfo.php?workbook=14_11.xlsx&amp;sheet=U0&amp;row=552&amp;col=6&amp;number=3.8&amp;sourceID=14","3.8")</f>
        <v>3.8</v>
      </c>
      <c r="G552" s="4" t="str">
        <f>HYPERLINK("http://141.218.60.56/~jnz1568/getInfo.php?workbook=14_11.xlsx&amp;sheet=U0&amp;row=552&amp;col=7&amp;number=0.0603&amp;sourceID=14","0.0603")</f>
        <v>0.0603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HYPERLINK("http://141.218.60.56/~jnz1568/getInfo.php?workbook=14_11.xlsx&amp;sheet=U0&amp;row=553&amp;col=6&amp;number=3.9&amp;sourceID=14","3.9")</f>
        <v>3.9</v>
      </c>
      <c r="G553" s="4" t="str">
        <f>HYPERLINK("http://141.218.60.56/~jnz1568/getInfo.php?workbook=14_11.xlsx&amp;sheet=U0&amp;row=553&amp;col=7&amp;number=0.0601&amp;sourceID=14","0.0601")</f>
        <v>0.0601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HYPERLINK("http://141.218.60.56/~jnz1568/getInfo.php?workbook=14_11.xlsx&amp;sheet=U0&amp;row=554&amp;col=6&amp;number=4&amp;sourceID=14","4")</f>
        <v>4</v>
      </c>
      <c r="G554" s="4" t="str">
        <f>HYPERLINK("http://141.218.60.56/~jnz1568/getInfo.php?workbook=14_11.xlsx&amp;sheet=U0&amp;row=554&amp;col=7&amp;number=0.0598&amp;sourceID=14","0.0598")</f>
        <v>0.0598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HYPERLINK("http://141.218.60.56/~jnz1568/getInfo.php?workbook=14_11.xlsx&amp;sheet=U0&amp;row=555&amp;col=6&amp;number=4.1&amp;sourceID=14","4.1")</f>
        <v>4.1</v>
      </c>
      <c r="G555" s="4" t="str">
        <f>HYPERLINK("http://141.218.60.56/~jnz1568/getInfo.php?workbook=14_11.xlsx&amp;sheet=U0&amp;row=555&amp;col=7&amp;number=0.0595&amp;sourceID=14","0.0595")</f>
        <v>0.0595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HYPERLINK("http://141.218.60.56/~jnz1568/getInfo.php?workbook=14_11.xlsx&amp;sheet=U0&amp;row=556&amp;col=6&amp;number=4.2&amp;sourceID=14","4.2")</f>
        <v>4.2</v>
      </c>
      <c r="G556" s="4" t="str">
        <f>HYPERLINK("http://141.218.60.56/~jnz1568/getInfo.php?workbook=14_11.xlsx&amp;sheet=U0&amp;row=556&amp;col=7&amp;number=0.0591&amp;sourceID=14","0.0591")</f>
        <v>0.0591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HYPERLINK("http://141.218.60.56/~jnz1568/getInfo.php?workbook=14_11.xlsx&amp;sheet=U0&amp;row=557&amp;col=6&amp;number=4.3&amp;sourceID=14","4.3")</f>
        <v>4.3</v>
      </c>
      <c r="G557" s="4" t="str">
        <f>HYPERLINK("http://141.218.60.56/~jnz1568/getInfo.php?workbook=14_11.xlsx&amp;sheet=U0&amp;row=557&amp;col=7&amp;number=0.0586&amp;sourceID=14","0.0586")</f>
        <v>0.0586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HYPERLINK("http://141.218.60.56/~jnz1568/getInfo.php?workbook=14_11.xlsx&amp;sheet=U0&amp;row=558&amp;col=6&amp;number=4.4&amp;sourceID=14","4.4")</f>
        <v>4.4</v>
      </c>
      <c r="G558" s="4" t="str">
        <f>HYPERLINK("http://141.218.60.56/~jnz1568/getInfo.php?workbook=14_11.xlsx&amp;sheet=U0&amp;row=558&amp;col=7&amp;number=0.058&amp;sourceID=14","0.058")</f>
        <v>0.058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HYPERLINK("http://141.218.60.56/~jnz1568/getInfo.php?workbook=14_11.xlsx&amp;sheet=U0&amp;row=559&amp;col=6&amp;number=4.5&amp;sourceID=14","4.5")</f>
        <v>4.5</v>
      </c>
      <c r="G559" s="4" t="str">
        <f>HYPERLINK("http://141.218.60.56/~jnz1568/getInfo.php?workbook=14_11.xlsx&amp;sheet=U0&amp;row=559&amp;col=7&amp;number=0.0574&amp;sourceID=14","0.0574")</f>
        <v>0.0574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HYPERLINK("http://141.218.60.56/~jnz1568/getInfo.php?workbook=14_11.xlsx&amp;sheet=U0&amp;row=560&amp;col=6&amp;number=4.6&amp;sourceID=14","4.6")</f>
        <v>4.6</v>
      </c>
      <c r="G560" s="4" t="str">
        <f>HYPERLINK("http://141.218.60.56/~jnz1568/getInfo.php?workbook=14_11.xlsx&amp;sheet=U0&amp;row=560&amp;col=7&amp;number=0.0566&amp;sourceID=14","0.0566")</f>
        <v>0.0566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HYPERLINK("http://141.218.60.56/~jnz1568/getInfo.php?workbook=14_11.xlsx&amp;sheet=U0&amp;row=561&amp;col=6&amp;number=4.7&amp;sourceID=14","4.7")</f>
        <v>4.7</v>
      </c>
      <c r="G561" s="4" t="str">
        <f>HYPERLINK("http://141.218.60.56/~jnz1568/getInfo.php?workbook=14_11.xlsx&amp;sheet=U0&amp;row=561&amp;col=7&amp;number=0.0557&amp;sourceID=14","0.0557")</f>
        <v>0.0557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HYPERLINK("http://141.218.60.56/~jnz1568/getInfo.php?workbook=14_11.xlsx&amp;sheet=U0&amp;row=562&amp;col=6&amp;number=4.8&amp;sourceID=14","4.8")</f>
        <v>4.8</v>
      </c>
      <c r="G562" s="4" t="str">
        <f>HYPERLINK("http://141.218.60.56/~jnz1568/getInfo.php?workbook=14_11.xlsx&amp;sheet=U0&amp;row=562&amp;col=7&amp;number=0.0548&amp;sourceID=14","0.0548")</f>
        <v>0.0548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HYPERLINK("http://141.218.60.56/~jnz1568/getInfo.php?workbook=14_11.xlsx&amp;sheet=U0&amp;row=563&amp;col=6&amp;number=4.9&amp;sourceID=14","4.9")</f>
        <v>4.9</v>
      </c>
      <c r="G563" s="4" t="str">
        <f>HYPERLINK("http://141.218.60.56/~jnz1568/getInfo.php?workbook=14_11.xlsx&amp;sheet=U0&amp;row=563&amp;col=7&amp;number=0.0538&amp;sourceID=14","0.0538")</f>
        <v>0.0538</v>
      </c>
    </row>
    <row r="564" spans="1:7">
      <c r="A564" s="3">
        <v>14</v>
      </c>
      <c r="B564" s="3">
        <v>11</v>
      </c>
      <c r="C564" s="3">
        <v>2</v>
      </c>
      <c r="D564" s="3">
        <v>16</v>
      </c>
      <c r="E564" s="3">
        <v>1</v>
      </c>
      <c r="F564" s="4" t="str">
        <f>HYPERLINK("http://141.218.60.56/~jnz1568/getInfo.php?workbook=14_11.xlsx&amp;sheet=U0&amp;row=564&amp;col=6&amp;number=3&amp;sourceID=14","3")</f>
        <v>3</v>
      </c>
      <c r="G564" s="4" t="str">
        <f>HYPERLINK("http://141.218.60.56/~jnz1568/getInfo.php?workbook=14_11.xlsx&amp;sheet=U0&amp;row=564&amp;col=7&amp;number=0.0813&amp;sourceID=14","0.0813")</f>
        <v>0.0813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HYPERLINK("http://141.218.60.56/~jnz1568/getInfo.php?workbook=14_11.xlsx&amp;sheet=U0&amp;row=565&amp;col=6&amp;number=3.1&amp;sourceID=14","3.1")</f>
        <v>3.1</v>
      </c>
      <c r="G565" s="4" t="str">
        <f>HYPERLINK("http://141.218.60.56/~jnz1568/getInfo.php?workbook=14_11.xlsx&amp;sheet=U0&amp;row=565&amp;col=7&amp;number=0.0813&amp;sourceID=14","0.0813")</f>
        <v>0.0813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HYPERLINK("http://141.218.60.56/~jnz1568/getInfo.php?workbook=14_11.xlsx&amp;sheet=U0&amp;row=566&amp;col=6&amp;number=3.2&amp;sourceID=14","3.2")</f>
        <v>3.2</v>
      </c>
      <c r="G566" s="4" t="str">
        <f>HYPERLINK("http://141.218.60.56/~jnz1568/getInfo.php?workbook=14_11.xlsx&amp;sheet=U0&amp;row=566&amp;col=7&amp;number=0.0812&amp;sourceID=14","0.0812")</f>
        <v>0.0812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HYPERLINK("http://141.218.60.56/~jnz1568/getInfo.php?workbook=14_11.xlsx&amp;sheet=U0&amp;row=567&amp;col=6&amp;number=3.3&amp;sourceID=14","3.3")</f>
        <v>3.3</v>
      </c>
      <c r="G567" s="4" t="str">
        <f>HYPERLINK("http://141.218.60.56/~jnz1568/getInfo.php?workbook=14_11.xlsx&amp;sheet=U0&amp;row=567&amp;col=7&amp;number=0.0812&amp;sourceID=14","0.0812")</f>
        <v>0.0812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HYPERLINK("http://141.218.60.56/~jnz1568/getInfo.php?workbook=14_11.xlsx&amp;sheet=U0&amp;row=568&amp;col=6&amp;number=3.4&amp;sourceID=14","3.4")</f>
        <v>3.4</v>
      </c>
      <c r="G568" s="4" t="str">
        <f>HYPERLINK("http://141.218.60.56/~jnz1568/getInfo.php?workbook=14_11.xlsx&amp;sheet=U0&amp;row=568&amp;col=7&amp;number=0.0811&amp;sourceID=14","0.0811")</f>
        <v>0.0811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HYPERLINK("http://141.218.60.56/~jnz1568/getInfo.php?workbook=14_11.xlsx&amp;sheet=U0&amp;row=569&amp;col=6&amp;number=3.5&amp;sourceID=14","3.5")</f>
        <v>3.5</v>
      </c>
      <c r="G569" s="4" t="str">
        <f>HYPERLINK("http://141.218.60.56/~jnz1568/getInfo.php?workbook=14_11.xlsx&amp;sheet=U0&amp;row=569&amp;col=7&amp;number=0.081&amp;sourceID=14","0.081")</f>
        <v>0.081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HYPERLINK("http://141.218.60.56/~jnz1568/getInfo.php?workbook=14_11.xlsx&amp;sheet=U0&amp;row=570&amp;col=6&amp;number=3.6&amp;sourceID=14","3.6")</f>
        <v>3.6</v>
      </c>
      <c r="G570" s="4" t="str">
        <f>HYPERLINK("http://141.218.60.56/~jnz1568/getInfo.php?workbook=14_11.xlsx&amp;sheet=U0&amp;row=570&amp;col=7&amp;number=0.0809&amp;sourceID=14","0.0809")</f>
        <v>0.0809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HYPERLINK("http://141.218.60.56/~jnz1568/getInfo.php?workbook=14_11.xlsx&amp;sheet=U0&amp;row=571&amp;col=6&amp;number=3.7&amp;sourceID=14","3.7")</f>
        <v>3.7</v>
      </c>
      <c r="G571" s="4" t="str">
        <f>HYPERLINK("http://141.218.60.56/~jnz1568/getInfo.php?workbook=14_11.xlsx&amp;sheet=U0&amp;row=571&amp;col=7&amp;number=0.0807&amp;sourceID=14","0.0807")</f>
        <v>0.0807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HYPERLINK("http://141.218.60.56/~jnz1568/getInfo.php?workbook=14_11.xlsx&amp;sheet=U0&amp;row=572&amp;col=6&amp;number=3.8&amp;sourceID=14","3.8")</f>
        <v>3.8</v>
      </c>
      <c r="G572" s="4" t="str">
        <f>HYPERLINK("http://141.218.60.56/~jnz1568/getInfo.php?workbook=14_11.xlsx&amp;sheet=U0&amp;row=572&amp;col=7&amp;number=0.0805&amp;sourceID=14","0.0805")</f>
        <v>0.0805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HYPERLINK("http://141.218.60.56/~jnz1568/getInfo.php?workbook=14_11.xlsx&amp;sheet=U0&amp;row=573&amp;col=6&amp;number=3.9&amp;sourceID=14","3.9")</f>
        <v>3.9</v>
      </c>
      <c r="G573" s="4" t="str">
        <f>HYPERLINK("http://141.218.60.56/~jnz1568/getInfo.php?workbook=14_11.xlsx&amp;sheet=U0&amp;row=573&amp;col=7&amp;number=0.0803&amp;sourceID=14","0.0803")</f>
        <v>0.0803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HYPERLINK("http://141.218.60.56/~jnz1568/getInfo.php?workbook=14_11.xlsx&amp;sheet=U0&amp;row=574&amp;col=6&amp;number=4&amp;sourceID=14","4")</f>
        <v>4</v>
      </c>
      <c r="G574" s="4" t="str">
        <f>HYPERLINK("http://141.218.60.56/~jnz1568/getInfo.php?workbook=14_11.xlsx&amp;sheet=U0&amp;row=574&amp;col=7&amp;number=0.08&amp;sourceID=14","0.08")</f>
        <v>0.08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HYPERLINK("http://141.218.60.56/~jnz1568/getInfo.php?workbook=14_11.xlsx&amp;sheet=U0&amp;row=575&amp;col=6&amp;number=4.1&amp;sourceID=14","4.1")</f>
        <v>4.1</v>
      </c>
      <c r="G575" s="4" t="str">
        <f>HYPERLINK("http://141.218.60.56/~jnz1568/getInfo.php?workbook=14_11.xlsx&amp;sheet=U0&amp;row=575&amp;col=7&amp;number=0.0796&amp;sourceID=14","0.0796")</f>
        <v>0.0796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HYPERLINK("http://141.218.60.56/~jnz1568/getInfo.php?workbook=14_11.xlsx&amp;sheet=U0&amp;row=576&amp;col=6&amp;number=4.2&amp;sourceID=14","4.2")</f>
        <v>4.2</v>
      </c>
      <c r="G576" s="4" t="str">
        <f>HYPERLINK("http://141.218.60.56/~jnz1568/getInfo.php?workbook=14_11.xlsx&amp;sheet=U0&amp;row=576&amp;col=7&amp;number=0.0792&amp;sourceID=14","0.0792")</f>
        <v>0.0792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HYPERLINK("http://141.218.60.56/~jnz1568/getInfo.php?workbook=14_11.xlsx&amp;sheet=U0&amp;row=577&amp;col=6&amp;number=4.3&amp;sourceID=14","4.3")</f>
        <v>4.3</v>
      </c>
      <c r="G577" s="4" t="str">
        <f>HYPERLINK("http://141.218.60.56/~jnz1568/getInfo.php?workbook=14_11.xlsx&amp;sheet=U0&amp;row=577&amp;col=7&amp;number=0.0787&amp;sourceID=14","0.0787")</f>
        <v>0.0787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HYPERLINK("http://141.218.60.56/~jnz1568/getInfo.php?workbook=14_11.xlsx&amp;sheet=U0&amp;row=578&amp;col=6&amp;number=4.4&amp;sourceID=14","4.4")</f>
        <v>4.4</v>
      </c>
      <c r="G578" s="4" t="str">
        <f>HYPERLINK("http://141.218.60.56/~jnz1568/getInfo.php?workbook=14_11.xlsx&amp;sheet=U0&amp;row=578&amp;col=7&amp;number=0.0781&amp;sourceID=14","0.0781")</f>
        <v>0.0781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HYPERLINK("http://141.218.60.56/~jnz1568/getInfo.php?workbook=14_11.xlsx&amp;sheet=U0&amp;row=579&amp;col=6&amp;number=4.5&amp;sourceID=14","4.5")</f>
        <v>4.5</v>
      </c>
      <c r="G579" s="4" t="str">
        <f>HYPERLINK("http://141.218.60.56/~jnz1568/getInfo.php?workbook=14_11.xlsx&amp;sheet=U0&amp;row=579&amp;col=7&amp;number=0.0773&amp;sourceID=14","0.0773")</f>
        <v>0.0773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HYPERLINK("http://141.218.60.56/~jnz1568/getInfo.php?workbook=14_11.xlsx&amp;sheet=U0&amp;row=580&amp;col=6&amp;number=4.6&amp;sourceID=14","4.6")</f>
        <v>4.6</v>
      </c>
      <c r="G580" s="4" t="str">
        <f>HYPERLINK("http://141.218.60.56/~jnz1568/getInfo.php?workbook=14_11.xlsx&amp;sheet=U0&amp;row=580&amp;col=7&amp;number=0.0764&amp;sourceID=14","0.0764")</f>
        <v>0.0764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HYPERLINK("http://141.218.60.56/~jnz1568/getInfo.php?workbook=14_11.xlsx&amp;sheet=U0&amp;row=581&amp;col=6&amp;number=4.7&amp;sourceID=14","4.7")</f>
        <v>4.7</v>
      </c>
      <c r="G581" s="4" t="str">
        <f>HYPERLINK("http://141.218.60.56/~jnz1568/getInfo.php?workbook=14_11.xlsx&amp;sheet=U0&amp;row=581&amp;col=7&amp;number=0.0755&amp;sourceID=14","0.0755")</f>
        <v>0.0755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HYPERLINK("http://141.218.60.56/~jnz1568/getInfo.php?workbook=14_11.xlsx&amp;sheet=U0&amp;row=582&amp;col=6&amp;number=4.8&amp;sourceID=14","4.8")</f>
        <v>4.8</v>
      </c>
      <c r="G582" s="4" t="str">
        <f>HYPERLINK("http://141.218.60.56/~jnz1568/getInfo.php?workbook=14_11.xlsx&amp;sheet=U0&amp;row=582&amp;col=7&amp;number=0.0744&amp;sourceID=14","0.0744")</f>
        <v>0.0744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HYPERLINK("http://141.218.60.56/~jnz1568/getInfo.php?workbook=14_11.xlsx&amp;sheet=U0&amp;row=583&amp;col=6&amp;number=4.9&amp;sourceID=14","4.9")</f>
        <v>4.9</v>
      </c>
      <c r="G583" s="4" t="str">
        <f>HYPERLINK("http://141.218.60.56/~jnz1568/getInfo.php?workbook=14_11.xlsx&amp;sheet=U0&amp;row=583&amp;col=7&amp;number=0.0732&amp;sourceID=14","0.0732")</f>
        <v>0.0732</v>
      </c>
    </row>
    <row r="584" spans="1:7">
      <c r="A584" s="3">
        <v>14</v>
      </c>
      <c r="B584" s="3">
        <v>11</v>
      </c>
      <c r="C584" s="3">
        <v>2</v>
      </c>
      <c r="D584" s="3">
        <v>17</v>
      </c>
      <c r="E584" s="3">
        <v>1</v>
      </c>
      <c r="F584" s="4" t="str">
        <f>HYPERLINK("http://141.218.60.56/~jnz1568/getInfo.php?workbook=14_11.xlsx&amp;sheet=U0&amp;row=584&amp;col=6&amp;number=3&amp;sourceID=14","3")</f>
        <v>3</v>
      </c>
      <c r="G584" s="4" t="str">
        <f>HYPERLINK("http://141.218.60.56/~jnz1568/getInfo.php?workbook=14_11.xlsx&amp;sheet=U0&amp;row=584&amp;col=7&amp;number=0.0618&amp;sourceID=14","0.0618")</f>
        <v>0.0618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HYPERLINK("http://141.218.60.56/~jnz1568/getInfo.php?workbook=14_11.xlsx&amp;sheet=U0&amp;row=585&amp;col=6&amp;number=3.1&amp;sourceID=14","3.1")</f>
        <v>3.1</v>
      </c>
      <c r="G585" s="4" t="str">
        <f>HYPERLINK("http://141.218.60.56/~jnz1568/getInfo.php?workbook=14_11.xlsx&amp;sheet=U0&amp;row=585&amp;col=7&amp;number=0.0617&amp;sourceID=14","0.0617")</f>
        <v>0.0617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HYPERLINK("http://141.218.60.56/~jnz1568/getInfo.php?workbook=14_11.xlsx&amp;sheet=U0&amp;row=586&amp;col=6&amp;number=3.2&amp;sourceID=14","3.2")</f>
        <v>3.2</v>
      </c>
      <c r="G586" s="4" t="str">
        <f>HYPERLINK("http://141.218.60.56/~jnz1568/getInfo.php?workbook=14_11.xlsx&amp;sheet=U0&amp;row=586&amp;col=7&amp;number=0.0616&amp;sourceID=14","0.0616")</f>
        <v>0.0616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HYPERLINK("http://141.218.60.56/~jnz1568/getInfo.php?workbook=14_11.xlsx&amp;sheet=U0&amp;row=587&amp;col=6&amp;number=3.3&amp;sourceID=14","3.3")</f>
        <v>3.3</v>
      </c>
      <c r="G587" s="4" t="str">
        <f>HYPERLINK("http://141.218.60.56/~jnz1568/getInfo.php?workbook=14_11.xlsx&amp;sheet=U0&amp;row=587&amp;col=7&amp;number=0.0615&amp;sourceID=14","0.0615")</f>
        <v>0.0615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HYPERLINK("http://141.218.60.56/~jnz1568/getInfo.php?workbook=14_11.xlsx&amp;sheet=U0&amp;row=588&amp;col=6&amp;number=3.4&amp;sourceID=14","3.4")</f>
        <v>3.4</v>
      </c>
      <c r="G588" s="4" t="str">
        <f>HYPERLINK("http://141.218.60.56/~jnz1568/getInfo.php?workbook=14_11.xlsx&amp;sheet=U0&amp;row=588&amp;col=7&amp;number=0.0614&amp;sourceID=14","0.0614")</f>
        <v>0.0614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HYPERLINK("http://141.218.60.56/~jnz1568/getInfo.php?workbook=14_11.xlsx&amp;sheet=U0&amp;row=589&amp;col=6&amp;number=3.5&amp;sourceID=14","3.5")</f>
        <v>3.5</v>
      </c>
      <c r="G589" s="4" t="str">
        <f>HYPERLINK("http://141.218.60.56/~jnz1568/getInfo.php?workbook=14_11.xlsx&amp;sheet=U0&amp;row=589&amp;col=7&amp;number=0.0612&amp;sourceID=14","0.0612")</f>
        <v>0.0612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HYPERLINK("http://141.218.60.56/~jnz1568/getInfo.php?workbook=14_11.xlsx&amp;sheet=U0&amp;row=590&amp;col=6&amp;number=3.6&amp;sourceID=14","3.6")</f>
        <v>3.6</v>
      </c>
      <c r="G590" s="4" t="str">
        <f>HYPERLINK("http://141.218.60.56/~jnz1568/getInfo.php?workbook=14_11.xlsx&amp;sheet=U0&amp;row=590&amp;col=7&amp;number=0.061&amp;sourceID=14","0.061")</f>
        <v>0.061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HYPERLINK("http://141.218.60.56/~jnz1568/getInfo.php?workbook=14_11.xlsx&amp;sheet=U0&amp;row=591&amp;col=6&amp;number=3.7&amp;sourceID=14","3.7")</f>
        <v>3.7</v>
      </c>
      <c r="G591" s="4" t="str">
        <f>HYPERLINK("http://141.218.60.56/~jnz1568/getInfo.php?workbook=14_11.xlsx&amp;sheet=U0&amp;row=591&amp;col=7&amp;number=0.0607&amp;sourceID=14","0.0607")</f>
        <v>0.0607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HYPERLINK("http://141.218.60.56/~jnz1568/getInfo.php?workbook=14_11.xlsx&amp;sheet=U0&amp;row=592&amp;col=6&amp;number=3.8&amp;sourceID=14","3.8")</f>
        <v>3.8</v>
      </c>
      <c r="G592" s="4" t="str">
        <f>HYPERLINK("http://141.218.60.56/~jnz1568/getInfo.php?workbook=14_11.xlsx&amp;sheet=U0&amp;row=592&amp;col=7&amp;number=0.0604&amp;sourceID=14","0.0604")</f>
        <v>0.0604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HYPERLINK("http://141.218.60.56/~jnz1568/getInfo.php?workbook=14_11.xlsx&amp;sheet=U0&amp;row=593&amp;col=6&amp;number=3.9&amp;sourceID=14","3.9")</f>
        <v>3.9</v>
      </c>
      <c r="G593" s="4" t="str">
        <f>HYPERLINK("http://141.218.60.56/~jnz1568/getInfo.php?workbook=14_11.xlsx&amp;sheet=U0&amp;row=593&amp;col=7&amp;number=0.06&amp;sourceID=14","0.06")</f>
        <v>0.06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HYPERLINK("http://141.218.60.56/~jnz1568/getInfo.php?workbook=14_11.xlsx&amp;sheet=U0&amp;row=594&amp;col=6&amp;number=4&amp;sourceID=14","4")</f>
        <v>4</v>
      </c>
      <c r="G594" s="4" t="str">
        <f>HYPERLINK("http://141.218.60.56/~jnz1568/getInfo.php?workbook=14_11.xlsx&amp;sheet=U0&amp;row=594&amp;col=7&amp;number=0.0595&amp;sourceID=14","0.0595")</f>
        <v>0.0595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HYPERLINK("http://141.218.60.56/~jnz1568/getInfo.php?workbook=14_11.xlsx&amp;sheet=U0&amp;row=595&amp;col=6&amp;number=4.1&amp;sourceID=14","4.1")</f>
        <v>4.1</v>
      </c>
      <c r="G595" s="4" t="str">
        <f>HYPERLINK("http://141.218.60.56/~jnz1568/getInfo.php?workbook=14_11.xlsx&amp;sheet=U0&amp;row=595&amp;col=7&amp;number=0.0588&amp;sourceID=14","0.0588")</f>
        <v>0.0588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HYPERLINK("http://141.218.60.56/~jnz1568/getInfo.php?workbook=14_11.xlsx&amp;sheet=U0&amp;row=596&amp;col=6&amp;number=4.2&amp;sourceID=14","4.2")</f>
        <v>4.2</v>
      </c>
      <c r="G596" s="4" t="str">
        <f>HYPERLINK("http://141.218.60.56/~jnz1568/getInfo.php?workbook=14_11.xlsx&amp;sheet=U0&amp;row=596&amp;col=7&amp;number=0.0581&amp;sourceID=14","0.0581")</f>
        <v>0.0581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HYPERLINK("http://141.218.60.56/~jnz1568/getInfo.php?workbook=14_11.xlsx&amp;sheet=U0&amp;row=597&amp;col=6&amp;number=4.3&amp;sourceID=14","4.3")</f>
        <v>4.3</v>
      </c>
      <c r="G597" s="4" t="str">
        <f>HYPERLINK("http://141.218.60.56/~jnz1568/getInfo.php?workbook=14_11.xlsx&amp;sheet=U0&amp;row=597&amp;col=7&amp;number=0.0571&amp;sourceID=14","0.0571")</f>
        <v>0.0571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HYPERLINK("http://141.218.60.56/~jnz1568/getInfo.php?workbook=14_11.xlsx&amp;sheet=U0&amp;row=598&amp;col=6&amp;number=4.4&amp;sourceID=14","4.4")</f>
        <v>4.4</v>
      </c>
      <c r="G598" s="4" t="str">
        <f>HYPERLINK("http://141.218.60.56/~jnz1568/getInfo.php?workbook=14_11.xlsx&amp;sheet=U0&amp;row=598&amp;col=7&amp;number=0.056&amp;sourceID=14","0.056")</f>
        <v>0.056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HYPERLINK("http://141.218.60.56/~jnz1568/getInfo.php?workbook=14_11.xlsx&amp;sheet=U0&amp;row=599&amp;col=6&amp;number=4.5&amp;sourceID=14","4.5")</f>
        <v>4.5</v>
      </c>
      <c r="G599" s="4" t="str">
        <f>HYPERLINK("http://141.218.60.56/~jnz1568/getInfo.php?workbook=14_11.xlsx&amp;sheet=U0&amp;row=599&amp;col=7&amp;number=0.0547&amp;sourceID=14","0.0547")</f>
        <v>0.0547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HYPERLINK("http://141.218.60.56/~jnz1568/getInfo.php?workbook=14_11.xlsx&amp;sheet=U0&amp;row=600&amp;col=6&amp;number=4.6&amp;sourceID=14","4.6")</f>
        <v>4.6</v>
      </c>
      <c r="G600" s="4" t="str">
        <f>HYPERLINK("http://141.218.60.56/~jnz1568/getInfo.php?workbook=14_11.xlsx&amp;sheet=U0&amp;row=600&amp;col=7&amp;number=0.0531&amp;sourceID=14","0.0531")</f>
        <v>0.0531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HYPERLINK("http://141.218.60.56/~jnz1568/getInfo.php?workbook=14_11.xlsx&amp;sheet=U0&amp;row=601&amp;col=6&amp;number=4.7&amp;sourceID=14","4.7")</f>
        <v>4.7</v>
      </c>
      <c r="G601" s="4" t="str">
        <f>HYPERLINK("http://141.218.60.56/~jnz1568/getInfo.php?workbook=14_11.xlsx&amp;sheet=U0&amp;row=601&amp;col=7&amp;number=0.0513&amp;sourceID=14","0.0513")</f>
        <v>0.0513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HYPERLINK("http://141.218.60.56/~jnz1568/getInfo.php?workbook=14_11.xlsx&amp;sheet=U0&amp;row=602&amp;col=6&amp;number=4.8&amp;sourceID=14","4.8")</f>
        <v>4.8</v>
      </c>
      <c r="G602" s="4" t="str">
        <f>HYPERLINK("http://141.218.60.56/~jnz1568/getInfo.php?workbook=14_11.xlsx&amp;sheet=U0&amp;row=602&amp;col=7&amp;number=0.0493&amp;sourceID=14","0.0493")</f>
        <v>0.0493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HYPERLINK("http://141.218.60.56/~jnz1568/getInfo.php?workbook=14_11.xlsx&amp;sheet=U0&amp;row=603&amp;col=6&amp;number=4.9&amp;sourceID=14","4.9")</f>
        <v>4.9</v>
      </c>
      <c r="G603" s="4" t="str">
        <f>HYPERLINK("http://141.218.60.56/~jnz1568/getInfo.php?workbook=14_11.xlsx&amp;sheet=U0&amp;row=603&amp;col=7&amp;number=0.0471&amp;sourceID=14","0.0471")</f>
        <v>0.0471</v>
      </c>
    </row>
    <row r="604" spans="1:7">
      <c r="A604" s="3">
        <v>14</v>
      </c>
      <c r="B604" s="3">
        <v>11</v>
      </c>
      <c r="C604" s="3">
        <v>2</v>
      </c>
      <c r="D604" s="3">
        <v>18</v>
      </c>
      <c r="E604" s="3">
        <v>1</v>
      </c>
      <c r="F604" s="4" t="str">
        <f>HYPERLINK("http://141.218.60.56/~jnz1568/getInfo.php?workbook=14_11.xlsx&amp;sheet=U0&amp;row=604&amp;col=6&amp;number=3&amp;sourceID=14","3")</f>
        <v>3</v>
      </c>
      <c r="G604" s="4" t="str">
        <f>HYPERLINK("http://141.218.60.56/~jnz1568/getInfo.php?workbook=14_11.xlsx&amp;sheet=U0&amp;row=604&amp;col=7&amp;number=0.197&amp;sourceID=14","0.197")</f>
        <v>0.197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HYPERLINK("http://141.218.60.56/~jnz1568/getInfo.php?workbook=14_11.xlsx&amp;sheet=U0&amp;row=605&amp;col=6&amp;number=3.1&amp;sourceID=14","3.1")</f>
        <v>3.1</v>
      </c>
      <c r="G605" s="4" t="str">
        <f>HYPERLINK("http://141.218.60.56/~jnz1568/getInfo.php?workbook=14_11.xlsx&amp;sheet=U0&amp;row=605&amp;col=7&amp;number=0.197&amp;sourceID=14","0.197")</f>
        <v>0.197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HYPERLINK("http://141.218.60.56/~jnz1568/getInfo.php?workbook=14_11.xlsx&amp;sheet=U0&amp;row=606&amp;col=6&amp;number=3.2&amp;sourceID=14","3.2")</f>
        <v>3.2</v>
      </c>
      <c r="G606" s="4" t="str">
        <f>HYPERLINK("http://141.218.60.56/~jnz1568/getInfo.php?workbook=14_11.xlsx&amp;sheet=U0&amp;row=606&amp;col=7&amp;number=0.197&amp;sourceID=14","0.197")</f>
        <v>0.197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HYPERLINK("http://141.218.60.56/~jnz1568/getInfo.php?workbook=14_11.xlsx&amp;sheet=U0&amp;row=607&amp;col=6&amp;number=3.3&amp;sourceID=14","3.3")</f>
        <v>3.3</v>
      </c>
      <c r="G607" s="4" t="str">
        <f>HYPERLINK("http://141.218.60.56/~jnz1568/getInfo.php?workbook=14_11.xlsx&amp;sheet=U0&amp;row=607&amp;col=7&amp;number=0.197&amp;sourceID=14","0.197")</f>
        <v>0.197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HYPERLINK("http://141.218.60.56/~jnz1568/getInfo.php?workbook=14_11.xlsx&amp;sheet=U0&amp;row=608&amp;col=6&amp;number=3.4&amp;sourceID=14","3.4")</f>
        <v>3.4</v>
      </c>
      <c r="G608" s="4" t="str">
        <f>HYPERLINK("http://141.218.60.56/~jnz1568/getInfo.php?workbook=14_11.xlsx&amp;sheet=U0&amp;row=608&amp;col=7&amp;number=0.197&amp;sourceID=14","0.197")</f>
        <v>0.197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HYPERLINK("http://141.218.60.56/~jnz1568/getInfo.php?workbook=14_11.xlsx&amp;sheet=U0&amp;row=609&amp;col=6&amp;number=3.5&amp;sourceID=14","3.5")</f>
        <v>3.5</v>
      </c>
      <c r="G609" s="4" t="str">
        <f>HYPERLINK("http://141.218.60.56/~jnz1568/getInfo.php?workbook=14_11.xlsx&amp;sheet=U0&amp;row=609&amp;col=7&amp;number=0.197&amp;sourceID=14","0.197")</f>
        <v>0.197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HYPERLINK("http://141.218.60.56/~jnz1568/getInfo.php?workbook=14_11.xlsx&amp;sheet=U0&amp;row=610&amp;col=6&amp;number=3.6&amp;sourceID=14","3.6")</f>
        <v>3.6</v>
      </c>
      <c r="G610" s="4" t="str">
        <f>HYPERLINK("http://141.218.60.56/~jnz1568/getInfo.php?workbook=14_11.xlsx&amp;sheet=U0&amp;row=610&amp;col=7&amp;number=0.198&amp;sourceID=14","0.198")</f>
        <v>0.198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HYPERLINK("http://141.218.60.56/~jnz1568/getInfo.php?workbook=14_11.xlsx&amp;sheet=U0&amp;row=611&amp;col=6&amp;number=3.7&amp;sourceID=14","3.7")</f>
        <v>3.7</v>
      </c>
      <c r="G611" s="4" t="str">
        <f>HYPERLINK("http://141.218.60.56/~jnz1568/getInfo.php?workbook=14_11.xlsx&amp;sheet=U0&amp;row=611&amp;col=7&amp;number=0.198&amp;sourceID=14","0.198")</f>
        <v>0.198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HYPERLINK("http://141.218.60.56/~jnz1568/getInfo.php?workbook=14_11.xlsx&amp;sheet=U0&amp;row=612&amp;col=6&amp;number=3.8&amp;sourceID=14","3.8")</f>
        <v>3.8</v>
      </c>
      <c r="G612" s="4" t="str">
        <f>HYPERLINK("http://141.218.60.56/~jnz1568/getInfo.php?workbook=14_11.xlsx&amp;sheet=U0&amp;row=612&amp;col=7&amp;number=0.198&amp;sourceID=14","0.198")</f>
        <v>0.198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HYPERLINK("http://141.218.60.56/~jnz1568/getInfo.php?workbook=14_11.xlsx&amp;sheet=U0&amp;row=613&amp;col=6&amp;number=3.9&amp;sourceID=14","3.9")</f>
        <v>3.9</v>
      </c>
      <c r="G613" s="4" t="str">
        <f>HYPERLINK("http://141.218.60.56/~jnz1568/getInfo.php?workbook=14_11.xlsx&amp;sheet=U0&amp;row=613&amp;col=7&amp;number=0.199&amp;sourceID=14","0.199")</f>
        <v>0.199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HYPERLINK("http://141.218.60.56/~jnz1568/getInfo.php?workbook=14_11.xlsx&amp;sheet=U0&amp;row=614&amp;col=6&amp;number=4&amp;sourceID=14","4")</f>
        <v>4</v>
      </c>
      <c r="G614" s="4" t="str">
        <f>HYPERLINK("http://141.218.60.56/~jnz1568/getInfo.php?workbook=14_11.xlsx&amp;sheet=U0&amp;row=614&amp;col=7&amp;number=0.199&amp;sourceID=14","0.199")</f>
        <v>0.199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HYPERLINK("http://141.218.60.56/~jnz1568/getInfo.php?workbook=14_11.xlsx&amp;sheet=U0&amp;row=615&amp;col=6&amp;number=4.1&amp;sourceID=14","4.1")</f>
        <v>4.1</v>
      </c>
      <c r="G615" s="4" t="str">
        <f>HYPERLINK("http://141.218.60.56/~jnz1568/getInfo.php?workbook=14_11.xlsx&amp;sheet=U0&amp;row=615&amp;col=7&amp;number=0.2&amp;sourceID=14","0.2")</f>
        <v>0.2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HYPERLINK("http://141.218.60.56/~jnz1568/getInfo.php?workbook=14_11.xlsx&amp;sheet=U0&amp;row=616&amp;col=6&amp;number=4.2&amp;sourceID=14","4.2")</f>
        <v>4.2</v>
      </c>
      <c r="G616" s="4" t="str">
        <f>HYPERLINK("http://141.218.60.56/~jnz1568/getInfo.php?workbook=14_11.xlsx&amp;sheet=U0&amp;row=616&amp;col=7&amp;number=0.201&amp;sourceID=14","0.201")</f>
        <v>0.201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HYPERLINK("http://141.218.60.56/~jnz1568/getInfo.php?workbook=14_11.xlsx&amp;sheet=U0&amp;row=617&amp;col=6&amp;number=4.3&amp;sourceID=14","4.3")</f>
        <v>4.3</v>
      </c>
      <c r="G617" s="4" t="str">
        <f>HYPERLINK("http://141.218.60.56/~jnz1568/getInfo.php?workbook=14_11.xlsx&amp;sheet=U0&amp;row=617&amp;col=7&amp;number=0.202&amp;sourceID=14","0.202")</f>
        <v>0.202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HYPERLINK("http://141.218.60.56/~jnz1568/getInfo.php?workbook=14_11.xlsx&amp;sheet=U0&amp;row=618&amp;col=6&amp;number=4.4&amp;sourceID=14","4.4")</f>
        <v>4.4</v>
      </c>
      <c r="G618" s="4" t="str">
        <f>HYPERLINK("http://141.218.60.56/~jnz1568/getInfo.php?workbook=14_11.xlsx&amp;sheet=U0&amp;row=618&amp;col=7&amp;number=0.203&amp;sourceID=14","0.203")</f>
        <v>0.203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HYPERLINK("http://141.218.60.56/~jnz1568/getInfo.php?workbook=14_11.xlsx&amp;sheet=U0&amp;row=619&amp;col=6&amp;number=4.5&amp;sourceID=14","4.5")</f>
        <v>4.5</v>
      </c>
      <c r="G619" s="4" t="str">
        <f>HYPERLINK("http://141.218.60.56/~jnz1568/getInfo.php?workbook=14_11.xlsx&amp;sheet=U0&amp;row=619&amp;col=7&amp;number=0.205&amp;sourceID=14","0.205")</f>
        <v>0.205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HYPERLINK("http://141.218.60.56/~jnz1568/getInfo.php?workbook=14_11.xlsx&amp;sheet=U0&amp;row=620&amp;col=6&amp;number=4.6&amp;sourceID=14","4.6")</f>
        <v>4.6</v>
      </c>
      <c r="G620" s="4" t="str">
        <f>HYPERLINK("http://141.218.60.56/~jnz1568/getInfo.php?workbook=14_11.xlsx&amp;sheet=U0&amp;row=620&amp;col=7&amp;number=0.207&amp;sourceID=14","0.207")</f>
        <v>0.207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HYPERLINK("http://141.218.60.56/~jnz1568/getInfo.php?workbook=14_11.xlsx&amp;sheet=U0&amp;row=621&amp;col=6&amp;number=4.7&amp;sourceID=14","4.7")</f>
        <v>4.7</v>
      </c>
      <c r="G621" s="4" t="str">
        <f>HYPERLINK("http://141.218.60.56/~jnz1568/getInfo.php?workbook=14_11.xlsx&amp;sheet=U0&amp;row=621&amp;col=7&amp;number=0.209&amp;sourceID=14","0.209")</f>
        <v>0.209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HYPERLINK("http://141.218.60.56/~jnz1568/getInfo.php?workbook=14_11.xlsx&amp;sheet=U0&amp;row=622&amp;col=6&amp;number=4.8&amp;sourceID=14","4.8")</f>
        <v>4.8</v>
      </c>
      <c r="G622" s="4" t="str">
        <f>HYPERLINK("http://141.218.60.56/~jnz1568/getInfo.php?workbook=14_11.xlsx&amp;sheet=U0&amp;row=622&amp;col=7&amp;number=0.212&amp;sourceID=14","0.212")</f>
        <v>0.212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HYPERLINK("http://141.218.60.56/~jnz1568/getInfo.php?workbook=14_11.xlsx&amp;sheet=U0&amp;row=623&amp;col=6&amp;number=4.9&amp;sourceID=14","4.9")</f>
        <v>4.9</v>
      </c>
      <c r="G623" s="4" t="str">
        <f>HYPERLINK("http://141.218.60.56/~jnz1568/getInfo.php?workbook=14_11.xlsx&amp;sheet=U0&amp;row=623&amp;col=7&amp;number=0.216&amp;sourceID=14","0.216")</f>
        <v>0.216</v>
      </c>
    </row>
    <row r="624" spans="1:7">
      <c r="A624" s="3">
        <v>14</v>
      </c>
      <c r="B624" s="3">
        <v>11</v>
      </c>
      <c r="C624" s="3">
        <v>2</v>
      </c>
      <c r="D624" s="3">
        <v>19</v>
      </c>
      <c r="E624" s="3">
        <v>1</v>
      </c>
      <c r="F624" s="4" t="str">
        <f>HYPERLINK("http://141.218.60.56/~jnz1568/getInfo.php?workbook=14_11.xlsx&amp;sheet=U0&amp;row=624&amp;col=6&amp;number=3&amp;sourceID=14","3")</f>
        <v>3</v>
      </c>
      <c r="G624" s="4" t="str">
        <f>HYPERLINK("http://141.218.60.56/~jnz1568/getInfo.php?workbook=14_11.xlsx&amp;sheet=U0&amp;row=624&amp;col=7&amp;number=0.0945&amp;sourceID=14","0.0945")</f>
        <v>0.0945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HYPERLINK("http://141.218.60.56/~jnz1568/getInfo.php?workbook=14_11.xlsx&amp;sheet=U0&amp;row=625&amp;col=6&amp;number=3.1&amp;sourceID=14","3.1")</f>
        <v>3.1</v>
      </c>
      <c r="G625" s="4" t="str">
        <f>HYPERLINK("http://141.218.60.56/~jnz1568/getInfo.php?workbook=14_11.xlsx&amp;sheet=U0&amp;row=625&amp;col=7&amp;number=0.0944&amp;sourceID=14","0.0944")</f>
        <v>0.0944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HYPERLINK("http://141.218.60.56/~jnz1568/getInfo.php?workbook=14_11.xlsx&amp;sheet=U0&amp;row=626&amp;col=6&amp;number=3.2&amp;sourceID=14","3.2")</f>
        <v>3.2</v>
      </c>
      <c r="G626" s="4" t="str">
        <f>HYPERLINK("http://141.218.60.56/~jnz1568/getInfo.php?workbook=14_11.xlsx&amp;sheet=U0&amp;row=626&amp;col=7&amp;number=0.0943&amp;sourceID=14","0.0943")</f>
        <v>0.0943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HYPERLINK("http://141.218.60.56/~jnz1568/getInfo.php?workbook=14_11.xlsx&amp;sheet=U0&amp;row=627&amp;col=6&amp;number=3.3&amp;sourceID=14","3.3")</f>
        <v>3.3</v>
      </c>
      <c r="G627" s="4" t="str">
        <f>HYPERLINK("http://141.218.60.56/~jnz1568/getInfo.php?workbook=14_11.xlsx&amp;sheet=U0&amp;row=627&amp;col=7&amp;number=0.0941&amp;sourceID=14","0.0941")</f>
        <v>0.0941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HYPERLINK("http://141.218.60.56/~jnz1568/getInfo.php?workbook=14_11.xlsx&amp;sheet=U0&amp;row=628&amp;col=6&amp;number=3.4&amp;sourceID=14","3.4")</f>
        <v>3.4</v>
      </c>
      <c r="G628" s="4" t="str">
        <f>HYPERLINK("http://141.218.60.56/~jnz1568/getInfo.php?workbook=14_11.xlsx&amp;sheet=U0&amp;row=628&amp;col=7&amp;number=0.0939&amp;sourceID=14","0.0939")</f>
        <v>0.0939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HYPERLINK("http://141.218.60.56/~jnz1568/getInfo.php?workbook=14_11.xlsx&amp;sheet=U0&amp;row=629&amp;col=6&amp;number=3.5&amp;sourceID=14","3.5")</f>
        <v>3.5</v>
      </c>
      <c r="G629" s="4" t="str">
        <f>HYPERLINK("http://141.218.60.56/~jnz1568/getInfo.php?workbook=14_11.xlsx&amp;sheet=U0&amp;row=629&amp;col=7&amp;number=0.0937&amp;sourceID=14","0.0937")</f>
        <v>0.0937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HYPERLINK("http://141.218.60.56/~jnz1568/getInfo.php?workbook=14_11.xlsx&amp;sheet=U0&amp;row=630&amp;col=6&amp;number=3.6&amp;sourceID=14","3.6")</f>
        <v>3.6</v>
      </c>
      <c r="G630" s="4" t="str">
        <f>HYPERLINK("http://141.218.60.56/~jnz1568/getInfo.php?workbook=14_11.xlsx&amp;sheet=U0&amp;row=630&amp;col=7&amp;number=0.0934&amp;sourceID=14","0.0934")</f>
        <v>0.0934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HYPERLINK("http://141.218.60.56/~jnz1568/getInfo.php?workbook=14_11.xlsx&amp;sheet=U0&amp;row=631&amp;col=6&amp;number=3.7&amp;sourceID=14","3.7")</f>
        <v>3.7</v>
      </c>
      <c r="G631" s="4" t="str">
        <f>HYPERLINK("http://141.218.60.56/~jnz1568/getInfo.php?workbook=14_11.xlsx&amp;sheet=U0&amp;row=631&amp;col=7&amp;number=0.093&amp;sourceID=14","0.093")</f>
        <v>0.093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HYPERLINK("http://141.218.60.56/~jnz1568/getInfo.php?workbook=14_11.xlsx&amp;sheet=U0&amp;row=632&amp;col=6&amp;number=3.8&amp;sourceID=14","3.8")</f>
        <v>3.8</v>
      </c>
      <c r="G632" s="4" t="str">
        <f>HYPERLINK("http://141.218.60.56/~jnz1568/getInfo.php?workbook=14_11.xlsx&amp;sheet=U0&amp;row=632&amp;col=7&amp;number=0.0926&amp;sourceID=14","0.0926")</f>
        <v>0.0926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HYPERLINK("http://141.218.60.56/~jnz1568/getInfo.php?workbook=14_11.xlsx&amp;sheet=U0&amp;row=633&amp;col=6&amp;number=3.9&amp;sourceID=14","3.9")</f>
        <v>3.9</v>
      </c>
      <c r="G633" s="4" t="str">
        <f>HYPERLINK("http://141.218.60.56/~jnz1568/getInfo.php?workbook=14_11.xlsx&amp;sheet=U0&amp;row=633&amp;col=7&amp;number=0.092&amp;sourceID=14","0.092")</f>
        <v>0.092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HYPERLINK("http://141.218.60.56/~jnz1568/getInfo.php?workbook=14_11.xlsx&amp;sheet=U0&amp;row=634&amp;col=6&amp;number=4&amp;sourceID=14","4")</f>
        <v>4</v>
      </c>
      <c r="G634" s="4" t="str">
        <f>HYPERLINK("http://141.218.60.56/~jnz1568/getInfo.php?workbook=14_11.xlsx&amp;sheet=U0&amp;row=634&amp;col=7&amp;number=0.0913&amp;sourceID=14","0.0913")</f>
        <v>0.0913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HYPERLINK("http://141.218.60.56/~jnz1568/getInfo.php?workbook=14_11.xlsx&amp;sheet=U0&amp;row=635&amp;col=6&amp;number=4.1&amp;sourceID=14","4.1")</f>
        <v>4.1</v>
      </c>
      <c r="G635" s="4" t="str">
        <f>HYPERLINK("http://141.218.60.56/~jnz1568/getInfo.php?workbook=14_11.xlsx&amp;sheet=U0&amp;row=635&amp;col=7&amp;number=0.0904&amp;sourceID=14","0.0904")</f>
        <v>0.0904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HYPERLINK("http://141.218.60.56/~jnz1568/getInfo.php?workbook=14_11.xlsx&amp;sheet=U0&amp;row=636&amp;col=6&amp;number=4.2&amp;sourceID=14","4.2")</f>
        <v>4.2</v>
      </c>
      <c r="G636" s="4" t="str">
        <f>HYPERLINK("http://141.218.60.56/~jnz1568/getInfo.php?workbook=14_11.xlsx&amp;sheet=U0&amp;row=636&amp;col=7&amp;number=0.0894&amp;sourceID=14","0.0894")</f>
        <v>0.0894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HYPERLINK("http://141.218.60.56/~jnz1568/getInfo.php?workbook=14_11.xlsx&amp;sheet=U0&amp;row=637&amp;col=6&amp;number=4.3&amp;sourceID=14","4.3")</f>
        <v>4.3</v>
      </c>
      <c r="G637" s="4" t="str">
        <f>HYPERLINK("http://141.218.60.56/~jnz1568/getInfo.php?workbook=14_11.xlsx&amp;sheet=U0&amp;row=637&amp;col=7&amp;number=0.0881&amp;sourceID=14","0.0881")</f>
        <v>0.0881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HYPERLINK("http://141.218.60.56/~jnz1568/getInfo.php?workbook=14_11.xlsx&amp;sheet=U0&amp;row=638&amp;col=6&amp;number=4.4&amp;sourceID=14","4.4")</f>
        <v>4.4</v>
      </c>
      <c r="G638" s="4" t="str">
        <f>HYPERLINK("http://141.218.60.56/~jnz1568/getInfo.php?workbook=14_11.xlsx&amp;sheet=U0&amp;row=638&amp;col=7&amp;number=0.0865&amp;sourceID=14","0.0865")</f>
        <v>0.0865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HYPERLINK("http://141.218.60.56/~jnz1568/getInfo.php?workbook=14_11.xlsx&amp;sheet=U0&amp;row=639&amp;col=6&amp;number=4.5&amp;sourceID=14","4.5")</f>
        <v>4.5</v>
      </c>
      <c r="G639" s="4" t="str">
        <f>HYPERLINK("http://141.218.60.56/~jnz1568/getInfo.php?workbook=14_11.xlsx&amp;sheet=U0&amp;row=639&amp;col=7&amp;number=0.0847&amp;sourceID=14","0.0847")</f>
        <v>0.0847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HYPERLINK("http://141.218.60.56/~jnz1568/getInfo.php?workbook=14_11.xlsx&amp;sheet=U0&amp;row=640&amp;col=6&amp;number=4.6&amp;sourceID=14","4.6")</f>
        <v>4.6</v>
      </c>
      <c r="G640" s="4" t="str">
        <f>HYPERLINK("http://141.218.60.56/~jnz1568/getInfo.php?workbook=14_11.xlsx&amp;sheet=U0&amp;row=640&amp;col=7&amp;number=0.0825&amp;sourceID=14","0.0825")</f>
        <v>0.0825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HYPERLINK("http://141.218.60.56/~jnz1568/getInfo.php?workbook=14_11.xlsx&amp;sheet=U0&amp;row=641&amp;col=6&amp;number=4.7&amp;sourceID=14","4.7")</f>
        <v>4.7</v>
      </c>
      <c r="G641" s="4" t="str">
        <f>HYPERLINK("http://141.218.60.56/~jnz1568/getInfo.php?workbook=14_11.xlsx&amp;sheet=U0&amp;row=641&amp;col=7&amp;number=0.08&amp;sourceID=14","0.08")</f>
        <v>0.08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HYPERLINK("http://141.218.60.56/~jnz1568/getInfo.php?workbook=14_11.xlsx&amp;sheet=U0&amp;row=642&amp;col=6&amp;number=4.8&amp;sourceID=14","4.8")</f>
        <v>4.8</v>
      </c>
      <c r="G642" s="4" t="str">
        <f>HYPERLINK("http://141.218.60.56/~jnz1568/getInfo.php?workbook=14_11.xlsx&amp;sheet=U0&amp;row=642&amp;col=7&amp;number=0.0771&amp;sourceID=14","0.0771")</f>
        <v>0.0771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HYPERLINK("http://141.218.60.56/~jnz1568/getInfo.php?workbook=14_11.xlsx&amp;sheet=U0&amp;row=643&amp;col=6&amp;number=4.9&amp;sourceID=14","4.9")</f>
        <v>4.9</v>
      </c>
      <c r="G643" s="4" t="str">
        <f>HYPERLINK("http://141.218.60.56/~jnz1568/getInfo.php?workbook=14_11.xlsx&amp;sheet=U0&amp;row=643&amp;col=7&amp;number=0.074&amp;sourceID=14","0.074")</f>
        <v>0.074</v>
      </c>
    </row>
    <row r="644" spans="1:7">
      <c r="A644" s="3">
        <v>14</v>
      </c>
      <c r="B644" s="3">
        <v>11</v>
      </c>
      <c r="C644" s="3">
        <v>2</v>
      </c>
      <c r="D644" s="3">
        <v>20</v>
      </c>
      <c r="E644" s="3">
        <v>1</v>
      </c>
      <c r="F644" s="4" t="str">
        <f>HYPERLINK("http://141.218.60.56/~jnz1568/getInfo.php?workbook=14_11.xlsx&amp;sheet=U0&amp;row=644&amp;col=6&amp;number=3&amp;sourceID=14","3")</f>
        <v>3</v>
      </c>
      <c r="G644" s="4" t="str">
        <f>HYPERLINK("http://141.218.60.56/~jnz1568/getInfo.php?workbook=14_11.xlsx&amp;sheet=U0&amp;row=644&amp;col=7&amp;number=0.0512&amp;sourceID=14","0.0512")</f>
        <v>0.0512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HYPERLINK("http://141.218.60.56/~jnz1568/getInfo.php?workbook=14_11.xlsx&amp;sheet=U0&amp;row=645&amp;col=6&amp;number=3.1&amp;sourceID=14","3.1")</f>
        <v>3.1</v>
      </c>
      <c r="G645" s="4" t="str">
        <f>HYPERLINK("http://141.218.60.56/~jnz1568/getInfo.php?workbook=14_11.xlsx&amp;sheet=U0&amp;row=645&amp;col=7&amp;number=0.0512&amp;sourceID=14","0.0512")</f>
        <v>0.0512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HYPERLINK("http://141.218.60.56/~jnz1568/getInfo.php?workbook=14_11.xlsx&amp;sheet=U0&amp;row=646&amp;col=6&amp;number=3.2&amp;sourceID=14","3.2")</f>
        <v>3.2</v>
      </c>
      <c r="G646" s="4" t="str">
        <f>HYPERLINK("http://141.218.60.56/~jnz1568/getInfo.php?workbook=14_11.xlsx&amp;sheet=U0&amp;row=646&amp;col=7&amp;number=0.0512&amp;sourceID=14","0.0512")</f>
        <v>0.0512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HYPERLINK("http://141.218.60.56/~jnz1568/getInfo.php?workbook=14_11.xlsx&amp;sheet=U0&amp;row=647&amp;col=6&amp;number=3.3&amp;sourceID=14","3.3")</f>
        <v>3.3</v>
      </c>
      <c r="G647" s="4" t="str">
        <f>HYPERLINK("http://141.218.60.56/~jnz1568/getInfo.php?workbook=14_11.xlsx&amp;sheet=U0&amp;row=647&amp;col=7&amp;number=0.0511&amp;sourceID=14","0.0511")</f>
        <v>0.0511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HYPERLINK("http://141.218.60.56/~jnz1568/getInfo.php?workbook=14_11.xlsx&amp;sheet=U0&amp;row=648&amp;col=6&amp;number=3.4&amp;sourceID=14","3.4")</f>
        <v>3.4</v>
      </c>
      <c r="G648" s="4" t="str">
        <f>HYPERLINK("http://141.218.60.56/~jnz1568/getInfo.php?workbook=14_11.xlsx&amp;sheet=U0&amp;row=648&amp;col=7&amp;number=0.0511&amp;sourceID=14","0.0511")</f>
        <v>0.0511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HYPERLINK("http://141.218.60.56/~jnz1568/getInfo.php?workbook=14_11.xlsx&amp;sheet=U0&amp;row=649&amp;col=6&amp;number=3.5&amp;sourceID=14","3.5")</f>
        <v>3.5</v>
      </c>
      <c r="G649" s="4" t="str">
        <f>HYPERLINK("http://141.218.60.56/~jnz1568/getInfo.php?workbook=14_11.xlsx&amp;sheet=U0&amp;row=649&amp;col=7&amp;number=0.0511&amp;sourceID=14","0.0511")</f>
        <v>0.0511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HYPERLINK("http://141.218.60.56/~jnz1568/getInfo.php?workbook=14_11.xlsx&amp;sheet=U0&amp;row=650&amp;col=6&amp;number=3.6&amp;sourceID=14","3.6")</f>
        <v>3.6</v>
      </c>
      <c r="G650" s="4" t="str">
        <f>HYPERLINK("http://141.218.60.56/~jnz1568/getInfo.php?workbook=14_11.xlsx&amp;sheet=U0&amp;row=650&amp;col=7&amp;number=0.0511&amp;sourceID=14","0.0511")</f>
        <v>0.0511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HYPERLINK("http://141.218.60.56/~jnz1568/getInfo.php?workbook=14_11.xlsx&amp;sheet=U0&amp;row=651&amp;col=6&amp;number=3.7&amp;sourceID=14","3.7")</f>
        <v>3.7</v>
      </c>
      <c r="G651" s="4" t="str">
        <f>HYPERLINK("http://141.218.60.56/~jnz1568/getInfo.php?workbook=14_11.xlsx&amp;sheet=U0&amp;row=651&amp;col=7&amp;number=0.051&amp;sourceID=14","0.051")</f>
        <v>0.051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HYPERLINK("http://141.218.60.56/~jnz1568/getInfo.php?workbook=14_11.xlsx&amp;sheet=U0&amp;row=652&amp;col=6&amp;number=3.8&amp;sourceID=14","3.8")</f>
        <v>3.8</v>
      </c>
      <c r="G652" s="4" t="str">
        <f>HYPERLINK("http://141.218.60.56/~jnz1568/getInfo.php?workbook=14_11.xlsx&amp;sheet=U0&amp;row=652&amp;col=7&amp;number=0.051&amp;sourceID=14","0.051")</f>
        <v>0.051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HYPERLINK("http://141.218.60.56/~jnz1568/getInfo.php?workbook=14_11.xlsx&amp;sheet=U0&amp;row=653&amp;col=6&amp;number=3.9&amp;sourceID=14","3.9")</f>
        <v>3.9</v>
      </c>
      <c r="G653" s="4" t="str">
        <f>HYPERLINK("http://141.218.60.56/~jnz1568/getInfo.php?workbook=14_11.xlsx&amp;sheet=U0&amp;row=653&amp;col=7&amp;number=0.0509&amp;sourceID=14","0.0509")</f>
        <v>0.0509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HYPERLINK("http://141.218.60.56/~jnz1568/getInfo.php?workbook=14_11.xlsx&amp;sheet=U0&amp;row=654&amp;col=6&amp;number=4&amp;sourceID=14","4")</f>
        <v>4</v>
      </c>
      <c r="G654" s="4" t="str">
        <f>HYPERLINK("http://141.218.60.56/~jnz1568/getInfo.php?workbook=14_11.xlsx&amp;sheet=U0&amp;row=654&amp;col=7&amp;number=0.0508&amp;sourceID=14","0.0508")</f>
        <v>0.0508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HYPERLINK("http://141.218.60.56/~jnz1568/getInfo.php?workbook=14_11.xlsx&amp;sheet=U0&amp;row=655&amp;col=6&amp;number=4.1&amp;sourceID=14","4.1")</f>
        <v>4.1</v>
      </c>
      <c r="G655" s="4" t="str">
        <f>HYPERLINK("http://141.218.60.56/~jnz1568/getInfo.php?workbook=14_11.xlsx&amp;sheet=U0&amp;row=655&amp;col=7&amp;number=0.0507&amp;sourceID=14","0.0507")</f>
        <v>0.0507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HYPERLINK("http://141.218.60.56/~jnz1568/getInfo.php?workbook=14_11.xlsx&amp;sheet=U0&amp;row=656&amp;col=6&amp;number=4.2&amp;sourceID=14","4.2")</f>
        <v>4.2</v>
      </c>
      <c r="G656" s="4" t="str">
        <f>HYPERLINK("http://141.218.60.56/~jnz1568/getInfo.php?workbook=14_11.xlsx&amp;sheet=U0&amp;row=656&amp;col=7&amp;number=0.0506&amp;sourceID=14","0.0506")</f>
        <v>0.0506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HYPERLINK("http://141.218.60.56/~jnz1568/getInfo.php?workbook=14_11.xlsx&amp;sheet=U0&amp;row=657&amp;col=6&amp;number=4.3&amp;sourceID=14","4.3")</f>
        <v>4.3</v>
      </c>
      <c r="G657" s="4" t="str">
        <f>HYPERLINK("http://141.218.60.56/~jnz1568/getInfo.php?workbook=14_11.xlsx&amp;sheet=U0&amp;row=657&amp;col=7&amp;number=0.0505&amp;sourceID=14","0.0505")</f>
        <v>0.0505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HYPERLINK("http://141.218.60.56/~jnz1568/getInfo.php?workbook=14_11.xlsx&amp;sheet=U0&amp;row=658&amp;col=6&amp;number=4.4&amp;sourceID=14","4.4")</f>
        <v>4.4</v>
      </c>
      <c r="G658" s="4" t="str">
        <f>HYPERLINK("http://141.218.60.56/~jnz1568/getInfo.php?workbook=14_11.xlsx&amp;sheet=U0&amp;row=658&amp;col=7&amp;number=0.0503&amp;sourceID=14","0.0503")</f>
        <v>0.0503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HYPERLINK("http://141.218.60.56/~jnz1568/getInfo.php?workbook=14_11.xlsx&amp;sheet=U0&amp;row=659&amp;col=6&amp;number=4.5&amp;sourceID=14","4.5")</f>
        <v>4.5</v>
      </c>
      <c r="G659" s="4" t="str">
        <f>HYPERLINK("http://141.218.60.56/~jnz1568/getInfo.php?workbook=14_11.xlsx&amp;sheet=U0&amp;row=659&amp;col=7&amp;number=0.0502&amp;sourceID=14","0.0502")</f>
        <v>0.0502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HYPERLINK("http://141.218.60.56/~jnz1568/getInfo.php?workbook=14_11.xlsx&amp;sheet=U0&amp;row=660&amp;col=6&amp;number=4.6&amp;sourceID=14","4.6")</f>
        <v>4.6</v>
      </c>
      <c r="G660" s="4" t="str">
        <f>HYPERLINK("http://141.218.60.56/~jnz1568/getInfo.php?workbook=14_11.xlsx&amp;sheet=U0&amp;row=660&amp;col=7&amp;number=0.05&amp;sourceID=14","0.05")</f>
        <v>0.05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HYPERLINK("http://141.218.60.56/~jnz1568/getInfo.php?workbook=14_11.xlsx&amp;sheet=U0&amp;row=661&amp;col=6&amp;number=4.7&amp;sourceID=14","4.7")</f>
        <v>4.7</v>
      </c>
      <c r="G661" s="4" t="str">
        <f>HYPERLINK("http://141.218.60.56/~jnz1568/getInfo.php?workbook=14_11.xlsx&amp;sheet=U0&amp;row=661&amp;col=7&amp;number=0.0498&amp;sourceID=14","0.0498")</f>
        <v>0.0498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HYPERLINK("http://141.218.60.56/~jnz1568/getInfo.php?workbook=14_11.xlsx&amp;sheet=U0&amp;row=662&amp;col=6&amp;number=4.8&amp;sourceID=14","4.8")</f>
        <v>4.8</v>
      </c>
      <c r="G662" s="4" t="str">
        <f>HYPERLINK("http://141.218.60.56/~jnz1568/getInfo.php?workbook=14_11.xlsx&amp;sheet=U0&amp;row=662&amp;col=7&amp;number=0.0497&amp;sourceID=14","0.0497")</f>
        <v>0.0497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HYPERLINK("http://141.218.60.56/~jnz1568/getInfo.php?workbook=14_11.xlsx&amp;sheet=U0&amp;row=663&amp;col=6&amp;number=4.9&amp;sourceID=14","4.9")</f>
        <v>4.9</v>
      </c>
      <c r="G663" s="4" t="str">
        <f>HYPERLINK("http://141.218.60.56/~jnz1568/getInfo.php?workbook=14_11.xlsx&amp;sheet=U0&amp;row=663&amp;col=7&amp;number=0.0496&amp;sourceID=14","0.0496")</f>
        <v>0.0496</v>
      </c>
    </row>
    <row r="664" spans="1:7">
      <c r="A664" s="3">
        <v>14</v>
      </c>
      <c r="B664" s="3">
        <v>11</v>
      </c>
      <c r="C664" s="3">
        <v>2</v>
      </c>
      <c r="D664" s="3">
        <v>21</v>
      </c>
      <c r="E664" s="3">
        <v>1</v>
      </c>
      <c r="F664" s="4" t="str">
        <f>HYPERLINK("http://141.218.60.56/~jnz1568/getInfo.php?workbook=14_11.xlsx&amp;sheet=U0&amp;row=664&amp;col=6&amp;number=3&amp;sourceID=14","3")</f>
        <v>3</v>
      </c>
      <c r="G664" s="4" t="str">
        <f>HYPERLINK("http://141.218.60.56/~jnz1568/getInfo.php?workbook=14_11.xlsx&amp;sheet=U0&amp;row=664&amp;col=7&amp;number=0.0405&amp;sourceID=14","0.0405")</f>
        <v>0.0405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HYPERLINK("http://141.218.60.56/~jnz1568/getInfo.php?workbook=14_11.xlsx&amp;sheet=U0&amp;row=665&amp;col=6&amp;number=3.1&amp;sourceID=14","3.1")</f>
        <v>3.1</v>
      </c>
      <c r="G665" s="4" t="str">
        <f>HYPERLINK("http://141.218.60.56/~jnz1568/getInfo.php?workbook=14_11.xlsx&amp;sheet=U0&amp;row=665&amp;col=7&amp;number=0.0404&amp;sourceID=14","0.0404")</f>
        <v>0.0404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HYPERLINK("http://141.218.60.56/~jnz1568/getInfo.php?workbook=14_11.xlsx&amp;sheet=U0&amp;row=666&amp;col=6&amp;number=3.2&amp;sourceID=14","3.2")</f>
        <v>3.2</v>
      </c>
      <c r="G666" s="4" t="str">
        <f>HYPERLINK("http://141.218.60.56/~jnz1568/getInfo.php?workbook=14_11.xlsx&amp;sheet=U0&amp;row=666&amp;col=7&amp;number=0.0404&amp;sourceID=14","0.0404")</f>
        <v>0.0404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HYPERLINK("http://141.218.60.56/~jnz1568/getInfo.php?workbook=14_11.xlsx&amp;sheet=U0&amp;row=667&amp;col=6&amp;number=3.3&amp;sourceID=14","3.3")</f>
        <v>3.3</v>
      </c>
      <c r="G667" s="4" t="str">
        <f>HYPERLINK("http://141.218.60.56/~jnz1568/getInfo.php?workbook=14_11.xlsx&amp;sheet=U0&amp;row=667&amp;col=7&amp;number=0.0403&amp;sourceID=14","0.0403")</f>
        <v>0.0403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HYPERLINK("http://141.218.60.56/~jnz1568/getInfo.php?workbook=14_11.xlsx&amp;sheet=U0&amp;row=668&amp;col=6&amp;number=3.4&amp;sourceID=14","3.4")</f>
        <v>3.4</v>
      </c>
      <c r="G668" s="4" t="str">
        <f>HYPERLINK("http://141.218.60.56/~jnz1568/getInfo.php?workbook=14_11.xlsx&amp;sheet=U0&amp;row=668&amp;col=7&amp;number=0.0402&amp;sourceID=14","0.0402")</f>
        <v>0.0402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HYPERLINK("http://141.218.60.56/~jnz1568/getInfo.php?workbook=14_11.xlsx&amp;sheet=U0&amp;row=669&amp;col=6&amp;number=3.5&amp;sourceID=14","3.5")</f>
        <v>3.5</v>
      </c>
      <c r="G669" s="4" t="str">
        <f>HYPERLINK("http://141.218.60.56/~jnz1568/getInfo.php?workbook=14_11.xlsx&amp;sheet=U0&amp;row=669&amp;col=7&amp;number=0.0401&amp;sourceID=14","0.0401")</f>
        <v>0.0401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HYPERLINK("http://141.218.60.56/~jnz1568/getInfo.php?workbook=14_11.xlsx&amp;sheet=U0&amp;row=670&amp;col=6&amp;number=3.6&amp;sourceID=14","3.6")</f>
        <v>3.6</v>
      </c>
      <c r="G670" s="4" t="str">
        <f>HYPERLINK("http://141.218.60.56/~jnz1568/getInfo.php?workbook=14_11.xlsx&amp;sheet=U0&amp;row=670&amp;col=7&amp;number=0.0399&amp;sourceID=14","0.0399")</f>
        <v>0.0399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HYPERLINK("http://141.218.60.56/~jnz1568/getInfo.php?workbook=14_11.xlsx&amp;sheet=U0&amp;row=671&amp;col=6&amp;number=3.7&amp;sourceID=14","3.7")</f>
        <v>3.7</v>
      </c>
      <c r="G671" s="4" t="str">
        <f>HYPERLINK("http://141.218.60.56/~jnz1568/getInfo.php?workbook=14_11.xlsx&amp;sheet=U0&amp;row=671&amp;col=7&amp;number=0.0397&amp;sourceID=14","0.0397")</f>
        <v>0.0397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HYPERLINK("http://141.218.60.56/~jnz1568/getInfo.php?workbook=14_11.xlsx&amp;sheet=U0&amp;row=672&amp;col=6&amp;number=3.8&amp;sourceID=14","3.8")</f>
        <v>3.8</v>
      </c>
      <c r="G672" s="4" t="str">
        <f>HYPERLINK("http://141.218.60.56/~jnz1568/getInfo.php?workbook=14_11.xlsx&amp;sheet=U0&amp;row=672&amp;col=7&amp;number=0.0394&amp;sourceID=14","0.0394")</f>
        <v>0.0394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HYPERLINK("http://141.218.60.56/~jnz1568/getInfo.php?workbook=14_11.xlsx&amp;sheet=U0&amp;row=673&amp;col=6&amp;number=3.9&amp;sourceID=14","3.9")</f>
        <v>3.9</v>
      </c>
      <c r="G673" s="4" t="str">
        <f>HYPERLINK("http://141.218.60.56/~jnz1568/getInfo.php?workbook=14_11.xlsx&amp;sheet=U0&amp;row=673&amp;col=7&amp;number=0.0391&amp;sourceID=14","0.0391")</f>
        <v>0.0391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HYPERLINK("http://141.218.60.56/~jnz1568/getInfo.php?workbook=14_11.xlsx&amp;sheet=U0&amp;row=674&amp;col=6&amp;number=4&amp;sourceID=14","4")</f>
        <v>4</v>
      </c>
      <c r="G674" s="4" t="str">
        <f>HYPERLINK("http://141.218.60.56/~jnz1568/getInfo.php?workbook=14_11.xlsx&amp;sheet=U0&amp;row=674&amp;col=7&amp;number=0.0388&amp;sourceID=14","0.0388")</f>
        <v>0.0388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HYPERLINK("http://141.218.60.56/~jnz1568/getInfo.php?workbook=14_11.xlsx&amp;sheet=U0&amp;row=675&amp;col=6&amp;number=4.1&amp;sourceID=14","4.1")</f>
        <v>4.1</v>
      </c>
      <c r="G675" s="4" t="str">
        <f>HYPERLINK("http://141.218.60.56/~jnz1568/getInfo.php?workbook=14_11.xlsx&amp;sheet=U0&amp;row=675&amp;col=7&amp;number=0.0383&amp;sourceID=14","0.0383")</f>
        <v>0.0383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HYPERLINK("http://141.218.60.56/~jnz1568/getInfo.php?workbook=14_11.xlsx&amp;sheet=U0&amp;row=676&amp;col=6&amp;number=4.2&amp;sourceID=14","4.2")</f>
        <v>4.2</v>
      </c>
      <c r="G676" s="4" t="str">
        <f>HYPERLINK("http://141.218.60.56/~jnz1568/getInfo.php?workbook=14_11.xlsx&amp;sheet=U0&amp;row=676&amp;col=7&amp;number=0.0377&amp;sourceID=14","0.0377")</f>
        <v>0.0377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HYPERLINK("http://141.218.60.56/~jnz1568/getInfo.php?workbook=14_11.xlsx&amp;sheet=U0&amp;row=677&amp;col=6&amp;number=4.3&amp;sourceID=14","4.3")</f>
        <v>4.3</v>
      </c>
      <c r="G677" s="4" t="str">
        <f>HYPERLINK("http://141.218.60.56/~jnz1568/getInfo.php?workbook=14_11.xlsx&amp;sheet=U0&amp;row=677&amp;col=7&amp;number=0.037&amp;sourceID=14","0.037")</f>
        <v>0.037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HYPERLINK("http://141.218.60.56/~jnz1568/getInfo.php?workbook=14_11.xlsx&amp;sheet=U0&amp;row=678&amp;col=6&amp;number=4.4&amp;sourceID=14","4.4")</f>
        <v>4.4</v>
      </c>
      <c r="G678" s="4" t="str">
        <f>HYPERLINK("http://141.218.60.56/~jnz1568/getInfo.php?workbook=14_11.xlsx&amp;sheet=U0&amp;row=678&amp;col=7&amp;number=0.0361&amp;sourceID=14","0.0361")</f>
        <v>0.0361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HYPERLINK("http://141.218.60.56/~jnz1568/getInfo.php?workbook=14_11.xlsx&amp;sheet=U0&amp;row=679&amp;col=6&amp;number=4.5&amp;sourceID=14","4.5")</f>
        <v>4.5</v>
      </c>
      <c r="G679" s="4" t="str">
        <f>HYPERLINK("http://141.218.60.56/~jnz1568/getInfo.php?workbook=14_11.xlsx&amp;sheet=U0&amp;row=679&amp;col=7&amp;number=0.0351&amp;sourceID=14","0.0351")</f>
        <v>0.0351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HYPERLINK("http://141.218.60.56/~jnz1568/getInfo.php?workbook=14_11.xlsx&amp;sheet=U0&amp;row=680&amp;col=6&amp;number=4.6&amp;sourceID=14","4.6")</f>
        <v>4.6</v>
      </c>
      <c r="G680" s="4" t="str">
        <f>HYPERLINK("http://141.218.60.56/~jnz1568/getInfo.php?workbook=14_11.xlsx&amp;sheet=U0&amp;row=680&amp;col=7&amp;number=0.034&amp;sourceID=14","0.034")</f>
        <v>0.034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HYPERLINK("http://141.218.60.56/~jnz1568/getInfo.php?workbook=14_11.xlsx&amp;sheet=U0&amp;row=681&amp;col=6&amp;number=4.7&amp;sourceID=14","4.7")</f>
        <v>4.7</v>
      </c>
      <c r="G681" s="4" t="str">
        <f>HYPERLINK("http://141.218.60.56/~jnz1568/getInfo.php?workbook=14_11.xlsx&amp;sheet=U0&amp;row=681&amp;col=7&amp;number=0.0326&amp;sourceID=14","0.0326")</f>
        <v>0.0326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HYPERLINK("http://141.218.60.56/~jnz1568/getInfo.php?workbook=14_11.xlsx&amp;sheet=U0&amp;row=682&amp;col=6&amp;number=4.8&amp;sourceID=14","4.8")</f>
        <v>4.8</v>
      </c>
      <c r="G682" s="4" t="str">
        <f>HYPERLINK("http://141.218.60.56/~jnz1568/getInfo.php?workbook=14_11.xlsx&amp;sheet=U0&amp;row=682&amp;col=7&amp;number=0.0311&amp;sourceID=14","0.0311")</f>
        <v>0.0311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HYPERLINK("http://141.218.60.56/~jnz1568/getInfo.php?workbook=14_11.xlsx&amp;sheet=U0&amp;row=683&amp;col=6&amp;number=4.9&amp;sourceID=14","4.9")</f>
        <v>4.9</v>
      </c>
      <c r="G683" s="4" t="str">
        <f>HYPERLINK("http://141.218.60.56/~jnz1568/getInfo.php?workbook=14_11.xlsx&amp;sheet=U0&amp;row=683&amp;col=7&amp;number=0.0295&amp;sourceID=14","0.0295")</f>
        <v>0.0295</v>
      </c>
    </row>
    <row r="684" spans="1:7">
      <c r="A684" s="3">
        <v>14</v>
      </c>
      <c r="B684" s="3">
        <v>11</v>
      </c>
      <c r="C684" s="3">
        <v>3</v>
      </c>
      <c r="D684" s="3">
        <v>5</v>
      </c>
      <c r="E684" s="3">
        <v>1</v>
      </c>
      <c r="F684" s="4" t="str">
        <f>HYPERLINK("http://141.218.60.56/~jnz1568/getInfo.php?workbook=14_11.xlsx&amp;sheet=U0&amp;row=684&amp;col=6&amp;number=3&amp;sourceID=14","3")</f>
        <v>3</v>
      </c>
      <c r="G684" s="4" t="str">
        <f>HYPERLINK("http://141.218.60.56/~jnz1568/getInfo.php?workbook=14_11.xlsx&amp;sheet=U0&amp;row=684&amp;col=7&amp;number=21.5&amp;sourceID=14","21.5")</f>
        <v>21.5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HYPERLINK("http://141.218.60.56/~jnz1568/getInfo.php?workbook=14_11.xlsx&amp;sheet=U0&amp;row=685&amp;col=6&amp;number=3.1&amp;sourceID=14","3.1")</f>
        <v>3.1</v>
      </c>
      <c r="G685" s="4" t="str">
        <f>HYPERLINK("http://141.218.60.56/~jnz1568/getInfo.php?workbook=14_11.xlsx&amp;sheet=U0&amp;row=685&amp;col=7&amp;number=21.5&amp;sourceID=14","21.5")</f>
        <v>21.5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HYPERLINK("http://141.218.60.56/~jnz1568/getInfo.php?workbook=14_11.xlsx&amp;sheet=U0&amp;row=686&amp;col=6&amp;number=3.2&amp;sourceID=14","3.2")</f>
        <v>3.2</v>
      </c>
      <c r="G686" s="4" t="str">
        <f>HYPERLINK("http://141.218.60.56/~jnz1568/getInfo.php?workbook=14_11.xlsx&amp;sheet=U0&amp;row=686&amp;col=7&amp;number=21.5&amp;sourceID=14","21.5")</f>
        <v>21.5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HYPERLINK("http://141.218.60.56/~jnz1568/getInfo.php?workbook=14_11.xlsx&amp;sheet=U0&amp;row=687&amp;col=6&amp;number=3.3&amp;sourceID=14","3.3")</f>
        <v>3.3</v>
      </c>
      <c r="G687" s="4" t="str">
        <f>HYPERLINK("http://141.218.60.56/~jnz1568/getInfo.php?workbook=14_11.xlsx&amp;sheet=U0&amp;row=687&amp;col=7&amp;number=21.5&amp;sourceID=14","21.5")</f>
        <v>21.5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HYPERLINK("http://141.218.60.56/~jnz1568/getInfo.php?workbook=14_11.xlsx&amp;sheet=U0&amp;row=688&amp;col=6&amp;number=3.4&amp;sourceID=14","3.4")</f>
        <v>3.4</v>
      </c>
      <c r="G688" s="4" t="str">
        <f>HYPERLINK("http://141.218.60.56/~jnz1568/getInfo.php?workbook=14_11.xlsx&amp;sheet=U0&amp;row=688&amp;col=7&amp;number=21.6&amp;sourceID=14","21.6")</f>
        <v>21.6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HYPERLINK("http://141.218.60.56/~jnz1568/getInfo.php?workbook=14_11.xlsx&amp;sheet=U0&amp;row=689&amp;col=6&amp;number=3.5&amp;sourceID=14","3.5")</f>
        <v>3.5</v>
      </c>
      <c r="G689" s="4" t="str">
        <f>HYPERLINK("http://141.218.60.56/~jnz1568/getInfo.php?workbook=14_11.xlsx&amp;sheet=U0&amp;row=689&amp;col=7&amp;number=21.6&amp;sourceID=14","21.6")</f>
        <v>21.6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HYPERLINK("http://141.218.60.56/~jnz1568/getInfo.php?workbook=14_11.xlsx&amp;sheet=U0&amp;row=690&amp;col=6&amp;number=3.6&amp;sourceID=14","3.6")</f>
        <v>3.6</v>
      </c>
      <c r="G690" s="4" t="str">
        <f>HYPERLINK("http://141.218.60.56/~jnz1568/getInfo.php?workbook=14_11.xlsx&amp;sheet=U0&amp;row=690&amp;col=7&amp;number=21.6&amp;sourceID=14","21.6")</f>
        <v>21.6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HYPERLINK("http://141.218.60.56/~jnz1568/getInfo.php?workbook=14_11.xlsx&amp;sheet=U0&amp;row=691&amp;col=6&amp;number=3.7&amp;sourceID=14","3.7")</f>
        <v>3.7</v>
      </c>
      <c r="G691" s="4" t="str">
        <f>HYPERLINK("http://141.218.60.56/~jnz1568/getInfo.php?workbook=14_11.xlsx&amp;sheet=U0&amp;row=691&amp;col=7&amp;number=21.6&amp;sourceID=14","21.6")</f>
        <v>21.6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HYPERLINK("http://141.218.60.56/~jnz1568/getInfo.php?workbook=14_11.xlsx&amp;sheet=U0&amp;row=692&amp;col=6&amp;number=3.8&amp;sourceID=14","3.8")</f>
        <v>3.8</v>
      </c>
      <c r="G692" s="4" t="str">
        <f>HYPERLINK("http://141.218.60.56/~jnz1568/getInfo.php?workbook=14_11.xlsx&amp;sheet=U0&amp;row=692&amp;col=7&amp;number=21.7&amp;sourceID=14","21.7")</f>
        <v>21.7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HYPERLINK("http://141.218.60.56/~jnz1568/getInfo.php?workbook=14_11.xlsx&amp;sheet=U0&amp;row=693&amp;col=6&amp;number=3.9&amp;sourceID=14","3.9")</f>
        <v>3.9</v>
      </c>
      <c r="G693" s="4" t="str">
        <f>HYPERLINK("http://141.218.60.56/~jnz1568/getInfo.php?workbook=14_11.xlsx&amp;sheet=U0&amp;row=693&amp;col=7&amp;number=21.7&amp;sourceID=14","21.7")</f>
        <v>21.7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HYPERLINK("http://141.218.60.56/~jnz1568/getInfo.php?workbook=14_11.xlsx&amp;sheet=U0&amp;row=694&amp;col=6&amp;number=4&amp;sourceID=14","4")</f>
        <v>4</v>
      </c>
      <c r="G694" s="4" t="str">
        <f>HYPERLINK("http://141.218.60.56/~jnz1568/getInfo.php?workbook=14_11.xlsx&amp;sheet=U0&amp;row=694&amp;col=7&amp;number=21.8&amp;sourceID=14","21.8")</f>
        <v>21.8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HYPERLINK("http://141.218.60.56/~jnz1568/getInfo.php?workbook=14_11.xlsx&amp;sheet=U0&amp;row=695&amp;col=6&amp;number=4.1&amp;sourceID=14","4.1")</f>
        <v>4.1</v>
      </c>
      <c r="G695" s="4" t="str">
        <f>HYPERLINK("http://141.218.60.56/~jnz1568/getInfo.php?workbook=14_11.xlsx&amp;sheet=U0&amp;row=695&amp;col=7&amp;number=21.9&amp;sourceID=14","21.9")</f>
        <v>21.9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HYPERLINK("http://141.218.60.56/~jnz1568/getInfo.php?workbook=14_11.xlsx&amp;sheet=U0&amp;row=696&amp;col=6&amp;number=4.2&amp;sourceID=14","4.2")</f>
        <v>4.2</v>
      </c>
      <c r="G696" s="4" t="str">
        <f>HYPERLINK("http://141.218.60.56/~jnz1568/getInfo.php?workbook=14_11.xlsx&amp;sheet=U0&amp;row=696&amp;col=7&amp;number=22&amp;sourceID=14","22")</f>
        <v>22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HYPERLINK("http://141.218.60.56/~jnz1568/getInfo.php?workbook=14_11.xlsx&amp;sheet=U0&amp;row=697&amp;col=6&amp;number=4.3&amp;sourceID=14","4.3")</f>
        <v>4.3</v>
      </c>
      <c r="G697" s="4" t="str">
        <f>HYPERLINK("http://141.218.60.56/~jnz1568/getInfo.php?workbook=14_11.xlsx&amp;sheet=U0&amp;row=697&amp;col=7&amp;number=22.2&amp;sourceID=14","22.2")</f>
        <v>22.2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HYPERLINK("http://141.218.60.56/~jnz1568/getInfo.php?workbook=14_11.xlsx&amp;sheet=U0&amp;row=698&amp;col=6&amp;number=4.4&amp;sourceID=14","4.4")</f>
        <v>4.4</v>
      </c>
      <c r="G698" s="4" t="str">
        <f>HYPERLINK("http://141.218.60.56/~jnz1568/getInfo.php?workbook=14_11.xlsx&amp;sheet=U0&amp;row=698&amp;col=7&amp;number=22.3&amp;sourceID=14","22.3")</f>
        <v>22.3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HYPERLINK("http://141.218.60.56/~jnz1568/getInfo.php?workbook=14_11.xlsx&amp;sheet=U0&amp;row=699&amp;col=6&amp;number=4.5&amp;sourceID=14","4.5")</f>
        <v>4.5</v>
      </c>
      <c r="G699" s="4" t="str">
        <f>HYPERLINK("http://141.218.60.56/~jnz1568/getInfo.php?workbook=14_11.xlsx&amp;sheet=U0&amp;row=699&amp;col=7&amp;number=22.6&amp;sourceID=14","22.6")</f>
        <v>22.6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HYPERLINK("http://141.218.60.56/~jnz1568/getInfo.php?workbook=14_11.xlsx&amp;sheet=U0&amp;row=700&amp;col=6&amp;number=4.6&amp;sourceID=14","4.6")</f>
        <v>4.6</v>
      </c>
      <c r="G700" s="4" t="str">
        <f>HYPERLINK("http://141.218.60.56/~jnz1568/getInfo.php?workbook=14_11.xlsx&amp;sheet=U0&amp;row=700&amp;col=7&amp;number=22.8&amp;sourceID=14","22.8")</f>
        <v>22.8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HYPERLINK("http://141.218.60.56/~jnz1568/getInfo.php?workbook=14_11.xlsx&amp;sheet=U0&amp;row=701&amp;col=6&amp;number=4.7&amp;sourceID=14","4.7")</f>
        <v>4.7</v>
      </c>
      <c r="G701" s="4" t="str">
        <f>HYPERLINK("http://141.218.60.56/~jnz1568/getInfo.php?workbook=14_11.xlsx&amp;sheet=U0&amp;row=701&amp;col=7&amp;number=23.2&amp;sourceID=14","23.2")</f>
        <v>23.2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HYPERLINK("http://141.218.60.56/~jnz1568/getInfo.php?workbook=14_11.xlsx&amp;sheet=U0&amp;row=702&amp;col=6&amp;number=4.8&amp;sourceID=14","4.8")</f>
        <v>4.8</v>
      </c>
      <c r="G702" s="4" t="str">
        <f>HYPERLINK("http://141.218.60.56/~jnz1568/getInfo.php?workbook=14_11.xlsx&amp;sheet=U0&amp;row=702&amp;col=7&amp;number=23.6&amp;sourceID=14","23.6")</f>
        <v>23.6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HYPERLINK("http://141.218.60.56/~jnz1568/getInfo.php?workbook=14_11.xlsx&amp;sheet=U0&amp;row=703&amp;col=6&amp;number=4.9&amp;sourceID=14","4.9")</f>
        <v>4.9</v>
      </c>
      <c r="G703" s="4" t="str">
        <f>HYPERLINK("http://141.218.60.56/~jnz1568/getInfo.php?workbook=14_11.xlsx&amp;sheet=U0&amp;row=703&amp;col=7&amp;number=24.1&amp;sourceID=14","24.1")</f>
        <v>24.1</v>
      </c>
    </row>
    <row r="704" spans="1:7">
      <c r="A704" s="3">
        <v>14</v>
      </c>
      <c r="B704" s="3">
        <v>11</v>
      </c>
      <c r="C704" s="3">
        <v>3</v>
      </c>
      <c r="D704" s="3">
        <v>6</v>
      </c>
      <c r="E704" s="3">
        <v>1</v>
      </c>
      <c r="F704" s="4" t="str">
        <f>HYPERLINK("http://141.218.60.56/~jnz1568/getInfo.php?workbook=14_11.xlsx&amp;sheet=U0&amp;row=704&amp;col=6&amp;number=3&amp;sourceID=14","3")</f>
        <v>3</v>
      </c>
      <c r="G704" s="4" t="str">
        <f>HYPERLINK("http://141.218.60.56/~jnz1568/getInfo.php?workbook=14_11.xlsx&amp;sheet=U0&amp;row=704&amp;col=7&amp;number=0.824&amp;sourceID=14","0.824")</f>
        <v>0.824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HYPERLINK("http://141.218.60.56/~jnz1568/getInfo.php?workbook=14_11.xlsx&amp;sheet=U0&amp;row=705&amp;col=6&amp;number=3.1&amp;sourceID=14","3.1")</f>
        <v>3.1</v>
      </c>
      <c r="G705" s="4" t="str">
        <f>HYPERLINK("http://141.218.60.56/~jnz1568/getInfo.php?workbook=14_11.xlsx&amp;sheet=U0&amp;row=705&amp;col=7&amp;number=0.824&amp;sourceID=14","0.824")</f>
        <v>0.824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HYPERLINK("http://141.218.60.56/~jnz1568/getInfo.php?workbook=14_11.xlsx&amp;sheet=U0&amp;row=706&amp;col=6&amp;number=3.2&amp;sourceID=14","3.2")</f>
        <v>3.2</v>
      </c>
      <c r="G706" s="4" t="str">
        <f>HYPERLINK("http://141.218.60.56/~jnz1568/getInfo.php?workbook=14_11.xlsx&amp;sheet=U0&amp;row=706&amp;col=7&amp;number=0.825&amp;sourceID=14","0.825")</f>
        <v>0.825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HYPERLINK("http://141.218.60.56/~jnz1568/getInfo.php?workbook=14_11.xlsx&amp;sheet=U0&amp;row=707&amp;col=6&amp;number=3.3&amp;sourceID=14","3.3")</f>
        <v>3.3</v>
      </c>
      <c r="G707" s="4" t="str">
        <f>HYPERLINK("http://141.218.60.56/~jnz1568/getInfo.php?workbook=14_11.xlsx&amp;sheet=U0&amp;row=707&amp;col=7&amp;number=0.826&amp;sourceID=14","0.826")</f>
        <v>0.826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HYPERLINK("http://141.218.60.56/~jnz1568/getInfo.php?workbook=14_11.xlsx&amp;sheet=U0&amp;row=708&amp;col=6&amp;number=3.4&amp;sourceID=14","3.4")</f>
        <v>3.4</v>
      </c>
      <c r="G708" s="4" t="str">
        <f>HYPERLINK("http://141.218.60.56/~jnz1568/getInfo.php?workbook=14_11.xlsx&amp;sheet=U0&amp;row=708&amp;col=7&amp;number=0.827&amp;sourceID=14","0.827")</f>
        <v>0.827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HYPERLINK("http://141.218.60.56/~jnz1568/getInfo.php?workbook=14_11.xlsx&amp;sheet=U0&amp;row=709&amp;col=6&amp;number=3.5&amp;sourceID=14","3.5")</f>
        <v>3.5</v>
      </c>
      <c r="G709" s="4" t="str">
        <f>HYPERLINK("http://141.218.60.56/~jnz1568/getInfo.php?workbook=14_11.xlsx&amp;sheet=U0&amp;row=709&amp;col=7&amp;number=0.828&amp;sourceID=14","0.828")</f>
        <v>0.828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HYPERLINK("http://141.218.60.56/~jnz1568/getInfo.php?workbook=14_11.xlsx&amp;sheet=U0&amp;row=710&amp;col=6&amp;number=3.6&amp;sourceID=14","3.6")</f>
        <v>3.6</v>
      </c>
      <c r="G710" s="4" t="str">
        <f>HYPERLINK("http://141.218.60.56/~jnz1568/getInfo.php?workbook=14_11.xlsx&amp;sheet=U0&amp;row=710&amp;col=7&amp;number=0.829&amp;sourceID=14","0.829")</f>
        <v>0.829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HYPERLINK("http://141.218.60.56/~jnz1568/getInfo.php?workbook=14_11.xlsx&amp;sheet=U0&amp;row=711&amp;col=6&amp;number=3.7&amp;sourceID=14","3.7")</f>
        <v>3.7</v>
      </c>
      <c r="G711" s="4" t="str">
        <f>HYPERLINK("http://141.218.60.56/~jnz1568/getInfo.php?workbook=14_11.xlsx&amp;sheet=U0&amp;row=711&amp;col=7&amp;number=0.831&amp;sourceID=14","0.831")</f>
        <v>0.831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HYPERLINK("http://141.218.60.56/~jnz1568/getInfo.php?workbook=14_11.xlsx&amp;sheet=U0&amp;row=712&amp;col=6&amp;number=3.8&amp;sourceID=14","3.8")</f>
        <v>3.8</v>
      </c>
      <c r="G712" s="4" t="str">
        <f>HYPERLINK("http://141.218.60.56/~jnz1568/getInfo.php?workbook=14_11.xlsx&amp;sheet=U0&amp;row=712&amp;col=7&amp;number=0.834&amp;sourceID=14","0.834")</f>
        <v>0.834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HYPERLINK("http://141.218.60.56/~jnz1568/getInfo.php?workbook=14_11.xlsx&amp;sheet=U0&amp;row=713&amp;col=6&amp;number=3.9&amp;sourceID=14","3.9")</f>
        <v>3.9</v>
      </c>
      <c r="G713" s="4" t="str">
        <f>HYPERLINK("http://141.218.60.56/~jnz1568/getInfo.php?workbook=14_11.xlsx&amp;sheet=U0&amp;row=713&amp;col=7&amp;number=0.837&amp;sourceID=14","0.837")</f>
        <v>0.837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HYPERLINK("http://141.218.60.56/~jnz1568/getInfo.php?workbook=14_11.xlsx&amp;sheet=U0&amp;row=714&amp;col=6&amp;number=4&amp;sourceID=14","4")</f>
        <v>4</v>
      </c>
      <c r="G714" s="4" t="str">
        <f>HYPERLINK("http://141.218.60.56/~jnz1568/getInfo.php?workbook=14_11.xlsx&amp;sheet=U0&amp;row=714&amp;col=7&amp;number=0.84&amp;sourceID=14","0.84")</f>
        <v>0.84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HYPERLINK("http://141.218.60.56/~jnz1568/getInfo.php?workbook=14_11.xlsx&amp;sheet=U0&amp;row=715&amp;col=6&amp;number=4.1&amp;sourceID=14","4.1")</f>
        <v>4.1</v>
      </c>
      <c r="G715" s="4" t="str">
        <f>HYPERLINK("http://141.218.60.56/~jnz1568/getInfo.php?workbook=14_11.xlsx&amp;sheet=U0&amp;row=715&amp;col=7&amp;number=0.845&amp;sourceID=14","0.845")</f>
        <v>0.845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HYPERLINK("http://141.218.60.56/~jnz1568/getInfo.php?workbook=14_11.xlsx&amp;sheet=U0&amp;row=716&amp;col=6&amp;number=4.2&amp;sourceID=14","4.2")</f>
        <v>4.2</v>
      </c>
      <c r="G716" s="4" t="str">
        <f>HYPERLINK("http://141.218.60.56/~jnz1568/getInfo.php?workbook=14_11.xlsx&amp;sheet=U0&amp;row=716&amp;col=7&amp;number=0.851&amp;sourceID=14","0.851")</f>
        <v>0.851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HYPERLINK("http://141.218.60.56/~jnz1568/getInfo.php?workbook=14_11.xlsx&amp;sheet=U0&amp;row=717&amp;col=6&amp;number=4.3&amp;sourceID=14","4.3")</f>
        <v>4.3</v>
      </c>
      <c r="G717" s="4" t="str">
        <f>HYPERLINK("http://141.218.60.56/~jnz1568/getInfo.php?workbook=14_11.xlsx&amp;sheet=U0&amp;row=717&amp;col=7&amp;number=0.859&amp;sourceID=14","0.859")</f>
        <v>0.859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HYPERLINK("http://141.218.60.56/~jnz1568/getInfo.php?workbook=14_11.xlsx&amp;sheet=U0&amp;row=718&amp;col=6&amp;number=4.4&amp;sourceID=14","4.4")</f>
        <v>4.4</v>
      </c>
      <c r="G718" s="4" t="str">
        <f>HYPERLINK("http://141.218.60.56/~jnz1568/getInfo.php?workbook=14_11.xlsx&amp;sheet=U0&amp;row=718&amp;col=7&amp;number=0.868&amp;sourceID=14","0.868")</f>
        <v>0.868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HYPERLINK("http://141.218.60.56/~jnz1568/getInfo.php?workbook=14_11.xlsx&amp;sheet=U0&amp;row=719&amp;col=6&amp;number=4.5&amp;sourceID=14","4.5")</f>
        <v>4.5</v>
      </c>
      <c r="G719" s="4" t="str">
        <f>HYPERLINK("http://141.218.60.56/~jnz1568/getInfo.php?workbook=14_11.xlsx&amp;sheet=U0&amp;row=719&amp;col=7&amp;number=0.88&amp;sourceID=14","0.88")</f>
        <v>0.88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HYPERLINK("http://141.218.60.56/~jnz1568/getInfo.php?workbook=14_11.xlsx&amp;sheet=U0&amp;row=720&amp;col=6&amp;number=4.6&amp;sourceID=14","4.6")</f>
        <v>4.6</v>
      </c>
      <c r="G720" s="4" t="str">
        <f>HYPERLINK("http://141.218.60.56/~jnz1568/getInfo.php?workbook=14_11.xlsx&amp;sheet=U0&amp;row=720&amp;col=7&amp;number=0.896&amp;sourceID=14","0.896")</f>
        <v>0.896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HYPERLINK("http://141.218.60.56/~jnz1568/getInfo.php?workbook=14_11.xlsx&amp;sheet=U0&amp;row=721&amp;col=6&amp;number=4.7&amp;sourceID=14","4.7")</f>
        <v>4.7</v>
      </c>
      <c r="G721" s="4" t="str">
        <f>HYPERLINK("http://141.218.60.56/~jnz1568/getInfo.php?workbook=14_11.xlsx&amp;sheet=U0&amp;row=721&amp;col=7&amp;number=0.916&amp;sourceID=14","0.916")</f>
        <v>0.916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HYPERLINK("http://141.218.60.56/~jnz1568/getInfo.php?workbook=14_11.xlsx&amp;sheet=U0&amp;row=722&amp;col=6&amp;number=4.8&amp;sourceID=14","4.8")</f>
        <v>4.8</v>
      </c>
      <c r="G722" s="4" t="str">
        <f>HYPERLINK("http://141.218.60.56/~jnz1568/getInfo.php?workbook=14_11.xlsx&amp;sheet=U0&amp;row=722&amp;col=7&amp;number=0.942&amp;sourceID=14","0.942")</f>
        <v>0.942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HYPERLINK("http://141.218.60.56/~jnz1568/getInfo.php?workbook=14_11.xlsx&amp;sheet=U0&amp;row=723&amp;col=6&amp;number=4.9&amp;sourceID=14","4.9")</f>
        <v>4.9</v>
      </c>
      <c r="G723" s="4" t="str">
        <f>HYPERLINK("http://141.218.60.56/~jnz1568/getInfo.php?workbook=14_11.xlsx&amp;sheet=U0&amp;row=723&amp;col=7&amp;number=0.976&amp;sourceID=14","0.976")</f>
        <v>0.976</v>
      </c>
    </row>
    <row r="724" spans="1:7">
      <c r="A724" s="3">
        <v>14</v>
      </c>
      <c r="B724" s="3">
        <v>11</v>
      </c>
      <c r="C724" s="3">
        <v>3</v>
      </c>
      <c r="D724" s="3">
        <v>7</v>
      </c>
      <c r="E724" s="3">
        <v>1</v>
      </c>
      <c r="F724" s="4" t="str">
        <f>HYPERLINK("http://141.218.60.56/~jnz1568/getInfo.php?workbook=14_11.xlsx&amp;sheet=U0&amp;row=724&amp;col=6&amp;number=3&amp;sourceID=14","3")</f>
        <v>3</v>
      </c>
      <c r="G724" s="4" t="str">
        <f>HYPERLINK("http://141.218.60.56/~jnz1568/getInfo.php?workbook=14_11.xlsx&amp;sheet=U0&amp;row=724&amp;col=7&amp;number=0.198&amp;sourceID=14","0.198")</f>
        <v>0.198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HYPERLINK("http://141.218.60.56/~jnz1568/getInfo.php?workbook=14_11.xlsx&amp;sheet=U0&amp;row=725&amp;col=6&amp;number=3.1&amp;sourceID=14","3.1")</f>
        <v>3.1</v>
      </c>
      <c r="G725" s="4" t="str">
        <f>HYPERLINK("http://141.218.60.56/~jnz1568/getInfo.php?workbook=14_11.xlsx&amp;sheet=U0&amp;row=725&amp;col=7&amp;number=0.198&amp;sourceID=14","0.198")</f>
        <v>0.198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HYPERLINK("http://141.218.60.56/~jnz1568/getInfo.php?workbook=14_11.xlsx&amp;sheet=U0&amp;row=726&amp;col=6&amp;number=3.2&amp;sourceID=14","3.2")</f>
        <v>3.2</v>
      </c>
      <c r="G726" s="4" t="str">
        <f>HYPERLINK("http://141.218.60.56/~jnz1568/getInfo.php?workbook=14_11.xlsx&amp;sheet=U0&amp;row=726&amp;col=7&amp;number=0.198&amp;sourceID=14","0.198")</f>
        <v>0.198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HYPERLINK("http://141.218.60.56/~jnz1568/getInfo.php?workbook=14_11.xlsx&amp;sheet=U0&amp;row=727&amp;col=6&amp;number=3.3&amp;sourceID=14","3.3")</f>
        <v>3.3</v>
      </c>
      <c r="G727" s="4" t="str">
        <f>HYPERLINK("http://141.218.60.56/~jnz1568/getInfo.php?workbook=14_11.xlsx&amp;sheet=U0&amp;row=727&amp;col=7&amp;number=0.197&amp;sourceID=14","0.197")</f>
        <v>0.197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HYPERLINK("http://141.218.60.56/~jnz1568/getInfo.php?workbook=14_11.xlsx&amp;sheet=U0&amp;row=728&amp;col=6&amp;number=3.4&amp;sourceID=14","3.4")</f>
        <v>3.4</v>
      </c>
      <c r="G728" s="4" t="str">
        <f>HYPERLINK("http://141.218.60.56/~jnz1568/getInfo.php?workbook=14_11.xlsx&amp;sheet=U0&amp;row=728&amp;col=7&amp;number=0.197&amp;sourceID=14","0.197")</f>
        <v>0.197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HYPERLINK("http://141.218.60.56/~jnz1568/getInfo.php?workbook=14_11.xlsx&amp;sheet=U0&amp;row=729&amp;col=6&amp;number=3.5&amp;sourceID=14","3.5")</f>
        <v>3.5</v>
      </c>
      <c r="G729" s="4" t="str">
        <f>HYPERLINK("http://141.218.60.56/~jnz1568/getInfo.php?workbook=14_11.xlsx&amp;sheet=U0&amp;row=729&amp;col=7&amp;number=0.197&amp;sourceID=14","0.197")</f>
        <v>0.197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HYPERLINK("http://141.218.60.56/~jnz1568/getInfo.php?workbook=14_11.xlsx&amp;sheet=U0&amp;row=730&amp;col=6&amp;number=3.6&amp;sourceID=14","3.6")</f>
        <v>3.6</v>
      </c>
      <c r="G730" s="4" t="str">
        <f>HYPERLINK("http://141.218.60.56/~jnz1568/getInfo.php?workbook=14_11.xlsx&amp;sheet=U0&amp;row=730&amp;col=7&amp;number=0.197&amp;sourceID=14","0.197")</f>
        <v>0.197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HYPERLINK("http://141.218.60.56/~jnz1568/getInfo.php?workbook=14_11.xlsx&amp;sheet=U0&amp;row=731&amp;col=6&amp;number=3.7&amp;sourceID=14","3.7")</f>
        <v>3.7</v>
      </c>
      <c r="G731" s="4" t="str">
        <f>HYPERLINK("http://141.218.60.56/~jnz1568/getInfo.php?workbook=14_11.xlsx&amp;sheet=U0&amp;row=731&amp;col=7&amp;number=0.197&amp;sourceID=14","0.197")</f>
        <v>0.197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HYPERLINK("http://141.218.60.56/~jnz1568/getInfo.php?workbook=14_11.xlsx&amp;sheet=U0&amp;row=732&amp;col=6&amp;number=3.8&amp;sourceID=14","3.8")</f>
        <v>3.8</v>
      </c>
      <c r="G732" s="4" t="str">
        <f>HYPERLINK("http://141.218.60.56/~jnz1568/getInfo.php?workbook=14_11.xlsx&amp;sheet=U0&amp;row=732&amp;col=7&amp;number=0.196&amp;sourceID=14","0.196")</f>
        <v>0.196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HYPERLINK("http://141.218.60.56/~jnz1568/getInfo.php?workbook=14_11.xlsx&amp;sheet=U0&amp;row=733&amp;col=6&amp;number=3.9&amp;sourceID=14","3.9")</f>
        <v>3.9</v>
      </c>
      <c r="G733" s="4" t="str">
        <f>HYPERLINK("http://141.218.60.56/~jnz1568/getInfo.php?workbook=14_11.xlsx&amp;sheet=U0&amp;row=733&amp;col=7&amp;number=0.196&amp;sourceID=14","0.196")</f>
        <v>0.196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HYPERLINK("http://141.218.60.56/~jnz1568/getInfo.php?workbook=14_11.xlsx&amp;sheet=U0&amp;row=734&amp;col=6&amp;number=4&amp;sourceID=14","4")</f>
        <v>4</v>
      </c>
      <c r="G734" s="4" t="str">
        <f>HYPERLINK("http://141.218.60.56/~jnz1568/getInfo.php?workbook=14_11.xlsx&amp;sheet=U0&amp;row=734&amp;col=7&amp;number=0.196&amp;sourceID=14","0.196")</f>
        <v>0.196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HYPERLINK("http://141.218.60.56/~jnz1568/getInfo.php?workbook=14_11.xlsx&amp;sheet=U0&amp;row=735&amp;col=6&amp;number=4.1&amp;sourceID=14","4.1")</f>
        <v>4.1</v>
      </c>
      <c r="G735" s="4" t="str">
        <f>HYPERLINK("http://141.218.60.56/~jnz1568/getInfo.php?workbook=14_11.xlsx&amp;sheet=U0&amp;row=735&amp;col=7&amp;number=0.195&amp;sourceID=14","0.195")</f>
        <v>0.195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HYPERLINK("http://141.218.60.56/~jnz1568/getInfo.php?workbook=14_11.xlsx&amp;sheet=U0&amp;row=736&amp;col=6&amp;number=4.2&amp;sourceID=14","4.2")</f>
        <v>4.2</v>
      </c>
      <c r="G736" s="4" t="str">
        <f>HYPERLINK("http://141.218.60.56/~jnz1568/getInfo.php?workbook=14_11.xlsx&amp;sheet=U0&amp;row=736&amp;col=7&amp;number=0.194&amp;sourceID=14","0.194")</f>
        <v>0.194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HYPERLINK("http://141.218.60.56/~jnz1568/getInfo.php?workbook=14_11.xlsx&amp;sheet=U0&amp;row=737&amp;col=6&amp;number=4.3&amp;sourceID=14","4.3")</f>
        <v>4.3</v>
      </c>
      <c r="G737" s="4" t="str">
        <f>HYPERLINK("http://141.218.60.56/~jnz1568/getInfo.php?workbook=14_11.xlsx&amp;sheet=U0&amp;row=737&amp;col=7&amp;number=0.193&amp;sourceID=14","0.193")</f>
        <v>0.193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HYPERLINK("http://141.218.60.56/~jnz1568/getInfo.php?workbook=14_11.xlsx&amp;sheet=U0&amp;row=738&amp;col=6&amp;number=4.4&amp;sourceID=14","4.4")</f>
        <v>4.4</v>
      </c>
      <c r="G738" s="4" t="str">
        <f>HYPERLINK("http://141.218.60.56/~jnz1568/getInfo.php?workbook=14_11.xlsx&amp;sheet=U0&amp;row=738&amp;col=7&amp;number=0.193&amp;sourceID=14","0.193")</f>
        <v>0.193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HYPERLINK("http://141.218.60.56/~jnz1568/getInfo.php?workbook=14_11.xlsx&amp;sheet=U0&amp;row=739&amp;col=6&amp;number=4.5&amp;sourceID=14","4.5")</f>
        <v>4.5</v>
      </c>
      <c r="G739" s="4" t="str">
        <f>HYPERLINK("http://141.218.60.56/~jnz1568/getInfo.php?workbook=14_11.xlsx&amp;sheet=U0&amp;row=739&amp;col=7&amp;number=0.191&amp;sourceID=14","0.191")</f>
        <v>0.191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HYPERLINK("http://141.218.60.56/~jnz1568/getInfo.php?workbook=14_11.xlsx&amp;sheet=U0&amp;row=740&amp;col=6&amp;number=4.6&amp;sourceID=14","4.6")</f>
        <v>4.6</v>
      </c>
      <c r="G740" s="4" t="str">
        <f>HYPERLINK("http://141.218.60.56/~jnz1568/getInfo.php?workbook=14_11.xlsx&amp;sheet=U0&amp;row=740&amp;col=7&amp;number=0.19&amp;sourceID=14","0.19")</f>
        <v>0.19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HYPERLINK("http://141.218.60.56/~jnz1568/getInfo.php?workbook=14_11.xlsx&amp;sheet=U0&amp;row=741&amp;col=6&amp;number=4.7&amp;sourceID=14","4.7")</f>
        <v>4.7</v>
      </c>
      <c r="G741" s="4" t="str">
        <f>HYPERLINK("http://141.218.60.56/~jnz1568/getInfo.php?workbook=14_11.xlsx&amp;sheet=U0&amp;row=741&amp;col=7&amp;number=0.189&amp;sourceID=14","0.189")</f>
        <v>0.189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HYPERLINK("http://141.218.60.56/~jnz1568/getInfo.php?workbook=14_11.xlsx&amp;sheet=U0&amp;row=742&amp;col=6&amp;number=4.8&amp;sourceID=14","4.8")</f>
        <v>4.8</v>
      </c>
      <c r="G742" s="4" t="str">
        <f>HYPERLINK("http://141.218.60.56/~jnz1568/getInfo.php?workbook=14_11.xlsx&amp;sheet=U0&amp;row=742&amp;col=7&amp;number=0.188&amp;sourceID=14","0.188")</f>
        <v>0.188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HYPERLINK("http://141.218.60.56/~jnz1568/getInfo.php?workbook=14_11.xlsx&amp;sheet=U0&amp;row=743&amp;col=6&amp;number=4.9&amp;sourceID=14","4.9")</f>
        <v>4.9</v>
      </c>
      <c r="G743" s="4" t="str">
        <f>HYPERLINK("http://141.218.60.56/~jnz1568/getInfo.php?workbook=14_11.xlsx&amp;sheet=U0&amp;row=743&amp;col=7&amp;number=0.187&amp;sourceID=14","0.187")</f>
        <v>0.187</v>
      </c>
    </row>
    <row r="744" spans="1:7">
      <c r="A744" s="3">
        <v>14</v>
      </c>
      <c r="B744" s="3">
        <v>11</v>
      </c>
      <c r="C744" s="3">
        <v>3</v>
      </c>
      <c r="D744" s="3">
        <v>8</v>
      </c>
      <c r="E744" s="3">
        <v>1</v>
      </c>
      <c r="F744" s="4" t="str">
        <f>HYPERLINK("http://141.218.60.56/~jnz1568/getInfo.php?workbook=14_11.xlsx&amp;sheet=U0&amp;row=744&amp;col=6&amp;number=3&amp;sourceID=14","3")</f>
        <v>3</v>
      </c>
      <c r="G744" s="4" t="str">
        <f>HYPERLINK("http://141.218.60.56/~jnz1568/getInfo.php?workbook=14_11.xlsx&amp;sheet=U0&amp;row=744&amp;col=7&amp;number=2.83&amp;sourceID=14","2.83")</f>
        <v>2.83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HYPERLINK("http://141.218.60.56/~jnz1568/getInfo.php?workbook=14_11.xlsx&amp;sheet=U0&amp;row=745&amp;col=6&amp;number=3.1&amp;sourceID=14","3.1")</f>
        <v>3.1</v>
      </c>
      <c r="G745" s="4" t="str">
        <f>HYPERLINK("http://141.218.60.56/~jnz1568/getInfo.php?workbook=14_11.xlsx&amp;sheet=U0&amp;row=745&amp;col=7&amp;number=2.83&amp;sourceID=14","2.83")</f>
        <v>2.83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HYPERLINK("http://141.218.60.56/~jnz1568/getInfo.php?workbook=14_11.xlsx&amp;sheet=U0&amp;row=746&amp;col=6&amp;number=3.2&amp;sourceID=14","3.2")</f>
        <v>3.2</v>
      </c>
      <c r="G746" s="4" t="str">
        <f>HYPERLINK("http://141.218.60.56/~jnz1568/getInfo.php?workbook=14_11.xlsx&amp;sheet=U0&amp;row=746&amp;col=7&amp;number=2.83&amp;sourceID=14","2.83")</f>
        <v>2.83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HYPERLINK("http://141.218.60.56/~jnz1568/getInfo.php?workbook=14_11.xlsx&amp;sheet=U0&amp;row=747&amp;col=6&amp;number=3.3&amp;sourceID=14","3.3")</f>
        <v>3.3</v>
      </c>
      <c r="G747" s="4" t="str">
        <f>HYPERLINK("http://141.218.60.56/~jnz1568/getInfo.php?workbook=14_11.xlsx&amp;sheet=U0&amp;row=747&amp;col=7&amp;number=2.83&amp;sourceID=14","2.83")</f>
        <v>2.83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HYPERLINK("http://141.218.60.56/~jnz1568/getInfo.php?workbook=14_11.xlsx&amp;sheet=U0&amp;row=748&amp;col=6&amp;number=3.4&amp;sourceID=14","3.4")</f>
        <v>3.4</v>
      </c>
      <c r="G748" s="4" t="str">
        <f>HYPERLINK("http://141.218.60.56/~jnz1568/getInfo.php?workbook=14_11.xlsx&amp;sheet=U0&amp;row=748&amp;col=7&amp;number=2.83&amp;sourceID=14","2.83")</f>
        <v>2.83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HYPERLINK("http://141.218.60.56/~jnz1568/getInfo.php?workbook=14_11.xlsx&amp;sheet=U0&amp;row=749&amp;col=6&amp;number=3.5&amp;sourceID=14","3.5")</f>
        <v>3.5</v>
      </c>
      <c r="G749" s="4" t="str">
        <f>HYPERLINK("http://141.218.60.56/~jnz1568/getInfo.php?workbook=14_11.xlsx&amp;sheet=U0&amp;row=749&amp;col=7&amp;number=2.83&amp;sourceID=14","2.83")</f>
        <v>2.83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HYPERLINK("http://141.218.60.56/~jnz1568/getInfo.php?workbook=14_11.xlsx&amp;sheet=U0&amp;row=750&amp;col=6&amp;number=3.6&amp;sourceID=14","3.6")</f>
        <v>3.6</v>
      </c>
      <c r="G750" s="4" t="str">
        <f>HYPERLINK("http://141.218.60.56/~jnz1568/getInfo.php?workbook=14_11.xlsx&amp;sheet=U0&amp;row=750&amp;col=7&amp;number=2.83&amp;sourceID=14","2.83")</f>
        <v>2.83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HYPERLINK("http://141.218.60.56/~jnz1568/getInfo.php?workbook=14_11.xlsx&amp;sheet=U0&amp;row=751&amp;col=6&amp;number=3.7&amp;sourceID=14","3.7")</f>
        <v>3.7</v>
      </c>
      <c r="G751" s="4" t="str">
        <f>HYPERLINK("http://141.218.60.56/~jnz1568/getInfo.php?workbook=14_11.xlsx&amp;sheet=U0&amp;row=751&amp;col=7&amp;number=2.83&amp;sourceID=14","2.83")</f>
        <v>2.83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HYPERLINK("http://141.218.60.56/~jnz1568/getInfo.php?workbook=14_11.xlsx&amp;sheet=U0&amp;row=752&amp;col=6&amp;number=3.8&amp;sourceID=14","3.8")</f>
        <v>3.8</v>
      </c>
      <c r="G752" s="4" t="str">
        <f>HYPERLINK("http://141.218.60.56/~jnz1568/getInfo.php?workbook=14_11.xlsx&amp;sheet=U0&amp;row=752&amp;col=7&amp;number=2.83&amp;sourceID=14","2.83")</f>
        <v>2.83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HYPERLINK("http://141.218.60.56/~jnz1568/getInfo.php?workbook=14_11.xlsx&amp;sheet=U0&amp;row=753&amp;col=6&amp;number=3.9&amp;sourceID=14","3.9")</f>
        <v>3.9</v>
      </c>
      <c r="G753" s="4" t="str">
        <f>HYPERLINK("http://141.218.60.56/~jnz1568/getInfo.php?workbook=14_11.xlsx&amp;sheet=U0&amp;row=753&amp;col=7&amp;number=2.83&amp;sourceID=14","2.83")</f>
        <v>2.83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HYPERLINK("http://141.218.60.56/~jnz1568/getInfo.php?workbook=14_11.xlsx&amp;sheet=U0&amp;row=754&amp;col=6&amp;number=4&amp;sourceID=14","4")</f>
        <v>4</v>
      </c>
      <c r="G754" s="4" t="str">
        <f>HYPERLINK("http://141.218.60.56/~jnz1568/getInfo.php?workbook=14_11.xlsx&amp;sheet=U0&amp;row=754&amp;col=7&amp;number=2.83&amp;sourceID=14","2.83")</f>
        <v>2.83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HYPERLINK("http://141.218.60.56/~jnz1568/getInfo.php?workbook=14_11.xlsx&amp;sheet=U0&amp;row=755&amp;col=6&amp;number=4.1&amp;sourceID=14","4.1")</f>
        <v>4.1</v>
      </c>
      <c r="G755" s="4" t="str">
        <f>HYPERLINK("http://141.218.60.56/~jnz1568/getInfo.php?workbook=14_11.xlsx&amp;sheet=U0&amp;row=755&amp;col=7&amp;number=2.83&amp;sourceID=14","2.83")</f>
        <v>2.83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HYPERLINK("http://141.218.60.56/~jnz1568/getInfo.php?workbook=14_11.xlsx&amp;sheet=U0&amp;row=756&amp;col=6&amp;number=4.2&amp;sourceID=14","4.2")</f>
        <v>4.2</v>
      </c>
      <c r="G756" s="4" t="str">
        <f>HYPERLINK("http://141.218.60.56/~jnz1568/getInfo.php?workbook=14_11.xlsx&amp;sheet=U0&amp;row=756&amp;col=7&amp;number=2.83&amp;sourceID=14","2.83")</f>
        <v>2.83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HYPERLINK("http://141.218.60.56/~jnz1568/getInfo.php?workbook=14_11.xlsx&amp;sheet=U0&amp;row=757&amp;col=6&amp;number=4.3&amp;sourceID=14","4.3")</f>
        <v>4.3</v>
      </c>
      <c r="G757" s="4" t="str">
        <f>HYPERLINK("http://141.218.60.56/~jnz1568/getInfo.php?workbook=14_11.xlsx&amp;sheet=U0&amp;row=757&amp;col=7&amp;number=2.83&amp;sourceID=14","2.83")</f>
        <v>2.83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HYPERLINK("http://141.218.60.56/~jnz1568/getInfo.php?workbook=14_11.xlsx&amp;sheet=U0&amp;row=758&amp;col=6&amp;number=4.4&amp;sourceID=14","4.4")</f>
        <v>4.4</v>
      </c>
      <c r="G758" s="4" t="str">
        <f>HYPERLINK("http://141.218.60.56/~jnz1568/getInfo.php?workbook=14_11.xlsx&amp;sheet=U0&amp;row=758&amp;col=7&amp;number=2.83&amp;sourceID=14","2.83")</f>
        <v>2.83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HYPERLINK("http://141.218.60.56/~jnz1568/getInfo.php?workbook=14_11.xlsx&amp;sheet=U0&amp;row=759&amp;col=6&amp;number=4.5&amp;sourceID=14","4.5")</f>
        <v>4.5</v>
      </c>
      <c r="G759" s="4" t="str">
        <f>HYPERLINK("http://141.218.60.56/~jnz1568/getInfo.php?workbook=14_11.xlsx&amp;sheet=U0&amp;row=759&amp;col=7&amp;number=2.83&amp;sourceID=14","2.83")</f>
        <v>2.83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HYPERLINK("http://141.218.60.56/~jnz1568/getInfo.php?workbook=14_11.xlsx&amp;sheet=U0&amp;row=760&amp;col=6&amp;number=4.6&amp;sourceID=14","4.6")</f>
        <v>4.6</v>
      </c>
      <c r="G760" s="4" t="str">
        <f>HYPERLINK("http://141.218.60.56/~jnz1568/getInfo.php?workbook=14_11.xlsx&amp;sheet=U0&amp;row=760&amp;col=7&amp;number=2.83&amp;sourceID=14","2.83")</f>
        <v>2.83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HYPERLINK("http://141.218.60.56/~jnz1568/getInfo.php?workbook=14_11.xlsx&amp;sheet=U0&amp;row=761&amp;col=6&amp;number=4.7&amp;sourceID=14","4.7")</f>
        <v>4.7</v>
      </c>
      <c r="G761" s="4" t="str">
        <f>HYPERLINK("http://141.218.60.56/~jnz1568/getInfo.php?workbook=14_11.xlsx&amp;sheet=U0&amp;row=761&amp;col=7&amp;number=2.83&amp;sourceID=14","2.83")</f>
        <v>2.83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HYPERLINK("http://141.218.60.56/~jnz1568/getInfo.php?workbook=14_11.xlsx&amp;sheet=U0&amp;row=762&amp;col=6&amp;number=4.8&amp;sourceID=14","4.8")</f>
        <v>4.8</v>
      </c>
      <c r="G762" s="4" t="str">
        <f>HYPERLINK("http://141.218.60.56/~jnz1568/getInfo.php?workbook=14_11.xlsx&amp;sheet=U0&amp;row=762&amp;col=7&amp;number=2.83&amp;sourceID=14","2.83")</f>
        <v>2.83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HYPERLINK("http://141.218.60.56/~jnz1568/getInfo.php?workbook=14_11.xlsx&amp;sheet=U0&amp;row=763&amp;col=6&amp;number=4.9&amp;sourceID=14","4.9")</f>
        <v>4.9</v>
      </c>
      <c r="G763" s="4" t="str">
        <f>HYPERLINK("http://141.218.60.56/~jnz1568/getInfo.php?workbook=14_11.xlsx&amp;sheet=U0&amp;row=763&amp;col=7&amp;number=2.83&amp;sourceID=14","2.83")</f>
        <v>2.83</v>
      </c>
    </row>
    <row r="764" spans="1:7">
      <c r="A764" s="3">
        <v>14</v>
      </c>
      <c r="B764" s="3">
        <v>11</v>
      </c>
      <c r="C764" s="3">
        <v>3</v>
      </c>
      <c r="D764" s="3">
        <v>9</v>
      </c>
      <c r="E764" s="3">
        <v>1</v>
      </c>
      <c r="F764" s="4" t="str">
        <f>HYPERLINK("http://141.218.60.56/~jnz1568/getInfo.php?workbook=14_11.xlsx&amp;sheet=U0&amp;row=764&amp;col=6&amp;number=3&amp;sourceID=14","3")</f>
        <v>3</v>
      </c>
      <c r="G764" s="4" t="str">
        <f>HYPERLINK("http://141.218.60.56/~jnz1568/getInfo.php?workbook=14_11.xlsx&amp;sheet=U0&amp;row=764&amp;col=7&amp;number=0.25&amp;sourceID=14","0.25")</f>
        <v>0.25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HYPERLINK("http://141.218.60.56/~jnz1568/getInfo.php?workbook=14_11.xlsx&amp;sheet=U0&amp;row=765&amp;col=6&amp;number=3.1&amp;sourceID=14","3.1")</f>
        <v>3.1</v>
      </c>
      <c r="G765" s="4" t="str">
        <f>HYPERLINK("http://141.218.60.56/~jnz1568/getInfo.php?workbook=14_11.xlsx&amp;sheet=U0&amp;row=765&amp;col=7&amp;number=0.25&amp;sourceID=14","0.25")</f>
        <v>0.25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HYPERLINK("http://141.218.60.56/~jnz1568/getInfo.php?workbook=14_11.xlsx&amp;sheet=U0&amp;row=766&amp;col=6&amp;number=3.2&amp;sourceID=14","3.2")</f>
        <v>3.2</v>
      </c>
      <c r="G766" s="4" t="str">
        <f>HYPERLINK("http://141.218.60.56/~jnz1568/getInfo.php?workbook=14_11.xlsx&amp;sheet=U0&amp;row=766&amp;col=7&amp;number=0.249&amp;sourceID=14","0.249")</f>
        <v>0.249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HYPERLINK("http://141.218.60.56/~jnz1568/getInfo.php?workbook=14_11.xlsx&amp;sheet=U0&amp;row=767&amp;col=6&amp;number=3.3&amp;sourceID=14","3.3")</f>
        <v>3.3</v>
      </c>
      <c r="G767" s="4" t="str">
        <f>HYPERLINK("http://141.218.60.56/~jnz1568/getInfo.php?workbook=14_11.xlsx&amp;sheet=U0&amp;row=767&amp;col=7&amp;number=0.249&amp;sourceID=14","0.249")</f>
        <v>0.249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HYPERLINK("http://141.218.60.56/~jnz1568/getInfo.php?workbook=14_11.xlsx&amp;sheet=U0&amp;row=768&amp;col=6&amp;number=3.4&amp;sourceID=14","3.4")</f>
        <v>3.4</v>
      </c>
      <c r="G768" s="4" t="str">
        <f>HYPERLINK("http://141.218.60.56/~jnz1568/getInfo.php?workbook=14_11.xlsx&amp;sheet=U0&amp;row=768&amp;col=7&amp;number=0.248&amp;sourceID=14","0.248")</f>
        <v>0.248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HYPERLINK("http://141.218.60.56/~jnz1568/getInfo.php?workbook=14_11.xlsx&amp;sheet=U0&amp;row=769&amp;col=6&amp;number=3.5&amp;sourceID=14","3.5")</f>
        <v>3.5</v>
      </c>
      <c r="G769" s="4" t="str">
        <f>HYPERLINK("http://141.218.60.56/~jnz1568/getInfo.php?workbook=14_11.xlsx&amp;sheet=U0&amp;row=769&amp;col=7&amp;number=0.248&amp;sourceID=14","0.248")</f>
        <v>0.248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HYPERLINK("http://141.218.60.56/~jnz1568/getInfo.php?workbook=14_11.xlsx&amp;sheet=U0&amp;row=770&amp;col=6&amp;number=3.6&amp;sourceID=14","3.6")</f>
        <v>3.6</v>
      </c>
      <c r="G770" s="4" t="str">
        <f>HYPERLINK("http://141.218.60.56/~jnz1568/getInfo.php?workbook=14_11.xlsx&amp;sheet=U0&amp;row=770&amp;col=7&amp;number=0.247&amp;sourceID=14","0.247")</f>
        <v>0.247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HYPERLINK("http://141.218.60.56/~jnz1568/getInfo.php?workbook=14_11.xlsx&amp;sheet=U0&amp;row=771&amp;col=6&amp;number=3.7&amp;sourceID=14","3.7")</f>
        <v>3.7</v>
      </c>
      <c r="G771" s="4" t="str">
        <f>HYPERLINK("http://141.218.60.56/~jnz1568/getInfo.php?workbook=14_11.xlsx&amp;sheet=U0&amp;row=771&amp;col=7&amp;number=0.246&amp;sourceID=14","0.246")</f>
        <v>0.246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HYPERLINK("http://141.218.60.56/~jnz1568/getInfo.php?workbook=14_11.xlsx&amp;sheet=U0&amp;row=772&amp;col=6&amp;number=3.8&amp;sourceID=14","3.8")</f>
        <v>3.8</v>
      </c>
      <c r="G772" s="4" t="str">
        <f>HYPERLINK("http://141.218.60.56/~jnz1568/getInfo.php?workbook=14_11.xlsx&amp;sheet=U0&amp;row=772&amp;col=7&amp;number=0.245&amp;sourceID=14","0.245")</f>
        <v>0.245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HYPERLINK("http://141.218.60.56/~jnz1568/getInfo.php?workbook=14_11.xlsx&amp;sheet=U0&amp;row=773&amp;col=6&amp;number=3.9&amp;sourceID=14","3.9")</f>
        <v>3.9</v>
      </c>
      <c r="G773" s="4" t="str">
        <f>HYPERLINK("http://141.218.60.56/~jnz1568/getInfo.php?workbook=14_11.xlsx&amp;sheet=U0&amp;row=773&amp;col=7&amp;number=0.244&amp;sourceID=14","0.244")</f>
        <v>0.244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HYPERLINK("http://141.218.60.56/~jnz1568/getInfo.php?workbook=14_11.xlsx&amp;sheet=U0&amp;row=774&amp;col=6&amp;number=4&amp;sourceID=14","4")</f>
        <v>4</v>
      </c>
      <c r="G774" s="4" t="str">
        <f>HYPERLINK("http://141.218.60.56/~jnz1568/getInfo.php?workbook=14_11.xlsx&amp;sheet=U0&amp;row=774&amp;col=7&amp;number=0.242&amp;sourceID=14","0.242")</f>
        <v>0.242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HYPERLINK("http://141.218.60.56/~jnz1568/getInfo.php?workbook=14_11.xlsx&amp;sheet=U0&amp;row=775&amp;col=6&amp;number=4.1&amp;sourceID=14","4.1")</f>
        <v>4.1</v>
      </c>
      <c r="G775" s="4" t="str">
        <f>HYPERLINK("http://141.218.60.56/~jnz1568/getInfo.php?workbook=14_11.xlsx&amp;sheet=U0&amp;row=775&amp;col=7&amp;number=0.24&amp;sourceID=14","0.24")</f>
        <v>0.24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HYPERLINK("http://141.218.60.56/~jnz1568/getInfo.php?workbook=14_11.xlsx&amp;sheet=U0&amp;row=776&amp;col=6&amp;number=4.2&amp;sourceID=14","4.2")</f>
        <v>4.2</v>
      </c>
      <c r="G776" s="4" t="str">
        <f>HYPERLINK("http://141.218.60.56/~jnz1568/getInfo.php?workbook=14_11.xlsx&amp;sheet=U0&amp;row=776&amp;col=7&amp;number=0.237&amp;sourceID=14","0.237")</f>
        <v>0.237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HYPERLINK("http://141.218.60.56/~jnz1568/getInfo.php?workbook=14_11.xlsx&amp;sheet=U0&amp;row=777&amp;col=6&amp;number=4.3&amp;sourceID=14","4.3")</f>
        <v>4.3</v>
      </c>
      <c r="G777" s="4" t="str">
        <f>HYPERLINK("http://141.218.60.56/~jnz1568/getInfo.php?workbook=14_11.xlsx&amp;sheet=U0&amp;row=777&amp;col=7&amp;number=0.234&amp;sourceID=14","0.234")</f>
        <v>0.234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HYPERLINK("http://141.218.60.56/~jnz1568/getInfo.php?workbook=14_11.xlsx&amp;sheet=U0&amp;row=778&amp;col=6&amp;number=4.4&amp;sourceID=14","4.4")</f>
        <v>4.4</v>
      </c>
      <c r="G778" s="4" t="str">
        <f>HYPERLINK("http://141.218.60.56/~jnz1568/getInfo.php?workbook=14_11.xlsx&amp;sheet=U0&amp;row=778&amp;col=7&amp;number=0.231&amp;sourceID=14","0.231")</f>
        <v>0.231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HYPERLINK("http://141.218.60.56/~jnz1568/getInfo.php?workbook=14_11.xlsx&amp;sheet=U0&amp;row=779&amp;col=6&amp;number=4.5&amp;sourceID=14","4.5")</f>
        <v>4.5</v>
      </c>
      <c r="G779" s="4" t="str">
        <f>HYPERLINK("http://141.218.60.56/~jnz1568/getInfo.php?workbook=14_11.xlsx&amp;sheet=U0&amp;row=779&amp;col=7&amp;number=0.226&amp;sourceID=14","0.226")</f>
        <v>0.226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HYPERLINK("http://141.218.60.56/~jnz1568/getInfo.php?workbook=14_11.xlsx&amp;sheet=U0&amp;row=780&amp;col=6&amp;number=4.6&amp;sourceID=14","4.6")</f>
        <v>4.6</v>
      </c>
      <c r="G780" s="4" t="str">
        <f>HYPERLINK("http://141.218.60.56/~jnz1568/getInfo.php?workbook=14_11.xlsx&amp;sheet=U0&amp;row=780&amp;col=7&amp;number=0.221&amp;sourceID=14","0.221")</f>
        <v>0.221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HYPERLINK("http://141.218.60.56/~jnz1568/getInfo.php?workbook=14_11.xlsx&amp;sheet=U0&amp;row=781&amp;col=6&amp;number=4.7&amp;sourceID=14","4.7")</f>
        <v>4.7</v>
      </c>
      <c r="G781" s="4" t="str">
        <f>HYPERLINK("http://141.218.60.56/~jnz1568/getInfo.php?workbook=14_11.xlsx&amp;sheet=U0&amp;row=781&amp;col=7&amp;number=0.216&amp;sourceID=14","0.216")</f>
        <v>0.216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HYPERLINK("http://141.218.60.56/~jnz1568/getInfo.php?workbook=14_11.xlsx&amp;sheet=U0&amp;row=782&amp;col=6&amp;number=4.8&amp;sourceID=14","4.8")</f>
        <v>4.8</v>
      </c>
      <c r="G782" s="4" t="str">
        <f>HYPERLINK("http://141.218.60.56/~jnz1568/getInfo.php?workbook=14_11.xlsx&amp;sheet=U0&amp;row=782&amp;col=7&amp;number=0.209&amp;sourceID=14","0.209")</f>
        <v>0.209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HYPERLINK("http://141.218.60.56/~jnz1568/getInfo.php?workbook=14_11.xlsx&amp;sheet=U0&amp;row=783&amp;col=6&amp;number=4.9&amp;sourceID=14","4.9")</f>
        <v>4.9</v>
      </c>
      <c r="G783" s="4" t="str">
        <f>HYPERLINK("http://141.218.60.56/~jnz1568/getInfo.php?workbook=14_11.xlsx&amp;sheet=U0&amp;row=783&amp;col=7&amp;number=0.202&amp;sourceID=14","0.202")</f>
        <v>0.202</v>
      </c>
    </row>
    <row r="784" spans="1:7">
      <c r="A784" s="3">
        <v>14</v>
      </c>
      <c r="B784" s="3">
        <v>11</v>
      </c>
      <c r="C784" s="3">
        <v>3</v>
      </c>
      <c r="D784" s="3">
        <v>10</v>
      </c>
      <c r="E784" s="3">
        <v>1</v>
      </c>
      <c r="F784" s="4" t="str">
        <f>HYPERLINK("http://141.218.60.56/~jnz1568/getInfo.php?workbook=14_11.xlsx&amp;sheet=U0&amp;row=784&amp;col=6&amp;number=3&amp;sourceID=14","3")</f>
        <v>3</v>
      </c>
      <c r="G784" s="4" t="str">
        <f>HYPERLINK("http://141.218.60.56/~jnz1568/getInfo.php?workbook=14_11.xlsx&amp;sheet=U0&amp;row=784&amp;col=7&amp;number=0.722&amp;sourceID=14","0.722")</f>
        <v>0.722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HYPERLINK("http://141.218.60.56/~jnz1568/getInfo.php?workbook=14_11.xlsx&amp;sheet=U0&amp;row=785&amp;col=6&amp;number=3.1&amp;sourceID=14","3.1")</f>
        <v>3.1</v>
      </c>
      <c r="G785" s="4" t="str">
        <f>HYPERLINK("http://141.218.60.56/~jnz1568/getInfo.php?workbook=14_11.xlsx&amp;sheet=U0&amp;row=785&amp;col=7&amp;number=0.722&amp;sourceID=14","0.722")</f>
        <v>0.722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HYPERLINK("http://141.218.60.56/~jnz1568/getInfo.php?workbook=14_11.xlsx&amp;sheet=U0&amp;row=786&amp;col=6&amp;number=3.2&amp;sourceID=14","3.2")</f>
        <v>3.2</v>
      </c>
      <c r="G786" s="4" t="str">
        <f>HYPERLINK("http://141.218.60.56/~jnz1568/getInfo.php?workbook=14_11.xlsx&amp;sheet=U0&amp;row=786&amp;col=7&amp;number=0.721&amp;sourceID=14","0.721")</f>
        <v>0.721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HYPERLINK("http://141.218.60.56/~jnz1568/getInfo.php?workbook=14_11.xlsx&amp;sheet=U0&amp;row=787&amp;col=6&amp;number=3.3&amp;sourceID=14","3.3")</f>
        <v>3.3</v>
      </c>
      <c r="G787" s="4" t="str">
        <f>HYPERLINK("http://141.218.60.56/~jnz1568/getInfo.php?workbook=14_11.xlsx&amp;sheet=U0&amp;row=787&amp;col=7&amp;number=0.721&amp;sourceID=14","0.721")</f>
        <v>0.721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HYPERLINK("http://141.218.60.56/~jnz1568/getInfo.php?workbook=14_11.xlsx&amp;sheet=U0&amp;row=788&amp;col=6&amp;number=3.4&amp;sourceID=14","3.4")</f>
        <v>3.4</v>
      </c>
      <c r="G788" s="4" t="str">
        <f>HYPERLINK("http://141.218.60.56/~jnz1568/getInfo.php?workbook=14_11.xlsx&amp;sheet=U0&amp;row=788&amp;col=7&amp;number=0.72&amp;sourceID=14","0.72")</f>
        <v>0.72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HYPERLINK("http://141.218.60.56/~jnz1568/getInfo.php?workbook=14_11.xlsx&amp;sheet=U0&amp;row=789&amp;col=6&amp;number=3.5&amp;sourceID=14","3.5")</f>
        <v>3.5</v>
      </c>
      <c r="G789" s="4" t="str">
        <f>HYPERLINK("http://141.218.60.56/~jnz1568/getInfo.php?workbook=14_11.xlsx&amp;sheet=U0&amp;row=789&amp;col=7&amp;number=0.719&amp;sourceID=14","0.719")</f>
        <v>0.719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HYPERLINK("http://141.218.60.56/~jnz1568/getInfo.php?workbook=14_11.xlsx&amp;sheet=U0&amp;row=790&amp;col=6&amp;number=3.6&amp;sourceID=14","3.6")</f>
        <v>3.6</v>
      </c>
      <c r="G790" s="4" t="str">
        <f>HYPERLINK("http://141.218.60.56/~jnz1568/getInfo.php?workbook=14_11.xlsx&amp;sheet=U0&amp;row=790&amp;col=7&amp;number=0.719&amp;sourceID=14","0.719")</f>
        <v>0.719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HYPERLINK("http://141.218.60.56/~jnz1568/getInfo.php?workbook=14_11.xlsx&amp;sheet=U0&amp;row=791&amp;col=6&amp;number=3.7&amp;sourceID=14","3.7")</f>
        <v>3.7</v>
      </c>
      <c r="G791" s="4" t="str">
        <f>HYPERLINK("http://141.218.60.56/~jnz1568/getInfo.php?workbook=14_11.xlsx&amp;sheet=U0&amp;row=791&amp;col=7&amp;number=0.717&amp;sourceID=14","0.717")</f>
        <v>0.717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HYPERLINK("http://141.218.60.56/~jnz1568/getInfo.php?workbook=14_11.xlsx&amp;sheet=U0&amp;row=792&amp;col=6&amp;number=3.8&amp;sourceID=14","3.8")</f>
        <v>3.8</v>
      </c>
      <c r="G792" s="4" t="str">
        <f>HYPERLINK("http://141.218.60.56/~jnz1568/getInfo.php?workbook=14_11.xlsx&amp;sheet=U0&amp;row=792&amp;col=7&amp;number=0.716&amp;sourceID=14","0.716")</f>
        <v>0.716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HYPERLINK("http://141.218.60.56/~jnz1568/getInfo.php?workbook=14_11.xlsx&amp;sheet=U0&amp;row=793&amp;col=6&amp;number=3.9&amp;sourceID=14","3.9")</f>
        <v>3.9</v>
      </c>
      <c r="G793" s="4" t="str">
        <f>HYPERLINK("http://141.218.60.56/~jnz1568/getInfo.php?workbook=14_11.xlsx&amp;sheet=U0&amp;row=793&amp;col=7&amp;number=0.714&amp;sourceID=14","0.714")</f>
        <v>0.714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HYPERLINK("http://141.218.60.56/~jnz1568/getInfo.php?workbook=14_11.xlsx&amp;sheet=U0&amp;row=794&amp;col=6&amp;number=4&amp;sourceID=14","4")</f>
        <v>4</v>
      </c>
      <c r="G794" s="4" t="str">
        <f>HYPERLINK("http://141.218.60.56/~jnz1568/getInfo.php?workbook=14_11.xlsx&amp;sheet=U0&amp;row=794&amp;col=7&amp;number=0.712&amp;sourceID=14","0.712")</f>
        <v>0.712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HYPERLINK("http://141.218.60.56/~jnz1568/getInfo.php?workbook=14_11.xlsx&amp;sheet=U0&amp;row=795&amp;col=6&amp;number=4.1&amp;sourceID=14","4.1")</f>
        <v>4.1</v>
      </c>
      <c r="G795" s="4" t="str">
        <f>HYPERLINK("http://141.218.60.56/~jnz1568/getInfo.php?workbook=14_11.xlsx&amp;sheet=U0&amp;row=795&amp;col=7&amp;number=0.709&amp;sourceID=14","0.709")</f>
        <v>0.709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HYPERLINK("http://141.218.60.56/~jnz1568/getInfo.php?workbook=14_11.xlsx&amp;sheet=U0&amp;row=796&amp;col=6&amp;number=4.2&amp;sourceID=14","4.2")</f>
        <v>4.2</v>
      </c>
      <c r="G796" s="4" t="str">
        <f>HYPERLINK("http://141.218.60.56/~jnz1568/getInfo.php?workbook=14_11.xlsx&amp;sheet=U0&amp;row=796&amp;col=7&amp;number=0.706&amp;sourceID=14","0.706")</f>
        <v>0.706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HYPERLINK("http://141.218.60.56/~jnz1568/getInfo.php?workbook=14_11.xlsx&amp;sheet=U0&amp;row=797&amp;col=6&amp;number=4.3&amp;sourceID=14","4.3")</f>
        <v>4.3</v>
      </c>
      <c r="G797" s="4" t="str">
        <f>HYPERLINK("http://141.218.60.56/~jnz1568/getInfo.php?workbook=14_11.xlsx&amp;sheet=U0&amp;row=797&amp;col=7&amp;number=0.702&amp;sourceID=14","0.702")</f>
        <v>0.702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HYPERLINK("http://141.218.60.56/~jnz1568/getInfo.php?workbook=14_11.xlsx&amp;sheet=U0&amp;row=798&amp;col=6&amp;number=4.4&amp;sourceID=14","4.4")</f>
        <v>4.4</v>
      </c>
      <c r="G798" s="4" t="str">
        <f>HYPERLINK("http://141.218.60.56/~jnz1568/getInfo.php?workbook=14_11.xlsx&amp;sheet=U0&amp;row=798&amp;col=7&amp;number=0.698&amp;sourceID=14","0.698")</f>
        <v>0.698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HYPERLINK("http://141.218.60.56/~jnz1568/getInfo.php?workbook=14_11.xlsx&amp;sheet=U0&amp;row=799&amp;col=6&amp;number=4.5&amp;sourceID=14","4.5")</f>
        <v>4.5</v>
      </c>
      <c r="G799" s="4" t="str">
        <f>HYPERLINK("http://141.218.60.56/~jnz1568/getInfo.php?workbook=14_11.xlsx&amp;sheet=U0&amp;row=799&amp;col=7&amp;number=0.692&amp;sourceID=14","0.692")</f>
        <v>0.692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HYPERLINK("http://141.218.60.56/~jnz1568/getInfo.php?workbook=14_11.xlsx&amp;sheet=U0&amp;row=800&amp;col=6&amp;number=4.6&amp;sourceID=14","4.6")</f>
        <v>4.6</v>
      </c>
      <c r="G800" s="4" t="str">
        <f>HYPERLINK("http://141.218.60.56/~jnz1568/getInfo.php?workbook=14_11.xlsx&amp;sheet=U0&amp;row=800&amp;col=7&amp;number=0.686&amp;sourceID=14","0.686")</f>
        <v>0.686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HYPERLINK("http://141.218.60.56/~jnz1568/getInfo.php?workbook=14_11.xlsx&amp;sheet=U0&amp;row=801&amp;col=6&amp;number=4.7&amp;sourceID=14","4.7")</f>
        <v>4.7</v>
      </c>
      <c r="G801" s="4" t="str">
        <f>HYPERLINK("http://141.218.60.56/~jnz1568/getInfo.php?workbook=14_11.xlsx&amp;sheet=U0&amp;row=801&amp;col=7&amp;number=0.679&amp;sourceID=14","0.679")</f>
        <v>0.679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HYPERLINK("http://141.218.60.56/~jnz1568/getInfo.php?workbook=14_11.xlsx&amp;sheet=U0&amp;row=802&amp;col=6&amp;number=4.8&amp;sourceID=14","4.8")</f>
        <v>4.8</v>
      </c>
      <c r="G802" s="4" t="str">
        <f>HYPERLINK("http://141.218.60.56/~jnz1568/getInfo.php?workbook=14_11.xlsx&amp;sheet=U0&amp;row=802&amp;col=7&amp;number=0.671&amp;sourceID=14","0.671")</f>
        <v>0.671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HYPERLINK("http://141.218.60.56/~jnz1568/getInfo.php?workbook=14_11.xlsx&amp;sheet=U0&amp;row=803&amp;col=6&amp;number=4.9&amp;sourceID=14","4.9")</f>
        <v>4.9</v>
      </c>
      <c r="G803" s="4" t="str">
        <f>HYPERLINK("http://141.218.60.56/~jnz1568/getInfo.php?workbook=14_11.xlsx&amp;sheet=U0&amp;row=803&amp;col=7&amp;number=0.662&amp;sourceID=14","0.662")</f>
        <v>0.662</v>
      </c>
    </row>
    <row r="804" spans="1:7">
      <c r="A804" s="3">
        <v>14</v>
      </c>
      <c r="B804" s="3">
        <v>11</v>
      </c>
      <c r="C804" s="3">
        <v>3</v>
      </c>
      <c r="D804" s="3">
        <v>11</v>
      </c>
      <c r="E804" s="3">
        <v>1</v>
      </c>
      <c r="F804" s="4" t="str">
        <f>HYPERLINK("http://141.218.60.56/~jnz1568/getInfo.php?workbook=14_11.xlsx&amp;sheet=U0&amp;row=804&amp;col=6&amp;number=3&amp;sourceID=14","3")</f>
        <v>3</v>
      </c>
      <c r="G804" s="4" t="str">
        <f>HYPERLINK("http://141.218.60.56/~jnz1568/getInfo.php?workbook=14_11.xlsx&amp;sheet=U0&amp;row=804&amp;col=7&amp;number=0.481&amp;sourceID=14","0.481")</f>
        <v>0.481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HYPERLINK("http://141.218.60.56/~jnz1568/getInfo.php?workbook=14_11.xlsx&amp;sheet=U0&amp;row=805&amp;col=6&amp;number=3.1&amp;sourceID=14","3.1")</f>
        <v>3.1</v>
      </c>
      <c r="G805" s="4" t="str">
        <f>HYPERLINK("http://141.218.60.56/~jnz1568/getInfo.php?workbook=14_11.xlsx&amp;sheet=U0&amp;row=805&amp;col=7&amp;number=0.481&amp;sourceID=14","0.481")</f>
        <v>0.481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HYPERLINK("http://141.218.60.56/~jnz1568/getInfo.php?workbook=14_11.xlsx&amp;sheet=U0&amp;row=806&amp;col=6&amp;number=3.2&amp;sourceID=14","3.2")</f>
        <v>3.2</v>
      </c>
      <c r="G806" s="4" t="str">
        <f>HYPERLINK("http://141.218.60.56/~jnz1568/getInfo.php?workbook=14_11.xlsx&amp;sheet=U0&amp;row=806&amp;col=7&amp;number=0.481&amp;sourceID=14","0.481")</f>
        <v>0.481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HYPERLINK("http://141.218.60.56/~jnz1568/getInfo.php?workbook=14_11.xlsx&amp;sheet=U0&amp;row=807&amp;col=6&amp;number=3.3&amp;sourceID=14","3.3")</f>
        <v>3.3</v>
      </c>
      <c r="G807" s="4" t="str">
        <f>HYPERLINK("http://141.218.60.56/~jnz1568/getInfo.php?workbook=14_11.xlsx&amp;sheet=U0&amp;row=807&amp;col=7&amp;number=0.48&amp;sourceID=14","0.48")</f>
        <v>0.48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HYPERLINK("http://141.218.60.56/~jnz1568/getInfo.php?workbook=14_11.xlsx&amp;sheet=U0&amp;row=808&amp;col=6&amp;number=3.4&amp;sourceID=14","3.4")</f>
        <v>3.4</v>
      </c>
      <c r="G808" s="4" t="str">
        <f>HYPERLINK("http://141.218.60.56/~jnz1568/getInfo.php?workbook=14_11.xlsx&amp;sheet=U0&amp;row=808&amp;col=7&amp;number=0.48&amp;sourceID=14","0.48")</f>
        <v>0.48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HYPERLINK("http://141.218.60.56/~jnz1568/getInfo.php?workbook=14_11.xlsx&amp;sheet=U0&amp;row=809&amp;col=6&amp;number=3.5&amp;sourceID=14","3.5")</f>
        <v>3.5</v>
      </c>
      <c r="G809" s="4" t="str">
        <f>HYPERLINK("http://141.218.60.56/~jnz1568/getInfo.php?workbook=14_11.xlsx&amp;sheet=U0&amp;row=809&amp;col=7&amp;number=0.479&amp;sourceID=14","0.479")</f>
        <v>0.479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HYPERLINK("http://141.218.60.56/~jnz1568/getInfo.php?workbook=14_11.xlsx&amp;sheet=U0&amp;row=810&amp;col=6&amp;number=3.6&amp;sourceID=14","3.6")</f>
        <v>3.6</v>
      </c>
      <c r="G810" s="4" t="str">
        <f>HYPERLINK("http://141.218.60.56/~jnz1568/getInfo.php?workbook=14_11.xlsx&amp;sheet=U0&amp;row=810&amp;col=7&amp;number=0.478&amp;sourceID=14","0.478")</f>
        <v>0.478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HYPERLINK("http://141.218.60.56/~jnz1568/getInfo.php?workbook=14_11.xlsx&amp;sheet=U0&amp;row=811&amp;col=6&amp;number=3.7&amp;sourceID=14","3.7")</f>
        <v>3.7</v>
      </c>
      <c r="G811" s="4" t="str">
        <f>HYPERLINK("http://141.218.60.56/~jnz1568/getInfo.php?workbook=14_11.xlsx&amp;sheet=U0&amp;row=811&amp;col=7&amp;number=0.477&amp;sourceID=14","0.477")</f>
        <v>0.477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HYPERLINK("http://141.218.60.56/~jnz1568/getInfo.php?workbook=14_11.xlsx&amp;sheet=U0&amp;row=812&amp;col=6&amp;number=3.8&amp;sourceID=14","3.8")</f>
        <v>3.8</v>
      </c>
      <c r="G812" s="4" t="str">
        <f>HYPERLINK("http://141.218.60.56/~jnz1568/getInfo.php?workbook=14_11.xlsx&amp;sheet=U0&amp;row=812&amp;col=7&amp;number=0.476&amp;sourceID=14","0.476")</f>
        <v>0.476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HYPERLINK("http://141.218.60.56/~jnz1568/getInfo.php?workbook=14_11.xlsx&amp;sheet=U0&amp;row=813&amp;col=6&amp;number=3.9&amp;sourceID=14","3.9")</f>
        <v>3.9</v>
      </c>
      <c r="G813" s="4" t="str">
        <f>HYPERLINK("http://141.218.60.56/~jnz1568/getInfo.php?workbook=14_11.xlsx&amp;sheet=U0&amp;row=813&amp;col=7&amp;number=0.474&amp;sourceID=14","0.474")</f>
        <v>0.474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HYPERLINK("http://141.218.60.56/~jnz1568/getInfo.php?workbook=14_11.xlsx&amp;sheet=U0&amp;row=814&amp;col=6&amp;number=4&amp;sourceID=14","4")</f>
        <v>4</v>
      </c>
      <c r="G814" s="4" t="str">
        <f>HYPERLINK("http://141.218.60.56/~jnz1568/getInfo.php?workbook=14_11.xlsx&amp;sheet=U0&amp;row=814&amp;col=7&amp;number=0.472&amp;sourceID=14","0.472")</f>
        <v>0.472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HYPERLINK("http://141.218.60.56/~jnz1568/getInfo.php?workbook=14_11.xlsx&amp;sheet=U0&amp;row=815&amp;col=6&amp;number=4.1&amp;sourceID=14","4.1")</f>
        <v>4.1</v>
      </c>
      <c r="G815" s="4" t="str">
        <f>HYPERLINK("http://141.218.60.56/~jnz1568/getInfo.php?workbook=14_11.xlsx&amp;sheet=U0&amp;row=815&amp;col=7&amp;number=0.47&amp;sourceID=14","0.47")</f>
        <v>0.47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HYPERLINK("http://141.218.60.56/~jnz1568/getInfo.php?workbook=14_11.xlsx&amp;sheet=U0&amp;row=816&amp;col=6&amp;number=4.2&amp;sourceID=14","4.2")</f>
        <v>4.2</v>
      </c>
      <c r="G816" s="4" t="str">
        <f>HYPERLINK("http://141.218.60.56/~jnz1568/getInfo.php?workbook=14_11.xlsx&amp;sheet=U0&amp;row=816&amp;col=7&amp;number=0.467&amp;sourceID=14","0.467")</f>
        <v>0.467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HYPERLINK("http://141.218.60.56/~jnz1568/getInfo.php?workbook=14_11.xlsx&amp;sheet=U0&amp;row=817&amp;col=6&amp;number=4.3&amp;sourceID=14","4.3")</f>
        <v>4.3</v>
      </c>
      <c r="G817" s="4" t="str">
        <f>HYPERLINK("http://141.218.60.56/~jnz1568/getInfo.php?workbook=14_11.xlsx&amp;sheet=U0&amp;row=817&amp;col=7&amp;number=0.463&amp;sourceID=14","0.463")</f>
        <v>0.463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HYPERLINK("http://141.218.60.56/~jnz1568/getInfo.php?workbook=14_11.xlsx&amp;sheet=U0&amp;row=818&amp;col=6&amp;number=4.4&amp;sourceID=14","4.4")</f>
        <v>4.4</v>
      </c>
      <c r="G818" s="4" t="str">
        <f>HYPERLINK("http://141.218.60.56/~jnz1568/getInfo.php?workbook=14_11.xlsx&amp;sheet=U0&amp;row=818&amp;col=7&amp;number=0.459&amp;sourceID=14","0.459")</f>
        <v>0.459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HYPERLINK("http://141.218.60.56/~jnz1568/getInfo.php?workbook=14_11.xlsx&amp;sheet=U0&amp;row=819&amp;col=6&amp;number=4.5&amp;sourceID=14","4.5")</f>
        <v>4.5</v>
      </c>
      <c r="G819" s="4" t="str">
        <f>HYPERLINK("http://141.218.60.56/~jnz1568/getInfo.php?workbook=14_11.xlsx&amp;sheet=U0&amp;row=819&amp;col=7&amp;number=0.454&amp;sourceID=14","0.454")</f>
        <v>0.454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HYPERLINK("http://141.218.60.56/~jnz1568/getInfo.php?workbook=14_11.xlsx&amp;sheet=U0&amp;row=820&amp;col=6&amp;number=4.6&amp;sourceID=14","4.6")</f>
        <v>4.6</v>
      </c>
      <c r="G820" s="4" t="str">
        <f>HYPERLINK("http://141.218.60.56/~jnz1568/getInfo.php?workbook=14_11.xlsx&amp;sheet=U0&amp;row=820&amp;col=7&amp;number=0.449&amp;sourceID=14","0.449")</f>
        <v>0.449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HYPERLINK("http://141.218.60.56/~jnz1568/getInfo.php?workbook=14_11.xlsx&amp;sheet=U0&amp;row=821&amp;col=6&amp;number=4.7&amp;sourceID=14","4.7")</f>
        <v>4.7</v>
      </c>
      <c r="G821" s="4" t="str">
        <f>HYPERLINK("http://141.218.60.56/~jnz1568/getInfo.php?workbook=14_11.xlsx&amp;sheet=U0&amp;row=821&amp;col=7&amp;number=0.443&amp;sourceID=14","0.443")</f>
        <v>0.443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HYPERLINK("http://141.218.60.56/~jnz1568/getInfo.php?workbook=14_11.xlsx&amp;sheet=U0&amp;row=822&amp;col=6&amp;number=4.8&amp;sourceID=14","4.8")</f>
        <v>4.8</v>
      </c>
      <c r="G822" s="4" t="str">
        <f>HYPERLINK("http://141.218.60.56/~jnz1568/getInfo.php?workbook=14_11.xlsx&amp;sheet=U0&amp;row=822&amp;col=7&amp;number=0.437&amp;sourceID=14","0.437")</f>
        <v>0.437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HYPERLINK("http://141.218.60.56/~jnz1568/getInfo.php?workbook=14_11.xlsx&amp;sheet=U0&amp;row=823&amp;col=6&amp;number=4.9&amp;sourceID=14","4.9")</f>
        <v>4.9</v>
      </c>
      <c r="G823" s="4" t="str">
        <f>HYPERLINK("http://141.218.60.56/~jnz1568/getInfo.php?workbook=14_11.xlsx&amp;sheet=U0&amp;row=823&amp;col=7&amp;number=0.432&amp;sourceID=14","0.432")</f>
        <v>0.432</v>
      </c>
    </row>
    <row r="824" spans="1:7">
      <c r="A824" s="3">
        <v>14</v>
      </c>
      <c r="B824" s="3">
        <v>11</v>
      </c>
      <c r="C824" s="3">
        <v>3</v>
      </c>
      <c r="D824" s="3">
        <v>12</v>
      </c>
      <c r="E824" s="3">
        <v>1</v>
      </c>
      <c r="F824" s="4" t="str">
        <f>HYPERLINK("http://141.218.60.56/~jnz1568/getInfo.php?workbook=14_11.xlsx&amp;sheet=U0&amp;row=824&amp;col=6&amp;number=3&amp;sourceID=14","3")</f>
        <v>3</v>
      </c>
      <c r="G824" s="4" t="str">
        <f>HYPERLINK("http://141.218.60.56/~jnz1568/getInfo.php?workbook=14_11.xlsx&amp;sheet=U0&amp;row=824&amp;col=7&amp;number=1.12&amp;sourceID=14","1.12")</f>
        <v>1.12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HYPERLINK("http://141.218.60.56/~jnz1568/getInfo.php?workbook=14_11.xlsx&amp;sheet=U0&amp;row=825&amp;col=6&amp;number=3.1&amp;sourceID=14","3.1")</f>
        <v>3.1</v>
      </c>
      <c r="G825" s="4" t="str">
        <f>HYPERLINK("http://141.218.60.56/~jnz1568/getInfo.php?workbook=14_11.xlsx&amp;sheet=U0&amp;row=825&amp;col=7&amp;number=1.12&amp;sourceID=14","1.12")</f>
        <v>1.12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HYPERLINK("http://141.218.60.56/~jnz1568/getInfo.php?workbook=14_11.xlsx&amp;sheet=U0&amp;row=826&amp;col=6&amp;number=3.2&amp;sourceID=14","3.2")</f>
        <v>3.2</v>
      </c>
      <c r="G826" s="4" t="str">
        <f>HYPERLINK("http://141.218.60.56/~jnz1568/getInfo.php?workbook=14_11.xlsx&amp;sheet=U0&amp;row=826&amp;col=7&amp;number=1.12&amp;sourceID=14","1.12")</f>
        <v>1.12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HYPERLINK("http://141.218.60.56/~jnz1568/getInfo.php?workbook=14_11.xlsx&amp;sheet=U0&amp;row=827&amp;col=6&amp;number=3.3&amp;sourceID=14","3.3")</f>
        <v>3.3</v>
      </c>
      <c r="G827" s="4" t="str">
        <f>HYPERLINK("http://141.218.60.56/~jnz1568/getInfo.php?workbook=14_11.xlsx&amp;sheet=U0&amp;row=827&amp;col=7&amp;number=1.12&amp;sourceID=14","1.12")</f>
        <v>1.12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HYPERLINK("http://141.218.60.56/~jnz1568/getInfo.php?workbook=14_11.xlsx&amp;sheet=U0&amp;row=828&amp;col=6&amp;number=3.4&amp;sourceID=14","3.4")</f>
        <v>3.4</v>
      </c>
      <c r="G828" s="4" t="str">
        <f>HYPERLINK("http://141.218.60.56/~jnz1568/getInfo.php?workbook=14_11.xlsx&amp;sheet=U0&amp;row=828&amp;col=7&amp;number=1.12&amp;sourceID=14","1.12")</f>
        <v>1.12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HYPERLINK("http://141.218.60.56/~jnz1568/getInfo.php?workbook=14_11.xlsx&amp;sheet=U0&amp;row=829&amp;col=6&amp;number=3.5&amp;sourceID=14","3.5")</f>
        <v>3.5</v>
      </c>
      <c r="G829" s="4" t="str">
        <f>HYPERLINK("http://141.218.60.56/~jnz1568/getInfo.php?workbook=14_11.xlsx&amp;sheet=U0&amp;row=829&amp;col=7&amp;number=1.12&amp;sourceID=14","1.12")</f>
        <v>1.12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HYPERLINK("http://141.218.60.56/~jnz1568/getInfo.php?workbook=14_11.xlsx&amp;sheet=U0&amp;row=830&amp;col=6&amp;number=3.6&amp;sourceID=14","3.6")</f>
        <v>3.6</v>
      </c>
      <c r="G830" s="4" t="str">
        <f>HYPERLINK("http://141.218.60.56/~jnz1568/getInfo.php?workbook=14_11.xlsx&amp;sheet=U0&amp;row=830&amp;col=7&amp;number=1.12&amp;sourceID=14","1.12")</f>
        <v>1.12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HYPERLINK("http://141.218.60.56/~jnz1568/getInfo.php?workbook=14_11.xlsx&amp;sheet=U0&amp;row=831&amp;col=6&amp;number=3.7&amp;sourceID=14","3.7")</f>
        <v>3.7</v>
      </c>
      <c r="G831" s="4" t="str">
        <f>HYPERLINK("http://141.218.60.56/~jnz1568/getInfo.php?workbook=14_11.xlsx&amp;sheet=U0&amp;row=831&amp;col=7&amp;number=1.12&amp;sourceID=14","1.12")</f>
        <v>1.12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HYPERLINK("http://141.218.60.56/~jnz1568/getInfo.php?workbook=14_11.xlsx&amp;sheet=U0&amp;row=832&amp;col=6&amp;number=3.8&amp;sourceID=14","3.8")</f>
        <v>3.8</v>
      </c>
      <c r="G832" s="4" t="str">
        <f>HYPERLINK("http://141.218.60.56/~jnz1568/getInfo.php?workbook=14_11.xlsx&amp;sheet=U0&amp;row=832&amp;col=7&amp;number=1.12&amp;sourceID=14","1.12")</f>
        <v>1.12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HYPERLINK("http://141.218.60.56/~jnz1568/getInfo.php?workbook=14_11.xlsx&amp;sheet=U0&amp;row=833&amp;col=6&amp;number=3.9&amp;sourceID=14","3.9")</f>
        <v>3.9</v>
      </c>
      <c r="G833" s="4" t="str">
        <f>HYPERLINK("http://141.218.60.56/~jnz1568/getInfo.php?workbook=14_11.xlsx&amp;sheet=U0&amp;row=833&amp;col=7&amp;number=1.13&amp;sourceID=14","1.13")</f>
        <v>1.13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HYPERLINK("http://141.218.60.56/~jnz1568/getInfo.php?workbook=14_11.xlsx&amp;sheet=U0&amp;row=834&amp;col=6&amp;number=4&amp;sourceID=14","4")</f>
        <v>4</v>
      </c>
      <c r="G834" s="4" t="str">
        <f>HYPERLINK("http://141.218.60.56/~jnz1568/getInfo.php?workbook=14_11.xlsx&amp;sheet=U0&amp;row=834&amp;col=7&amp;number=1.13&amp;sourceID=14","1.13")</f>
        <v>1.13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HYPERLINK("http://141.218.60.56/~jnz1568/getInfo.php?workbook=14_11.xlsx&amp;sheet=U0&amp;row=835&amp;col=6&amp;number=4.1&amp;sourceID=14","4.1")</f>
        <v>4.1</v>
      </c>
      <c r="G835" s="4" t="str">
        <f>HYPERLINK("http://141.218.60.56/~jnz1568/getInfo.php?workbook=14_11.xlsx&amp;sheet=U0&amp;row=835&amp;col=7&amp;number=1.13&amp;sourceID=14","1.13")</f>
        <v>1.13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HYPERLINK("http://141.218.60.56/~jnz1568/getInfo.php?workbook=14_11.xlsx&amp;sheet=U0&amp;row=836&amp;col=6&amp;number=4.2&amp;sourceID=14","4.2")</f>
        <v>4.2</v>
      </c>
      <c r="G836" s="4" t="str">
        <f>HYPERLINK("http://141.218.60.56/~jnz1568/getInfo.php?workbook=14_11.xlsx&amp;sheet=U0&amp;row=836&amp;col=7&amp;number=1.14&amp;sourceID=14","1.14")</f>
        <v>1.14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HYPERLINK("http://141.218.60.56/~jnz1568/getInfo.php?workbook=14_11.xlsx&amp;sheet=U0&amp;row=837&amp;col=6&amp;number=4.3&amp;sourceID=14","4.3")</f>
        <v>4.3</v>
      </c>
      <c r="G837" s="4" t="str">
        <f>HYPERLINK("http://141.218.60.56/~jnz1568/getInfo.php?workbook=14_11.xlsx&amp;sheet=U0&amp;row=837&amp;col=7&amp;number=1.14&amp;sourceID=14","1.14")</f>
        <v>1.14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HYPERLINK("http://141.218.60.56/~jnz1568/getInfo.php?workbook=14_11.xlsx&amp;sheet=U0&amp;row=838&amp;col=6&amp;number=4.4&amp;sourceID=14","4.4")</f>
        <v>4.4</v>
      </c>
      <c r="G838" s="4" t="str">
        <f>HYPERLINK("http://141.218.60.56/~jnz1568/getInfo.php?workbook=14_11.xlsx&amp;sheet=U0&amp;row=838&amp;col=7&amp;number=1.15&amp;sourceID=14","1.15")</f>
        <v>1.15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HYPERLINK("http://141.218.60.56/~jnz1568/getInfo.php?workbook=14_11.xlsx&amp;sheet=U0&amp;row=839&amp;col=6&amp;number=4.5&amp;sourceID=14","4.5")</f>
        <v>4.5</v>
      </c>
      <c r="G839" s="4" t="str">
        <f>HYPERLINK("http://141.218.60.56/~jnz1568/getInfo.php?workbook=14_11.xlsx&amp;sheet=U0&amp;row=839&amp;col=7&amp;number=1.16&amp;sourceID=14","1.16")</f>
        <v>1.16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HYPERLINK("http://141.218.60.56/~jnz1568/getInfo.php?workbook=14_11.xlsx&amp;sheet=U0&amp;row=840&amp;col=6&amp;number=4.6&amp;sourceID=14","4.6")</f>
        <v>4.6</v>
      </c>
      <c r="G840" s="4" t="str">
        <f>HYPERLINK("http://141.218.60.56/~jnz1568/getInfo.php?workbook=14_11.xlsx&amp;sheet=U0&amp;row=840&amp;col=7&amp;number=1.17&amp;sourceID=14","1.17")</f>
        <v>1.17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HYPERLINK("http://141.218.60.56/~jnz1568/getInfo.php?workbook=14_11.xlsx&amp;sheet=U0&amp;row=841&amp;col=6&amp;number=4.7&amp;sourceID=14","4.7")</f>
        <v>4.7</v>
      </c>
      <c r="G841" s="4" t="str">
        <f>HYPERLINK("http://141.218.60.56/~jnz1568/getInfo.php?workbook=14_11.xlsx&amp;sheet=U0&amp;row=841&amp;col=7&amp;number=1.18&amp;sourceID=14","1.18")</f>
        <v>1.18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HYPERLINK("http://141.218.60.56/~jnz1568/getInfo.php?workbook=14_11.xlsx&amp;sheet=U0&amp;row=842&amp;col=6&amp;number=4.8&amp;sourceID=14","4.8")</f>
        <v>4.8</v>
      </c>
      <c r="G842" s="4" t="str">
        <f>HYPERLINK("http://141.218.60.56/~jnz1568/getInfo.php?workbook=14_11.xlsx&amp;sheet=U0&amp;row=842&amp;col=7&amp;number=1.19&amp;sourceID=14","1.19")</f>
        <v>1.19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HYPERLINK("http://141.218.60.56/~jnz1568/getInfo.php?workbook=14_11.xlsx&amp;sheet=U0&amp;row=843&amp;col=6&amp;number=4.9&amp;sourceID=14","4.9")</f>
        <v>4.9</v>
      </c>
      <c r="G843" s="4" t="str">
        <f>HYPERLINK("http://141.218.60.56/~jnz1568/getInfo.php?workbook=14_11.xlsx&amp;sheet=U0&amp;row=843&amp;col=7&amp;number=1.22&amp;sourceID=14","1.22")</f>
        <v>1.22</v>
      </c>
    </row>
    <row r="844" spans="1:7">
      <c r="A844" s="3">
        <v>14</v>
      </c>
      <c r="B844" s="3">
        <v>11</v>
      </c>
      <c r="C844" s="3">
        <v>3</v>
      </c>
      <c r="D844" s="3">
        <v>13</v>
      </c>
      <c r="E844" s="3">
        <v>1</v>
      </c>
      <c r="F844" s="4" t="str">
        <f>HYPERLINK("http://141.218.60.56/~jnz1568/getInfo.php?workbook=14_11.xlsx&amp;sheet=U0&amp;row=844&amp;col=6&amp;number=3&amp;sourceID=14","3")</f>
        <v>3</v>
      </c>
      <c r="G844" s="4" t="str">
        <f>HYPERLINK("http://141.218.60.56/~jnz1568/getInfo.php?workbook=14_11.xlsx&amp;sheet=U0&amp;row=844&amp;col=7&amp;number=0.144&amp;sourceID=14","0.144")</f>
        <v>0.144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HYPERLINK("http://141.218.60.56/~jnz1568/getInfo.php?workbook=14_11.xlsx&amp;sheet=U0&amp;row=845&amp;col=6&amp;number=3.1&amp;sourceID=14","3.1")</f>
        <v>3.1</v>
      </c>
      <c r="G845" s="4" t="str">
        <f>HYPERLINK("http://141.218.60.56/~jnz1568/getInfo.php?workbook=14_11.xlsx&amp;sheet=U0&amp;row=845&amp;col=7&amp;number=0.144&amp;sourceID=14","0.144")</f>
        <v>0.144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HYPERLINK("http://141.218.60.56/~jnz1568/getInfo.php?workbook=14_11.xlsx&amp;sheet=U0&amp;row=846&amp;col=6&amp;number=3.2&amp;sourceID=14","3.2")</f>
        <v>3.2</v>
      </c>
      <c r="G846" s="4" t="str">
        <f>HYPERLINK("http://141.218.60.56/~jnz1568/getInfo.php?workbook=14_11.xlsx&amp;sheet=U0&amp;row=846&amp;col=7&amp;number=0.144&amp;sourceID=14","0.144")</f>
        <v>0.144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HYPERLINK("http://141.218.60.56/~jnz1568/getInfo.php?workbook=14_11.xlsx&amp;sheet=U0&amp;row=847&amp;col=6&amp;number=3.3&amp;sourceID=14","3.3")</f>
        <v>3.3</v>
      </c>
      <c r="G847" s="4" t="str">
        <f>HYPERLINK("http://141.218.60.56/~jnz1568/getInfo.php?workbook=14_11.xlsx&amp;sheet=U0&amp;row=847&amp;col=7&amp;number=0.144&amp;sourceID=14","0.144")</f>
        <v>0.144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HYPERLINK("http://141.218.60.56/~jnz1568/getInfo.php?workbook=14_11.xlsx&amp;sheet=U0&amp;row=848&amp;col=6&amp;number=3.4&amp;sourceID=14","3.4")</f>
        <v>3.4</v>
      </c>
      <c r="G848" s="4" t="str">
        <f>HYPERLINK("http://141.218.60.56/~jnz1568/getInfo.php?workbook=14_11.xlsx&amp;sheet=U0&amp;row=848&amp;col=7&amp;number=0.144&amp;sourceID=14","0.144")</f>
        <v>0.144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HYPERLINK("http://141.218.60.56/~jnz1568/getInfo.php?workbook=14_11.xlsx&amp;sheet=U0&amp;row=849&amp;col=6&amp;number=3.5&amp;sourceID=14","3.5")</f>
        <v>3.5</v>
      </c>
      <c r="G849" s="4" t="str">
        <f>HYPERLINK("http://141.218.60.56/~jnz1568/getInfo.php?workbook=14_11.xlsx&amp;sheet=U0&amp;row=849&amp;col=7&amp;number=0.144&amp;sourceID=14","0.144")</f>
        <v>0.144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HYPERLINK("http://141.218.60.56/~jnz1568/getInfo.php?workbook=14_11.xlsx&amp;sheet=U0&amp;row=850&amp;col=6&amp;number=3.6&amp;sourceID=14","3.6")</f>
        <v>3.6</v>
      </c>
      <c r="G850" s="4" t="str">
        <f>HYPERLINK("http://141.218.60.56/~jnz1568/getInfo.php?workbook=14_11.xlsx&amp;sheet=U0&amp;row=850&amp;col=7&amp;number=0.144&amp;sourceID=14","0.144")</f>
        <v>0.144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HYPERLINK("http://141.218.60.56/~jnz1568/getInfo.php?workbook=14_11.xlsx&amp;sheet=U0&amp;row=851&amp;col=6&amp;number=3.7&amp;sourceID=14","3.7")</f>
        <v>3.7</v>
      </c>
      <c r="G851" s="4" t="str">
        <f>HYPERLINK("http://141.218.60.56/~jnz1568/getInfo.php?workbook=14_11.xlsx&amp;sheet=U0&amp;row=851&amp;col=7&amp;number=0.144&amp;sourceID=14","0.144")</f>
        <v>0.144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HYPERLINK("http://141.218.60.56/~jnz1568/getInfo.php?workbook=14_11.xlsx&amp;sheet=U0&amp;row=852&amp;col=6&amp;number=3.8&amp;sourceID=14","3.8")</f>
        <v>3.8</v>
      </c>
      <c r="G852" s="4" t="str">
        <f>HYPERLINK("http://141.218.60.56/~jnz1568/getInfo.php?workbook=14_11.xlsx&amp;sheet=U0&amp;row=852&amp;col=7&amp;number=0.144&amp;sourceID=14","0.144")</f>
        <v>0.144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HYPERLINK("http://141.218.60.56/~jnz1568/getInfo.php?workbook=14_11.xlsx&amp;sheet=U0&amp;row=853&amp;col=6&amp;number=3.9&amp;sourceID=14","3.9")</f>
        <v>3.9</v>
      </c>
      <c r="G853" s="4" t="str">
        <f>HYPERLINK("http://141.218.60.56/~jnz1568/getInfo.php?workbook=14_11.xlsx&amp;sheet=U0&amp;row=853&amp;col=7&amp;number=0.144&amp;sourceID=14","0.144")</f>
        <v>0.144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HYPERLINK("http://141.218.60.56/~jnz1568/getInfo.php?workbook=14_11.xlsx&amp;sheet=U0&amp;row=854&amp;col=6&amp;number=4&amp;sourceID=14","4")</f>
        <v>4</v>
      </c>
      <c r="G854" s="4" t="str">
        <f>HYPERLINK("http://141.218.60.56/~jnz1568/getInfo.php?workbook=14_11.xlsx&amp;sheet=U0&amp;row=854&amp;col=7&amp;number=0.144&amp;sourceID=14","0.144")</f>
        <v>0.144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HYPERLINK("http://141.218.60.56/~jnz1568/getInfo.php?workbook=14_11.xlsx&amp;sheet=U0&amp;row=855&amp;col=6&amp;number=4.1&amp;sourceID=14","4.1")</f>
        <v>4.1</v>
      </c>
      <c r="G855" s="4" t="str">
        <f>HYPERLINK("http://141.218.60.56/~jnz1568/getInfo.php?workbook=14_11.xlsx&amp;sheet=U0&amp;row=855&amp;col=7&amp;number=0.144&amp;sourceID=14","0.144")</f>
        <v>0.144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HYPERLINK("http://141.218.60.56/~jnz1568/getInfo.php?workbook=14_11.xlsx&amp;sheet=U0&amp;row=856&amp;col=6&amp;number=4.2&amp;sourceID=14","4.2")</f>
        <v>4.2</v>
      </c>
      <c r="G856" s="4" t="str">
        <f>HYPERLINK("http://141.218.60.56/~jnz1568/getInfo.php?workbook=14_11.xlsx&amp;sheet=U0&amp;row=856&amp;col=7&amp;number=0.144&amp;sourceID=14","0.144")</f>
        <v>0.144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HYPERLINK("http://141.218.60.56/~jnz1568/getInfo.php?workbook=14_11.xlsx&amp;sheet=U0&amp;row=857&amp;col=6&amp;number=4.3&amp;sourceID=14","4.3")</f>
        <v>4.3</v>
      </c>
      <c r="G857" s="4" t="str">
        <f>HYPERLINK("http://141.218.60.56/~jnz1568/getInfo.php?workbook=14_11.xlsx&amp;sheet=U0&amp;row=857&amp;col=7&amp;number=0.144&amp;sourceID=14","0.144")</f>
        <v>0.144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HYPERLINK("http://141.218.60.56/~jnz1568/getInfo.php?workbook=14_11.xlsx&amp;sheet=U0&amp;row=858&amp;col=6&amp;number=4.4&amp;sourceID=14","4.4")</f>
        <v>4.4</v>
      </c>
      <c r="G858" s="4" t="str">
        <f>HYPERLINK("http://141.218.60.56/~jnz1568/getInfo.php?workbook=14_11.xlsx&amp;sheet=U0&amp;row=858&amp;col=7&amp;number=0.144&amp;sourceID=14","0.144")</f>
        <v>0.144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HYPERLINK("http://141.218.60.56/~jnz1568/getInfo.php?workbook=14_11.xlsx&amp;sheet=U0&amp;row=859&amp;col=6&amp;number=4.5&amp;sourceID=14","4.5")</f>
        <v>4.5</v>
      </c>
      <c r="G859" s="4" t="str">
        <f>HYPERLINK("http://141.218.60.56/~jnz1568/getInfo.php?workbook=14_11.xlsx&amp;sheet=U0&amp;row=859&amp;col=7&amp;number=0.144&amp;sourceID=14","0.144")</f>
        <v>0.144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HYPERLINK("http://141.218.60.56/~jnz1568/getInfo.php?workbook=14_11.xlsx&amp;sheet=U0&amp;row=860&amp;col=6&amp;number=4.6&amp;sourceID=14","4.6")</f>
        <v>4.6</v>
      </c>
      <c r="G860" s="4" t="str">
        <f>HYPERLINK("http://141.218.60.56/~jnz1568/getInfo.php?workbook=14_11.xlsx&amp;sheet=U0&amp;row=860&amp;col=7&amp;number=0.144&amp;sourceID=14","0.144")</f>
        <v>0.144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HYPERLINK("http://141.218.60.56/~jnz1568/getInfo.php?workbook=14_11.xlsx&amp;sheet=U0&amp;row=861&amp;col=6&amp;number=4.7&amp;sourceID=14","4.7")</f>
        <v>4.7</v>
      </c>
      <c r="G861" s="4" t="str">
        <f>HYPERLINK("http://141.218.60.56/~jnz1568/getInfo.php?workbook=14_11.xlsx&amp;sheet=U0&amp;row=861&amp;col=7&amp;number=0.145&amp;sourceID=14","0.145")</f>
        <v>0.145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HYPERLINK("http://141.218.60.56/~jnz1568/getInfo.php?workbook=14_11.xlsx&amp;sheet=U0&amp;row=862&amp;col=6&amp;number=4.8&amp;sourceID=14","4.8")</f>
        <v>4.8</v>
      </c>
      <c r="G862" s="4" t="str">
        <f>HYPERLINK("http://141.218.60.56/~jnz1568/getInfo.php?workbook=14_11.xlsx&amp;sheet=U0&amp;row=862&amp;col=7&amp;number=0.146&amp;sourceID=14","0.146")</f>
        <v>0.146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HYPERLINK("http://141.218.60.56/~jnz1568/getInfo.php?workbook=14_11.xlsx&amp;sheet=U0&amp;row=863&amp;col=6&amp;number=4.9&amp;sourceID=14","4.9")</f>
        <v>4.9</v>
      </c>
      <c r="G863" s="4" t="str">
        <f>HYPERLINK("http://141.218.60.56/~jnz1568/getInfo.php?workbook=14_11.xlsx&amp;sheet=U0&amp;row=863&amp;col=7&amp;number=0.148&amp;sourceID=14","0.148")</f>
        <v>0.148</v>
      </c>
    </row>
    <row r="864" spans="1:7">
      <c r="A864" s="3">
        <v>14</v>
      </c>
      <c r="B864" s="3">
        <v>11</v>
      </c>
      <c r="C864" s="3">
        <v>3</v>
      </c>
      <c r="D864" s="3">
        <v>14</v>
      </c>
      <c r="E864" s="3">
        <v>1</v>
      </c>
      <c r="F864" s="4" t="str">
        <f>HYPERLINK("http://141.218.60.56/~jnz1568/getInfo.php?workbook=14_11.xlsx&amp;sheet=U0&amp;row=864&amp;col=6&amp;number=3&amp;sourceID=14","3")</f>
        <v>3</v>
      </c>
      <c r="G864" s="4" t="str">
        <f>HYPERLINK("http://141.218.60.56/~jnz1568/getInfo.php?workbook=14_11.xlsx&amp;sheet=U0&amp;row=864&amp;col=7&amp;number=0.0614&amp;sourceID=14","0.0614")</f>
        <v>0.0614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HYPERLINK("http://141.218.60.56/~jnz1568/getInfo.php?workbook=14_11.xlsx&amp;sheet=U0&amp;row=865&amp;col=6&amp;number=3.1&amp;sourceID=14","3.1")</f>
        <v>3.1</v>
      </c>
      <c r="G865" s="4" t="str">
        <f>HYPERLINK("http://141.218.60.56/~jnz1568/getInfo.php?workbook=14_11.xlsx&amp;sheet=U0&amp;row=865&amp;col=7&amp;number=0.0614&amp;sourceID=14","0.0614")</f>
        <v>0.0614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HYPERLINK("http://141.218.60.56/~jnz1568/getInfo.php?workbook=14_11.xlsx&amp;sheet=U0&amp;row=866&amp;col=6&amp;number=3.2&amp;sourceID=14","3.2")</f>
        <v>3.2</v>
      </c>
      <c r="G866" s="4" t="str">
        <f>HYPERLINK("http://141.218.60.56/~jnz1568/getInfo.php?workbook=14_11.xlsx&amp;sheet=U0&amp;row=866&amp;col=7&amp;number=0.0613&amp;sourceID=14","0.0613")</f>
        <v>0.0613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HYPERLINK("http://141.218.60.56/~jnz1568/getInfo.php?workbook=14_11.xlsx&amp;sheet=U0&amp;row=867&amp;col=6&amp;number=3.3&amp;sourceID=14","3.3")</f>
        <v>3.3</v>
      </c>
      <c r="G867" s="4" t="str">
        <f>HYPERLINK("http://141.218.60.56/~jnz1568/getInfo.php?workbook=14_11.xlsx&amp;sheet=U0&amp;row=867&amp;col=7&amp;number=0.0613&amp;sourceID=14","0.0613")</f>
        <v>0.0613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HYPERLINK("http://141.218.60.56/~jnz1568/getInfo.php?workbook=14_11.xlsx&amp;sheet=U0&amp;row=868&amp;col=6&amp;number=3.4&amp;sourceID=14","3.4")</f>
        <v>3.4</v>
      </c>
      <c r="G868" s="4" t="str">
        <f>HYPERLINK("http://141.218.60.56/~jnz1568/getInfo.php?workbook=14_11.xlsx&amp;sheet=U0&amp;row=868&amp;col=7&amp;number=0.0612&amp;sourceID=14","0.0612")</f>
        <v>0.0612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HYPERLINK("http://141.218.60.56/~jnz1568/getInfo.php?workbook=14_11.xlsx&amp;sheet=U0&amp;row=869&amp;col=6&amp;number=3.5&amp;sourceID=14","3.5")</f>
        <v>3.5</v>
      </c>
      <c r="G869" s="4" t="str">
        <f>HYPERLINK("http://141.218.60.56/~jnz1568/getInfo.php?workbook=14_11.xlsx&amp;sheet=U0&amp;row=869&amp;col=7&amp;number=0.0611&amp;sourceID=14","0.0611")</f>
        <v>0.0611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HYPERLINK("http://141.218.60.56/~jnz1568/getInfo.php?workbook=14_11.xlsx&amp;sheet=U0&amp;row=870&amp;col=6&amp;number=3.6&amp;sourceID=14","3.6")</f>
        <v>3.6</v>
      </c>
      <c r="G870" s="4" t="str">
        <f>HYPERLINK("http://141.218.60.56/~jnz1568/getInfo.php?workbook=14_11.xlsx&amp;sheet=U0&amp;row=870&amp;col=7&amp;number=0.061&amp;sourceID=14","0.061")</f>
        <v>0.061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HYPERLINK("http://141.218.60.56/~jnz1568/getInfo.php?workbook=14_11.xlsx&amp;sheet=U0&amp;row=871&amp;col=6&amp;number=3.7&amp;sourceID=14","3.7")</f>
        <v>3.7</v>
      </c>
      <c r="G871" s="4" t="str">
        <f>HYPERLINK("http://141.218.60.56/~jnz1568/getInfo.php?workbook=14_11.xlsx&amp;sheet=U0&amp;row=871&amp;col=7&amp;number=0.0609&amp;sourceID=14","0.0609")</f>
        <v>0.0609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HYPERLINK("http://141.218.60.56/~jnz1568/getInfo.php?workbook=14_11.xlsx&amp;sheet=U0&amp;row=872&amp;col=6&amp;number=3.8&amp;sourceID=14","3.8")</f>
        <v>3.8</v>
      </c>
      <c r="G872" s="4" t="str">
        <f>HYPERLINK("http://141.218.60.56/~jnz1568/getInfo.php?workbook=14_11.xlsx&amp;sheet=U0&amp;row=872&amp;col=7&amp;number=0.0607&amp;sourceID=14","0.0607")</f>
        <v>0.0607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HYPERLINK("http://141.218.60.56/~jnz1568/getInfo.php?workbook=14_11.xlsx&amp;sheet=U0&amp;row=873&amp;col=6&amp;number=3.9&amp;sourceID=14","3.9")</f>
        <v>3.9</v>
      </c>
      <c r="G873" s="4" t="str">
        <f>HYPERLINK("http://141.218.60.56/~jnz1568/getInfo.php?workbook=14_11.xlsx&amp;sheet=U0&amp;row=873&amp;col=7&amp;number=0.0605&amp;sourceID=14","0.0605")</f>
        <v>0.0605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HYPERLINK("http://141.218.60.56/~jnz1568/getInfo.php?workbook=14_11.xlsx&amp;sheet=U0&amp;row=874&amp;col=6&amp;number=4&amp;sourceID=14","4")</f>
        <v>4</v>
      </c>
      <c r="G874" s="4" t="str">
        <f>HYPERLINK("http://141.218.60.56/~jnz1568/getInfo.php?workbook=14_11.xlsx&amp;sheet=U0&amp;row=874&amp;col=7&amp;number=0.0602&amp;sourceID=14","0.0602")</f>
        <v>0.0602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HYPERLINK("http://141.218.60.56/~jnz1568/getInfo.php?workbook=14_11.xlsx&amp;sheet=U0&amp;row=875&amp;col=6&amp;number=4.1&amp;sourceID=14","4.1")</f>
        <v>4.1</v>
      </c>
      <c r="G875" s="4" t="str">
        <f>HYPERLINK("http://141.218.60.56/~jnz1568/getInfo.php?workbook=14_11.xlsx&amp;sheet=U0&amp;row=875&amp;col=7&amp;number=0.0599&amp;sourceID=14","0.0599")</f>
        <v>0.0599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HYPERLINK("http://141.218.60.56/~jnz1568/getInfo.php?workbook=14_11.xlsx&amp;sheet=U0&amp;row=876&amp;col=6&amp;number=4.2&amp;sourceID=14","4.2")</f>
        <v>4.2</v>
      </c>
      <c r="G876" s="4" t="str">
        <f>HYPERLINK("http://141.218.60.56/~jnz1568/getInfo.php?workbook=14_11.xlsx&amp;sheet=U0&amp;row=876&amp;col=7&amp;number=0.0595&amp;sourceID=14","0.0595")</f>
        <v>0.0595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HYPERLINK("http://141.218.60.56/~jnz1568/getInfo.php?workbook=14_11.xlsx&amp;sheet=U0&amp;row=877&amp;col=6&amp;number=4.3&amp;sourceID=14","4.3")</f>
        <v>4.3</v>
      </c>
      <c r="G877" s="4" t="str">
        <f>HYPERLINK("http://141.218.60.56/~jnz1568/getInfo.php?workbook=14_11.xlsx&amp;sheet=U0&amp;row=877&amp;col=7&amp;number=0.059&amp;sourceID=14","0.059")</f>
        <v>0.059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HYPERLINK("http://141.218.60.56/~jnz1568/getInfo.php?workbook=14_11.xlsx&amp;sheet=U0&amp;row=878&amp;col=6&amp;number=4.4&amp;sourceID=14","4.4")</f>
        <v>4.4</v>
      </c>
      <c r="G878" s="4" t="str">
        <f>HYPERLINK("http://141.218.60.56/~jnz1568/getInfo.php?workbook=14_11.xlsx&amp;sheet=U0&amp;row=878&amp;col=7&amp;number=0.0585&amp;sourceID=14","0.0585")</f>
        <v>0.0585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HYPERLINK("http://141.218.60.56/~jnz1568/getInfo.php?workbook=14_11.xlsx&amp;sheet=U0&amp;row=879&amp;col=6&amp;number=4.5&amp;sourceID=14","4.5")</f>
        <v>4.5</v>
      </c>
      <c r="G879" s="4" t="str">
        <f>HYPERLINK("http://141.218.60.56/~jnz1568/getInfo.php?workbook=14_11.xlsx&amp;sheet=U0&amp;row=879&amp;col=7&amp;number=0.0578&amp;sourceID=14","0.0578")</f>
        <v>0.0578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HYPERLINK("http://141.218.60.56/~jnz1568/getInfo.php?workbook=14_11.xlsx&amp;sheet=U0&amp;row=880&amp;col=6&amp;number=4.6&amp;sourceID=14","4.6")</f>
        <v>4.6</v>
      </c>
      <c r="G880" s="4" t="str">
        <f>HYPERLINK("http://141.218.60.56/~jnz1568/getInfo.php?workbook=14_11.xlsx&amp;sheet=U0&amp;row=880&amp;col=7&amp;number=0.057&amp;sourceID=14","0.057")</f>
        <v>0.057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HYPERLINK("http://141.218.60.56/~jnz1568/getInfo.php?workbook=14_11.xlsx&amp;sheet=U0&amp;row=881&amp;col=6&amp;number=4.7&amp;sourceID=14","4.7")</f>
        <v>4.7</v>
      </c>
      <c r="G881" s="4" t="str">
        <f>HYPERLINK("http://141.218.60.56/~jnz1568/getInfo.php?workbook=14_11.xlsx&amp;sheet=U0&amp;row=881&amp;col=7&amp;number=0.0562&amp;sourceID=14","0.0562")</f>
        <v>0.0562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HYPERLINK("http://141.218.60.56/~jnz1568/getInfo.php?workbook=14_11.xlsx&amp;sheet=U0&amp;row=882&amp;col=6&amp;number=4.8&amp;sourceID=14","4.8")</f>
        <v>4.8</v>
      </c>
      <c r="G882" s="4" t="str">
        <f>HYPERLINK("http://141.218.60.56/~jnz1568/getInfo.php?workbook=14_11.xlsx&amp;sheet=U0&amp;row=882&amp;col=7&amp;number=0.0552&amp;sourceID=14","0.0552")</f>
        <v>0.0552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HYPERLINK("http://141.218.60.56/~jnz1568/getInfo.php?workbook=14_11.xlsx&amp;sheet=U0&amp;row=883&amp;col=6&amp;number=4.9&amp;sourceID=14","4.9")</f>
        <v>4.9</v>
      </c>
      <c r="G883" s="4" t="str">
        <f>HYPERLINK("http://141.218.60.56/~jnz1568/getInfo.php?workbook=14_11.xlsx&amp;sheet=U0&amp;row=883&amp;col=7&amp;number=0.0542&amp;sourceID=14","0.0542")</f>
        <v>0.0542</v>
      </c>
    </row>
    <row r="884" spans="1:7">
      <c r="A884" s="3">
        <v>14</v>
      </c>
      <c r="B884" s="3">
        <v>11</v>
      </c>
      <c r="C884" s="3">
        <v>3</v>
      </c>
      <c r="D884" s="3">
        <v>15</v>
      </c>
      <c r="E884" s="3">
        <v>1</v>
      </c>
      <c r="F884" s="4" t="str">
        <f>HYPERLINK("http://141.218.60.56/~jnz1568/getInfo.php?workbook=14_11.xlsx&amp;sheet=U0&amp;row=884&amp;col=6&amp;number=3&amp;sourceID=14","3")</f>
        <v>3</v>
      </c>
      <c r="G884" s="4" t="str">
        <f>HYPERLINK("http://141.218.60.56/~jnz1568/getInfo.php?workbook=14_11.xlsx&amp;sheet=U0&amp;row=884&amp;col=7&amp;number=0.603&amp;sourceID=14","0.603")</f>
        <v>0.603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HYPERLINK("http://141.218.60.56/~jnz1568/getInfo.php?workbook=14_11.xlsx&amp;sheet=U0&amp;row=885&amp;col=6&amp;number=3.1&amp;sourceID=14","3.1")</f>
        <v>3.1</v>
      </c>
      <c r="G885" s="4" t="str">
        <f>HYPERLINK("http://141.218.60.56/~jnz1568/getInfo.php?workbook=14_11.xlsx&amp;sheet=U0&amp;row=885&amp;col=7&amp;number=0.603&amp;sourceID=14","0.603")</f>
        <v>0.603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HYPERLINK("http://141.218.60.56/~jnz1568/getInfo.php?workbook=14_11.xlsx&amp;sheet=U0&amp;row=886&amp;col=6&amp;number=3.2&amp;sourceID=14","3.2")</f>
        <v>3.2</v>
      </c>
      <c r="G886" s="4" t="str">
        <f>HYPERLINK("http://141.218.60.56/~jnz1568/getInfo.php?workbook=14_11.xlsx&amp;sheet=U0&amp;row=886&amp;col=7&amp;number=0.603&amp;sourceID=14","0.603")</f>
        <v>0.603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HYPERLINK("http://141.218.60.56/~jnz1568/getInfo.php?workbook=14_11.xlsx&amp;sheet=U0&amp;row=887&amp;col=6&amp;number=3.3&amp;sourceID=14","3.3")</f>
        <v>3.3</v>
      </c>
      <c r="G887" s="4" t="str">
        <f>HYPERLINK("http://141.218.60.56/~jnz1568/getInfo.php?workbook=14_11.xlsx&amp;sheet=U0&amp;row=887&amp;col=7&amp;number=0.603&amp;sourceID=14","0.603")</f>
        <v>0.603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HYPERLINK("http://141.218.60.56/~jnz1568/getInfo.php?workbook=14_11.xlsx&amp;sheet=U0&amp;row=888&amp;col=6&amp;number=3.4&amp;sourceID=14","3.4")</f>
        <v>3.4</v>
      </c>
      <c r="G888" s="4" t="str">
        <f>HYPERLINK("http://141.218.60.56/~jnz1568/getInfo.php?workbook=14_11.xlsx&amp;sheet=U0&amp;row=888&amp;col=7&amp;number=0.603&amp;sourceID=14","0.603")</f>
        <v>0.603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HYPERLINK("http://141.218.60.56/~jnz1568/getInfo.php?workbook=14_11.xlsx&amp;sheet=U0&amp;row=889&amp;col=6&amp;number=3.5&amp;sourceID=14","3.5")</f>
        <v>3.5</v>
      </c>
      <c r="G889" s="4" t="str">
        <f>HYPERLINK("http://141.218.60.56/~jnz1568/getInfo.php?workbook=14_11.xlsx&amp;sheet=U0&amp;row=889&amp;col=7&amp;number=0.603&amp;sourceID=14","0.603")</f>
        <v>0.603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HYPERLINK("http://141.218.60.56/~jnz1568/getInfo.php?workbook=14_11.xlsx&amp;sheet=U0&amp;row=890&amp;col=6&amp;number=3.6&amp;sourceID=14","3.6")</f>
        <v>3.6</v>
      </c>
      <c r="G890" s="4" t="str">
        <f>HYPERLINK("http://141.218.60.56/~jnz1568/getInfo.php?workbook=14_11.xlsx&amp;sheet=U0&amp;row=890&amp;col=7&amp;number=0.602&amp;sourceID=14","0.602")</f>
        <v>0.602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HYPERLINK("http://141.218.60.56/~jnz1568/getInfo.php?workbook=14_11.xlsx&amp;sheet=U0&amp;row=891&amp;col=6&amp;number=3.7&amp;sourceID=14","3.7")</f>
        <v>3.7</v>
      </c>
      <c r="G891" s="4" t="str">
        <f>HYPERLINK("http://141.218.60.56/~jnz1568/getInfo.php?workbook=14_11.xlsx&amp;sheet=U0&amp;row=891&amp;col=7&amp;number=0.602&amp;sourceID=14","0.602")</f>
        <v>0.602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HYPERLINK("http://141.218.60.56/~jnz1568/getInfo.php?workbook=14_11.xlsx&amp;sheet=U0&amp;row=892&amp;col=6&amp;number=3.8&amp;sourceID=14","3.8")</f>
        <v>3.8</v>
      </c>
      <c r="G892" s="4" t="str">
        <f>HYPERLINK("http://141.218.60.56/~jnz1568/getInfo.php?workbook=14_11.xlsx&amp;sheet=U0&amp;row=892&amp;col=7&amp;number=0.602&amp;sourceID=14","0.602")</f>
        <v>0.602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HYPERLINK("http://141.218.60.56/~jnz1568/getInfo.php?workbook=14_11.xlsx&amp;sheet=U0&amp;row=893&amp;col=6&amp;number=3.9&amp;sourceID=14","3.9")</f>
        <v>3.9</v>
      </c>
      <c r="G893" s="4" t="str">
        <f>HYPERLINK("http://141.218.60.56/~jnz1568/getInfo.php?workbook=14_11.xlsx&amp;sheet=U0&amp;row=893&amp;col=7&amp;number=0.602&amp;sourceID=14","0.602")</f>
        <v>0.602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HYPERLINK("http://141.218.60.56/~jnz1568/getInfo.php?workbook=14_11.xlsx&amp;sheet=U0&amp;row=894&amp;col=6&amp;number=4&amp;sourceID=14","4")</f>
        <v>4</v>
      </c>
      <c r="G894" s="4" t="str">
        <f>HYPERLINK("http://141.218.60.56/~jnz1568/getInfo.php?workbook=14_11.xlsx&amp;sheet=U0&amp;row=894&amp;col=7&amp;number=0.601&amp;sourceID=14","0.601")</f>
        <v>0.601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HYPERLINK("http://141.218.60.56/~jnz1568/getInfo.php?workbook=14_11.xlsx&amp;sheet=U0&amp;row=895&amp;col=6&amp;number=4.1&amp;sourceID=14","4.1")</f>
        <v>4.1</v>
      </c>
      <c r="G895" s="4" t="str">
        <f>HYPERLINK("http://141.218.60.56/~jnz1568/getInfo.php?workbook=14_11.xlsx&amp;sheet=U0&amp;row=895&amp;col=7&amp;number=0.601&amp;sourceID=14","0.601")</f>
        <v>0.601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HYPERLINK("http://141.218.60.56/~jnz1568/getInfo.php?workbook=14_11.xlsx&amp;sheet=U0&amp;row=896&amp;col=6&amp;number=4.2&amp;sourceID=14","4.2")</f>
        <v>4.2</v>
      </c>
      <c r="G896" s="4" t="str">
        <f>HYPERLINK("http://141.218.60.56/~jnz1568/getInfo.php?workbook=14_11.xlsx&amp;sheet=U0&amp;row=896&amp;col=7&amp;number=0.6&amp;sourceID=14","0.6")</f>
        <v>0.6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HYPERLINK("http://141.218.60.56/~jnz1568/getInfo.php?workbook=14_11.xlsx&amp;sheet=U0&amp;row=897&amp;col=6&amp;number=4.3&amp;sourceID=14","4.3")</f>
        <v>4.3</v>
      </c>
      <c r="G897" s="4" t="str">
        <f>HYPERLINK("http://141.218.60.56/~jnz1568/getInfo.php?workbook=14_11.xlsx&amp;sheet=U0&amp;row=897&amp;col=7&amp;number=0.599&amp;sourceID=14","0.599")</f>
        <v>0.599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HYPERLINK("http://141.218.60.56/~jnz1568/getInfo.php?workbook=14_11.xlsx&amp;sheet=U0&amp;row=898&amp;col=6&amp;number=4.4&amp;sourceID=14","4.4")</f>
        <v>4.4</v>
      </c>
      <c r="G898" s="4" t="str">
        <f>HYPERLINK("http://141.218.60.56/~jnz1568/getInfo.php?workbook=14_11.xlsx&amp;sheet=U0&amp;row=898&amp;col=7&amp;number=0.598&amp;sourceID=14","0.598")</f>
        <v>0.598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HYPERLINK("http://141.218.60.56/~jnz1568/getInfo.php?workbook=14_11.xlsx&amp;sheet=U0&amp;row=899&amp;col=6&amp;number=4.5&amp;sourceID=14","4.5")</f>
        <v>4.5</v>
      </c>
      <c r="G899" s="4" t="str">
        <f>HYPERLINK("http://141.218.60.56/~jnz1568/getInfo.php?workbook=14_11.xlsx&amp;sheet=U0&amp;row=899&amp;col=7&amp;number=0.597&amp;sourceID=14","0.597")</f>
        <v>0.597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HYPERLINK("http://141.218.60.56/~jnz1568/getInfo.php?workbook=14_11.xlsx&amp;sheet=U0&amp;row=900&amp;col=6&amp;number=4.6&amp;sourceID=14","4.6")</f>
        <v>4.6</v>
      </c>
      <c r="G900" s="4" t="str">
        <f>HYPERLINK("http://141.218.60.56/~jnz1568/getInfo.php?workbook=14_11.xlsx&amp;sheet=U0&amp;row=900&amp;col=7&amp;number=0.596&amp;sourceID=14","0.596")</f>
        <v>0.596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HYPERLINK("http://141.218.60.56/~jnz1568/getInfo.php?workbook=14_11.xlsx&amp;sheet=U0&amp;row=901&amp;col=6&amp;number=4.7&amp;sourceID=14","4.7")</f>
        <v>4.7</v>
      </c>
      <c r="G901" s="4" t="str">
        <f>HYPERLINK("http://141.218.60.56/~jnz1568/getInfo.php?workbook=14_11.xlsx&amp;sheet=U0&amp;row=901&amp;col=7&amp;number=0.595&amp;sourceID=14","0.595")</f>
        <v>0.595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HYPERLINK("http://141.218.60.56/~jnz1568/getInfo.php?workbook=14_11.xlsx&amp;sheet=U0&amp;row=902&amp;col=6&amp;number=4.8&amp;sourceID=14","4.8")</f>
        <v>4.8</v>
      </c>
      <c r="G902" s="4" t="str">
        <f>HYPERLINK("http://141.218.60.56/~jnz1568/getInfo.php?workbook=14_11.xlsx&amp;sheet=U0&amp;row=902&amp;col=7&amp;number=0.593&amp;sourceID=14","0.593")</f>
        <v>0.593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HYPERLINK("http://141.218.60.56/~jnz1568/getInfo.php?workbook=14_11.xlsx&amp;sheet=U0&amp;row=903&amp;col=6&amp;number=4.9&amp;sourceID=14","4.9")</f>
        <v>4.9</v>
      </c>
      <c r="G903" s="4" t="str">
        <f>HYPERLINK("http://141.218.60.56/~jnz1568/getInfo.php?workbook=14_11.xlsx&amp;sheet=U0&amp;row=903&amp;col=7&amp;number=0.591&amp;sourceID=14","0.591")</f>
        <v>0.591</v>
      </c>
    </row>
    <row r="904" spans="1:7">
      <c r="A904" s="3">
        <v>14</v>
      </c>
      <c r="B904" s="3">
        <v>11</v>
      </c>
      <c r="C904" s="3">
        <v>3</v>
      </c>
      <c r="D904" s="3">
        <v>16</v>
      </c>
      <c r="E904" s="3">
        <v>1</v>
      </c>
      <c r="F904" s="4" t="str">
        <f>HYPERLINK("http://141.218.60.56/~jnz1568/getInfo.php?workbook=14_11.xlsx&amp;sheet=U0&amp;row=904&amp;col=6&amp;number=3&amp;sourceID=14","3")</f>
        <v>3</v>
      </c>
      <c r="G904" s="4" t="str">
        <f>HYPERLINK("http://141.218.60.56/~jnz1568/getInfo.php?workbook=14_11.xlsx&amp;sheet=U0&amp;row=904&amp;col=7&amp;number=0.09&amp;sourceID=14","0.09")</f>
        <v>0.09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HYPERLINK("http://141.218.60.56/~jnz1568/getInfo.php?workbook=14_11.xlsx&amp;sheet=U0&amp;row=905&amp;col=6&amp;number=3.1&amp;sourceID=14","3.1")</f>
        <v>3.1</v>
      </c>
      <c r="G905" s="4" t="str">
        <f>HYPERLINK("http://141.218.60.56/~jnz1568/getInfo.php?workbook=14_11.xlsx&amp;sheet=U0&amp;row=905&amp;col=7&amp;number=0.0899&amp;sourceID=14","0.0899")</f>
        <v>0.0899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HYPERLINK("http://141.218.60.56/~jnz1568/getInfo.php?workbook=14_11.xlsx&amp;sheet=U0&amp;row=906&amp;col=6&amp;number=3.2&amp;sourceID=14","3.2")</f>
        <v>3.2</v>
      </c>
      <c r="G906" s="4" t="str">
        <f>HYPERLINK("http://141.218.60.56/~jnz1568/getInfo.php?workbook=14_11.xlsx&amp;sheet=U0&amp;row=906&amp;col=7&amp;number=0.0898&amp;sourceID=14","0.0898")</f>
        <v>0.0898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HYPERLINK("http://141.218.60.56/~jnz1568/getInfo.php?workbook=14_11.xlsx&amp;sheet=U0&amp;row=907&amp;col=6&amp;number=3.3&amp;sourceID=14","3.3")</f>
        <v>3.3</v>
      </c>
      <c r="G907" s="4" t="str">
        <f>HYPERLINK("http://141.218.60.56/~jnz1568/getInfo.php?workbook=14_11.xlsx&amp;sheet=U0&amp;row=907&amp;col=7&amp;number=0.0897&amp;sourceID=14","0.0897")</f>
        <v>0.0897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HYPERLINK("http://141.218.60.56/~jnz1568/getInfo.php?workbook=14_11.xlsx&amp;sheet=U0&amp;row=908&amp;col=6&amp;number=3.4&amp;sourceID=14","3.4")</f>
        <v>3.4</v>
      </c>
      <c r="G908" s="4" t="str">
        <f>HYPERLINK("http://141.218.60.56/~jnz1568/getInfo.php?workbook=14_11.xlsx&amp;sheet=U0&amp;row=908&amp;col=7&amp;number=0.0895&amp;sourceID=14","0.0895")</f>
        <v>0.0895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HYPERLINK("http://141.218.60.56/~jnz1568/getInfo.php?workbook=14_11.xlsx&amp;sheet=U0&amp;row=909&amp;col=6&amp;number=3.5&amp;sourceID=14","3.5")</f>
        <v>3.5</v>
      </c>
      <c r="G909" s="4" t="str">
        <f>HYPERLINK("http://141.218.60.56/~jnz1568/getInfo.php?workbook=14_11.xlsx&amp;sheet=U0&amp;row=909&amp;col=7&amp;number=0.0893&amp;sourceID=14","0.0893")</f>
        <v>0.0893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HYPERLINK("http://141.218.60.56/~jnz1568/getInfo.php?workbook=14_11.xlsx&amp;sheet=U0&amp;row=910&amp;col=6&amp;number=3.6&amp;sourceID=14","3.6")</f>
        <v>3.6</v>
      </c>
      <c r="G910" s="4" t="str">
        <f>HYPERLINK("http://141.218.60.56/~jnz1568/getInfo.php?workbook=14_11.xlsx&amp;sheet=U0&amp;row=910&amp;col=7&amp;number=0.089&amp;sourceID=14","0.089")</f>
        <v>0.089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HYPERLINK("http://141.218.60.56/~jnz1568/getInfo.php?workbook=14_11.xlsx&amp;sheet=U0&amp;row=911&amp;col=6&amp;number=3.7&amp;sourceID=14","3.7")</f>
        <v>3.7</v>
      </c>
      <c r="G911" s="4" t="str">
        <f>HYPERLINK("http://141.218.60.56/~jnz1568/getInfo.php?workbook=14_11.xlsx&amp;sheet=U0&amp;row=911&amp;col=7&amp;number=0.0887&amp;sourceID=14","0.0887")</f>
        <v>0.0887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HYPERLINK("http://141.218.60.56/~jnz1568/getInfo.php?workbook=14_11.xlsx&amp;sheet=U0&amp;row=912&amp;col=6&amp;number=3.8&amp;sourceID=14","3.8")</f>
        <v>3.8</v>
      </c>
      <c r="G912" s="4" t="str">
        <f>HYPERLINK("http://141.218.60.56/~jnz1568/getInfo.php?workbook=14_11.xlsx&amp;sheet=U0&amp;row=912&amp;col=7&amp;number=0.0883&amp;sourceID=14","0.0883")</f>
        <v>0.0883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HYPERLINK("http://141.218.60.56/~jnz1568/getInfo.php?workbook=14_11.xlsx&amp;sheet=U0&amp;row=913&amp;col=6&amp;number=3.9&amp;sourceID=14","3.9")</f>
        <v>3.9</v>
      </c>
      <c r="G913" s="4" t="str">
        <f>HYPERLINK("http://141.218.60.56/~jnz1568/getInfo.php?workbook=14_11.xlsx&amp;sheet=U0&amp;row=913&amp;col=7&amp;number=0.0878&amp;sourceID=14","0.0878")</f>
        <v>0.0878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HYPERLINK("http://141.218.60.56/~jnz1568/getInfo.php?workbook=14_11.xlsx&amp;sheet=U0&amp;row=914&amp;col=6&amp;number=4&amp;sourceID=14","4")</f>
        <v>4</v>
      </c>
      <c r="G914" s="4" t="str">
        <f>HYPERLINK("http://141.218.60.56/~jnz1568/getInfo.php?workbook=14_11.xlsx&amp;sheet=U0&amp;row=914&amp;col=7&amp;number=0.0871&amp;sourceID=14","0.0871")</f>
        <v>0.0871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HYPERLINK("http://141.218.60.56/~jnz1568/getInfo.php?workbook=14_11.xlsx&amp;sheet=U0&amp;row=915&amp;col=6&amp;number=4.1&amp;sourceID=14","4.1")</f>
        <v>4.1</v>
      </c>
      <c r="G915" s="4" t="str">
        <f>HYPERLINK("http://141.218.60.56/~jnz1568/getInfo.php?workbook=14_11.xlsx&amp;sheet=U0&amp;row=915&amp;col=7&amp;number=0.0863&amp;sourceID=14","0.0863")</f>
        <v>0.0863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HYPERLINK("http://141.218.60.56/~jnz1568/getInfo.php?workbook=14_11.xlsx&amp;sheet=U0&amp;row=916&amp;col=6&amp;number=4.2&amp;sourceID=14","4.2")</f>
        <v>4.2</v>
      </c>
      <c r="G916" s="4" t="str">
        <f>HYPERLINK("http://141.218.60.56/~jnz1568/getInfo.php?workbook=14_11.xlsx&amp;sheet=U0&amp;row=916&amp;col=7&amp;number=0.0854&amp;sourceID=14","0.0854")</f>
        <v>0.0854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HYPERLINK("http://141.218.60.56/~jnz1568/getInfo.php?workbook=14_11.xlsx&amp;sheet=U0&amp;row=917&amp;col=6&amp;number=4.3&amp;sourceID=14","4.3")</f>
        <v>4.3</v>
      </c>
      <c r="G917" s="4" t="str">
        <f>HYPERLINK("http://141.218.60.56/~jnz1568/getInfo.php?workbook=14_11.xlsx&amp;sheet=U0&amp;row=917&amp;col=7&amp;number=0.0842&amp;sourceID=14","0.0842")</f>
        <v>0.0842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HYPERLINK("http://141.218.60.56/~jnz1568/getInfo.php?workbook=14_11.xlsx&amp;sheet=U0&amp;row=918&amp;col=6&amp;number=4.4&amp;sourceID=14","4.4")</f>
        <v>4.4</v>
      </c>
      <c r="G918" s="4" t="str">
        <f>HYPERLINK("http://141.218.60.56/~jnz1568/getInfo.php?workbook=14_11.xlsx&amp;sheet=U0&amp;row=918&amp;col=7&amp;number=0.0828&amp;sourceID=14","0.0828")</f>
        <v>0.0828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HYPERLINK("http://141.218.60.56/~jnz1568/getInfo.php?workbook=14_11.xlsx&amp;sheet=U0&amp;row=919&amp;col=6&amp;number=4.5&amp;sourceID=14","4.5")</f>
        <v>4.5</v>
      </c>
      <c r="G919" s="4" t="str">
        <f>HYPERLINK("http://141.218.60.56/~jnz1568/getInfo.php?workbook=14_11.xlsx&amp;sheet=U0&amp;row=919&amp;col=7&amp;number=0.081&amp;sourceID=14","0.081")</f>
        <v>0.081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HYPERLINK("http://141.218.60.56/~jnz1568/getInfo.php?workbook=14_11.xlsx&amp;sheet=U0&amp;row=920&amp;col=6&amp;number=4.6&amp;sourceID=14","4.6")</f>
        <v>4.6</v>
      </c>
      <c r="G920" s="4" t="str">
        <f>HYPERLINK("http://141.218.60.56/~jnz1568/getInfo.php?workbook=14_11.xlsx&amp;sheet=U0&amp;row=920&amp;col=7&amp;number=0.079&amp;sourceID=14","0.079")</f>
        <v>0.079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HYPERLINK("http://141.218.60.56/~jnz1568/getInfo.php?workbook=14_11.xlsx&amp;sheet=U0&amp;row=921&amp;col=6&amp;number=4.7&amp;sourceID=14","4.7")</f>
        <v>4.7</v>
      </c>
      <c r="G921" s="4" t="str">
        <f>HYPERLINK("http://141.218.60.56/~jnz1568/getInfo.php?workbook=14_11.xlsx&amp;sheet=U0&amp;row=921&amp;col=7&amp;number=0.0767&amp;sourceID=14","0.0767")</f>
        <v>0.0767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HYPERLINK("http://141.218.60.56/~jnz1568/getInfo.php?workbook=14_11.xlsx&amp;sheet=U0&amp;row=922&amp;col=6&amp;number=4.8&amp;sourceID=14","4.8")</f>
        <v>4.8</v>
      </c>
      <c r="G922" s="4" t="str">
        <f>HYPERLINK("http://141.218.60.56/~jnz1568/getInfo.php?workbook=14_11.xlsx&amp;sheet=U0&amp;row=922&amp;col=7&amp;number=0.0741&amp;sourceID=14","0.0741")</f>
        <v>0.0741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HYPERLINK("http://141.218.60.56/~jnz1568/getInfo.php?workbook=14_11.xlsx&amp;sheet=U0&amp;row=923&amp;col=6&amp;number=4.9&amp;sourceID=14","4.9")</f>
        <v>4.9</v>
      </c>
      <c r="G923" s="4" t="str">
        <f>HYPERLINK("http://141.218.60.56/~jnz1568/getInfo.php?workbook=14_11.xlsx&amp;sheet=U0&amp;row=923&amp;col=7&amp;number=0.0712&amp;sourceID=14","0.0712")</f>
        <v>0.0712</v>
      </c>
    </row>
    <row r="924" spans="1:7">
      <c r="A924" s="3">
        <v>14</v>
      </c>
      <c r="B924" s="3">
        <v>11</v>
      </c>
      <c r="C924" s="3">
        <v>3</v>
      </c>
      <c r="D924" s="3">
        <v>17</v>
      </c>
      <c r="E924" s="3">
        <v>1</v>
      </c>
      <c r="F924" s="4" t="str">
        <f>HYPERLINK("http://141.218.60.56/~jnz1568/getInfo.php?workbook=14_11.xlsx&amp;sheet=U0&amp;row=924&amp;col=6&amp;number=3&amp;sourceID=14","3")</f>
        <v>3</v>
      </c>
      <c r="G924" s="4" t="str">
        <f>HYPERLINK("http://141.218.60.56/~jnz1568/getInfo.php?workbook=14_11.xlsx&amp;sheet=U0&amp;row=924&amp;col=7&amp;number=0.194&amp;sourceID=14","0.194")</f>
        <v>0.194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HYPERLINK("http://141.218.60.56/~jnz1568/getInfo.php?workbook=14_11.xlsx&amp;sheet=U0&amp;row=925&amp;col=6&amp;number=3.1&amp;sourceID=14","3.1")</f>
        <v>3.1</v>
      </c>
      <c r="G925" s="4" t="str">
        <f>HYPERLINK("http://141.218.60.56/~jnz1568/getInfo.php?workbook=14_11.xlsx&amp;sheet=U0&amp;row=925&amp;col=7&amp;number=0.194&amp;sourceID=14","0.194")</f>
        <v>0.194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HYPERLINK("http://141.218.60.56/~jnz1568/getInfo.php?workbook=14_11.xlsx&amp;sheet=U0&amp;row=926&amp;col=6&amp;number=3.2&amp;sourceID=14","3.2")</f>
        <v>3.2</v>
      </c>
      <c r="G926" s="4" t="str">
        <f>HYPERLINK("http://141.218.60.56/~jnz1568/getInfo.php?workbook=14_11.xlsx&amp;sheet=U0&amp;row=926&amp;col=7&amp;number=0.194&amp;sourceID=14","0.194")</f>
        <v>0.194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HYPERLINK("http://141.218.60.56/~jnz1568/getInfo.php?workbook=14_11.xlsx&amp;sheet=U0&amp;row=927&amp;col=6&amp;number=3.3&amp;sourceID=14","3.3")</f>
        <v>3.3</v>
      </c>
      <c r="G927" s="4" t="str">
        <f>HYPERLINK("http://141.218.60.56/~jnz1568/getInfo.php?workbook=14_11.xlsx&amp;sheet=U0&amp;row=927&amp;col=7&amp;number=0.194&amp;sourceID=14","0.194")</f>
        <v>0.194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HYPERLINK("http://141.218.60.56/~jnz1568/getInfo.php?workbook=14_11.xlsx&amp;sheet=U0&amp;row=928&amp;col=6&amp;number=3.4&amp;sourceID=14","3.4")</f>
        <v>3.4</v>
      </c>
      <c r="G928" s="4" t="str">
        <f>HYPERLINK("http://141.218.60.56/~jnz1568/getInfo.php?workbook=14_11.xlsx&amp;sheet=U0&amp;row=928&amp;col=7&amp;number=0.194&amp;sourceID=14","0.194")</f>
        <v>0.194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HYPERLINK("http://141.218.60.56/~jnz1568/getInfo.php?workbook=14_11.xlsx&amp;sheet=U0&amp;row=929&amp;col=6&amp;number=3.5&amp;sourceID=14","3.5")</f>
        <v>3.5</v>
      </c>
      <c r="G929" s="4" t="str">
        <f>HYPERLINK("http://141.218.60.56/~jnz1568/getInfo.php?workbook=14_11.xlsx&amp;sheet=U0&amp;row=929&amp;col=7&amp;number=0.193&amp;sourceID=14","0.193")</f>
        <v>0.193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HYPERLINK("http://141.218.60.56/~jnz1568/getInfo.php?workbook=14_11.xlsx&amp;sheet=U0&amp;row=930&amp;col=6&amp;number=3.6&amp;sourceID=14","3.6")</f>
        <v>3.6</v>
      </c>
      <c r="G930" s="4" t="str">
        <f>HYPERLINK("http://141.218.60.56/~jnz1568/getInfo.php?workbook=14_11.xlsx&amp;sheet=U0&amp;row=930&amp;col=7&amp;number=0.193&amp;sourceID=14","0.193")</f>
        <v>0.193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HYPERLINK("http://141.218.60.56/~jnz1568/getInfo.php?workbook=14_11.xlsx&amp;sheet=U0&amp;row=931&amp;col=6&amp;number=3.7&amp;sourceID=14","3.7")</f>
        <v>3.7</v>
      </c>
      <c r="G931" s="4" t="str">
        <f>HYPERLINK("http://141.218.60.56/~jnz1568/getInfo.php?workbook=14_11.xlsx&amp;sheet=U0&amp;row=931&amp;col=7&amp;number=0.193&amp;sourceID=14","0.193")</f>
        <v>0.193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HYPERLINK("http://141.218.60.56/~jnz1568/getInfo.php?workbook=14_11.xlsx&amp;sheet=U0&amp;row=932&amp;col=6&amp;number=3.8&amp;sourceID=14","3.8")</f>
        <v>3.8</v>
      </c>
      <c r="G932" s="4" t="str">
        <f>HYPERLINK("http://141.218.60.56/~jnz1568/getInfo.php?workbook=14_11.xlsx&amp;sheet=U0&amp;row=932&amp;col=7&amp;number=0.192&amp;sourceID=14","0.192")</f>
        <v>0.192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HYPERLINK("http://141.218.60.56/~jnz1568/getInfo.php?workbook=14_11.xlsx&amp;sheet=U0&amp;row=933&amp;col=6&amp;number=3.9&amp;sourceID=14","3.9")</f>
        <v>3.9</v>
      </c>
      <c r="G933" s="4" t="str">
        <f>HYPERLINK("http://141.218.60.56/~jnz1568/getInfo.php?workbook=14_11.xlsx&amp;sheet=U0&amp;row=933&amp;col=7&amp;number=0.191&amp;sourceID=14","0.191")</f>
        <v>0.191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HYPERLINK("http://141.218.60.56/~jnz1568/getInfo.php?workbook=14_11.xlsx&amp;sheet=U0&amp;row=934&amp;col=6&amp;number=4&amp;sourceID=14","4")</f>
        <v>4</v>
      </c>
      <c r="G934" s="4" t="str">
        <f>HYPERLINK("http://141.218.60.56/~jnz1568/getInfo.php?workbook=14_11.xlsx&amp;sheet=U0&amp;row=934&amp;col=7&amp;number=0.19&amp;sourceID=14","0.19")</f>
        <v>0.19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HYPERLINK("http://141.218.60.56/~jnz1568/getInfo.php?workbook=14_11.xlsx&amp;sheet=U0&amp;row=935&amp;col=6&amp;number=4.1&amp;sourceID=14","4.1")</f>
        <v>4.1</v>
      </c>
      <c r="G935" s="4" t="str">
        <f>HYPERLINK("http://141.218.60.56/~jnz1568/getInfo.php?workbook=14_11.xlsx&amp;sheet=U0&amp;row=935&amp;col=7&amp;number=0.189&amp;sourceID=14","0.189")</f>
        <v>0.189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HYPERLINK("http://141.218.60.56/~jnz1568/getInfo.php?workbook=14_11.xlsx&amp;sheet=U0&amp;row=936&amp;col=6&amp;number=4.2&amp;sourceID=14","4.2")</f>
        <v>4.2</v>
      </c>
      <c r="G936" s="4" t="str">
        <f>HYPERLINK("http://141.218.60.56/~jnz1568/getInfo.php?workbook=14_11.xlsx&amp;sheet=U0&amp;row=936&amp;col=7&amp;number=0.188&amp;sourceID=14","0.188")</f>
        <v>0.188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HYPERLINK("http://141.218.60.56/~jnz1568/getInfo.php?workbook=14_11.xlsx&amp;sheet=U0&amp;row=937&amp;col=6&amp;number=4.3&amp;sourceID=14","4.3")</f>
        <v>4.3</v>
      </c>
      <c r="G937" s="4" t="str">
        <f>HYPERLINK("http://141.218.60.56/~jnz1568/getInfo.php?workbook=14_11.xlsx&amp;sheet=U0&amp;row=937&amp;col=7&amp;number=0.186&amp;sourceID=14","0.186")</f>
        <v>0.186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HYPERLINK("http://141.218.60.56/~jnz1568/getInfo.php?workbook=14_11.xlsx&amp;sheet=U0&amp;row=938&amp;col=6&amp;number=4.4&amp;sourceID=14","4.4")</f>
        <v>4.4</v>
      </c>
      <c r="G938" s="4" t="str">
        <f>HYPERLINK("http://141.218.60.56/~jnz1568/getInfo.php?workbook=14_11.xlsx&amp;sheet=U0&amp;row=938&amp;col=7&amp;number=0.184&amp;sourceID=14","0.184")</f>
        <v>0.184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HYPERLINK("http://141.218.60.56/~jnz1568/getInfo.php?workbook=14_11.xlsx&amp;sheet=U0&amp;row=939&amp;col=6&amp;number=4.5&amp;sourceID=14","4.5")</f>
        <v>4.5</v>
      </c>
      <c r="G939" s="4" t="str">
        <f>HYPERLINK("http://141.218.60.56/~jnz1568/getInfo.php?workbook=14_11.xlsx&amp;sheet=U0&amp;row=939&amp;col=7&amp;number=0.182&amp;sourceID=14","0.182")</f>
        <v>0.182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HYPERLINK("http://141.218.60.56/~jnz1568/getInfo.php?workbook=14_11.xlsx&amp;sheet=U0&amp;row=940&amp;col=6&amp;number=4.6&amp;sourceID=14","4.6")</f>
        <v>4.6</v>
      </c>
      <c r="G940" s="4" t="str">
        <f>HYPERLINK("http://141.218.60.56/~jnz1568/getInfo.php?workbook=14_11.xlsx&amp;sheet=U0&amp;row=940&amp;col=7&amp;number=0.179&amp;sourceID=14","0.179")</f>
        <v>0.179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HYPERLINK("http://141.218.60.56/~jnz1568/getInfo.php?workbook=14_11.xlsx&amp;sheet=U0&amp;row=941&amp;col=6&amp;number=4.7&amp;sourceID=14","4.7")</f>
        <v>4.7</v>
      </c>
      <c r="G941" s="4" t="str">
        <f>HYPERLINK("http://141.218.60.56/~jnz1568/getInfo.php?workbook=14_11.xlsx&amp;sheet=U0&amp;row=941&amp;col=7&amp;number=0.176&amp;sourceID=14","0.176")</f>
        <v>0.176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HYPERLINK("http://141.218.60.56/~jnz1568/getInfo.php?workbook=14_11.xlsx&amp;sheet=U0&amp;row=942&amp;col=6&amp;number=4.8&amp;sourceID=14","4.8")</f>
        <v>4.8</v>
      </c>
      <c r="G942" s="4" t="str">
        <f>HYPERLINK("http://141.218.60.56/~jnz1568/getInfo.php?workbook=14_11.xlsx&amp;sheet=U0&amp;row=942&amp;col=7&amp;number=0.172&amp;sourceID=14","0.172")</f>
        <v>0.172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HYPERLINK("http://141.218.60.56/~jnz1568/getInfo.php?workbook=14_11.xlsx&amp;sheet=U0&amp;row=943&amp;col=6&amp;number=4.9&amp;sourceID=14","4.9")</f>
        <v>4.9</v>
      </c>
      <c r="G943" s="4" t="str">
        <f>HYPERLINK("http://141.218.60.56/~jnz1568/getInfo.php?workbook=14_11.xlsx&amp;sheet=U0&amp;row=943&amp;col=7&amp;number=0.168&amp;sourceID=14","0.168")</f>
        <v>0.168</v>
      </c>
    </row>
    <row r="944" spans="1:7">
      <c r="A944" s="3">
        <v>14</v>
      </c>
      <c r="B944" s="3">
        <v>11</v>
      </c>
      <c r="C944" s="3">
        <v>3</v>
      </c>
      <c r="D944" s="3">
        <v>18</v>
      </c>
      <c r="E944" s="3">
        <v>1</v>
      </c>
      <c r="F944" s="4" t="str">
        <f>HYPERLINK("http://141.218.60.56/~jnz1568/getInfo.php?workbook=14_11.xlsx&amp;sheet=U0&amp;row=944&amp;col=6&amp;number=3&amp;sourceID=14","3")</f>
        <v>3</v>
      </c>
      <c r="G944" s="4" t="str">
        <f>HYPERLINK("http://141.218.60.56/~jnz1568/getInfo.php?workbook=14_11.xlsx&amp;sheet=U0&amp;row=944&amp;col=7&amp;number=0.179&amp;sourceID=14","0.179")</f>
        <v>0.179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HYPERLINK("http://141.218.60.56/~jnz1568/getInfo.php?workbook=14_11.xlsx&amp;sheet=U0&amp;row=945&amp;col=6&amp;number=3.1&amp;sourceID=14","3.1")</f>
        <v>3.1</v>
      </c>
      <c r="G945" s="4" t="str">
        <f>HYPERLINK("http://141.218.60.56/~jnz1568/getInfo.php?workbook=14_11.xlsx&amp;sheet=U0&amp;row=945&amp;col=7&amp;number=0.178&amp;sourceID=14","0.178")</f>
        <v>0.178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HYPERLINK("http://141.218.60.56/~jnz1568/getInfo.php?workbook=14_11.xlsx&amp;sheet=U0&amp;row=946&amp;col=6&amp;number=3.2&amp;sourceID=14","3.2")</f>
        <v>3.2</v>
      </c>
      <c r="G946" s="4" t="str">
        <f>HYPERLINK("http://141.218.60.56/~jnz1568/getInfo.php?workbook=14_11.xlsx&amp;sheet=U0&amp;row=946&amp;col=7&amp;number=0.178&amp;sourceID=14","0.178")</f>
        <v>0.178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HYPERLINK("http://141.218.60.56/~jnz1568/getInfo.php?workbook=14_11.xlsx&amp;sheet=U0&amp;row=947&amp;col=6&amp;number=3.3&amp;sourceID=14","3.3")</f>
        <v>3.3</v>
      </c>
      <c r="G947" s="4" t="str">
        <f>HYPERLINK("http://141.218.60.56/~jnz1568/getInfo.php?workbook=14_11.xlsx&amp;sheet=U0&amp;row=947&amp;col=7&amp;number=0.178&amp;sourceID=14","0.178")</f>
        <v>0.178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HYPERLINK("http://141.218.60.56/~jnz1568/getInfo.php?workbook=14_11.xlsx&amp;sheet=U0&amp;row=948&amp;col=6&amp;number=3.4&amp;sourceID=14","3.4")</f>
        <v>3.4</v>
      </c>
      <c r="G948" s="4" t="str">
        <f>HYPERLINK("http://141.218.60.56/~jnz1568/getInfo.php?workbook=14_11.xlsx&amp;sheet=U0&amp;row=948&amp;col=7&amp;number=0.178&amp;sourceID=14","0.178")</f>
        <v>0.178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HYPERLINK("http://141.218.60.56/~jnz1568/getInfo.php?workbook=14_11.xlsx&amp;sheet=U0&amp;row=949&amp;col=6&amp;number=3.5&amp;sourceID=14","3.5")</f>
        <v>3.5</v>
      </c>
      <c r="G949" s="4" t="str">
        <f>HYPERLINK("http://141.218.60.56/~jnz1568/getInfo.php?workbook=14_11.xlsx&amp;sheet=U0&amp;row=949&amp;col=7&amp;number=0.178&amp;sourceID=14","0.178")</f>
        <v>0.178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HYPERLINK("http://141.218.60.56/~jnz1568/getInfo.php?workbook=14_11.xlsx&amp;sheet=U0&amp;row=950&amp;col=6&amp;number=3.6&amp;sourceID=14","3.6")</f>
        <v>3.6</v>
      </c>
      <c r="G950" s="4" t="str">
        <f>HYPERLINK("http://141.218.60.56/~jnz1568/getInfo.php?workbook=14_11.xlsx&amp;sheet=U0&amp;row=950&amp;col=7&amp;number=0.177&amp;sourceID=14","0.177")</f>
        <v>0.177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HYPERLINK("http://141.218.60.56/~jnz1568/getInfo.php?workbook=14_11.xlsx&amp;sheet=U0&amp;row=951&amp;col=6&amp;number=3.7&amp;sourceID=14","3.7")</f>
        <v>3.7</v>
      </c>
      <c r="G951" s="4" t="str">
        <f>HYPERLINK("http://141.218.60.56/~jnz1568/getInfo.php?workbook=14_11.xlsx&amp;sheet=U0&amp;row=951&amp;col=7&amp;number=0.177&amp;sourceID=14","0.177")</f>
        <v>0.177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HYPERLINK("http://141.218.60.56/~jnz1568/getInfo.php?workbook=14_11.xlsx&amp;sheet=U0&amp;row=952&amp;col=6&amp;number=3.8&amp;sourceID=14","3.8")</f>
        <v>3.8</v>
      </c>
      <c r="G952" s="4" t="str">
        <f>HYPERLINK("http://141.218.60.56/~jnz1568/getInfo.php?workbook=14_11.xlsx&amp;sheet=U0&amp;row=952&amp;col=7&amp;number=0.177&amp;sourceID=14","0.177")</f>
        <v>0.177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HYPERLINK("http://141.218.60.56/~jnz1568/getInfo.php?workbook=14_11.xlsx&amp;sheet=U0&amp;row=953&amp;col=6&amp;number=3.9&amp;sourceID=14","3.9")</f>
        <v>3.9</v>
      </c>
      <c r="G953" s="4" t="str">
        <f>HYPERLINK("http://141.218.60.56/~jnz1568/getInfo.php?workbook=14_11.xlsx&amp;sheet=U0&amp;row=953&amp;col=7&amp;number=0.176&amp;sourceID=14","0.176")</f>
        <v>0.176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HYPERLINK("http://141.218.60.56/~jnz1568/getInfo.php?workbook=14_11.xlsx&amp;sheet=U0&amp;row=954&amp;col=6&amp;number=4&amp;sourceID=14","4")</f>
        <v>4</v>
      </c>
      <c r="G954" s="4" t="str">
        <f>HYPERLINK("http://141.218.60.56/~jnz1568/getInfo.php?workbook=14_11.xlsx&amp;sheet=U0&amp;row=954&amp;col=7&amp;number=0.175&amp;sourceID=14","0.175")</f>
        <v>0.175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HYPERLINK("http://141.218.60.56/~jnz1568/getInfo.php?workbook=14_11.xlsx&amp;sheet=U0&amp;row=955&amp;col=6&amp;number=4.1&amp;sourceID=14","4.1")</f>
        <v>4.1</v>
      </c>
      <c r="G955" s="4" t="str">
        <f>HYPERLINK("http://141.218.60.56/~jnz1568/getInfo.php?workbook=14_11.xlsx&amp;sheet=U0&amp;row=955&amp;col=7&amp;number=0.174&amp;sourceID=14","0.174")</f>
        <v>0.174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HYPERLINK("http://141.218.60.56/~jnz1568/getInfo.php?workbook=14_11.xlsx&amp;sheet=U0&amp;row=956&amp;col=6&amp;number=4.2&amp;sourceID=14","4.2")</f>
        <v>4.2</v>
      </c>
      <c r="G956" s="4" t="str">
        <f>HYPERLINK("http://141.218.60.56/~jnz1568/getInfo.php?workbook=14_11.xlsx&amp;sheet=U0&amp;row=956&amp;col=7&amp;number=0.173&amp;sourceID=14","0.173")</f>
        <v>0.173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HYPERLINK("http://141.218.60.56/~jnz1568/getInfo.php?workbook=14_11.xlsx&amp;sheet=U0&amp;row=957&amp;col=6&amp;number=4.3&amp;sourceID=14","4.3")</f>
        <v>4.3</v>
      </c>
      <c r="G957" s="4" t="str">
        <f>HYPERLINK("http://141.218.60.56/~jnz1568/getInfo.php?workbook=14_11.xlsx&amp;sheet=U0&amp;row=957&amp;col=7&amp;number=0.172&amp;sourceID=14","0.172")</f>
        <v>0.172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HYPERLINK("http://141.218.60.56/~jnz1568/getInfo.php?workbook=14_11.xlsx&amp;sheet=U0&amp;row=958&amp;col=6&amp;number=4.4&amp;sourceID=14","4.4")</f>
        <v>4.4</v>
      </c>
      <c r="G958" s="4" t="str">
        <f>HYPERLINK("http://141.218.60.56/~jnz1568/getInfo.php?workbook=14_11.xlsx&amp;sheet=U0&amp;row=958&amp;col=7&amp;number=0.17&amp;sourceID=14","0.17")</f>
        <v>0.17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HYPERLINK("http://141.218.60.56/~jnz1568/getInfo.php?workbook=14_11.xlsx&amp;sheet=U0&amp;row=959&amp;col=6&amp;number=4.5&amp;sourceID=14","4.5")</f>
        <v>4.5</v>
      </c>
      <c r="G959" s="4" t="str">
        <f>HYPERLINK("http://141.218.60.56/~jnz1568/getInfo.php?workbook=14_11.xlsx&amp;sheet=U0&amp;row=959&amp;col=7&amp;number=0.168&amp;sourceID=14","0.168")</f>
        <v>0.168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HYPERLINK("http://141.218.60.56/~jnz1568/getInfo.php?workbook=14_11.xlsx&amp;sheet=U0&amp;row=960&amp;col=6&amp;number=4.6&amp;sourceID=14","4.6")</f>
        <v>4.6</v>
      </c>
      <c r="G960" s="4" t="str">
        <f>HYPERLINK("http://141.218.60.56/~jnz1568/getInfo.php?workbook=14_11.xlsx&amp;sheet=U0&amp;row=960&amp;col=7&amp;number=0.166&amp;sourceID=14","0.166")</f>
        <v>0.166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HYPERLINK("http://141.218.60.56/~jnz1568/getInfo.php?workbook=14_11.xlsx&amp;sheet=U0&amp;row=961&amp;col=6&amp;number=4.7&amp;sourceID=14","4.7")</f>
        <v>4.7</v>
      </c>
      <c r="G961" s="4" t="str">
        <f>HYPERLINK("http://141.218.60.56/~jnz1568/getInfo.php?workbook=14_11.xlsx&amp;sheet=U0&amp;row=961&amp;col=7&amp;number=0.163&amp;sourceID=14","0.163")</f>
        <v>0.163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HYPERLINK("http://141.218.60.56/~jnz1568/getInfo.php?workbook=14_11.xlsx&amp;sheet=U0&amp;row=962&amp;col=6&amp;number=4.8&amp;sourceID=14","4.8")</f>
        <v>4.8</v>
      </c>
      <c r="G962" s="4" t="str">
        <f>HYPERLINK("http://141.218.60.56/~jnz1568/getInfo.php?workbook=14_11.xlsx&amp;sheet=U0&amp;row=962&amp;col=7&amp;number=0.161&amp;sourceID=14","0.161")</f>
        <v>0.161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HYPERLINK("http://141.218.60.56/~jnz1568/getInfo.php?workbook=14_11.xlsx&amp;sheet=U0&amp;row=963&amp;col=6&amp;number=4.9&amp;sourceID=14","4.9")</f>
        <v>4.9</v>
      </c>
      <c r="G963" s="4" t="str">
        <f>HYPERLINK("http://141.218.60.56/~jnz1568/getInfo.php?workbook=14_11.xlsx&amp;sheet=U0&amp;row=963&amp;col=7&amp;number=0.158&amp;sourceID=14","0.158")</f>
        <v>0.158</v>
      </c>
    </row>
    <row r="964" spans="1:7">
      <c r="A964" s="3">
        <v>14</v>
      </c>
      <c r="B964" s="3">
        <v>11</v>
      </c>
      <c r="C964" s="3">
        <v>3</v>
      </c>
      <c r="D964" s="3">
        <v>19</v>
      </c>
      <c r="E964" s="3">
        <v>1</v>
      </c>
      <c r="F964" s="4" t="str">
        <f>HYPERLINK("http://141.218.60.56/~jnz1568/getInfo.php?workbook=14_11.xlsx&amp;sheet=U0&amp;row=964&amp;col=6&amp;number=3&amp;sourceID=14","3")</f>
        <v>3</v>
      </c>
      <c r="G964" s="4" t="str">
        <f>HYPERLINK("http://141.218.60.56/~jnz1568/getInfo.php?workbook=14_11.xlsx&amp;sheet=U0&amp;row=964&amp;col=7&amp;number=0.408&amp;sourceID=14","0.408")</f>
        <v>0.408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HYPERLINK("http://141.218.60.56/~jnz1568/getInfo.php?workbook=14_11.xlsx&amp;sheet=U0&amp;row=965&amp;col=6&amp;number=3.1&amp;sourceID=14","3.1")</f>
        <v>3.1</v>
      </c>
      <c r="G965" s="4" t="str">
        <f>HYPERLINK("http://141.218.60.56/~jnz1568/getInfo.php?workbook=14_11.xlsx&amp;sheet=U0&amp;row=965&amp;col=7&amp;number=0.408&amp;sourceID=14","0.408")</f>
        <v>0.408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HYPERLINK("http://141.218.60.56/~jnz1568/getInfo.php?workbook=14_11.xlsx&amp;sheet=U0&amp;row=966&amp;col=6&amp;number=3.2&amp;sourceID=14","3.2")</f>
        <v>3.2</v>
      </c>
      <c r="G966" s="4" t="str">
        <f>HYPERLINK("http://141.218.60.56/~jnz1568/getInfo.php?workbook=14_11.xlsx&amp;sheet=U0&amp;row=966&amp;col=7&amp;number=0.408&amp;sourceID=14","0.408")</f>
        <v>0.408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HYPERLINK("http://141.218.60.56/~jnz1568/getInfo.php?workbook=14_11.xlsx&amp;sheet=U0&amp;row=967&amp;col=6&amp;number=3.3&amp;sourceID=14","3.3")</f>
        <v>3.3</v>
      </c>
      <c r="G967" s="4" t="str">
        <f>HYPERLINK("http://141.218.60.56/~jnz1568/getInfo.php?workbook=14_11.xlsx&amp;sheet=U0&amp;row=967&amp;col=7&amp;number=0.408&amp;sourceID=14","0.408")</f>
        <v>0.408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HYPERLINK("http://141.218.60.56/~jnz1568/getInfo.php?workbook=14_11.xlsx&amp;sheet=U0&amp;row=968&amp;col=6&amp;number=3.4&amp;sourceID=14","3.4")</f>
        <v>3.4</v>
      </c>
      <c r="G968" s="4" t="str">
        <f>HYPERLINK("http://141.218.60.56/~jnz1568/getInfo.php?workbook=14_11.xlsx&amp;sheet=U0&amp;row=968&amp;col=7&amp;number=0.408&amp;sourceID=14","0.408")</f>
        <v>0.408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HYPERLINK("http://141.218.60.56/~jnz1568/getInfo.php?workbook=14_11.xlsx&amp;sheet=U0&amp;row=969&amp;col=6&amp;number=3.5&amp;sourceID=14","3.5")</f>
        <v>3.5</v>
      </c>
      <c r="G969" s="4" t="str">
        <f>HYPERLINK("http://141.218.60.56/~jnz1568/getInfo.php?workbook=14_11.xlsx&amp;sheet=U0&amp;row=969&amp;col=7&amp;number=0.408&amp;sourceID=14","0.408")</f>
        <v>0.408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HYPERLINK("http://141.218.60.56/~jnz1568/getInfo.php?workbook=14_11.xlsx&amp;sheet=U0&amp;row=970&amp;col=6&amp;number=3.6&amp;sourceID=14","3.6")</f>
        <v>3.6</v>
      </c>
      <c r="G970" s="4" t="str">
        <f>HYPERLINK("http://141.218.60.56/~jnz1568/getInfo.php?workbook=14_11.xlsx&amp;sheet=U0&amp;row=970&amp;col=7&amp;number=0.408&amp;sourceID=14","0.408")</f>
        <v>0.408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HYPERLINK("http://141.218.60.56/~jnz1568/getInfo.php?workbook=14_11.xlsx&amp;sheet=U0&amp;row=971&amp;col=6&amp;number=3.7&amp;sourceID=14","3.7")</f>
        <v>3.7</v>
      </c>
      <c r="G971" s="4" t="str">
        <f>HYPERLINK("http://141.218.60.56/~jnz1568/getInfo.php?workbook=14_11.xlsx&amp;sheet=U0&amp;row=971&amp;col=7&amp;number=0.409&amp;sourceID=14","0.409")</f>
        <v>0.409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HYPERLINK("http://141.218.60.56/~jnz1568/getInfo.php?workbook=14_11.xlsx&amp;sheet=U0&amp;row=972&amp;col=6&amp;number=3.8&amp;sourceID=14","3.8")</f>
        <v>3.8</v>
      </c>
      <c r="G972" s="4" t="str">
        <f>HYPERLINK("http://141.218.60.56/~jnz1568/getInfo.php?workbook=14_11.xlsx&amp;sheet=U0&amp;row=972&amp;col=7&amp;number=0.409&amp;sourceID=14","0.409")</f>
        <v>0.409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HYPERLINK("http://141.218.60.56/~jnz1568/getInfo.php?workbook=14_11.xlsx&amp;sheet=U0&amp;row=973&amp;col=6&amp;number=3.9&amp;sourceID=14","3.9")</f>
        <v>3.9</v>
      </c>
      <c r="G973" s="4" t="str">
        <f>HYPERLINK("http://141.218.60.56/~jnz1568/getInfo.php?workbook=14_11.xlsx&amp;sheet=U0&amp;row=973&amp;col=7&amp;number=0.409&amp;sourceID=14","0.409")</f>
        <v>0.409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HYPERLINK("http://141.218.60.56/~jnz1568/getInfo.php?workbook=14_11.xlsx&amp;sheet=U0&amp;row=974&amp;col=6&amp;number=4&amp;sourceID=14","4")</f>
        <v>4</v>
      </c>
      <c r="G974" s="4" t="str">
        <f>HYPERLINK("http://141.218.60.56/~jnz1568/getInfo.php?workbook=14_11.xlsx&amp;sheet=U0&amp;row=974&amp;col=7&amp;number=0.41&amp;sourceID=14","0.41")</f>
        <v>0.41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HYPERLINK("http://141.218.60.56/~jnz1568/getInfo.php?workbook=14_11.xlsx&amp;sheet=U0&amp;row=975&amp;col=6&amp;number=4.1&amp;sourceID=14","4.1")</f>
        <v>4.1</v>
      </c>
      <c r="G975" s="4" t="str">
        <f>HYPERLINK("http://141.218.60.56/~jnz1568/getInfo.php?workbook=14_11.xlsx&amp;sheet=U0&amp;row=975&amp;col=7&amp;number=0.41&amp;sourceID=14","0.41")</f>
        <v>0.41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HYPERLINK("http://141.218.60.56/~jnz1568/getInfo.php?workbook=14_11.xlsx&amp;sheet=U0&amp;row=976&amp;col=6&amp;number=4.2&amp;sourceID=14","4.2")</f>
        <v>4.2</v>
      </c>
      <c r="G976" s="4" t="str">
        <f>HYPERLINK("http://141.218.60.56/~jnz1568/getInfo.php?workbook=14_11.xlsx&amp;sheet=U0&amp;row=976&amp;col=7&amp;number=0.411&amp;sourceID=14","0.411")</f>
        <v>0.411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HYPERLINK("http://141.218.60.56/~jnz1568/getInfo.php?workbook=14_11.xlsx&amp;sheet=U0&amp;row=977&amp;col=6&amp;number=4.3&amp;sourceID=14","4.3")</f>
        <v>4.3</v>
      </c>
      <c r="G977" s="4" t="str">
        <f>HYPERLINK("http://141.218.60.56/~jnz1568/getInfo.php?workbook=14_11.xlsx&amp;sheet=U0&amp;row=977&amp;col=7&amp;number=0.411&amp;sourceID=14","0.411")</f>
        <v>0.411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HYPERLINK("http://141.218.60.56/~jnz1568/getInfo.php?workbook=14_11.xlsx&amp;sheet=U0&amp;row=978&amp;col=6&amp;number=4.4&amp;sourceID=14","4.4")</f>
        <v>4.4</v>
      </c>
      <c r="G978" s="4" t="str">
        <f>HYPERLINK("http://141.218.60.56/~jnz1568/getInfo.php?workbook=14_11.xlsx&amp;sheet=U0&amp;row=978&amp;col=7&amp;number=0.412&amp;sourceID=14","0.412")</f>
        <v>0.412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HYPERLINK("http://141.218.60.56/~jnz1568/getInfo.php?workbook=14_11.xlsx&amp;sheet=U0&amp;row=979&amp;col=6&amp;number=4.5&amp;sourceID=14","4.5")</f>
        <v>4.5</v>
      </c>
      <c r="G979" s="4" t="str">
        <f>HYPERLINK("http://141.218.60.56/~jnz1568/getInfo.php?workbook=14_11.xlsx&amp;sheet=U0&amp;row=979&amp;col=7&amp;number=0.414&amp;sourceID=14","0.414")</f>
        <v>0.414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HYPERLINK("http://141.218.60.56/~jnz1568/getInfo.php?workbook=14_11.xlsx&amp;sheet=U0&amp;row=980&amp;col=6&amp;number=4.6&amp;sourceID=14","4.6")</f>
        <v>4.6</v>
      </c>
      <c r="G980" s="4" t="str">
        <f>HYPERLINK("http://141.218.60.56/~jnz1568/getInfo.php?workbook=14_11.xlsx&amp;sheet=U0&amp;row=980&amp;col=7&amp;number=0.415&amp;sourceID=14","0.415")</f>
        <v>0.415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HYPERLINK("http://141.218.60.56/~jnz1568/getInfo.php?workbook=14_11.xlsx&amp;sheet=U0&amp;row=981&amp;col=6&amp;number=4.7&amp;sourceID=14","4.7")</f>
        <v>4.7</v>
      </c>
      <c r="G981" s="4" t="str">
        <f>HYPERLINK("http://141.218.60.56/~jnz1568/getInfo.php?workbook=14_11.xlsx&amp;sheet=U0&amp;row=981&amp;col=7&amp;number=0.418&amp;sourceID=14","0.418")</f>
        <v>0.418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HYPERLINK("http://141.218.60.56/~jnz1568/getInfo.php?workbook=14_11.xlsx&amp;sheet=U0&amp;row=982&amp;col=6&amp;number=4.8&amp;sourceID=14","4.8")</f>
        <v>4.8</v>
      </c>
      <c r="G982" s="4" t="str">
        <f>HYPERLINK("http://141.218.60.56/~jnz1568/getInfo.php?workbook=14_11.xlsx&amp;sheet=U0&amp;row=982&amp;col=7&amp;number=0.421&amp;sourceID=14","0.421")</f>
        <v>0.421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HYPERLINK("http://141.218.60.56/~jnz1568/getInfo.php?workbook=14_11.xlsx&amp;sheet=U0&amp;row=983&amp;col=6&amp;number=4.9&amp;sourceID=14","4.9")</f>
        <v>4.9</v>
      </c>
      <c r="G983" s="4" t="str">
        <f>HYPERLINK("http://141.218.60.56/~jnz1568/getInfo.php?workbook=14_11.xlsx&amp;sheet=U0&amp;row=983&amp;col=7&amp;number=0.425&amp;sourceID=14","0.425")</f>
        <v>0.425</v>
      </c>
    </row>
    <row r="984" spans="1:7">
      <c r="A984" s="3">
        <v>14</v>
      </c>
      <c r="B984" s="3">
        <v>11</v>
      </c>
      <c r="C984" s="3">
        <v>3</v>
      </c>
      <c r="D984" s="3">
        <v>20</v>
      </c>
      <c r="E984" s="3">
        <v>1</v>
      </c>
      <c r="F984" s="4" t="str">
        <f>HYPERLINK("http://141.218.60.56/~jnz1568/getInfo.php?workbook=14_11.xlsx&amp;sheet=U0&amp;row=984&amp;col=6&amp;number=3&amp;sourceID=14","3")</f>
        <v>3</v>
      </c>
      <c r="G984" s="4" t="str">
        <f>HYPERLINK("http://141.218.60.56/~jnz1568/getInfo.php?workbook=14_11.xlsx&amp;sheet=U0&amp;row=984&amp;col=7&amp;number=0.0717&amp;sourceID=14","0.0717")</f>
        <v>0.0717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HYPERLINK("http://141.218.60.56/~jnz1568/getInfo.php?workbook=14_11.xlsx&amp;sheet=U0&amp;row=985&amp;col=6&amp;number=3.1&amp;sourceID=14","3.1")</f>
        <v>3.1</v>
      </c>
      <c r="G985" s="4" t="str">
        <f>HYPERLINK("http://141.218.60.56/~jnz1568/getInfo.php?workbook=14_11.xlsx&amp;sheet=U0&amp;row=985&amp;col=7&amp;number=0.0716&amp;sourceID=14","0.0716")</f>
        <v>0.0716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HYPERLINK("http://141.218.60.56/~jnz1568/getInfo.php?workbook=14_11.xlsx&amp;sheet=U0&amp;row=986&amp;col=6&amp;number=3.2&amp;sourceID=14","3.2")</f>
        <v>3.2</v>
      </c>
      <c r="G986" s="4" t="str">
        <f>HYPERLINK("http://141.218.60.56/~jnz1568/getInfo.php?workbook=14_11.xlsx&amp;sheet=U0&amp;row=986&amp;col=7&amp;number=0.0715&amp;sourceID=14","0.0715")</f>
        <v>0.0715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HYPERLINK("http://141.218.60.56/~jnz1568/getInfo.php?workbook=14_11.xlsx&amp;sheet=U0&amp;row=987&amp;col=6&amp;number=3.3&amp;sourceID=14","3.3")</f>
        <v>3.3</v>
      </c>
      <c r="G987" s="4" t="str">
        <f>HYPERLINK("http://141.218.60.56/~jnz1568/getInfo.php?workbook=14_11.xlsx&amp;sheet=U0&amp;row=987&amp;col=7&amp;number=0.0714&amp;sourceID=14","0.0714")</f>
        <v>0.0714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HYPERLINK("http://141.218.60.56/~jnz1568/getInfo.php?workbook=14_11.xlsx&amp;sheet=U0&amp;row=988&amp;col=6&amp;number=3.4&amp;sourceID=14","3.4")</f>
        <v>3.4</v>
      </c>
      <c r="G988" s="4" t="str">
        <f>HYPERLINK("http://141.218.60.56/~jnz1568/getInfo.php?workbook=14_11.xlsx&amp;sheet=U0&amp;row=988&amp;col=7&amp;number=0.0713&amp;sourceID=14","0.0713")</f>
        <v>0.0713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HYPERLINK("http://141.218.60.56/~jnz1568/getInfo.php?workbook=14_11.xlsx&amp;sheet=U0&amp;row=989&amp;col=6&amp;number=3.5&amp;sourceID=14","3.5")</f>
        <v>3.5</v>
      </c>
      <c r="G989" s="4" t="str">
        <f>HYPERLINK("http://141.218.60.56/~jnz1568/getInfo.php?workbook=14_11.xlsx&amp;sheet=U0&amp;row=989&amp;col=7&amp;number=0.0711&amp;sourceID=14","0.0711")</f>
        <v>0.0711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HYPERLINK("http://141.218.60.56/~jnz1568/getInfo.php?workbook=14_11.xlsx&amp;sheet=U0&amp;row=990&amp;col=6&amp;number=3.6&amp;sourceID=14","3.6")</f>
        <v>3.6</v>
      </c>
      <c r="G990" s="4" t="str">
        <f>HYPERLINK("http://141.218.60.56/~jnz1568/getInfo.php?workbook=14_11.xlsx&amp;sheet=U0&amp;row=990&amp;col=7&amp;number=0.0708&amp;sourceID=14","0.0708")</f>
        <v>0.0708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HYPERLINK("http://141.218.60.56/~jnz1568/getInfo.php?workbook=14_11.xlsx&amp;sheet=U0&amp;row=991&amp;col=6&amp;number=3.7&amp;sourceID=14","3.7")</f>
        <v>3.7</v>
      </c>
      <c r="G991" s="4" t="str">
        <f>HYPERLINK("http://141.218.60.56/~jnz1568/getInfo.php?workbook=14_11.xlsx&amp;sheet=U0&amp;row=991&amp;col=7&amp;number=0.0706&amp;sourceID=14","0.0706")</f>
        <v>0.0706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HYPERLINK("http://141.218.60.56/~jnz1568/getInfo.php?workbook=14_11.xlsx&amp;sheet=U0&amp;row=992&amp;col=6&amp;number=3.8&amp;sourceID=14","3.8")</f>
        <v>3.8</v>
      </c>
      <c r="G992" s="4" t="str">
        <f>HYPERLINK("http://141.218.60.56/~jnz1568/getInfo.php?workbook=14_11.xlsx&amp;sheet=U0&amp;row=992&amp;col=7&amp;number=0.0702&amp;sourceID=14","0.0702")</f>
        <v>0.0702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HYPERLINK("http://141.218.60.56/~jnz1568/getInfo.php?workbook=14_11.xlsx&amp;sheet=U0&amp;row=993&amp;col=6&amp;number=3.9&amp;sourceID=14","3.9")</f>
        <v>3.9</v>
      </c>
      <c r="G993" s="4" t="str">
        <f>HYPERLINK("http://141.218.60.56/~jnz1568/getInfo.php?workbook=14_11.xlsx&amp;sheet=U0&amp;row=993&amp;col=7&amp;number=0.0698&amp;sourceID=14","0.0698")</f>
        <v>0.0698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HYPERLINK("http://141.218.60.56/~jnz1568/getInfo.php?workbook=14_11.xlsx&amp;sheet=U0&amp;row=994&amp;col=6&amp;number=4&amp;sourceID=14","4")</f>
        <v>4</v>
      </c>
      <c r="G994" s="4" t="str">
        <f>HYPERLINK("http://141.218.60.56/~jnz1568/getInfo.php?workbook=14_11.xlsx&amp;sheet=U0&amp;row=994&amp;col=7&amp;number=0.0692&amp;sourceID=14","0.0692")</f>
        <v>0.0692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HYPERLINK("http://141.218.60.56/~jnz1568/getInfo.php?workbook=14_11.xlsx&amp;sheet=U0&amp;row=995&amp;col=6&amp;number=4.1&amp;sourceID=14","4.1")</f>
        <v>4.1</v>
      </c>
      <c r="G995" s="4" t="str">
        <f>HYPERLINK("http://141.218.60.56/~jnz1568/getInfo.php?workbook=14_11.xlsx&amp;sheet=U0&amp;row=995&amp;col=7&amp;number=0.0686&amp;sourceID=14","0.0686")</f>
        <v>0.0686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HYPERLINK("http://141.218.60.56/~jnz1568/getInfo.php?workbook=14_11.xlsx&amp;sheet=U0&amp;row=996&amp;col=6&amp;number=4.2&amp;sourceID=14","4.2")</f>
        <v>4.2</v>
      </c>
      <c r="G996" s="4" t="str">
        <f>HYPERLINK("http://141.218.60.56/~jnz1568/getInfo.php?workbook=14_11.xlsx&amp;sheet=U0&amp;row=996&amp;col=7&amp;number=0.0677&amp;sourceID=14","0.0677")</f>
        <v>0.0677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HYPERLINK("http://141.218.60.56/~jnz1568/getInfo.php?workbook=14_11.xlsx&amp;sheet=U0&amp;row=997&amp;col=6&amp;number=4.3&amp;sourceID=14","4.3")</f>
        <v>4.3</v>
      </c>
      <c r="G997" s="4" t="str">
        <f>HYPERLINK("http://141.218.60.56/~jnz1568/getInfo.php?workbook=14_11.xlsx&amp;sheet=U0&amp;row=997&amp;col=7&amp;number=0.0667&amp;sourceID=14","0.0667")</f>
        <v>0.0667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HYPERLINK("http://141.218.60.56/~jnz1568/getInfo.php?workbook=14_11.xlsx&amp;sheet=U0&amp;row=998&amp;col=6&amp;number=4.4&amp;sourceID=14","4.4")</f>
        <v>4.4</v>
      </c>
      <c r="G998" s="4" t="str">
        <f>HYPERLINK("http://141.218.60.56/~jnz1568/getInfo.php?workbook=14_11.xlsx&amp;sheet=U0&amp;row=998&amp;col=7&amp;number=0.0656&amp;sourceID=14","0.0656")</f>
        <v>0.0656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HYPERLINK("http://141.218.60.56/~jnz1568/getInfo.php?workbook=14_11.xlsx&amp;sheet=U0&amp;row=999&amp;col=6&amp;number=4.5&amp;sourceID=14","4.5")</f>
        <v>4.5</v>
      </c>
      <c r="G999" s="4" t="str">
        <f>HYPERLINK("http://141.218.60.56/~jnz1568/getInfo.php?workbook=14_11.xlsx&amp;sheet=U0&amp;row=999&amp;col=7&amp;number=0.0641&amp;sourceID=14","0.0641")</f>
        <v>0.0641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HYPERLINK("http://141.218.60.56/~jnz1568/getInfo.php?workbook=14_11.xlsx&amp;sheet=U0&amp;row=1000&amp;col=6&amp;number=4.6&amp;sourceID=14","4.6")</f>
        <v>4.6</v>
      </c>
      <c r="G1000" s="4" t="str">
        <f>HYPERLINK("http://141.218.60.56/~jnz1568/getInfo.php?workbook=14_11.xlsx&amp;sheet=U0&amp;row=1000&amp;col=7&amp;number=0.0625&amp;sourceID=14","0.0625")</f>
        <v>0.0625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HYPERLINK("http://141.218.60.56/~jnz1568/getInfo.php?workbook=14_11.xlsx&amp;sheet=U0&amp;row=1001&amp;col=6&amp;number=4.7&amp;sourceID=14","4.7")</f>
        <v>4.7</v>
      </c>
      <c r="G1001" s="4" t="str">
        <f>HYPERLINK("http://141.218.60.56/~jnz1568/getInfo.php?workbook=14_11.xlsx&amp;sheet=U0&amp;row=1001&amp;col=7&amp;number=0.0606&amp;sourceID=14","0.0606")</f>
        <v>0.0606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HYPERLINK("http://141.218.60.56/~jnz1568/getInfo.php?workbook=14_11.xlsx&amp;sheet=U0&amp;row=1002&amp;col=6&amp;number=4.8&amp;sourceID=14","4.8")</f>
        <v>4.8</v>
      </c>
      <c r="G1002" s="4" t="str">
        <f>HYPERLINK("http://141.218.60.56/~jnz1568/getInfo.php?workbook=14_11.xlsx&amp;sheet=U0&amp;row=1002&amp;col=7&amp;number=0.0586&amp;sourceID=14","0.0586")</f>
        <v>0.0586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HYPERLINK("http://141.218.60.56/~jnz1568/getInfo.php?workbook=14_11.xlsx&amp;sheet=U0&amp;row=1003&amp;col=6&amp;number=4.9&amp;sourceID=14","4.9")</f>
        <v>4.9</v>
      </c>
      <c r="G1003" s="4" t="str">
        <f>HYPERLINK("http://141.218.60.56/~jnz1568/getInfo.php?workbook=14_11.xlsx&amp;sheet=U0&amp;row=1003&amp;col=7&amp;number=0.0563&amp;sourceID=14","0.0563")</f>
        <v>0.0563</v>
      </c>
    </row>
    <row r="1004" spans="1:7">
      <c r="A1004" s="3">
        <v>14</v>
      </c>
      <c r="B1004" s="3">
        <v>11</v>
      </c>
      <c r="C1004" s="3">
        <v>3</v>
      </c>
      <c r="D1004" s="3">
        <v>21</v>
      </c>
      <c r="E1004" s="3">
        <v>1</v>
      </c>
      <c r="F1004" s="4" t="str">
        <f>HYPERLINK("http://141.218.60.56/~jnz1568/getInfo.php?workbook=14_11.xlsx&amp;sheet=U0&amp;row=1004&amp;col=6&amp;number=3&amp;sourceID=14","3")</f>
        <v>3</v>
      </c>
      <c r="G1004" s="4" t="str">
        <f>HYPERLINK("http://141.218.60.56/~jnz1568/getInfo.php?workbook=14_11.xlsx&amp;sheet=U0&amp;row=1004&amp;col=7&amp;number=0.113&amp;sourceID=14","0.113")</f>
        <v>0.113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HYPERLINK("http://141.218.60.56/~jnz1568/getInfo.php?workbook=14_11.xlsx&amp;sheet=U0&amp;row=1005&amp;col=6&amp;number=3.1&amp;sourceID=14","3.1")</f>
        <v>3.1</v>
      </c>
      <c r="G1005" s="4" t="str">
        <f>HYPERLINK("http://141.218.60.56/~jnz1568/getInfo.php?workbook=14_11.xlsx&amp;sheet=U0&amp;row=1005&amp;col=7&amp;number=0.113&amp;sourceID=14","0.113")</f>
        <v>0.113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HYPERLINK("http://141.218.60.56/~jnz1568/getInfo.php?workbook=14_11.xlsx&amp;sheet=U0&amp;row=1006&amp;col=6&amp;number=3.2&amp;sourceID=14","3.2")</f>
        <v>3.2</v>
      </c>
      <c r="G1006" s="4" t="str">
        <f>HYPERLINK("http://141.218.60.56/~jnz1568/getInfo.php?workbook=14_11.xlsx&amp;sheet=U0&amp;row=1006&amp;col=7&amp;number=0.113&amp;sourceID=14","0.113")</f>
        <v>0.113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HYPERLINK("http://141.218.60.56/~jnz1568/getInfo.php?workbook=14_11.xlsx&amp;sheet=U0&amp;row=1007&amp;col=6&amp;number=3.3&amp;sourceID=14","3.3")</f>
        <v>3.3</v>
      </c>
      <c r="G1007" s="4" t="str">
        <f>HYPERLINK("http://141.218.60.56/~jnz1568/getInfo.php?workbook=14_11.xlsx&amp;sheet=U0&amp;row=1007&amp;col=7&amp;number=0.113&amp;sourceID=14","0.113")</f>
        <v>0.113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HYPERLINK("http://141.218.60.56/~jnz1568/getInfo.php?workbook=14_11.xlsx&amp;sheet=U0&amp;row=1008&amp;col=6&amp;number=3.4&amp;sourceID=14","3.4")</f>
        <v>3.4</v>
      </c>
      <c r="G1008" s="4" t="str">
        <f>HYPERLINK("http://141.218.60.56/~jnz1568/getInfo.php?workbook=14_11.xlsx&amp;sheet=U0&amp;row=1008&amp;col=7&amp;number=0.113&amp;sourceID=14","0.113")</f>
        <v>0.113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HYPERLINK("http://141.218.60.56/~jnz1568/getInfo.php?workbook=14_11.xlsx&amp;sheet=U0&amp;row=1009&amp;col=6&amp;number=3.5&amp;sourceID=14","3.5")</f>
        <v>3.5</v>
      </c>
      <c r="G1009" s="4" t="str">
        <f>HYPERLINK("http://141.218.60.56/~jnz1568/getInfo.php?workbook=14_11.xlsx&amp;sheet=U0&amp;row=1009&amp;col=7&amp;number=0.113&amp;sourceID=14","0.113")</f>
        <v>0.113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HYPERLINK("http://141.218.60.56/~jnz1568/getInfo.php?workbook=14_11.xlsx&amp;sheet=U0&amp;row=1010&amp;col=6&amp;number=3.6&amp;sourceID=14","3.6")</f>
        <v>3.6</v>
      </c>
      <c r="G1010" s="4" t="str">
        <f>HYPERLINK("http://141.218.60.56/~jnz1568/getInfo.php?workbook=14_11.xlsx&amp;sheet=U0&amp;row=1010&amp;col=7&amp;number=0.113&amp;sourceID=14","0.113")</f>
        <v>0.113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HYPERLINK("http://141.218.60.56/~jnz1568/getInfo.php?workbook=14_11.xlsx&amp;sheet=U0&amp;row=1011&amp;col=6&amp;number=3.7&amp;sourceID=14","3.7")</f>
        <v>3.7</v>
      </c>
      <c r="G1011" s="4" t="str">
        <f>HYPERLINK("http://141.218.60.56/~jnz1568/getInfo.php?workbook=14_11.xlsx&amp;sheet=U0&amp;row=1011&amp;col=7&amp;number=0.113&amp;sourceID=14","0.113")</f>
        <v>0.113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HYPERLINK("http://141.218.60.56/~jnz1568/getInfo.php?workbook=14_11.xlsx&amp;sheet=U0&amp;row=1012&amp;col=6&amp;number=3.8&amp;sourceID=14","3.8")</f>
        <v>3.8</v>
      </c>
      <c r="G1012" s="4" t="str">
        <f>HYPERLINK("http://141.218.60.56/~jnz1568/getInfo.php?workbook=14_11.xlsx&amp;sheet=U0&amp;row=1012&amp;col=7&amp;number=0.112&amp;sourceID=14","0.112")</f>
        <v>0.112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HYPERLINK("http://141.218.60.56/~jnz1568/getInfo.php?workbook=14_11.xlsx&amp;sheet=U0&amp;row=1013&amp;col=6&amp;number=3.9&amp;sourceID=14","3.9")</f>
        <v>3.9</v>
      </c>
      <c r="G1013" s="4" t="str">
        <f>HYPERLINK("http://141.218.60.56/~jnz1568/getInfo.php?workbook=14_11.xlsx&amp;sheet=U0&amp;row=1013&amp;col=7&amp;number=0.112&amp;sourceID=14","0.112")</f>
        <v>0.112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HYPERLINK("http://141.218.60.56/~jnz1568/getInfo.php?workbook=14_11.xlsx&amp;sheet=U0&amp;row=1014&amp;col=6&amp;number=4&amp;sourceID=14","4")</f>
        <v>4</v>
      </c>
      <c r="G1014" s="4" t="str">
        <f>HYPERLINK("http://141.218.60.56/~jnz1568/getInfo.php?workbook=14_11.xlsx&amp;sheet=U0&amp;row=1014&amp;col=7&amp;number=0.112&amp;sourceID=14","0.112")</f>
        <v>0.112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HYPERLINK("http://141.218.60.56/~jnz1568/getInfo.php?workbook=14_11.xlsx&amp;sheet=U0&amp;row=1015&amp;col=6&amp;number=4.1&amp;sourceID=14","4.1")</f>
        <v>4.1</v>
      </c>
      <c r="G1015" s="4" t="str">
        <f>HYPERLINK("http://141.218.60.56/~jnz1568/getInfo.php?workbook=14_11.xlsx&amp;sheet=U0&amp;row=1015&amp;col=7&amp;number=0.111&amp;sourceID=14","0.111")</f>
        <v>0.111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HYPERLINK("http://141.218.60.56/~jnz1568/getInfo.php?workbook=14_11.xlsx&amp;sheet=U0&amp;row=1016&amp;col=6&amp;number=4.2&amp;sourceID=14","4.2")</f>
        <v>4.2</v>
      </c>
      <c r="G1016" s="4" t="str">
        <f>HYPERLINK("http://141.218.60.56/~jnz1568/getInfo.php?workbook=14_11.xlsx&amp;sheet=U0&amp;row=1016&amp;col=7&amp;number=0.111&amp;sourceID=14","0.111")</f>
        <v>0.111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HYPERLINK("http://141.218.60.56/~jnz1568/getInfo.php?workbook=14_11.xlsx&amp;sheet=U0&amp;row=1017&amp;col=6&amp;number=4.3&amp;sourceID=14","4.3")</f>
        <v>4.3</v>
      </c>
      <c r="G1017" s="4" t="str">
        <f>HYPERLINK("http://141.218.60.56/~jnz1568/getInfo.php?workbook=14_11.xlsx&amp;sheet=U0&amp;row=1017&amp;col=7&amp;number=0.11&amp;sourceID=14","0.11")</f>
        <v>0.11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HYPERLINK("http://141.218.60.56/~jnz1568/getInfo.php?workbook=14_11.xlsx&amp;sheet=U0&amp;row=1018&amp;col=6&amp;number=4.4&amp;sourceID=14","4.4")</f>
        <v>4.4</v>
      </c>
      <c r="G1018" s="4" t="str">
        <f>HYPERLINK("http://141.218.60.56/~jnz1568/getInfo.php?workbook=14_11.xlsx&amp;sheet=U0&amp;row=1018&amp;col=7&amp;number=0.109&amp;sourceID=14","0.109")</f>
        <v>0.109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HYPERLINK("http://141.218.60.56/~jnz1568/getInfo.php?workbook=14_11.xlsx&amp;sheet=U0&amp;row=1019&amp;col=6&amp;number=4.5&amp;sourceID=14","4.5")</f>
        <v>4.5</v>
      </c>
      <c r="G1019" s="4" t="str">
        <f>HYPERLINK("http://141.218.60.56/~jnz1568/getInfo.php?workbook=14_11.xlsx&amp;sheet=U0&amp;row=1019&amp;col=7&amp;number=0.108&amp;sourceID=14","0.108")</f>
        <v>0.108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HYPERLINK("http://141.218.60.56/~jnz1568/getInfo.php?workbook=14_11.xlsx&amp;sheet=U0&amp;row=1020&amp;col=6&amp;number=4.6&amp;sourceID=14","4.6")</f>
        <v>4.6</v>
      </c>
      <c r="G1020" s="4" t="str">
        <f>HYPERLINK("http://141.218.60.56/~jnz1568/getInfo.php?workbook=14_11.xlsx&amp;sheet=U0&amp;row=1020&amp;col=7&amp;number=0.107&amp;sourceID=14","0.107")</f>
        <v>0.107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HYPERLINK("http://141.218.60.56/~jnz1568/getInfo.php?workbook=14_11.xlsx&amp;sheet=U0&amp;row=1021&amp;col=6&amp;number=4.7&amp;sourceID=14","4.7")</f>
        <v>4.7</v>
      </c>
      <c r="G1021" s="4" t="str">
        <f>HYPERLINK("http://141.218.60.56/~jnz1568/getInfo.php?workbook=14_11.xlsx&amp;sheet=U0&amp;row=1021&amp;col=7&amp;number=0.106&amp;sourceID=14","0.106")</f>
        <v>0.106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HYPERLINK("http://141.218.60.56/~jnz1568/getInfo.php?workbook=14_11.xlsx&amp;sheet=U0&amp;row=1022&amp;col=6&amp;number=4.8&amp;sourceID=14","4.8")</f>
        <v>4.8</v>
      </c>
      <c r="G1022" s="4" t="str">
        <f>HYPERLINK("http://141.218.60.56/~jnz1568/getInfo.php?workbook=14_11.xlsx&amp;sheet=U0&amp;row=1022&amp;col=7&amp;number=0.105&amp;sourceID=14","0.105")</f>
        <v>0.105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HYPERLINK("http://141.218.60.56/~jnz1568/getInfo.php?workbook=14_11.xlsx&amp;sheet=U0&amp;row=1023&amp;col=6&amp;number=4.9&amp;sourceID=14","4.9")</f>
        <v>4.9</v>
      </c>
      <c r="G1023" s="4" t="str">
        <f>HYPERLINK("http://141.218.60.56/~jnz1568/getInfo.php?workbook=14_11.xlsx&amp;sheet=U0&amp;row=1023&amp;col=7&amp;number=0.103&amp;sourceID=14","0.103")</f>
        <v>0.103</v>
      </c>
    </row>
    <row r="1024" spans="1:7">
      <c r="A1024" s="3">
        <v>14</v>
      </c>
      <c r="B1024" s="3">
        <v>11</v>
      </c>
      <c r="C1024" s="3">
        <v>4</v>
      </c>
      <c r="D1024" s="3">
        <v>6</v>
      </c>
      <c r="E1024" s="3">
        <v>1</v>
      </c>
      <c r="F1024" s="4" t="str">
        <f>HYPERLINK("http://141.218.60.56/~jnz1568/getInfo.php?workbook=14_11.xlsx&amp;sheet=U0&amp;row=1024&amp;col=6&amp;number=3&amp;sourceID=14","3")</f>
        <v>3</v>
      </c>
      <c r="G1024" s="4" t="str">
        <f>HYPERLINK("http://141.218.60.56/~jnz1568/getInfo.php?workbook=14_11.xlsx&amp;sheet=U0&amp;row=1024&amp;col=7&amp;number=1.68&amp;sourceID=14","1.68")</f>
        <v>1.68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HYPERLINK("http://141.218.60.56/~jnz1568/getInfo.php?workbook=14_11.xlsx&amp;sheet=U0&amp;row=1025&amp;col=6&amp;number=3.1&amp;sourceID=14","3.1")</f>
        <v>3.1</v>
      </c>
      <c r="G1025" s="4" t="str">
        <f>HYPERLINK("http://141.218.60.56/~jnz1568/getInfo.php?workbook=14_11.xlsx&amp;sheet=U0&amp;row=1025&amp;col=7&amp;number=1.68&amp;sourceID=14","1.68")</f>
        <v>1.68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HYPERLINK("http://141.218.60.56/~jnz1568/getInfo.php?workbook=14_11.xlsx&amp;sheet=U0&amp;row=1026&amp;col=6&amp;number=3.2&amp;sourceID=14","3.2")</f>
        <v>3.2</v>
      </c>
      <c r="G1026" s="4" t="str">
        <f>HYPERLINK("http://141.218.60.56/~jnz1568/getInfo.php?workbook=14_11.xlsx&amp;sheet=U0&amp;row=1026&amp;col=7&amp;number=1.68&amp;sourceID=14","1.68")</f>
        <v>1.68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HYPERLINK("http://141.218.60.56/~jnz1568/getInfo.php?workbook=14_11.xlsx&amp;sheet=U0&amp;row=1027&amp;col=6&amp;number=3.3&amp;sourceID=14","3.3")</f>
        <v>3.3</v>
      </c>
      <c r="G1027" s="4" t="str">
        <f>HYPERLINK("http://141.218.60.56/~jnz1568/getInfo.php?workbook=14_11.xlsx&amp;sheet=U0&amp;row=1027&amp;col=7&amp;number=1.68&amp;sourceID=14","1.68")</f>
        <v>1.68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HYPERLINK("http://141.218.60.56/~jnz1568/getInfo.php?workbook=14_11.xlsx&amp;sheet=U0&amp;row=1028&amp;col=6&amp;number=3.4&amp;sourceID=14","3.4")</f>
        <v>3.4</v>
      </c>
      <c r="G1028" s="4" t="str">
        <f>HYPERLINK("http://141.218.60.56/~jnz1568/getInfo.php?workbook=14_11.xlsx&amp;sheet=U0&amp;row=1028&amp;col=7&amp;number=1.68&amp;sourceID=14","1.68")</f>
        <v>1.68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HYPERLINK("http://141.218.60.56/~jnz1568/getInfo.php?workbook=14_11.xlsx&amp;sheet=U0&amp;row=1029&amp;col=6&amp;number=3.5&amp;sourceID=14","3.5")</f>
        <v>3.5</v>
      </c>
      <c r="G1029" s="4" t="str">
        <f>HYPERLINK("http://141.218.60.56/~jnz1568/getInfo.php?workbook=14_11.xlsx&amp;sheet=U0&amp;row=1029&amp;col=7&amp;number=1.68&amp;sourceID=14","1.68")</f>
        <v>1.68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HYPERLINK("http://141.218.60.56/~jnz1568/getInfo.php?workbook=14_11.xlsx&amp;sheet=U0&amp;row=1030&amp;col=6&amp;number=3.6&amp;sourceID=14","3.6")</f>
        <v>3.6</v>
      </c>
      <c r="G1030" s="4" t="str">
        <f>HYPERLINK("http://141.218.60.56/~jnz1568/getInfo.php?workbook=14_11.xlsx&amp;sheet=U0&amp;row=1030&amp;col=7&amp;number=1.68&amp;sourceID=14","1.68")</f>
        <v>1.68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HYPERLINK("http://141.218.60.56/~jnz1568/getInfo.php?workbook=14_11.xlsx&amp;sheet=U0&amp;row=1031&amp;col=6&amp;number=3.7&amp;sourceID=14","3.7")</f>
        <v>3.7</v>
      </c>
      <c r="G1031" s="4" t="str">
        <f>HYPERLINK("http://141.218.60.56/~jnz1568/getInfo.php?workbook=14_11.xlsx&amp;sheet=U0&amp;row=1031&amp;col=7&amp;number=1.68&amp;sourceID=14","1.68")</f>
        <v>1.68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HYPERLINK("http://141.218.60.56/~jnz1568/getInfo.php?workbook=14_11.xlsx&amp;sheet=U0&amp;row=1032&amp;col=6&amp;number=3.8&amp;sourceID=14","3.8")</f>
        <v>3.8</v>
      </c>
      <c r="G1032" s="4" t="str">
        <f>HYPERLINK("http://141.218.60.56/~jnz1568/getInfo.php?workbook=14_11.xlsx&amp;sheet=U0&amp;row=1032&amp;col=7&amp;number=1.67&amp;sourceID=14","1.67")</f>
        <v>1.67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HYPERLINK("http://141.218.60.56/~jnz1568/getInfo.php?workbook=14_11.xlsx&amp;sheet=U0&amp;row=1033&amp;col=6&amp;number=3.9&amp;sourceID=14","3.9")</f>
        <v>3.9</v>
      </c>
      <c r="G1033" s="4" t="str">
        <f>HYPERLINK("http://141.218.60.56/~jnz1568/getInfo.php?workbook=14_11.xlsx&amp;sheet=U0&amp;row=1033&amp;col=7&amp;number=1.67&amp;sourceID=14","1.67")</f>
        <v>1.67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HYPERLINK("http://141.218.60.56/~jnz1568/getInfo.php?workbook=14_11.xlsx&amp;sheet=U0&amp;row=1034&amp;col=6&amp;number=4&amp;sourceID=14","4")</f>
        <v>4</v>
      </c>
      <c r="G1034" s="4" t="str">
        <f>HYPERLINK("http://141.218.60.56/~jnz1568/getInfo.php?workbook=14_11.xlsx&amp;sheet=U0&amp;row=1034&amp;col=7&amp;number=1.66&amp;sourceID=14","1.66")</f>
        <v>1.66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HYPERLINK("http://141.218.60.56/~jnz1568/getInfo.php?workbook=14_11.xlsx&amp;sheet=U0&amp;row=1035&amp;col=6&amp;number=4.1&amp;sourceID=14","4.1")</f>
        <v>4.1</v>
      </c>
      <c r="G1035" s="4" t="str">
        <f>HYPERLINK("http://141.218.60.56/~jnz1568/getInfo.php?workbook=14_11.xlsx&amp;sheet=U0&amp;row=1035&amp;col=7&amp;number=1.66&amp;sourceID=14","1.66")</f>
        <v>1.66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HYPERLINK("http://141.218.60.56/~jnz1568/getInfo.php?workbook=14_11.xlsx&amp;sheet=U0&amp;row=1036&amp;col=6&amp;number=4.2&amp;sourceID=14","4.2")</f>
        <v>4.2</v>
      </c>
      <c r="G1036" s="4" t="str">
        <f>HYPERLINK("http://141.218.60.56/~jnz1568/getInfo.php?workbook=14_11.xlsx&amp;sheet=U0&amp;row=1036&amp;col=7&amp;number=1.65&amp;sourceID=14","1.65")</f>
        <v>1.65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HYPERLINK("http://141.218.60.56/~jnz1568/getInfo.php?workbook=14_11.xlsx&amp;sheet=U0&amp;row=1037&amp;col=6&amp;number=4.3&amp;sourceID=14","4.3")</f>
        <v>4.3</v>
      </c>
      <c r="G1037" s="4" t="str">
        <f>HYPERLINK("http://141.218.60.56/~jnz1568/getInfo.php?workbook=14_11.xlsx&amp;sheet=U0&amp;row=1037&amp;col=7&amp;number=1.64&amp;sourceID=14","1.64")</f>
        <v>1.64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HYPERLINK("http://141.218.60.56/~jnz1568/getInfo.php?workbook=14_11.xlsx&amp;sheet=U0&amp;row=1038&amp;col=6&amp;number=4.4&amp;sourceID=14","4.4")</f>
        <v>4.4</v>
      </c>
      <c r="G1038" s="4" t="str">
        <f>HYPERLINK("http://141.218.60.56/~jnz1568/getInfo.php?workbook=14_11.xlsx&amp;sheet=U0&amp;row=1038&amp;col=7&amp;number=1.64&amp;sourceID=14","1.64")</f>
        <v>1.64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HYPERLINK("http://141.218.60.56/~jnz1568/getInfo.php?workbook=14_11.xlsx&amp;sheet=U0&amp;row=1039&amp;col=6&amp;number=4.5&amp;sourceID=14","4.5")</f>
        <v>4.5</v>
      </c>
      <c r="G1039" s="4" t="str">
        <f>HYPERLINK("http://141.218.60.56/~jnz1568/getInfo.php?workbook=14_11.xlsx&amp;sheet=U0&amp;row=1039&amp;col=7&amp;number=1.63&amp;sourceID=14","1.63")</f>
        <v>1.63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HYPERLINK("http://141.218.60.56/~jnz1568/getInfo.php?workbook=14_11.xlsx&amp;sheet=U0&amp;row=1040&amp;col=6&amp;number=4.6&amp;sourceID=14","4.6")</f>
        <v>4.6</v>
      </c>
      <c r="G1040" s="4" t="str">
        <f>HYPERLINK("http://141.218.60.56/~jnz1568/getInfo.php?workbook=14_11.xlsx&amp;sheet=U0&amp;row=1040&amp;col=7&amp;number=1.61&amp;sourceID=14","1.61")</f>
        <v>1.61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HYPERLINK("http://141.218.60.56/~jnz1568/getInfo.php?workbook=14_11.xlsx&amp;sheet=U0&amp;row=1041&amp;col=6&amp;number=4.7&amp;sourceID=14","4.7")</f>
        <v>4.7</v>
      </c>
      <c r="G1041" s="4" t="str">
        <f>HYPERLINK("http://141.218.60.56/~jnz1568/getInfo.php?workbook=14_11.xlsx&amp;sheet=U0&amp;row=1041&amp;col=7&amp;number=1.6&amp;sourceID=14","1.6")</f>
        <v>1.6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HYPERLINK("http://141.218.60.56/~jnz1568/getInfo.php?workbook=14_11.xlsx&amp;sheet=U0&amp;row=1042&amp;col=6&amp;number=4.8&amp;sourceID=14","4.8")</f>
        <v>4.8</v>
      </c>
      <c r="G1042" s="4" t="str">
        <f>HYPERLINK("http://141.218.60.56/~jnz1568/getInfo.php?workbook=14_11.xlsx&amp;sheet=U0&amp;row=1042&amp;col=7&amp;number=1.59&amp;sourceID=14","1.59")</f>
        <v>1.59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HYPERLINK("http://141.218.60.56/~jnz1568/getInfo.php?workbook=14_11.xlsx&amp;sheet=U0&amp;row=1043&amp;col=6&amp;number=4.9&amp;sourceID=14","4.9")</f>
        <v>4.9</v>
      </c>
      <c r="G1043" s="4" t="str">
        <f>HYPERLINK("http://141.218.60.56/~jnz1568/getInfo.php?workbook=14_11.xlsx&amp;sheet=U0&amp;row=1043&amp;col=7&amp;number=1.58&amp;sourceID=14","1.58")</f>
        <v>1.58</v>
      </c>
    </row>
    <row r="1044" spans="1:7">
      <c r="A1044" s="3">
        <v>14</v>
      </c>
      <c r="B1044" s="3">
        <v>11</v>
      </c>
      <c r="C1044" s="3">
        <v>4</v>
      </c>
      <c r="D1044" s="3">
        <v>7</v>
      </c>
      <c r="E1044" s="3">
        <v>1</v>
      </c>
      <c r="F1044" s="4" t="str">
        <f>HYPERLINK("http://141.218.60.56/~jnz1568/getInfo.php?workbook=14_11.xlsx&amp;sheet=U0&amp;row=1044&amp;col=6&amp;number=3&amp;sourceID=14","3")</f>
        <v>3</v>
      </c>
      <c r="G1044" s="4" t="str">
        <f>HYPERLINK("http://141.218.60.56/~jnz1568/getInfo.php?workbook=14_11.xlsx&amp;sheet=U0&amp;row=1044&amp;col=7&amp;number=3.63&amp;sourceID=14","3.63")</f>
        <v>3.63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HYPERLINK("http://141.218.60.56/~jnz1568/getInfo.php?workbook=14_11.xlsx&amp;sheet=U0&amp;row=1045&amp;col=6&amp;number=3.1&amp;sourceID=14","3.1")</f>
        <v>3.1</v>
      </c>
      <c r="G1045" s="4" t="str">
        <f>HYPERLINK("http://141.218.60.56/~jnz1568/getInfo.php?workbook=14_11.xlsx&amp;sheet=U0&amp;row=1045&amp;col=7&amp;number=3.63&amp;sourceID=14","3.63")</f>
        <v>3.63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HYPERLINK("http://141.218.60.56/~jnz1568/getInfo.php?workbook=14_11.xlsx&amp;sheet=U0&amp;row=1046&amp;col=6&amp;number=3.2&amp;sourceID=14","3.2")</f>
        <v>3.2</v>
      </c>
      <c r="G1046" s="4" t="str">
        <f>HYPERLINK("http://141.218.60.56/~jnz1568/getInfo.php?workbook=14_11.xlsx&amp;sheet=U0&amp;row=1046&amp;col=7&amp;number=3.64&amp;sourceID=14","3.64")</f>
        <v>3.64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HYPERLINK("http://141.218.60.56/~jnz1568/getInfo.php?workbook=14_11.xlsx&amp;sheet=U0&amp;row=1047&amp;col=6&amp;number=3.3&amp;sourceID=14","3.3")</f>
        <v>3.3</v>
      </c>
      <c r="G1047" s="4" t="str">
        <f>HYPERLINK("http://141.218.60.56/~jnz1568/getInfo.php?workbook=14_11.xlsx&amp;sheet=U0&amp;row=1047&amp;col=7&amp;number=3.64&amp;sourceID=14","3.64")</f>
        <v>3.64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HYPERLINK("http://141.218.60.56/~jnz1568/getInfo.php?workbook=14_11.xlsx&amp;sheet=U0&amp;row=1048&amp;col=6&amp;number=3.4&amp;sourceID=14","3.4")</f>
        <v>3.4</v>
      </c>
      <c r="G1048" s="4" t="str">
        <f>HYPERLINK("http://141.218.60.56/~jnz1568/getInfo.php?workbook=14_11.xlsx&amp;sheet=U0&amp;row=1048&amp;col=7&amp;number=3.64&amp;sourceID=14","3.64")</f>
        <v>3.64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HYPERLINK("http://141.218.60.56/~jnz1568/getInfo.php?workbook=14_11.xlsx&amp;sheet=U0&amp;row=1049&amp;col=6&amp;number=3.5&amp;sourceID=14","3.5")</f>
        <v>3.5</v>
      </c>
      <c r="G1049" s="4" t="str">
        <f>HYPERLINK("http://141.218.60.56/~jnz1568/getInfo.php?workbook=14_11.xlsx&amp;sheet=U0&amp;row=1049&amp;col=7&amp;number=3.65&amp;sourceID=14","3.65")</f>
        <v>3.65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HYPERLINK("http://141.218.60.56/~jnz1568/getInfo.php?workbook=14_11.xlsx&amp;sheet=U0&amp;row=1050&amp;col=6&amp;number=3.6&amp;sourceID=14","3.6")</f>
        <v>3.6</v>
      </c>
      <c r="G1050" s="4" t="str">
        <f>HYPERLINK("http://141.218.60.56/~jnz1568/getInfo.php?workbook=14_11.xlsx&amp;sheet=U0&amp;row=1050&amp;col=7&amp;number=3.65&amp;sourceID=14","3.65")</f>
        <v>3.65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HYPERLINK("http://141.218.60.56/~jnz1568/getInfo.php?workbook=14_11.xlsx&amp;sheet=U0&amp;row=1051&amp;col=6&amp;number=3.7&amp;sourceID=14","3.7")</f>
        <v>3.7</v>
      </c>
      <c r="G1051" s="4" t="str">
        <f>HYPERLINK("http://141.218.60.56/~jnz1568/getInfo.php?workbook=14_11.xlsx&amp;sheet=U0&amp;row=1051&amp;col=7&amp;number=3.66&amp;sourceID=14","3.66")</f>
        <v>3.66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HYPERLINK("http://141.218.60.56/~jnz1568/getInfo.php?workbook=14_11.xlsx&amp;sheet=U0&amp;row=1052&amp;col=6&amp;number=3.8&amp;sourceID=14","3.8")</f>
        <v>3.8</v>
      </c>
      <c r="G1052" s="4" t="str">
        <f>HYPERLINK("http://141.218.60.56/~jnz1568/getInfo.php?workbook=14_11.xlsx&amp;sheet=U0&amp;row=1052&amp;col=7&amp;number=3.67&amp;sourceID=14","3.67")</f>
        <v>3.67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HYPERLINK("http://141.218.60.56/~jnz1568/getInfo.php?workbook=14_11.xlsx&amp;sheet=U0&amp;row=1053&amp;col=6&amp;number=3.9&amp;sourceID=14","3.9")</f>
        <v>3.9</v>
      </c>
      <c r="G1053" s="4" t="str">
        <f>HYPERLINK("http://141.218.60.56/~jnz1568/getInfo.php?workbook=14_11.xlsx&amp;sheet=U0&amp;row=1053&amp;col=7&amp;number=3.69&amp;sourceID=14","3.69")</f>
        <v>3.69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HYPERLINK("http://141.218.60.56/~jnz1568/getInfo.php?workbook=14_11.xlsx&amp;sheet=U0&amp;row=1054&amp;col=6&amp;number=4&amp;sourceID=14","4")</f>
        <v>4</v>
      </c>
      <c r="G1054" s="4" t="str">
        <f>HYPERLINK("http://141.218.60.56/~jnz1568/getInfo.php?workbook=14_11.xlsx&amp;sheet=U0&amp;row=1054&amp;col=7&amp;number=3.7&amp;sourceID=14","3.7")</f>
        <v>3.7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HYPERLINK("http://141.218.60.56/~jnz1568/getInfo.php?workbook=14_11.xlsx&amp;sheet=U0&amp;row=1055&amp;col=6&amp;number=4.1&amp;sourceID=14","4.1")</f>
        <v>4.1</v>
      </c>
      <c r="G1055" s="4" t="str">
        <f>HYPERLINK("http://141.218.60.56/~jnz1568/getInfo.php?workbook=14_11.xlsx&amp;sheet=U0&amp;row=1055&amp;col=7&amp;number=3.72&amp;sourceID=14","3.72")</f>
        <v>3.72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HYPERLINK("http://141.218.60.56/~jnz1568/getInfo.php?workbook=14_11.xlsx&amp;sheet=U0&amp;row=1056&amp;col=6&amp;number=4.2&amp;sourceID=14","4.2")</f>
        <v>4.2</v>
      </c>
      <c r="G1056" s="4" t="str">
        <f>HYPERLINK("http://141.218.60.56/~jnz1568/getInfo.php?workbook=14_11.xlsx&amp;sheet=U0&amp;row=1056&amp;col=7&amp;number=3.75&amp;sourceID=14","3.75")</f>
        <v>3.75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HYPERLINK("http://141.218.60.56/~jnz1568/getInfo.php?workbook=14_11.xlsx&amp;sheet=U0&amp;row=1057&amp;col=6&amp;number=4.3&amp;sourceID=14","4.3")</f>
        <v>4.3</v>
      </c>
      <c r="G1057" s="4" t="str">
        <f>HYPERLINK("http://141.218.60.56/~jnz1568/getInfo.php?workbook=14_11.xlsx&amp;sheet=U0&amp;row=1057&amp;col=7&amp;number=3.79&amp;sourceID=14","3.79")</f>
        <v>3.79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HYPERLINK("http://141.218.60.56/~jnz1568/getInfo.php?workbook=14_11.xlsx&amp;sheet=U0&amp;row=1058&amp;col=6&amp;number=4.4&amp;sourceID=14","4.4")</f>
        <v>4.4</v>
      </c>
      <c r="G1058" s="4" t="str">
        <f>HYPERLINK("http://141.218.60.56/~jnz1568/getInfo.php?workbook=14_11.xlsx&amp;sheet=U0&amp;row=1058&amp;col=7&amp;number=3.83&amp;sourceID=14","3.83")</f>
        <v>3.83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HYPERLINK("http://141.218.60.56/~jnz1568/getInfo.php?workbook=14_11.xlsx&amp;sheet=U0&amp;row=1059&amp;col=6&amp;number=4.5&amp;sourceID=14","4.5")</f>
        <v>4.5</v>
      </c>
      <c r="G1059" s="4" t="str">
        <f>HYPERLINK("http://141.218.60.56/~jnz1568/getInfo.php?workbook=14_11.xlsx&amp;sheet=U0&amp;row=1059&amp;col=7&amp;number=3.89&amp;sourceID=14","3.89")</f>
        <v>3.89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HYPERLINK("http://141.218.60.56/~jnz1568/getInfo.php?workbook=14_11.xlsx&amp;sheet=U0&amp;row=1060&amp;col=6&amp;number=4.6&amp;sourceID=14","4.6")</f>
        <v>4.6</v>
      </c>
      <c r="G1060" s="4" t="str">
        <f>HYPERLINK("http://141.218.60.56/~jnz1568/getInfo.php?workbook=14_11.xlsx&amp;sheet=U0&amp;row=1060&amp;col=7&amp;number=3.97&amp;sourceID=14","3.97")</f>
        <v>3.97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HYPERLINK("http://141.218.60.56/~jnz1568/getInfo.php?workbook=14_11.xlsx&amp;sheet=U0&amp;row=1061&amp;col=6&amp;number=4.7&amp;sourceID=14","4.7")</f>
        <v>4.7</v>
      </c>
      <c r="G1061" s="4" t="str">
        <f>HYPERLINK("http://141.218.60.56/~jnz1568/getInfo.php?workbook=14_11.xlsx&amp;sheet=U0&amp;row=1061&amp;col=7&amp;number=4.07&amp;sourceID=14","4.07")</f>
        <v>4.07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HYPERLINK("http://141.218.60.56/~jnz1568/getInfo.php?workbook=14_11.xlsx&amp;sheet=U0&amp;row=1062&amp;col=6&amp;number=4.8&amp;sourceID=14","4.8")</f>
        <v>4.8</v>
      </c>
      <c r="G1062" s="4" t="str">
        <f>HYPERLINK("http://141.218.60.56/~jnz1568/getInfo.php?workbook=14_11.xlsx&amp;sheet=U0&amp;row=1062&amp;col=7&amp;number=4.19&amp;sourceID=14","4.19")</f>
        <v>4.19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HYPERLINK("http://141.218.60.56/~jnz1568/getInfo.php?workbook=14_11.xlsx&amp;sheet=U0&amp;row=1063&amp;col=6&amp;number=4.9&amp;sourceID=14","4.9")</f>
        <v>4.9</v>
      </c>
      <c r="G1063" s="4" t="str">
        <f>HYPERLINK("http://141.218.60.56/~jnz1568/getInfo.php?workbook=14_11.xlsx&amp;sheet=U0&amp;row=1063&amp;col=7&amp;number=4.34&amp;sourceID=14","4.34")</f>
        <v>4.34</v>
      </c>
    </row>
    <row r="1064" spans="1:7">
      <c r="A1064" s="3">
        <v>14</v>
      </c>
      <c r="B1064" s="3">
        <v>11</v>
      </c>
      <c r="C1064" s="3">
        <v>4</v>
      </c>
      <c r="D1064" s="3">
        <v>8</v>
      </c>
      <c r="E1064" s="3">
        <v>1</v>
      </c>
      <c r="F1064" s="4" t="str">
        <f>HYPERLINK("http://141.218.60.56/~jnz1568/getInfo.php?workbook=14_11.xlsx&amp;sheet=U0&amp;row=1064&amp;col=6&amp;number=3&amp;sourceID=14","3")</f>
        <v>3</v>
      </c>
      <c r="G1064" s="4" t="str">
        <f>HYPERLINK("http://141.218.60.56/~jnz1568/getInfo.php?workbook=14_11.xlsx&amp;sheet=U0&amp;row=1064&amp;col=7&amp;number=1.63&amp;sourceID=14","1.63")</f>
        <v>1.63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HYPERLINK("http://141.218.60.56/~jnz1568/getInfo.php?workbook=14_11.xlsx&amp;sheet=U0&amp;row=1065&amp;col=6&amp;number=3.1&amp;sourceID=14","3.1")</f>
        <v>3.1</v>
      </c>
      <c r="G1065" s="4" t="str">
        <f>HYPERLINK("http://141.218.60.56/~jnz1568/getInfo.php?workbook=14_11.xlsx&amp;sheet=U0&amp;row=1065&amp;col=7&amp;number=1.63&amp;sourceID=14","1.63")</f>
        <v>1.63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HYPERLINK("http://141.218.60.56/~jnz1568/getInfo.php?workbook=14_11.xlsx&amp;sheet=U0&amp;row=1066&amp;col=6&amp;number=3.2&amp;sourceID=14","3.2")</f>
        <v>3.2</v>
      </c>
      <c r="G1066" s="4" t="str">
        <f>HYPERLINK("http://141.218.60.56/~jnz1568/getInfo.php?workbook=14_11.xlsx&amp;sheet=U0&amp;row=1066&amp;col=7&amp;number=1.63&amp;sourceID=14","1.63")</f>
        <v>1.63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HYPERLINK("http://141.218.60.56/~jnz1568/getInfo.php?workbook=14_11.xlsx&amp;sheet=U0&amp;row=1067&amp;col=6&amp;number=3.3&amp;sourceID=14","3.3")</f>
        <v>3.3</v>
      </c>
      <c r="G1067" s="4" t="str">
        <f>HYPERLINK("http://141.218.60.56/~jnz1568/getInfo.php?workbook=14_11.xlsx&amp;sheet=U0&amp;row=1067&amp;col=7&amp;number=1.62&amp;sourceID=14","1.62")</f>
        <v>1.62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HYPERLINK("http://141.218.60.56/~jnz1568/getInfo.php?workbook=14_11.xlsx&amp;sheet=U0&amp;row=1068&amp;col=6&amp;number=3.4&amp;sourceID=14","3.4")</f>
        <v>3.4</v>
      </c>
      <c r="G1068" s="4" t="str">
        <f>HYPERLINK("http://141.218.60.56/~jnz1568/getInfo.php?workbook=14_11.xlsx&amp;sheet=U0&amp;row=1068&amp;col=7&amp;number=1.62&amp;sourceID=14","1.62")</f>
        <v>1.62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HYPERLINK("http://141.218.60.56/~jnz1568/getInfo.php?workbook=14_11.xlsx&amp;sheet=U0&amp;row=1069&amp;col=6&amp;number=3.5&amp;sourceID=14","3.5")</f>
        <v>3.5</v>
      </c>
      <c r="G1069" s="4" t="str">
        <f>HYPERLINK("http://141.218.60.56/~jnz1568/getInfo.php?workbook=14_11.xlsx&amp;sheet=U0&amp;row=1069&amp;col=7&amp;number=1.62&amp;sourceID=14","1.62")</f>
        <v>1.62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HYPERLINK("http://141.218.60.56/~jnz1568/getInfo.php?workbook=14_11.xlsx&amp;sheet=U0&amp;row=1070&amp;col=6&amp;number=3.6&amp;sourceID=14","3.6")</f>
        <v>3.6</v>
      </c>
      <c r="G1070" s="4" t="str">
        <f>HYPERLINK("http://141.218.60.56/~jnz1568/getInfo.php?workbook=14_11.xlsx&amp;sheet=U0&amp;row=1070&amp;col=7&amp;number=1.62&amp;sourceID=14","1.62")</f>
        <v>1.62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HYPERLINK("http://141.218.60.56/~jnz1568/getInfo.php?workbook=14_11.xlsx&amp;sheet=U0&amp;row=1071&amp;col=6&amp;number=3.7&amp;sourceID=14","3.7")</f>
        <v>3.7</v>
      </c>
      <c r="G1071" s="4" t="str">
        <f>HYPERLINK("http://141.218.60.56/~jnz1568/getInfo.php?workbook=14_11.xlsx&amp;sheet=U0&amp;row=1071&amp;col=7&amp;number=1.61&amp;sourceID=14","1.61")</f>
        <v>1.61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HYPERLINK("http://141.218.60.56/~jnz1568/getInfo.php?workbook=14_11.xlsx&amp;sheet=U0&amp;row=1072&amp;col=6&amp;number=3.8&amp;sourceID=14","3.8")</f>
        <v>3.8</v>
      </c>
      <c r="G1072" s="4" t="str">
        <f>HYPERLINK("http://141.218.60.56/~jnz1568/getInfo.php?workbook=14_11.xlsx&amp;sheet=U0&amp;row=1072&amp;col=7&amp;number=1.61&amp;sourceID=14","1.61")</f>
        <v>1.61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HYPERLINK("http://141.218.60.56/~jnz1568/getInfo.php?workbook=14_11.xlsx&amp;sheet=U0&amp;row=1073&amp;col=6&amp;number=3.9&amp;sourceID=14","3.9")</f>
        <v>3.9</v>
      </c>
      <c r="G1073" s="4" t="str">
        <f>HYPERLINK("http://141.218.60.56/~jnz1568/getInfo.php?workbook=14_11.xlsx&amp;sheet=U0&amp;row=1073&amp;col=7&amp;number=1.61&amp;sourceID=14","1.61")</f>
        <v>1.61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HYPERLINK("http://141.218.60.56/~jnz1568/getInfo.php?workbook=14_11.xlsx&amp;sheet=U0&amp;row=1074&amp;col=6&amp;number=4&amp;sourceID=14","4")</f>
        <v>4</v>
      </c>
      <c r="G1074" s="4" t="str">
        <f>HYPERLINK("http://141.218.60.56/~jnz1568/getInfo.php?workbook=14_11.xlsx&amp;sheet=U0&amp;row=1074&amp;col=7&amp;number=1.6&amp;sourceID=14","1.6")</f>
        <v>1.6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HYPERLINK("http://141.218.60.56/~jnz1568/getInfo.php?workbook=14_11.xlsx&amp;sheet=U0&amp;row=1075&amp;col=6&amp;number=4.1&amp;sourceID=14","4.1")</f>
        <v>4.1</v>
      </c>
      <c r="G1075" s="4" t="str">
        <f>HYPERLINK("http://141.218.60.56/~jnz1568/getInfo.php?workbook=14_11.xlsx&amp;sheet=U0&amp;row=1075&amp;col=7&amp;number=1.59&amp;sourceID=14","1.59")</f>
        <v>1.59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HYPERLINK("http://141.218.60.56/~jnz1568/getInfo.php?workbook=14_11.xlsx&amp;sheet=U0&amp;row=1076&amp;col=6&amp;number=4.2&amp;sourceID=14","4.2")</f>
        <v>4.2</v>
      </c>
      <c r="G1076" s="4" t="str">
        <f>HYPERLINK("http://141.218.60.56/~jnz1568/getInfo.php?workbook=14_11.xlsx&amp;sheet=U0&amp;row=1076&amp;col=7&amp;number=1.58&amp;sourceID=14","1.58")</f>
        <v>1.58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HYPERLINK("http://141.218.60.56/~jnz1568/getInfo.php?workbook=14_11.xlsx&amp;sheet=U0&amp;row=1077&amp;col=6&amp;number=4.3&amp;sourceID=14","4.3")</f>
        <v>4.3</v>
      </c>
      <c r="G1077" s="4" t="str">
        <f>HYPERLINK("http://141.218.60.56/~jnz1568/getInfo.php?workbook=14_11.xlsx&amp;sheet=U0&amp;row=1077&amp;col=7&amp;number=1.57&amp;sourceID=14","1.57")</f>
        <v>1.57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HYPERLINK("http://141.218.60.56/~jnz1568/getInfo.php?workbook=14_11.xlsx&amp;sheet=U0&amp;row=1078&amp;col=6&amp;number=4.4&amp;sourceID=14","4.4")</f>
        <v>4.4</v>
      </c>
      <c r="G1078" s="4" t="str">
        <f>HYPERLINK("http://141.218.60.56/~jnz1568/getInfo.php?workbook=14_11.xlsx&amp;sheet=U0&amp;row=1078&amp;col=7&amp;number=1.56&amp;sourceID=14","1.56")</f>
        <v>1.56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HYPERLINK("http://141.218.60.56/~jnz1568/getInfo.php?workbook=14_11.xlsx&amp;sheet=U0&amp;row=1079&amp;col=6&amp;number=4.5&amp;sourceID=14","4.5")</f>
        <v>4.5</v>
      </c>
      <c r="G1079" s="4" t="str">
        <f>HYPERLINK("http://141.218.60.56/~jnz1568/getInfo.php?workbook=14_11.xlsx&amp;sheet=U0&amp;row=1079&amp;col=7&amp;number=1.55&amp;sourceID=14","1.55")</f>
        <v>1.55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HYPERLINK("http://141.218.60.56/~jnz1568/getInfo.php?workbook=14_11.xlsx&amp;sheet=U0&amp;row=1080&amp;col=6&amp;number=4.6&amp;sourceID=14","4.6")</f>
        <v>4.6</v>
      </c>
      <c r="G1080" s="4" t="str">
        <f>HYPERLINK("http://141.218.60.56/~jnz1568/getInfo.php?workbook=14_11.xlsx&amp;sheet=U0&amp;row=1080&amp;col=7&amp;number=1.54&amp;sourceID=14","1.54")</f>
        <v>1.54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HYPERLINK("http://141.218.60.56/~jnz1568/getInfo.php?workbook=14_11.xlsx&amp;sheet=U0&amp;row=1081&amp;col=6&amp;number=4.7&amp;sourceID=14","4.7")</f>
        <v>4.7</v>
      </c>
      <c r="G1081" s="4" t="str">
        <f>HYPERLINK("http://141.218.60.56/~jnz1568/getInfo.php?workbook=14_11.xlsx&amp;sheet=U0&amp;row=1081&amp;col=7&amp;number=1.53&amp;sourceID=14","1.53")</f>
        <v>1.53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HYPERLINK("http://141.218.60.56/~jnz1568/getInfo.php?workbook=14_11.xlsx&amp;sheet=U0&amp;row=1082&amp;col=6&amp;number=4.8&amp;sourceID=14","4.8")</f>
        <v>4.8</v>
      </c>
      <c r="G1082" s="4" t="str">
        <f>HYPERLINK("http://141.218.60.56/~jnz1568/getInfo.php?workbook=14_11.xlsx&amp;sheet=U0&amp;row=1082&amp;col=7&amp;number=1.52&amp;sourceID=14","1.52")</f>
        <v>1.52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HYPERLINK("http://141.218.60.56/~jnz1568/getInfo.php?workbook=14_11.xlsx&amp;sheet=U0&amp;row=1083&amp;col=6&amp;number=4.9&amp;sourceID=14","4.9")</f>
        <v>4.9</v>
      </c>
      <c r="G1083" s="4" t="str">
        <f>HYPERLINK("http://141.218.60.56/~jnz1568/getInfo.php?workbook=14_11.xlsx&amp;sheet=U0&amp;row=1083&amp;col=7&amp;number=1.52&amp;sourceID=14","1.52")</f>
        <v>1.52</v>
      </c>
    </row>
    <row r="1084" spans="1:7">
      <c r="A1084" s="3">
        <v>14</v>
      </c>
      <c r="B1084" s="3">
        <v>11</v>
      </c>
      <c r="C1084" s="3">
        <v>4</v>
      </c>
      <c r="D1084" s="3">
        <v>9</v>
      </c>
      <c r="E1084" s="3">
        <v>1</v>
      </c>
      <c r="F1084" s="4" t="str">
        <f>HYPERLINK("http://141.218.60.56/~jnz1568/getInfo.php?workbook=14_11.xlsx&amp;sheet=U0&amp;row=1084&amp;col=6&amp;number=3&amp;sourceID=14","3")</f>
        <v>3</v>
      </c>
      <c r="G1084" s="4" t="str">
        <f>HYPERLINK("http://141.218.60.56/~jnz1568/getInfo.php?workbook=14_11.xlsx&amp;sheet=U0&amp;row=1084&amp;col=7&amp;number=5.81&amp;sourceID=14","5.81")</f>
        <v>5.81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HYPERLINK("http://141.218.60.56/~jnz1568/getInfo.php?workbook=14_11.xlsx&amp;sheet=U0&amp;row=1085&amp;col=6&amp;number=3.1&amp;sourceID=14","3.1")</f>
        <v>3.1</v>
      </c>
      <c r="G1085" s="4" t="str">
        <f>HYPERLINK("http://141.218.60.56/~jnz1568/getInfo.php?workbook=14_11.xlsx&amp;sheet=U0&amp;row=1085&amp;col=7&amp;number=5.81&amp;sourceID=14","5.81")</f>
        <v>5.81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HYPERLINK("http://141.218.60.56/~jnz1568/getInfo.php?workbook=14_11.xlsx&amp;sheet=U0&amp;row=1086&amp;col=6&amp;number=3.2&amp;sourceID=14","3.2")</f>
        <v>3.2</v>
      </c>
      <c r="G1086" s="4" t="str">
        <f>HYPERLINK("http://141.218.60.56/~jnz1568/getInfo.php?workbook=14_11.xlsx&amp;sheet=U0&amp;row=1086&amp;col=7&amp;number=5.81&amp;sourceID=14","5.81")</f>
        <v>5.81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HYPERLINK("http://141.218.60.56/~jnz1568/getInfo.php?workbook=14_11.xlsx&amp;sheet=U0&amp;row=1087&amp;col=6&amp;number=3.3&amp;sourceID=14","3.3")</f>
        <v>3.3</v>
      </c>
      <c r="G1087" s="4" t="str">
        <f>HYPERLINK("http://141.218.60.56/~jnz1568/getInfo.php?workbook=14_11.xlsx&amp;sheet=U0&amp;row=1087&amp;col=7&amp;number=5.81&amp;sourceID=14","5.81")</f>
        <v>5.81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HYPERLINK("http://141.218.60.56/~jnz1568/getInfo.php?workbook=14_11.xlsx&amp;sheet=U0&amp;row=1088&amp;col=6&amp;number=3.4&amp;sourceID=14","3.4")</f>
        <v>3.4</v>
      </c>
      <c r="G1088" s="4" t="str">
        <f>HYPERLINK("http://141.218.60.56/~jnz1568/getInfo.php?workbook=14_11.xlsx&amp;sheet=U0&amp;row=1088&amp;col=7&amp;number=5.8&amp;sourceID=14","5.8")</f>
        <v>5.8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HYPERLINK("http://141.218.60.56/~jnz1568/getInfo.php?workbook=14_11.xlsx&amp;sheet=U0&amp;row=1089&amp;col=6&amp;number=3.5&amp;sourceID=14","3.5")</f>
        <v>3.5</v>
      </c>
      <c r="G1089" s="4" t="str">
        <f>HYPERLINK("http://141.218.60.56/~jnz1568/getInfo.php?workbook=14_11.xlsx&amp;sheet=U0&amp;row=1089&amp;col=7&amp;number=5.8&amp;sourceID=14","5.8")</f>
        <v>5.8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HYPERLINK("http://141.218.60.56/~jnz1568/getInfo.php?workbook=14_11.xlsx&amp;sheet=U0&amp;row=1090&amp;col=6&amp;number=3.6&amp;sourceID=14","3.6")</f>
        <v>3.6</v>
      </c>
      <c r="G1090" s="4" t="str">
        <f>HYPERLINK("http://141.218.60.56/~jnz1568/getInfo.php?workbook=14_11.xlsx&amp;sheet=U0&amp;row=1090&amp;col=7&amp;number=5.8&amp;sourceID=14","5.8")</f>
        <v>5.8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HYPERLINK("http://141.218.60.56/~jnz1568/getInfo.php?workbook=14_11.xlsx&amp;sheet=U0&amp;row=1091&amp;col=6&amp;number=3.7&amp;sourceID=14","3.7")</f>
        <v>3.7</v>
      </c>
      <c r="G1091" s="4" t="str">
        <f>HYPERLINK("http://141.218.60.56/~jnz1568/getInfo.php?workbook=14_11.xlsx&amp;sheet=U0&amp;row=1091&amp;col=7&amp;number=5.8&amp;sourceID=14","5.8")</f>
        <v>5.8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HYPERLINK("http://141.218.60.56/~jnz1568/getInfo.php?workbook=14_11.xlsx&amp;sheet=U0&amp;row=1092&amp;col=6&amp;number=3.8&amp;sourceID=14","3.8")</f>
        <v>3.8</v>
      </c>
      <c r="G1092" s="4" t="str">
        <f>HYPERLINK("http://141.218.60.56/~jnz1568/getInfo.php?workbook=14_11.xlsx&amp;sheet=U0&amp;row=1092&amp;col=7&amp;number=5.79&amp;sourceID=14","5.79")</f>
        <v>5.79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HYPERLINK("http://141.218.60.56/~jnz1568/getInfo.php?workbook=14_11.xlsx&amp;sheet=U0&amp;row=1093&amp;col=6&amp;number=3.9&amp;sourceID=14","3.9")</f>
        <v>3.9</v>
      </c>
      <c r="G1093" s="4" t="str">
        <f>HYPERLINK("http://141.218.60.56/~jnz1568/getInfo.php?workbook=14_11.xlsx&amp;sheet=U0&amp;row=1093&amp;col=7&amp;number=5.79&amp;sourceID=14","5.79")</f>
        <v>5.79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HYPERLINK("http://141.218.60.56/~jnz1568/getInfo.php?workbook=14_11.xlsx&amp;sheet=U0&amp;row=1094&amp;col=6&amp;number=4&amp;sourceID=14","4")</f>
        <v>4</v>
      </c>
      <c r="G1094" s="4" t="str">
        <f>HYPERLINK("http://141.218.60.56/~jnz1568/getInfo.php?workbook=14_11.xlsx&amp;sheet=U0&amp;row=1094&amp;col=7&amp;number=5.79&amp;sourceID=14","5.79")</f>
        <v>5.79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HYPERLINK("http://141.218.60.56/~jnz1568/getInfo.php?workbook=14_11.xlsx&amp;sheet=U0&amp;row=1095&amp;col=6&amp;number=4.1&amp;sourceID=14","4.1")</f>
        <v>4.1</v>
      </c>
      <c r="G1095" s="4" t="str">
        <f>HYPERLINK("http://141.218.60.56/~jnz1568/getInfo.php?workbook=14_11.xlsx&amp;sheet=U0&amp;row=1095&amp;col=7&amp;number=5.78&amp;sourceID=14","5.78")</f>
        <v>5.78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HYPERLINK("http://141.218.60.56/~jnz1568/getInfo.php?workbook=14_11.xlsx&amp;sheet=U0&amp;row=1096&amp;col=6&amp;number=4.2&amp;sourceID=14","4.2")</f>
        <v>4.2</v>
      </c>
      <c r="G1096" s="4" t="str">
        <f>HYPERLINK("http://141.218.60.56/~jnz1568/getInfo.php?workbook=14_11.xlsx&amp;sheet=U0&amp;row=1096&amp;col=7&amp;number=5.77&amp;sourceID=14","5.77")</f>
        <v>5.77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HYPERLINK("http://141.218.60.56/~jnz1568/getInfo.php?workbook=14_11.xlsx&amp;sheet=U0&amp;row=1097&amp;col=6&amp;number=4.3&amp;sourceID=14","4.3")</f>
        <v>4.3</v>
      </c>
      <c r="G1097" s="4" t="str">
        <f>HYPERLINK("http://141.218.60.56/~jnz1568/getInfo.php?workbook=14_11.xlsx&amp;sheet=U0&amp;row=1097&amp;col=7&amp;number=5.76&amp;sourceID=14","5.76")</f>
        <v>5.76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HYPERLINK("http://141.218.60.56/~jnz1568/getInfo.php?workbook=14_11.xlsx&amp;sheet=U0&amp;row=1098&amp;col=6&amp;number=4.4&amp;sourceID=14","4.4")</f>
        <v>4.4</v>
      </c>
      <c r="G1098" s="4" t="str">
        <f>HYPERLINK("http://141.218.60.56/~jnz1568/getInfo.php?workbook=14_11.xlsx&amp;sheet=U0&amp;row=1098&amp;col=7&amp;number=5.75&amp;sourceID=14","5.75")</f>
        <v>5.75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HYPERLINK("http://141.218.60.56/~jnz1568/getInfo.php?workbook=14_11.xlsx&amp;sheet=U0&amp;row=1099&amp;col=6&amp;number=4.5&amp;sourceID=14","4.5")</f>
        <v>4.5</v>
      </c>
      <c r="G1099" s="4" t="str">
        <f>HYPERLINK("http://141.218.60.56/~jnz1568/getInfo.php?workbook=14_11.xlsx&amp;sheet=U0&amp;row=1099&amp;col=7&amp;number=5.74&amp;sourceID=14","5.74")</f>
        <v>5.74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HYPERLINK("http://141.218.60.56/~jnz1568/getInfo.php?workbook=14_11.xlsx&amp;sheet=U0&amp;row=1100&amp;col=6&amp;number=4.6&amp;sourceID=14","4.6")</f>
        <v>4.6</v>
      </c>
      <c r="G1100" s="4" t="str">
        <f>HYPERLINK("http://141.218.60.56/~jnz1568/getInfo.php?workbook=14_11.xlsx&amp;sheet=U0&amp;row=1100&amp;col=7&amp;number=5.72&amp;sourceID=14","5.72")</f>
        <v>5.72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HYPERLINK("http://141.218.60.56/~jnz1568/getInfo.php?workbook=14_11.xlsx&amp;sheet=U0&amp;row=1101&amp;col=6&amp;number=4.7&amp;sourceID=14","4.7")</f>
        <v>4.7</v>
      </c>
      <c r="G1101" s="4" t="str">
        <f>HYPERLINK("http://141.218.60.56/~jnz1568/getInfo.php?workbook=14_11.xlsx&amp;sheet=U0&amp;row=1101&amp;col=7&amp;number=5.7&amp;sourceID=14","5.7")</f>
        <v>5.7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HYPERLINK("http://141.218.60.56/~jnz1568/getInfo.php?workbook=14_11.xlsx&amp;sheet=U0&amp;row=1102&amp;col=6&amp;number=4.8&amp;sourceID=14","4.8")</f>
        <v>4.8</v>
      </c>
      <c r="G1102" s="4" t="str">
        <f>HYPERLINK("http://141.218.60.56/~jnz1568/getInfo.php?workbook=14_11.xlsx&amp;sheet=U0&amp;row=1102&amp;col=7&amp;number=5.68&amp;sourceID=14","5.68")</f>
        <v>5.68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HYPERLINK("http://141.218.60.56/~jnz1568/getInfo.php?workbook=14_11.xlsx&amp;sheet=U0&amp;row=1103&amp;col=6&amp;number=4.9&amp;sourceID=14","4.9")</f>
        <v>4.9</v>
      </c>
      <c r="G1103" s="4" t="str">
        <f>HYPERLINK("http://141.218.60.56/~jnz1568/getInfo.php?workbook=14_11.xlsx&amp;sheet=U0&amp;row=1103&amp;col=7&amp;number=5.66&amp;sourceID=14","5.66")</f>
        <v>5.66</v>
      </c>
    </row>
    <row r="1104" spans="1:7">
      <c r="A1104" s="3">
        <v>14</v>
      </c>
      <c r="B1104" s="3">
        <v>11</v>
      </c>
      <c r="C1104" s="3">
        <v>4</v>
      </c>
      <c r="D1104" s="3">
        <v>10</v>
      </c>
      <c r="E1104" s="3">
        <v>1</v>
      </c>
      <c r="F1104" s="4" t="str">
        <f>HYPERLINK("http://141.218.60.56/~jnz1568/getInfo.php?workbook=14_11.xlsx&amp;sheet=U0&amp;row=1104&amp;col=6&amp;number=3&amp;sourceID=14","3")</f>
        <v>3</v>
      </c>
      <c r="G1104" s="4" t="str">
        <f>HYPERLINK("http://141.218.60.56/~jnz1568/getInfo.php?workbook=14_11.xlsx&amp;sheet=U0&amp;row=1104&amp;col=7&amp;number=1.04&amp;sourceID=14","1.04")</f>
        <v>1.04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HYPERLINK("http://141.218.60.56/~jnz1568/getInfo.php?workbook=14_11.xlsx&amp;sheet=U0&amp;row=1105&amp;col=6&amp;number=3.1&amp;sourceID=14","3.1")</f>
        <v>3.1</v>
      </c>
      <c r="G1105" s="4" t="str">
        <f>HYPERLINK("http://141.218.60.56/~jnz1568/getInfo.php?workbook=14_11.xlsx&amp;sheet=U0&amp;row=1105&amp;col=7&amp;number=1.03&amp;sourceID=14","1.03")</f>
        <v>1.03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HYPERLINK("http://141.218.60.56/~jnz1568/getInfo.php?workbook=14_11.xlsx&amp;sheet=U0&amp;row=1106&amp;col=6&amp;number=3.2&amp;sourceID=14","3.2")</f>
        <v>3.2</v>
      </c>
      <c r="G1106" s="4" t="str">
        <f>HYPERLINK("http://141.218.60.56/~jnz1568/getInfo.php?workbook=14_11.xlsx&amp;sheet=U0&amp;row=1106&amp;col=7&amp;number=1.03&amp;sourceID=14","1.03")</f>
        <v>1.03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HYPERLINK("http://141.218.60.56/~jnz1568/getInfo.php?workbook=14_11.xlsx&amp;sheet=U0&amp;row=1107&amp;col=6&amp;number=3.3&amp;sourceID=14","3.3")</f>
        <v>3.3</v>
      </c>
      <c r="G1107" s="4" t="str">
        <f>HYPERLINK("http://141.218.60.56/~jnz1568/getInfo.php?workbook=14_11.xlsx&amp;sheet=U0&amp;row=1107&amp;col=7&amp;number=1.03&amp;sourceID=14","1.03")</f>
        <v>1.03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HYPERLINK("http://141.218.60.56/~jnz1568/getInfo.php?workbook=14_11.xlsx&amp;sheet=U0&amp;row=1108&amp;col=6&amp;number=3.4&amp;sourceID=14","3.4")</f>
        <v>3.4</v>
      </c>
      <c r="G1108" s="4" t="str">
        <f>HYPERLINK("http://141.218.60.56/~jnz1568/getInfo.php?workbook=14_11.xlsx&amp;sheet=U0&amp;row=1108&amp;col=7&amp;number=1.03&amp;sourceID=14","1.03")</f>
        <v>1.03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HYPERLINK("http://141.218.60.56/~jnz1568/getInfo.php?workbook=14_11.xlsx&amp;sheet=U0&amp;row=1109&amp;col=6&amp;number=3.5&amp;sourceID=14","3.5")</f>
        <v>3.5</v>
      </c>
      <c r="G1109" s="4" t="str">
        <f>HYPERLINK("http://141.218.60.56/~jnz1568/getInfo.php?workbook=14_11.xlsx&amp;sheet=U0&amp;row=1109&amp;col=7&amp;number=1.03&amp;sourceID=14","1.03")</f>
        <v>1.03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HYPERLINK("http://141.218.60.56/~jnz1568/getInfo.php?workbook=14_11.xlsx&amp;sheet=U0&amp;row=1110&amp;col=6&amp;number=3.6&amp;sourceID=14","3.6")</f>
        <v>3.6</v>
      </c>
      <c r="G1110" s="4" t="str">
        <f>HYPERLINK("http://141.218.60.56/~jnz1568/getInfo.php?workbook=14_11.xlsx&amp;sheet=U0&amp;row=1110&amp;col=7&amp;number=1.02&amp;sourceID=14","1.02")</f>
        <v>1.02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HYPERLINK("http://141.218.60.56/~jnz1568/getInfo.php?workbook=14_11.xlsx&amp;sheet=U0&amp;row=1111&amp;col=6&amp;number=3.7&amp;sourceID=14","3.7")</f>
        <v>3.7</v>
      </c>
      <c r="G1111" s="4" t="str">
        <f>HYPERLINK("http://141.218.60.56/~jnz1568/getInfo.php?workbook=14_11.xlsx&amp;sheet=U0&amp;row=1111&amp;col=7&amp;number=1.02&amp;sourceID=14","1.02")</f>
        <v>1.02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HYPERLINK("http://141.218.60.56/~jnz1568/getInfo.php?workbook=14_11.xlsx&amp;sheet=U0&amp;row=1112&amp;col=6&amp;number=3.8&amp;sourceID=14","3.8")</f>
        <v>3.8</v>
      </c>
      <c r="G1112" s="4" t="str">
        <f>HYPERLINK("http://141.218.60.56/~jnz1568/getInfo.php?workbook=14_11.xlsx&amp;sheet=U0&amp;row=1112&amp;col=7&amp;number=1.01&amp;sourceID=14","1.01")</f>
        <v>1.01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HYPERLINK("http://141.218.60.56/~jnz1568/getInfo.php?workbook=14_11.xlsx&amp;sheet=U0&amp;row=1113&amp;col=6&amp;number=3.9&amp;sourceID=14","3.9")</f>
        <v>3.9</v>
      </c>
      <c r="G1113" s="4" t="str">
        <f>HYPERLINK("http://141.218.60.56/~jnz1568/getInfo.php?workbook=14_11.xlsx&amp;sheet=U0&amp;row=1113&amp;col=7&amp;number=1&amp;sourceID=14","1")</f>
        <v>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HYPERLINK("http://141.218.60.56/~jnz1568/getInfo.php?workbook=14_11.xlsx&amp;sheet=U0&amp;row=1114&amp;col=6&amp;number=4&amp;sourceID=14","4")</f>
        <v>4</v>
      </c>
      <c r="G1114" s="4" t="str">
        <f>HYPERLINK("http://141.218.60.56/~jnz1568/getInfo.php?workbook=14_11.xlsx&amp;sheet=U0&amp;row=1114&amp;col=7&amp;number=0.994&amp;sourceID=14","0.994")</f>
        <v>0.994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HYPERLINK("http://141.218.60.56/~jnz1568/getInfo.php?workbook=14_11.xlsx&amp;sheet=U0&amp;row=1115&amp;col=6&amp;number=4.1&amp;sourceID=14","4.1")</f>
        <v>4.1</v>
      </c>
      <c r="G1115" s="4" t="str">
        <f>HYPERLINK("http://141.218.60.56/~jnz1568/getInfo.php?workbook=14_11.xlsx&amp;sheet=U0&amp;row=1115&amp;col=7&amp;number=0.982&amp;sourceID=14","0.982")</f>
        <v>0.982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HYPERLINK("http://141.218.60.56/~jnz1568/getInfo.php?workbook=14_11.xlsx&amp;sheet=U0&amp;row=1116&amp;col=6&amp;number=4.2&amp;sourceID=14","4.2")</f>
        <v>4.2</v>
      </c>
      <c r="G1116" s="4" t="str">
        <f>HYPERLINK("http://141.218.60.56/~jnz1568/getInfo.php?workbook=14_11.xlsx&amp;sheet=U0&amp;row=1116&amp;col=7&amp;number=0.968&amp;sourceID=14","0.968")</f>
        <v>0.968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HYPERLINK("http://141.218.60.56/~jnz1568/getInfo.php?workbook=14_11.xlsx&amp;sheet=U0&amp;row=1117&amp;col=6&amp;number=4.3&amp;sourceID=14","4.3")</f>
        <v>4.3</v>
      </c>
      <c r="G1117" s="4" t="str">
        <f>HYPERLINK("http://141.218.60.56/~jnz1568/getInfo.php?workbook=14_11.xlsx&amp;sheet=U0&amp;row=1117&amp;col=7&amp;number=0.951&amp;sourceID=14","0.951")</f>
        <v>0.951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HYPERLINK("http://141.218.60.56/~jnz1568/getInfo.php?workbook=14_11.xlsx&amp;sheet=U0&amp;row=1118&amp;col=6&amp;number=4.4&amp;sourceID=14","4.4")</f>
        <v>4.4</v>
      </c>
      <c r="G1118" s="4" t="str">
        <f>HYPERLINK("http://141.218.60.56/~jnz1568/getInfo.php?workbook=14_11.xlsx&amp;sheet=U0&amp;row=1118&amp;col=7&amp;number=0.93&amp;sourceID=14","0.93")</f>
        <v>0.93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HYPERLINK("http://141.218.60.56/~jnz1568/getInfo.php?workbook=14_11.xlsx&amp;sheet=U0&amp;row=1119&amp;col=6&amp;number=4.5&amp;sourceID=14","4.5")</f>
        <v>4.5</v>
      </c>
      <c r="G1119" s="4" t="str">
        <f>HYPERLINK("http://141.218.60.56/~jnz1568/getInfo.php?workbook=14_11.xlsx&amp;sheet=U0&amp;row=1119&amp;col=7&amp;number=0.905&amp;sourceID=14","0.905")</f>
        <v>0.905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HYPERLINK("http://141.218.60.56/~jnz1568/getInfo.php?workbook=14_11.xlsx&amp;sheet=U0&amp;row=1120&amp;col=6&amp;number=4.6&amp;sourceID=14","4.6")</f>
        <v>4.6</v>
      </c>
      <c r="G1120" s="4" t="str">
        <f>HYPERLINK("http://141.218.60.56/~jnz1568/getInfo.php?workbook=14_11.xlsx&amp;sheet=U0&amp;row=1120&amp;col=7&amp;number=0.875&amp;sourceID=14","0.875")</f>
        <v>0.875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HYPERLINK("http://141.218.60.56/~jnz1568/getInfo.php?workbook=14_11.xlsx&amp;sheet=U0&amp;row=1121&amp;col=6&amp;number=4.7&amp;sourceID=14","4.7")</f>
        <v>4.7</v>
      </c>
      <c r="G1121" s="4" t="str">
        <f>HYPERLINK("http://141.218.60.56/~jnz1568/getInfo.php?workbook=14_11.xlsx&amp;sheet=U0&amp;row=1121&amp;col=7&amp;number=0.842&amp;sourceID=14","0.842")</f>
        <v>0.842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HYPERLINK("http://141.218.60.56/~jnz1568/getInfo.php?workbook=14_11.xlsx&amp;sheet=U0&amp;row=1122&amp;col=6&amp;number=4.8&amp;sourceID=14","4.8")</f>
        <v>4.8</v>
      </c>
      <c r="G1122" s="4" t="str">
        <f>HYPERLINK("http://141.218.60.56/~jnz1568/getInfo.php?workbook=14_11.xlsx&amp;sheet=U0&amp;row=1122&amp;col=7&amp;number=0.804&amp;sourceID=14","0.804")</f>
        <v>0.804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HYPERLINK("http://141.218.60.56/~jnz1568/getInfo.php?workbook=14_11.xlsx&amp;sheet=U0&amp;row=1123&amp;col=6&amp;number=4.9&amp;sourceID=14","4.9")</f>
        <v>4.9</v>
      </c>
      <c r="G1123" s="4" t="str">
        <f>HYPERLINK("http://141.218.60.56/~jnz1568/getInfo.php?workbook=14_11.xlsx&amp;sheet=U0&amp;row=1123&amp;col=7&amp;number=0.763&amp;sourceID=14","0.763")</f>
        <v>0.763</v>
      </c>
    </row>
    <row r="1124" spans="1:7">
      <c r="A1124" s="3">
        <v>14</v>
      </c>
      <c r="B1124" s="3">
        <v>11</v>
      </c>
      <c r="C1124" s="3">
        <v>4</v>
      </c>
      <c r="D1124" s="3">
        <v>11</v>
      </c>
      <c r="E1124" s="3">
        <v>1</v>
      </c>
      <c r="F1124" s="4" t="str">
        <f>HYPERLINK("http://141.218.60.56/~jnz1568/getInfo.php?workbook=14_11.xlsx&amp;sheet=U0&amp;row=1124&amp;col=6&amp;number=3&amp;sourceID=14","3")</f>
        <v>3</v>
      </c>
      <c r="G1124" s="4" t="str">
        <f>HYPERLINK("http://141.218.60.56/~jnz1568/getInfo.php?workbook=14_11.xlsx&amp;sheet=U0&amp;row=1124&amp;col=7&amp;number=14.1&amp;sourceID=14","14.1")</f>
        <v>14.1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HYPERLINK("http://141.218.60.56/~jnz1568/getInfo.php?workbook=14_11.xlsx&amp;sheet=U0&amp;row=1125&amp;col=6&amp;number=3.1&amp;sourceID=14","3.1")</f>
        <v>3.1</v>
      </c>
      <c r="G1125" s="4" t="str">
        <f>HYPERLINK("http://141.218.60.56/~jnz1568/getInfo.php?workbook=14_11.xlsx&amp;sheet=U0&amp;row=1125&amp;col=7&amp;number=14.1&amp;sourceID=14","14.1")</f>
        <v>14.1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HYPERLINK("http://141.218.60.56/~jnz1568/getInfo.php?workbook=14_11.xlsx&amp;sheet=U0&amp;row=1126&amp;col=6&amp;number=3.2&amp;sourceID=14","3.2")</f>
        <v>3.2</v>
      </c>
      <c r="G1126" s="4" t="str">
        <f>HYPERLINK("http://141.218.60.56/~jnz1568/getInfo.php?workbook=14_11.xlsx&amp;sheet=U0&amp;row=1126&amp;col=7&amp;number=14.1&amp;sourceID=14","14.1")</f>
        <v>14.1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HYPERLINK("http://141.218.60.56/~jnz1568/getInfo.php?workbook=14_11.xlsx&amp;sheet=U0&amp;row=1127&amp;col=6&amp;number=3.3&amp;sourceID=14","3.3")</f>
        <v>3.3</v>
      </c>
      <c r="G1127" s="4" t="str">
        <f>HYPERLINK("http://141.218.60.56/~jnz1568/getInfo.php?workbook=14_11.xlsx&amp;sheet=U0&amp;row=1127&amp;col=7&amp;number=14.1&amp;sourceID=14","14.1")</f>
        <v>14.1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HYPERLINK("http://141.218.60.56/~jnz1568/getInfo.php?workbook=14_11.xlsx&amp;sheet=U0&amp;row=1128&amp;col=6&amp;number=3.4&amp;sourceID=14","3.4")</f>
        <v>3.4</v>
      </c>
      <c r="G1128" s="4" t="str">
        <f>HYPERLINK("http://141.218.60.56/~jnz1568/getInfo.php?workbook=14_11.xlsx&amp;sheet=U0&amp;row=1128&amp;col=7&amp;number=14.2&amp;sourceID=14","14.2")</f>
        <v>14.2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HYPERLINK("http://141.218.60.56/~jnz1568/getInfo.php?workbook=14_11.xlsx&amp;sheet=U0&amp;row=1129&amp;col=6&amp;number=3.5&amp;sourceID=14","3.5")</f>
        <v>3.5</v>
      </c>
      <c r="G1129" s="4" t="str">
        <f>HYPERLINK("http://141.218.60.56/~jnz1568/getInfo.php?workbook=14_11.xlsx&amp;sheet=U0&amp;row=1129&amp;col=7&amp;number=14.2&amp;sourceID=14","14.2")</f>
        <v>14.2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HYPERLINK("http://141.218.60.56/~jnz1568/getInfo.php?workbook=14_11.xlsx&amp;sheet=U0&amp;row=1130&amp;col=6&amp;number=3.6&amp;sourceID=14","3.6")</f>
        <v>3.6</v>
      </c>
      <c r="G1130" s="4" t="str">
        <f>HYPERLINK("http://141.218.60.56/~jnz1568/getInfo.php?workbook=14_11.xlsx&amp;sheet=U0&amp;row=1130&amp;col=7&amp;number=14.2&amp;sourceID=14","14.2")</f>
        <v>14.2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HYPERLINK("http://141.218.60.56/~jnz1568/getInfo.php?workbook=14_11.xlsx&amp;sheet=U0&amp;row=1131&amp;col=6&amp;number=3.7&amp;sourceID=14","3.7")</f>
        <v>3.7</v>
      </c>
      <c r="G1131" s="4" t="str">
        <f>HYPERLINK("http://141.218.60.56/~jnz1568/getInfo.php?workbook=14_11.xlsx&amp;sheet=U0&amp;row=1131&amp;col=7&amp;number=14.3&amp;sourceID=14","14.3")</f>
        <v>14.3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HYPERLINK("http://141.218.60.56/~jnz1568/getInfo.php?workbook=14_11.xlsx&amp;sheet=U0&amp;row=1132&amp;col=6&amp;number=3.8&amp;sourceID=14","3.8")</f>
        <v>3.8</v>
      </c>
      <c r="G1132" s="4" t="str">
        <f>HYPERLINK("http://141.218.60.56/~jnz1568/getInfo.php?workbook=14_11.xlsx&amp;sheet=U0&amp;row=1132&amp;col=7&amp;number=14.3&amp;sourceID=14","14.3")</f>
        <v>14.3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HYPERLINK("http://141.218.60.56/~jnz1568/getInfo.php?workbook=14_11.xlsx&amp;sheet=U0&amp;row=1133&amp;col=6&amp;number=3.9&amp;sourceID=14","3.9")</f>
        <v>3.9</v>
      </c>
      <c r="G1133" s="4" t="str">
        <f>HYPERLINK("http://141.218.60.56/~jnz1568/getInfo.php?workbook=14_11.xlsx&amp;sheet=U0&amp;row=1133&amp;col=7&amp;number=14.3&amp;sourceID=14","14.3")</f>
        <v>14.3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HYPERLINK("http://141.218.60.56/~jnz1568/getInfo.php?workbook=14_11.xlsx&amp;sheet=U0&amp;row=1134&amp;col=6&amp;number=4&amp;sourceID=14","4")</f>
        <v>4</v>
      </c>
      <c r="G1134" s="4" t="str">
        <f>HYPERLINK("http://141.218.60.56/~jnz1568/getInfo.php?workbook=14_11.xlsx&amp;sheet=U0&amp;row=1134&amp;col=7&amp;number=14.4&amp;sourceID=14","14.4")</f>
        <v>14.4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HYPERLINK("http://141.218.60.56/~jnz1568/getInfo.php?workbook=14_11.xlsx&amp;sheet=U0&amp;row=1135&amp;col=6&amp;number=4.1&amp;sourceID=14","4.1")</f>
        <v>4.1</v>
      </c>
      <c r="G1135" s="4" t="str">
        <f>HYPERLINK("http://141.218.60.56/~jnz1568/getInfo.php?workbook=14_11.xlsx&amp;sheet=U0&amp;row=1135&amp;col=7&amp;number=14.5&amp;sourceID=14","14.5")</f>
        <v>14.5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HYPERLINK("http://141.218.60.56/~jnz1568/getInfo.php?workbook=14_11.xlsx&amp;sheet=U0&amp;row=1136&amp;col=6&amp;number=4.2&amp;sourceID=14","4.2")</f>
        <v>4.2</v>
      </c>
      <c r="G1136" s="4" t="str">
        <f>HYPERLINK("http://141.218.60.56/~jnz1568/getInfo.php?workbook=14_11.xlsx&amp;sheet=U0&amp;row=1136&amp;col=7&amp;number=14.6&amp;sourceID=14","14.6")</f>
        <v>14.6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HYPERLINK("http://141.218.60.56/~jnz1568/getInfo.php?workbook=14_11.xlsx&amp;sheet=U0&amp;row=1137&amp;col=6&amp;number=4.3&amp;sourceID=14","4.3")</f>
        <v>4.3</v>
      </c>
      <c r="G1137" s="4" t="str">
        <f>HYPERLINK("http://141.218.60.56/~jnz1568/getInfo.php?workbook=14_11.xlsx&amp;sheet=U0&amp;row=1137&amp;col=7&amp;number=14.8&amp;sourceID=14","14.8")</f>
        <v>14.8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HYPERLINK("http://141.218.60.56/~jnz1568/getInfo.php?workbook=14_11.xlsx&amp;sheet=U0&amp;row=1138&amp;col=6&amp;number=4.4&amp;sourceID=14","4.4")</f>
        <v>4.4</v>
      </c>
      <c r="G1138" s="4" t="str">
        <f>HYPERLINK("http://141.218.60.56/~jnz1568/getInfo.php?workbook=14_11.xlsx&amp;sheet=U0&amp;row=1138&amp;col=7&amp;number=14.9&amp;sourceID=14","14.9")</f>
        <v>14.9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HYPERLINK("http://141.218.60.56/~jnz1568/getInfo.php?workbook=14_11.xlsx&amp;sheet=U0&amp;row=1139&amp;col=6&amp;number=4.5&amp;sourceID=14","4.5")</f>
        <v>4.5</v>
      </c>
      <c r="G1139" s="4" t="str">
        <f>HYPERLINK("http://141.218.60.56/~jnz1568/getInfo.php?workbook=14_11.xlsx&amp;sheet=U0&amp;row=1139&amp;col=7&amp;number=15.1&amp;sourceID=14","15.1")</f>
        <v>15.1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HYPERLINK("http://141.218.60.56/~jnz1568/getInfo.php?workbook=14_11.xlsx&amp;sheet=U0&amp;row=1140&amp;col=6&amp;number=4.6&amp;sourceID=14","4.6")</f>
        <v>4.6</v>
      </c>
      <c r="G1140" s="4" t="str">
        <f>HYPERLINK("http://141.218.60.56/~jnz1568/getInfo.php?workbook=14_11.xlsx&amp;sheet=U0&amp;row=1140&amp;col=7&amp;number=15.4&amp;sourceID=14","15.4")</f>
        <v>15.4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HYPERLINK("http://141.218.60.56/~jnz1568/getInfo.php?workbook=14_11.xlsx&amp;sheet=U0&amp;row=1141&amp;col=6&amp;number=4.7&amp;sourceID=14","4.7")</f>
        <v>4.7</v>
      </c>
      <c r="G1141" s="4" t="str">
        <f>HYPERLINK("http://141.218.60.56/~jnz1568/getInfo.php?workbook=14_11.xlsx&amp;sheet=U0&amp;row=1141&amp;col=7&amp;number=15.7&amp;sourceID=14","15.7")</f>
        <v>15.7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HYPERLINK("http://141.218.60.56/~jnz1568/getInfo.php?workbook=14_11.xlsx&amp;sheet=U0&amp;row=1142&amp;col=6&amp;number=4.8&amp;sourceID=14","4.8")</f>
        <v>4.8</v>
      </c>
      <c r="G1142" s="4" t="str">
        <f>HYPERLINK("http://141.218.60.56/~jnz1568/getInfo.php?workbook=14_11.xlsx&amp;sheet=U0&amp;row=1142&amp;col=7&amp;number=16.2&amp;sourceID=14","16.2")</f>
        <v>16.2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HYPERLINK("http://141.218.60.56/~jnz1568/getInfo.php?workbook=14_11.xlsx&amp;sheet=U0&amp;row=1143&amp;col=6&amp;number=4.9&amp;sourceID=14","4.9")</f>
        <v>4.9</v>
      </c>
      <c r="G1143" s="4" t="str">
        <f>HYPERLINK("http://141.218.60.56/~jnz1568/getInfo.php?workbook=14_11.xlsx&amp;sheet=U0&amp;row=1143&amp;col=7&amp;number=16.7&amp;sourceID=14","16.7")</f>
        <v>16.7</v>
      </c>
    </row>
    <row r="1144" spans="1:7">
      <c r="A1144" s="3">
        <v>14</v>
      </c>
      <c r="B1144" s="3">
        <v>11</v>
      </c>
      <c r="C1144" s="3">
        <v>4</v>
      </c>
      <c r="D1144" s="3">
        <v>12</v>
      </c>
      <c r="E1144" s="3">
        <v>1</v>
      </c>
      <c r="F1144" s="4" t="str">
        <f>HYPERLINK("http://141.218.60.56/~jnz1568/getInfo.php?workbook=14_11.xlsx&amp;sheet=U0&amp;row=1144&amp;col=6&amp;number=3&amp;sourceID=14","3")</f>
        <v>3</v>
      </c>
      <c r="G1144" s="4" t="str">
        <f>HYPERLINK("http://141.218.60.56/~jnz1568/getInfo.php?workbook=14_11.xlsx&amp;sheet=U0&amp;row=1144&amp;col=7&amp;number=2.08&amp;sourceID=14","2.08")</f>
        <v>2.08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HYPERLINK("http://141.218.60.56/~jnz1568/getInfo.php?workbook=14_11.xlsx&amp;sheet=U0&amp;row=1145&amp;col=6&amp;number=3.1&amp;sourceID=14","3.1")</f>
        <v>3.1</v>
      </c>
      <c r="G1145" s="4" t="str">
        <f>HYPERLINK("http://141.218.60.56/~jnz1568/getInfo.php?workbook=14_11.xlsx&amp;sheet=U0&amp;row=1145&amp;col=7&amp;number=2.08&amp;sourceID=14","2.08")</f>
        <v>2.08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HYPERLINK("http://141.218.60.56/~jnz1568/getInfo.php?workbook=14_11.xlsx&amp;sheet=U0&amp;row=1146&amp;col=6&amp;number=3.2&amp;sourceID=14","3.2")</f>
        <v>3.2</v>
      </c>
      <c r="G1146" s="4" t="str">
        <f>HYPERLINK("http://141.218.60.56/~jnz1568/getInfo.php?workbook=14_11.xlsx&amp;sheet=U0&amp;row=1146&amp;col=7&amp;number=2.08&amp;sourceID=14","2.08")</f>
        <v>2.08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HYPERLINK("http://141.218.60.56/~jnz1568/getInfo.php?workbook=14_11.xlsx&amp;sheet=U0&amp;row=1147&amp;col=6&amp;number=3.3&amp;sourceID=14","3.3")</f>
        <v>3.3</v>
      </c>
      <c r="G1147" s="4" t="str">
        <f>HYPERLINK("http://141.218.60.56/~jnz1568/getInfo.php?workbook=14_11.xlsx&amp;sheet=U0&amp;row=1147&amp;col=7&amp;number=2.07&amp;sourceID=14","2.07")</f>
        <v>2.07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HYPERLINK("http://141.218.60.56/~jnz1568/getInfo.php?workbook=14_11.xlsx&amp;sheet=U0&amp;row=1148&amp;col=6&amp;number=3.4&amp;sourceID=14","3.4")</f>
        <v>3.4</v>
      </c>
      <c r="G1148" s="4" t="str">
        <f>HYPERLINK("http://141.218.60.56/~jnz1568/getInfo.php?workbook=14_11.xlsx&amp;sheet=U0&amp;row=1148&amp;col=7&amp;number=2.06&amp;sourceID=14","2.06")</f>
        <v>2.06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HYPERLINK("http://141.218.60.56/~jnz1568/getInfo.php?workbook=14_11.xlsx&amp;sheet=U0&amp;row=1149&amp;col=6&amp;number=3.5&amp;sourceID=14","3.5")</f>
        <v>3.5</v>
      </c>
      <c r="G1149" s="4" t="str">
        <f>HYPERLINK("http://141.218.60.56/~jnz1568/getInfo.php?workbook=14_11.xlsx&amp;sheet=U0&amp;row=1149&amp;col=7&amp;number=2.06&amp;sourceID=14","2.06")</f>
        <v>2.06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HYPERLINK("http://141.218.60.56/~jnz1568/getInfo.php?workbook=14_11.xlsx&amp;sheet=U0&amp;row=1150&amp;col=6&amp;number=3.6&amp;sourceID=14","3.6")</f>
        <v>3.6</v>
      </c>
      <c r="G1150" s="4" t="str">
        <f>HYPERLINK("http://141.218.60.56/~jnz1568/getInfo.php?workbook=14_11.xlsx&amp;sheet=U0&amp;row=1150&amp;col=7&amp;number=2.05&amp;sourceID=14","2.05")</f>
        <v>2.05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HYPERLINK("http://141.218.60.56/~jnz1568/getInfo.php?workbook=14_11.xlsx&amp;sheet=U0&amp;row=1151&amp;col=6&amp;number=3.7&amp;sourceID=14","3.7")</f>
        <v>3.7</v>
      </c>
      <c r="G1151" s="4" t="str">
        <f>HYPERLINK("http://141.218.60.56/~jnz1568/getInfo.php?workbook=14_11.xlsx&amp;sheet=U0&amp;row=1151&amp;col=7&amp;number=2.03&amp;sourceID=14","2.03")</f>
        <v>2.03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HYPERLINK("http://141.218.60.56/~jnz1568/getInfo.php?workbook=14_11.xlsx&amp;sheet=U0&amp;row=1152&amp;col=6&amp;number=3.8&amp;sourceID=14","3.8")</f>
        <v>3.8</v>
      </c>
      <c r="G1152" s="4" t="str">
        <f>HYPERLINK("http://141.218.60.56/~jnz1568/getInfo.php?workbook=14_11.xlsx&amp;sheet=U0&amp;row=1152&amp;col=7&amp;number=2.02&amp;sourceID=14","2.02")</f>
        <v>2.02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HYPERLINK("http://141.218.60.56/~jnz1568/getInfo.php?workbook=14_11.xlsx&amp;sheet=U0&amp;row=1153&amp;col=6&amp;number=3.9&amp;sourceID=14","3.9")</f>
        <v>3.9</v>
      </c>
      <c r="G1153" s="4" t="str">
        <f>HYPERLINK("http://141.218.60.56/~jnz1568/getInfo.php?workbook=14_11.xlsx&amp;sheet=U0&amp;row=1153&amp;col=7&amp;number=2&amp;sourceID=14","2")</f>
        <v>2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HYPERLINK("http://141.218.60.56/~jnz1568/getInfo.php?workbook=14_11.xlsx&amp;sheet=U0&amp;row=1154&amp;col=6&amp;number=4&amp;sourceID=14","4")</f>
        <v>4</v>
      </c>
      <c r="G1154" s="4" t="str">
        <f>HYPERLINK("http://141.218.60.56/~jnz1568/getInfo.php?workbook=14_11.xlsx&amp;sheet=U0&amp;row=1154&amp;col=7&amp;number=1.97&amp;sourceID=14","1.97")</f>
        <v>1.97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HYPERLINK("http://141.218.60.56/~jnz1568/getInfo.php?workbook=14_11.xlsx&amp;sheet=U0&amp;row=1155&amp;col=6&amp;number=4.1&amp;sourceID=14","4.1")</f>
        <v>4.1</v>
      </c>
      <c r="G1155" s="4" t="str">
        <f>HYPERLINK("http://141.218.60.56/~jnz1568/getInfo.php?workbook=14_11.xlsx&amp;sheet=U0&amp;row=1155&amp;col=7&amp;number=1.94&amp;sourceID=14","1.94")</f>
        <v>1.94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HYPERLINK("http://141.218.60.56/~jnz1568/getInfo.php?workbook=14_11.xlsx&amp;sheet=U0&amp;row=1156&amp;col=6&amp;number=4.2&amp;sourceID=14","4.2")</f>
        <v>4.2</v>
      </c>
      <c r="G1156" s="4" t="str">
        <f>HYPERLINK("http://141.218.60.56/~jnz1568/getInfo.php?workbook=14_11.xlsx&amp;sheet=U0&amp;row=1156&amp;col=7&amp;number=1.91&amp;sourceID=14","1.91")</f>
        <v>1.91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HYPERLINK("http://141.218.60.56/~jnz1568/getInfo.php?workbook=14_11.xlsx&amp;sheet=U0&amp;row=1157&amp;col=6&amp;number=4.3&amp;sourceID=14","4.3")</f>
        <v>4.3</v>
      </c>
      <c r="G1157" s="4" t="str">
        <f>HYPERLINK("http://141.218.60.56/~jnz1568/getInfo.php?workbook=14_11.xlsx&amp;sheet=U0&amp;row=1157&amp;col=7&amp;number=1.86&amp;sourceID=14","1.86")</f>
        <v>1.86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HYPERLINK("http://141.218.60.56/~jnz1568/getInfo.php?workbook=14_11.xlsx&amp;sheet=U0&amp;row=1158&amp;col=6&amp;number=4.4&amp;sourceID=14","4.4")</f>
        <v>4.4</v>
      </c>
      <c r="G1158" s="4" t="str">
        <f>HYPERLINK("http://141.218.60.56/~jnz1568/getInfo.php?workbook=14_11.xlsx&amp;sheet=U0&amp;row=1158&amp;col=7&amp;number=1.81&amp;sourceID=14","1.81")</f>
        <v>1.81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HYPERLINK("http://141.218.60.56/~jnz1568/getInfo.php?workbook=14_11.xlsx&amp;sheet=U0&amp;row=1159&amp;col=6&amp;number=4.5&amp;sourceID=14","4.5")</f>
        <v>4.5</v>
      </c>
      <c r="G1159" s="4" t="str">
        <f>HYPERLINK("http://141.218.60.56/~jnz1568/getInfo.php?workbook=14_11.xlsx&amp;sheet=U0&amp;row=1159&amp;col=7&amp;number=1.74&amp;sourceID=14","1.74")</f>
        <v>1.74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HYPERLINK("http://141.218.60.56/~jnz1568/getInfo.php?workbook=14_11.xlsx&amp;sheet=U0&amp;row=1160&amp;col=6&amp;number=4.6&amp;sourceID=14","4.6")</f>
        <v>4.6</v>
      </c>
      <c r="G1160" s="4" t="str">
        <f>HYPERLINK("http://141.218.60.56/~jnz1568/getInfo.php?workbook=14_11.xlsx&amp;sheet=U0&amp;row=1160&amp;col=7&amp;number=1.67&amp;sourceID=14","1.67")</f>
        <v>1.67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HYPERLINK("http://141.218.60.56/~jnz1568/getInfo.php?workbook=14_11.xlsx&amp;sheet=U0&amp;row=1161&amp;col=6&amp;number=4.7&amp;sourceID=14","4.7")</f>
        <v>4.7</v>
      </c>
      <c r="G1161" s="4" t="str">
        <f>HYPERLINK("http://141.218.60.56/~jnz1568/getInfo.php?workbook=14_11.xlsx&amp;sheet=U0&amp;row=1161&amp;col=7&amp;number=1.58&amp;sourceID=14","1.58")</f>
        <v>1.58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HYPERLINK("http://141.218.60.56/~jnz1568/getInfo.php?workbook=14_11.xlsx&amp;sheet=U0&amp;row=1162&amp;col=6&amp;number=4.8&amp;sourceID=14","4.8")</f>
        <v>4.8</v>
      </c>
      <c r="G1162" s="4" t="str">
        <f>HYPERLINK("http://141.218.60.56/~jnz1568/getInfo.php?workbook=14_11.xlsx&amp;sheet=U0&amp;row=1162&amp;col=7&amp;number=1.49&amp;sourceID=14","1.49")</f>
        <v>1.49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HYPERLINK("http://141.218.60.56/~jnz1568/getInfo.php?workbook=14_11.xlsx&amp;sheet=U0&amp;row=1163&amp;col=6&amp;number=4.9&amp;sourceID=14","4.9")</f>
        <v>4.9</v>
      </c>
      <c r="G1163" s="4" t="str">
        <f>HYPERLINK("http://141.218.60.56/~jnz1568/getInfo.php?workbook=14_11.xlsx&amp;sheet=U0&amp;row=1163&amp;col=7&amp;number=1.39&amp;sourceID=14","1.39")</f>
        <v>1.39</v>
      </c>
    </row>
    <row r="1164" spans="1:7">
      <c r="A1164" s="3">
        <v>14</v>
      </c>
      <c r="B1164" s="3">
        <v>11</v>
      </c>
      <c r="C1164" s="3">
        <v>4</v>
      </c>
      <c r="D1164" s="3">
        <v>13</v>
      </c>
      <c r="E1164" s="3">
        <v>1</v>
      </c>
      <c r="F1164" s="4" t="str">
        <f>HYPERLINK("http://141.218.60.56/~jnz1568/getInfo.php?workbook=14_11.xlsx&amp;sheet=U0&amp;row=1164&amp;col=6&amp;number=3&amp;sourceID=14","3")</f>
        <v>3</v>
      </c>
      <c r="G1164" s="4" t="str">
        <f>HYPERLINK("http://141.218.60.56/~jnz1568/getInfo.php?workbook=14_11.xlsx&amp;sheet=U0&amp;row=1164&amp;col=7&amp;number=0.225&amp;sourceID=14","0.225")</f>
        <v>0.225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HYPERLINK("http://141.218.60.56/~jnz1568/getInfo.php?workbook=14_11.xlsx&amp;sheet=U0&amp;row=1165&amp;col=6&amp;number=3.1&amp;sourceID=14","3.1")</f>
        <v>3.1</v>
      </c>
      <c r="G1165" s="4" t="str">
        <f>HYPERLINK("http://141.218.60.56/~jnz1568/getInfo.php?workbook=14_11.xlsx&amp;sheet=U0&amp;row=1165&amp;col=7&amp;number=0.225&amp;sourceID=14","0.225")</f>
        <v>0.225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HYPERLINK("http://141.218.60.56/~jnz1568/getInfo.php?workbook=14_11.xlsx&amp;sheet=U0&amp;row=1166&amp;col=6&amp;number=3.2&amp;sourceID=14","3.2")</f>
        <v>3.2</v>
      </c>
      <c r="G1166" s="4" t="str">
        <f>HYPERLINK("http://141.218.60.56/~jnz1568/getInfo.php?workbook=14_11.xlsx&amp;sheet=U0&amp;row=1166&amp;col=7&amp;number=0.224&amp;sourceID=14","0.224")</f>
        <v>0.224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HYPERLINK("http://141.218.60.56/~jnz1568/getInfo.php?workbook=14_11.xlsx&amp;sheet=U0&amp;row=1167&amp;col=6&amp;number=3.3&amp;sourceID=14","3.3")</f>
        <v>3.3</v>
      </c>
      <c r="G1167" s="4" t="str">
        <f>HYPERLINK("http://141.218.60.56/~jnz1568/getInfo.php?workbook=14_11.xlsx&amp;sheet=U0&amp;row=1167&amp;col=7&amp;number=0.224&amp;sourceID=14","0.224")</f>
        <v>0.224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HYPERLINK("http://141.218.60.56/~jnz1568/getInfo.php?workbook=14_11.xlsx&amp;sheet=U0&amp;row=1168&amp;col=6&amp;number=3.4&amp;sourceID=14","3.4")</f>
        <v>3.4</v>
      </c>
      <c r="G1168" s="4" t="str">
        <f>HYPERLINK("http://141.218.60.56/~jnz1568/getInfo.php?workbook=14_11.xlsx&amp;sheet=U0&amp;row=1168&amp;col=7&amp;number=0.223&amp;sourceID=14","0.223")</f>
        <v>0.223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HYPERLINK("http://141.218.60.56/~jnz1568/getInfo.php?workbook=14_11.xlsx&amp;sheet=U0&amp;row=1169&amp;col=6&amp;number=3.5&amp;sourceID=14","3.5")</f>
        <v>3.5</v>
      </c>
      <c r="G1169" s="4" t="str">
        <f>HYPERLINK("http://141.218.60.56/~jnz1568/getInfo.php?workbook=14_11.xlsx&amp;sheet=U0&amp;row=1169&amp;col=7&amp;number=0.222&amp;sourceID=14","0.222")</f>
        <v>0.222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HYPERLINK("http://141.218.60.56/~jnz1568/getInfo.php?workbook=14_11.xlsx&amp;sheet=U0&amp;row=1170&amp;col=6&amp;number=3.6&amp;sourceID=14","3.6")</f>
        <v>3.6</v>
      </c>
      <c r="G1170" s="4" t="str">
        <f>HYPERLINK("http://141.218.60.56/~jnz1568/getInfo.php?workbook=14_11.xlsx&amp;sheet=U0&amp;row=1170&amp;col=7&amp;number=0.221&amp;sourceID=14","0.221")</f>
        <v>0.221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HYPERLINK("http://141.218.60.56/~jnz1568/getInfo.php?workbook=14_11.xlsx&amp;sheet=U0&amp;row=1171&amp;col=6&amp;number=3.7&amp;sourceID=14","3.7")</f>
        <v>3.7</v>
      </c>
      <c r="G1171" s="4" t="str">
        <f>HYPERLINK("http://141.218.60.56/~jnz1568/getInfo.php?workbook=14_11.xlsx&amp;sheet=U0&amp;row=1171&amp;col=7&amp;number=0.22&amp;sourceID=14","0.22")</f>
        <v>0.22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HYPERLINK("http://141.218.60.56/~jnz1568/getInfo.php?workbook=14_11.xlsx&amp;sheet=U0&amp;row=1172&amp;col=6&amp;number=3.8&amp;sourceID=14","3.8")</f>
        <v>3.8</v>
      </c>
      <c r="G1172" s="4" t="str">
        <f>HYPERLINK("http://141.218.60.56/~jnz1568/getInfo.php?workbook=14_11.xlsx&amp;sheet=U0&amp;row=1172&amp;col=7&amp;number=0.218&amp;sourceID=14","0.218")</f>
        <v>0.218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HYPERLINK("http://141.218.60.56/~jnz1568/getInfo.php?workbook=14_11.xlsx&amp;sheet=U0&amp;row=1173&amp;col=6&amp;number=3.9&amp;sourceID=14","3.9")</f>
        <v>3.9</v>
      </c>
      <c r="G1173" s="4" t="str">
        <f>HYPERLINK("http://141.218.60.56/~jnz1568/getInfo.php?workbook=14_11.xlsx&amp;sheet=U0&amp;row=1173&amp;col=7&amp;number=0.216&amp;sourceID=14","0.216")</f>
        <v>0.216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HYPERLINK("http://141.218.60.56/~jnz1568/getInfo.php?workbook=14_11.xlsx&amp;sheet=U0&amp;row=1174&amp;col=6&amp;number=4&amp;sourceID=14","4")</f>
        <v>4</v>
      </c>
      <c r="G1174" s="4" t="str">
        <f>HYPERLINK("http://141.218.60.56/~jnz1568/getInfo.php?workbook=14_11.xlsx&amp;sheet=U0&amp;row=1174&amp;col=7&amp;number=0.214&amp;sourceID=14","0.214")</f>
        <v>0.214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HYPERLINK("http://141.218.60.56/~jnz1568/getInfo.php?workbook=14_11.xlsx&amp;sheet=U0&amp;row=1175&amp;col=6&amp;number=4.1&amp;sourceID=14","4.1")</f>
        <v>4.1</v>
      </c>
      <c r="G1175" s="4" t="str">
        <f>HYPERLINK("http://141.218.60.56/~jnz1568/getInfo.php?workbook=14_11.xlsx&amp;sheet=U0&amp;row=1175&amp;col=7&amp;number=0.21&amp;sourceID=14","0.21")</f>
        <v>0.21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HYPERLINK("http://141.218.60.56/~jnz1568/getInfo.php?workbook=14_11.xlsx&amp;sheet=U0&amp;row=1176&amp;col=6&amp;number=4.2&amp;sourceID=14","4.2")</f>
        <v>4.2</v>
      </c>
      <c r="G1176" s="4" t="str">
        <f>HYPERLINK("http://141.218.60.56/~jnz1568/getInfo.php?workbook=14_11.xlsx&amp;sheet=U0&amp;row=1176&amp;col=7&amp;number=0.207&amp;sourceID=14","0.207")</f>
        <v>0.207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HYPERLINK("http://141.218.60.56/~jnz1568/getInfo.php?workbook=14_11.xlsx&amp;sheet=U0&amp;row=1177&amp;col=6&amp;number=4.3&amp;sourceID=14","4.3")</f>
        <v>4.3</v>
      </c>
      <c r="G1177" s="4" t="str">
        <f>HYPERLINK("http://141.218.60.56/~jnz1568/getInfo.php?workbook=14_11.xlsx&amp;sheet=U0&amp;row=1177&amp;col=7&amp;number=0.202&amp;sourceID=14","0.202")</f>
        <v>0.202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HYPERLINK("http://141.218.60.56/~jnz1568/getInfo.php?workbook=14_11.xlsx&amp;sheet=U0&amp;row=1178&amp;col=6&amp;number=4.4&amp;sourceID=14","4.4")</f>
        <v>4.4</v>
      </c>
      <c r="G1178" s="4" t="str">
        <f>HYPERLINK("http://141.218.60.56/~jnz1568/getInfo.php?workbook=14_11.xlsx&amp;sheet=U0&amp;row=1178&amp;col=7&amp;number=0.197&amp;sourceID=14","0.197")</f>
        <v>0.197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HYPERLINK("http://141.218.60.56/~jnz1568/getInfo.php?workbook=14_11.xlsx&amp;sheet=U0&amp;row=1179&amp;col=6&amp;number=4.5&amp;sourceID=14","4.5")</f>
        <v>4.5</v>
      </c>
      <c r="G1179" s="4" t="str">
        <f>HYPERLINK("http://141.218.60.56/~jnz1568/getInfo.php?workbook=14_11.xlsx&amp;sheet=U0&amp;row=1179&amp;col=7&amp;number=0.191&amp;sourceID=14","0.191")</f>
        <v>0.191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HYPERLINK("http://141.218.60.56/~jnz1568/getInfo.php?workbook=14_11.xlsx&amp;sheet=U0&amp;row=1180&amp;col=6&amp;number=4.6&amp;sourceID=14","4.6")</f>
        <v>4.6</v>
      </c>
      <c r="G1180" s="4" t="str">
        <f>HYPERLINK("http://141.218.60.56/~jnz1568/getInfo.php?workbook=14_11.xlsx&amp;sheet=U0&amp;row=1180&amp;col=7&amp;number=0.184&amp;sourceID=14","0.184")</f>
        <v>0.184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HYPERLINK("http://141.218.60.56/~jnz1568/getInfo.php?workbook=14_11.xlsx&amp;sheet=U0&amp;row=1181&amp;col=6&amp;number=4.7&amp;sourceID=14","4.7")</f>
        <v>4.7</v>
      </c>
      <c r="G1181" s="4" t="str">
        <f>HYPERLINK("http://141.218.60.56/~jnz1568/getInfo.php?workbook=14_11.xlsx&amp;sheet=U0&amp;row=1181&amp;col=7&amp;number=0.176&amp;sourceID=14","0.176")</f>
        <v>0.176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HYPERLINK("http://141.218.60.56/~jnz1568/getInfo.php?workbook=14_11.xlsx&amp;sheet=U0&amp;row=1182&amp;col=6&amp;number=4.8&amp;sourceID=14","4.8")</f>
        <v>4.8</v>
      </c>
      <c r="G1182" s="4" t="str">
        <f>HYPERLINK("http://141.218.60.56/~jnz1568/getInfo.php?workbook=14_11.xlsx&amp;sheet=U0&amp;row=1182&amp;col=7&amp;number=0.168&amp;sourceID=14","0.168")</f>
        <v>0.168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HYPERLINK("http://141.218.60.56/~jnz1568/getInfo.php?workbook=14_11.xlsx&amp;sheet=U0&amp;row=1183&amp;col=6&amp;number=4.9&amp;sourceID=14","4.9")</f>
        <v>4.9</v>
      </c>
      <c r="G1183" s="4" t="str">
        <f>HYPERLINK("http://141.218.60.56/~jnz1568/getInfo.php?workbook=14_11.xlsx&amp;sheet=U0&amp;row=1183&amp;col=7&amp;number=0.159&amp;sourceID=14","0.159")</f>
        <v>0.159</v>
      </c>
    </row>
    <row r="1184" spans="1:7">
      <c r="A1184" s="3">
        <v>14</v>
      </c>
      <c r="B1184" s="3">
        <v>11</v>
      </c>
      <c r="C1184" s="3">
        <v>4</v>
      </c>
      <c r="D1184" s="3">
        <v>14</v>
      </c>
      <c r="E1184" s="3">
        <v>1</v>
      </c>
      <c r="F1184" s="4" t="str">
        <f>HYPERLINK("http://141.218.60.56/~jnz1568/getInfo.php?workbook=14_11.xlsx&amp;sheet=U0&amp;row=1184&amp;col=6&amp;number=3&amp;sourceID=14","3")</f>
        <v>3</v>
      </c>
      <c r="G1184" s="4" t="str">
        <f>HYPERLINK("http://141.218.60.56/~jnz1568/getInfo.php?workbook=14_11.xlsx&amp;sheet=U0&amp;row=1184&amp;col=7&amp;number=0.35&amp;sourceID=14","0.35")</f>
        <v>0.35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HYPERLINK("http://141.218.60.56/~jnz1568/getInfo.php?workbook=14_11.xlsx&amp;sheet=U0&amp;row=1185&amp;col=6&amp;number=3.1&amp;sourceID=14","3.1")</f>
        <v>3.1</v>
      </c>
      <c r="G1185" s="4" t="str">
        <f>HYPERLINK("http://141.218.60.56/~jnz1568/getInfo.php?workbook=14_11.xlsx&amp;sheet=U0&amp;row=1185&amp;col=7&amp;number=0.35&amp;sourceID=14","0.35")</f>
        <v>0.35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HYPERLINK("http://141.218.60.56/~jnz1568/getInfo.php?workbook=14_11.xlsx&amp;sheet=U0&amp;row=1186&amp;col=6&amp;number=3.2&amp;sourceID=14","3.2")</f>
        <v>3.2</v>
      </c>
      <c r="G1186" s="4" t="str">
        <f>HYPERLINK("http://141.218.60.56/~jnz1568/getInfo.php?workbook=14_11.xlsx&amp;sheet=U0&amp;row=1186&amp;col=7&amp;number=0.35&amp;sourceID=14","0.35")</f>
        <v>0.35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HYPERLINK("http://141.218.60.56/~jnz1568/getInfo.php?workbook=14_11.xlsx&amp;sheet=U0&amp;row=1187&amp;col=6&amp;number=3.3&amp;sourceID=14","3.3")</f>
        <v>3.3</v>
      </c>
      <c r="G1187" s="4" t="str">
        <f>HYPERLINK("http://141.218.60.56/~jnz1568/getInfo.php?workbook=14_11.xlsx&amp;sheet=U0&amp;row=1187&amp;col=7&amp;number=0.35&amp;sourceID=14","0.35")</f>
        <v>0.35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HYPERLINK("http://141.218.60.56/~jnz1568/getInfo.php?workbook=14_11.xlsx&amp;sheet=U0&amp;row=1188&amp;col=6&amp;number=3.4&amp;sourceID=14","3.4")</f>
        <v>3.4</v>
      </c>
      <c r="G1188" s="4" t="str">
        <f>HYPERLINK("http://141.218.60.56/~jnz1568/getInfo.php?workbook=14_11.xlsx&amp;sheet=U0&amp;row=1188&amp;col=7&amp;number=0.349&amp;sourceID=14","0.349")</f>
        <v>0.349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HYPERLINK("http://141.218.60.56/~jnz1568/getInfo.php?workbook=14_11.xlsx&amp;sheet=U0&amp;row=1189&amp;col=6&amp;number=3.5&amp;sourceID=14","3.5")</f>
        <v>3.5</v>
      </c>
      <c r="G1189" s="4" t="str">
        <f>HYPERLINK("http://141.218.60.56/~jnz1568/getInfo.php?workbook=14_11.xlsx&amp;sheet=U0&amp;row=1189&amp;col=7&amp;number=0.349&amp;sourceID=14","0.349")</f>
        <v>0.349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HYPERLINK("http://141.218.60.56/~jnz1568/getInfo.php?workbook=14_11.xlsx&amp;sheet=U0&amp;row=1190&amp;col=6&amp;number=3.6&amp;sourceID=14","3.6")</f>
        <v>3.6</v>
      </c>
      <c r="G1190" s="4" t="str">
        <f>HYPERLINK("http://141.218.60.56/~jnz1568/getInfo.php?workbook=14_11.xlsx&amp;sheet=U0&amp;row=1190&amp;col=7&amp;number=0.349&amp;sourceID=14","0.349")</f>
        <v>0.349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HYPERLINK("http://141.218.60.56/~jnz1568/getInfo.php?workbook=14_11.xlsx&amp;sheet=U0&amp;row=1191&amp;col=6&amp;number=3.7&amp;sourceID=14","3.7")</f>
        <v>3.7</v>
      </c>
      <c r="G1191" s="4" t="str">
        <f>HYPERLINK("http://141.218.60.56/~jnz1568/getInfo.php?workbook=14_11.xlsx&amp;sheet=U0&amp;row=1191&amp;col=7&amp;number=0.349&amp;sourceID=14","0.349")</f>
        <v>0.349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HYPERLINK("http://141.218.60.56/~jnz1568/getInfo.php?workbook=14_11.xlsx&amp;sheet=U0&amp;row=1192&amp;col=6&amp;number=3.8&amp;sourceID=14","3.8")</f>
        <v>3.8</v>
      </c>
      <c r="G1192" s="4" t="str">
        <f>HYPERLINK("http://141.218.60.56/~jnz1568/getInfo.php?workbook=14_11.xlsx&amp;sheet=U0&amp;row=1192&amp;col=7&amp;number=0.348&amp;sourceID=14","0.348")</f>
        <v>0.348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HYPERLINK("http://141.218.60.56/~jnz1568/getInfo.php?workbook=14_11.xlsx&amp;sheet=U0&amp;row=1193&amp;col=6&amp;number=3.9&amp;sourceID=14","3.9")</f>
        <v>3.9</v>
      </c>
      <c r="G1193" s="4" t="str">
        <f>HYPERLINK("http://141.218.60.56/~jnz1568/getInfo.php?workbook=14_11.xlsx&amp;sheet=U0&amp;row=1193&amp;col=7&amp;number=0.348&amp;sourceID=14","0.348")</f>
        <v>0.348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HYPERLINK("http://141.218.60.56/~jnz1568/getInfo.php?workbook=14_11.xlsx&amp;sheet=U0&amp;row=1194&amp;col=6&amp;number=4&amp;sourceID=14","4")</f>
        <v>4</v>
      </c>
      <c r="G1194" s="4" t="str">
        <f>HYPERLINK("http://141.218.60.56/~jnz1568/getInfo.php?workbook=14_11.xlsx&amp;sheet=U0&amp;row=1194&amp;col=7&amp;number=0.347&amp;sourceID=14","0.347")</f>
        <v>0.347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HYPERLINK("http://141.218.60.56/~jnz1568/getInfo.php?workbook=14_11.xlsx&amp;sheet=U0&amp;row=1195&amp;col=6&amp;number=4.1&amp;sourceID=14","4.1")</f>
        <v>4.1</v>
      </c>
      <c r="G1195" s="4" t="str">
        <f>HYPERLINK("http://141.218.60.56/~jnz1568/getInfo.php?workbook=14_11.xlsx&amp;sheet=U0&amp;row=1195&amp;col=7&amp;number=0.347&amp;sourceID=14","0.347")</f>
        <v>0.347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HYPERLINK("http://141.218.60.56/~jnz1568/getInfo.php?workbook=14_11.xlsx&amp;sheet=U0&amp;row=1196&amp;col=6&amp;number=4.2&amp;sourceID=14","4.2")</f>
        <v>4.2</v>
      </c>
      <c r="G1196" s="4" t="str">
        <f>HYPERLINK("http://141.218.60.56/~jnz1568/getInfo.php?workbook=14_11.xlsx&amp;sheet=U0&amp;row=1196&amp;col=7&amp;number=0.346&amp;sourceID=14","0.346")</f>
        <v>0.346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HYPERLINK("http://141.218.60.56/~jnz1568/getInfo.php?workbook=14_11.xlsx&amp;sheet=U0&amp;row=1197&amp;col=6&amp;number=4.3&amp;sourceID=14","4.3")</f>
        <v>4.3</v>
      </c>
      <c r="G1197" s="4" t="str">
        <f>HYPERLINK("http://141.218.60.56/~jnz1568/getInfo.php?workbook=14_11.xlsx&amp;sheet=U0&amp;row=1197&amp;col=7&amp;number=0.345&amp;sourceID=14","0.345")</f>
        <v>0.345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HYPERLINK("http://141.218.60.56/~jnz1568/getInfo.php?workbook=14_11.xlsx&amp;sheet=U0&amp;row=1198&amp;col=6&amp;number=4.4&amp;sourceID=14","4.4")</f>
        <v>4.4</v>
      </c>
      <c r="G1198" s="4" t="str">
        <f>HYPERLINK("http://141.218.60.56/~jnz1568/getInfo.php?workbook=14_11.xlsx&amp;sheet=U0&amp;row=1198&amp;col=7&amp;number=0.344&amp;sourceID=14","0.344")</f>
        <v>0.344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HYPERLINK("http://141.218.60.56/~jnz1568/getInfo.php?workbook=14_11.xlsx&amp;sheet=U0&amp;row=1199&amp;col=6&amp;number=4.5&amp;sourceID=14","4.5")</f>
        <v>4.5</v>
      </c>
      <c r="G1199" s="4" t="str">
        <f>HYPERLINK("http://141.218.60.56/~jnz1568/getInfo.php?workbook=14_11.xlsx&amp;sheet=U0&amp;row=1199&amp;col=7&amp;number=0.343&amp;sourceID=14","0.343")</f>
        <v>0.343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HYPERLINK("http://141.218.60.56/~jnz1568/getInfo.php?workbook=14_11.xlsx&amp;sheet=U0&amp;row=1200&amp;col=6&amp;number=4.6&amp;sourceID=14","4.6")</f>
        <v>4.6</v>
      </c>
      <c r="G1200" s="4" t="str">
        <f>HYPERLINK("http://141.218.60.56/~jnz1568/getInfo.php?workbook=14_11.xlsx&amp;sheet=U0&amp;row=1200&amp;col=7&amp;number=0.342&amp;sourceID=14","0.342")</f>
        <v>0.342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HYPERLINK("http://141.218.60.56/~jnz1568/getInfo.php?workbook=14_11.xlsx&amp;sheet=U0&amp;row=1201&amp;col=6&amp;number=4.7&amp;sourceID=14","4.7")</f>
        <v>4.7</v>
      </c>
      <c r="G1201" s="4" t="str">
        <f>HYPERLINK("http://141.218.60.56/~jnz1568/getInfo.php?workbook=14_11.xlsx&amp;sheet=U0&amp;row=1201&amp;col=7&amp;number=0.341&amp;sourceID=14","0.341")</f>
        <v>0.341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HYPERLINK("http://141.218.60.56/~jnz1568/getInfo.php?workbook=14_11.xlsx&amp;sheet=U0&amp;row=1202&amp;col=6&amp;number=4.8&amp;sourceID=14","4.8")</f>
        <v>4.8</v>
      </c>
      <c r="G1202" s="4" t="str">
        <f>HYPERLINK("http://141.218.60.56/~jnz1568/getInfo.php?workbook=14_11.xlsx&amp;sheet=U0&amp;row=1202&amp;col=7&amp;number=0.34&amp;sourceID=14","0.34")</f>
        <v>0.34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HYPERLINK("http://141.218.60.56/~jnz1568/getInfo.php?workbook=14_11.xlsx&amp;sheet=U0&amp;row=1203&amp;col=6&amp;number=4.9&amp;sourceID=14","4.9")</f>
        <v>4.9</v>
      </c>
      <c r="G1203" s="4" t="str">
        <f>HYPERLINK("http://141.218.60.56/~jnz1568/getInfo.php?workbook=14_11.xlsx&amp;sheet=U0&amp;row=1203&amp;col=7&amp;number=0.34&amp;sourceID=14","0.34")</f>
        <v>0.34</v>
      </c>
    </row>
    <row r="1204" spans="1:7">
      <c r="A1204" s="3">
        <v>14</v>
      </c>
      <c r="B1204" s="3">
        <v>11</v>
      </c>
      <c r="C1204" s="3">
        <v>4</v>
      </c>
      <c r="D1204" s="3">
        <v>15</v>
      </c>
      <c r="E1204" s="3">
        <v>1</v>
      </c>
      <c r="F1204" s="4" t="str">
        <f>HYPERLINK("http://141.218.60.56/~jnz1568/getInfo.php?workbook=14_11.xlsx&amp;sheet=U0&amp;row=1204&amp;col=6&amp;number=3&amp;sourceID=14","3")</f>
        <v>3</v>
      </c>
      <c r="G1204" s="4" t="str">
        <f>HYPERLINK("http://141.218.60.56/~jnz1568/getInfo.php?workbook=14_11.xlsx&amp;sheet=U0&amp;row=1204&amp;col=7&amp;number=0.333&amp;sourceID=14","0.333")</f>
        <v>0.333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HYPERLINK("http://141.218.60.56/~jnz1568/getInfo.php?workbook=14_11.xlsx&amp;sheet=U0&amp;row=1205&amp;col=6&amp;number=3.1&amp;sourceID=14","3.1")</f>
        <v>3.1</v>
      </c>
      <c r="G1205" s="4" t="str">
        <f>HYPERLINK("http://141.218.60.56/~jnz1568/getInfo.php?workbook=14_11.xlsx&amp;sheet=U0&amp;row=1205&amp;col=7&amp;number=0.332&amp;sourceID=14","0.332")</f>
        <v>0.332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HYPERLINK("http://141.218.60.56/~jnz1568/getInfo.php?workbook=14_11.xlsx&amp;sheet=U0&amp;row=1206&amp;col=6&amp;number=3.2&amp;sourceID=14","3.2")</f>
        <v>3.2</v>
      </c>
      <c r="G1206" s="4" t="str">
        <f>HYPERLINK("http://141.218.60.56/~jnz1568/getInfo.php?workbook=14_11.xlsx&amp;sheet=U0&amp;row=1206&amp;col=7&amp;number=0.332&amp;sourceID=14","0.332")</f>
        <v>0.332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HYPERLINK("http://141.218.60.56/~jnz1568/getInfo.php?workbook=14_11.xlsx&amp;sheet=U0&amp;row=1207&amp;col=6&amp;number=3.3&amp;sourceID=14","3.3")</f>
        <v>3.3</v>
      </c>
      <c r="G1207" s="4" t="str">
        <f>HYPERLINK("http://141.218.60.56/~jnz1568/getInfo.php?workbook=14_11.xlsx&amp;sheet=U0&amp;row=1207&amp;col=7&amp;number=0.331&amp;sourceID=14","0.331")</f>
        <v>0.331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HYPERLINK("http://141.218.60.56/~jnz1568/getInfo.php?workbook=14_11.xlsx&amp;sheet=U0&amp;row=1208&amp;col=6&amp;number=3.4&amp;sourceID=14","3.4")</f>
        <v>3.4</v>
      </c>
      <c r="G1208" s="4" t="str">
        <f>HYPERLINK("http://141.218.60.56/~jnz1568/getInfo.php?workbook=14_11.xlsx&amp;sheet=U0&amp;row=1208&amp;col=7&amp;number=0.329&amp;sourceID=14","0.329")</f>
        <v>0.329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HYPERLINK("http://141.218.60.56/~jnz1568/getInfo.php?workbook=14_11.xlsx&amp;sheet=U0&amp;row=1209&amp;col=6&amp;number=3.5&amp;sourceID=14","3.5")</f>
        <v>3.5</v>
      </c>
      <c r="G1209" s="4" t="str">
        <f>HYPERLINK("http://141.218.60.56/~jnz1568/getInfo.php?workbook=14_11.xlsx&amp;sheet=U0&amp;row=1209&amp;col=7&amp;number=0.328&amp;sourceID=14","0.328")</f>
        <v>0.328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HYPERLINK("http://141.218.60.56/~jnz1568/getInfo.php?workbook=14_11.xlsx&amp;sheet=U0&amp;row=1210&amp;col=6&amp;number=3.6&amp;sourceID=14","3.6")</f>
        <v>3.6</v>
      </c>
      <c r="G1210" s="4" t="str">
        <f>HYPERLINK("http://141.218.60.56/~jnz1568/getInfo.php?workbook=14_11.xlsx&amp;sheet=U0&amp;row=1210&amp;col=7&amp;number=0.326&amp;sourceID=14","0.326")</f>
        <v>0.326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HYPERLINK("http://141.218.60.56/~jnz1568/getInfo.php?workbook=14_11.xlsx&amp;sheet=U0&amp;row=1211&amp;col=6&amp;number=3.7&amp;sourceID=14","3.7")</f>
        <v>3.7</v>
      </c>
      <c r="G1211" s="4" t="str">
        <f>HYPERLINK("http://141.218.60.56/~jnz1568/getInfo.php?workbook=14_11.xlsx&amp;sheet=U0&amp;row=1211&amp;col=7&amp;number=0.324&amp;sourceID=14","0.324")</f>
        <v>0.324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HYPERLINK("http://141.218.60.56/~jnz1568/getInfo.php?workbook=14_11.xlsx&amp;sheet=U0&amp;row=1212&amp;col=6&amp;number=3.8&amp;sourceID=14","3.8")</f>
        <v>3.8</v>
      </c>
      <c r="G1212" s="4" t="str">
        <f>HYPERLINK("http://141.218.60.56/~jnz1568/getInfo.php?workbook=14_11.xlsx&amp;sheet=U0&amp;row=1212&amp;col=7&amp;number=0.321&amp;sourceID=14","0.321")</f>
        <v>0.321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HYPERLINK("http://141.218.60.56/~jnz1568/getInfo.php?workbook=14_11.xlsx&amp;sheet=U0&amp;row=1213&amp;col=6&amp;number=3.9&amp;sourceID=14","3.9")</f>
        <v>3.9</v>
      </c>
      <c r="G1213" s="4" t="str">
        <f>HYPERLINK("http://141.218.60.56/~jnz1568/getInfo.php?workbook=14_11.xlsx&amp;sheet=U0&amp;row=1213&amp;col=7&amp;number=0.317&amp;sourceID=14","0.317")</f>
        <v>0.317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HYPERLINK("http://141.218.60.56/~jnz1568/getInfo.php?workbook=14_11.xlsx&amp;sheet=U0&amp;row=1214&amp;col=6&amp;number=4&amp;sourceID=14","4")</f>
        <v>4</v>
      </c>
      <c r="G1214" s="4" t="str">
        <f>HYPERLINK("http://141.218.60.56/~jnz1568/getInfo.php?workbook=14_11.xlsx&amp;sheet=U0&amp;row=1214&amp;col=7&amp;number=0.313&amp;sourceID=14","0.313")</f>
        <v>0.313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HYPERLINK("http://141.218.60.56/~jnz1568/getInfo.php?workbook=14_11.xlsx&amp;sheet=U0&amp;row=1215&amp;col=6&amp;number=4.1&amp;sourceID=14","4.1")</f>
        <v>4.1</v>
      </c>
      <c r="G1215" s="4" t="str">
        <f>HYPERLINK("http://141.218.60.56/~jnz1568/getInfo.php?workbook=14_11.xlsx&amp;sheet=U0&amp;row=1215&amp;col=7&amp;number=0.308&amp;sourceID=14","0.308")</f>
        <v>0.308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HYPERLINK("http://141.218.60.56/~jnz1568/getInfo.php?workbook=14_11.xlsx&amp;sheet=U0&amp;row=1216&amp;col=6&amp;number=4.2&amp;sourceID=14","4.2")</f>
        <v>4.2</v>
      </c>
      <c r="G1216" s="4" t="str">
        <f>HYPERLINK("http://141.218.60.56/~jnz1568/getInfo.php?workbook=14_11.xlsx&amp;sheet=U0&amp;row=1216&amp;col=7&amp;number=0.302&amp;sourceID=14","0.302")</f>
        <v>0.302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HYPERLINK("http://141.218.60.56/~jnz1568/getInfo.php?workbook=14_11.xlsx&amp;sheet=U0&amp;row=1217&amp;col=6&amp;number=4.3&amp;sourceID=14","4.3")</f>
        <v>4.3</v>
      </c>
      <c r="G1217" s="4" t="str">
        <f>HYPERLINK("http://141.218.60.56/~jnz1568/getInfo.php?workbook=14_11.xlsx&amp;sheet=U0&amp;row=1217&amp;col=7&amp;number=0.295&amp;sourceID=14","0.295")</f>
        <v>0.295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HYPERLINK("http://141.218.60.56/~jnz1568/getInfo.php?workbook=14_11.xlsx&amp;sheet=U0&amp;row=1218&amp;col=6&amp;number=4.4&amp;sourceID=14","4.4")</f>
        <v>4.4</v>
      </c>
      <c r="G1218" s="4" t="str">
        <f>HYPERLINK("http://141.218.60.56/~jnz1568/getInfo.php?workbook=14_11.xlsx&amp;sheet=U0&amp;row=1218&amp;col=7&amp;number=0.287&amp;sourceID=14","0.287")</f>
        <v>0.287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HYPERLINK("http://141.218.60.56/~jnz1568/getInfo.php?workbook=14_11.xlsx&amp;sheet=U0&amp;row=1219&amp;col=6&amp;number=4.5&amp;sourceID=14","4.5")</f>
        <v>4.5</v>
      </c>
      <c r="G1219" s="4" t="str">
        <f>HYPERLINK("http://141.218.60.56/~jnz1568/getInfo.php?workbook=14_11.xlsx&amp;sheet=U0&amp;row=1219&amp;col=7&amp;number=0.278&amp;sourceID=14","0.278")</f>
        <v>0.278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HYPERLINK("http://141.218.60.56/~jnz1568/getInfo.php?workbook=14_11.xlsx&amp;sheet=U0&amp;row=1220&amp;col=6&amp;number=4.6&amp;sourceID=14","4.6")</f>
        <v>4.6</v>
      </c>
      <c r="G1220" s="4" t="str">
        <f>HYPERLINK("http://141.218.60.56/~jnz1568/getInfo.php?workbook=14_11.xlsx&amp;sheet=U0&amp;row=1220&amp;col=7&amp;number=0.268&amp;sourceID=14","0.268")</f>
        <v>0.268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HYPERLINK("http://141.218.60.56/~jnz1568/getInfo.php?workbook=14_11.xlsx&amp;sheet=U0&amp;row=1221&amp;col=6&amp;number=4.7&amp;sourceID=14","4.7")</f>
        <v>4.7</v>
      </c>
      <c r="G1221" s="4" t="str">
        <f>HYPERLINK("http://141.218.60.56/~jnz1568/getInfo.php?workbook=14_11.xlsx&amp;sheet=U0&amp;row=1221&amp;col=7&amp;number=0.257&amp;sourceID=14","0.257")</f>
        <v>0.257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HYPERLINK("http://141.218.60.56/~jnz1568/getInfo.php?workbook=14_11.xlsx&amp;sheet=U0&amp;row=1222&amp;col=6&amp;number=4.8&amp;sourceID=14","4.8")</f>
        <v>4.8</v>
      </c>
      <c r="G1222" s="4" t="str">
        <f>HYPERLINK("http://141.218.60.56/~jnz1568/getInfo.php?workbook=14_11.xlsx&amp;sheet=U0&amp;row=1222&amp;col=7&amp;number=0.246&amp;sourceID=14","0.246")</f>
        <v>0.246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HYPERLINK("http://141.218.60.56/~jnz1568/getInfo.php?workbook=14_11.xlsx&amp;sheet=U0&amp;row=1223&amp;col=6&amp;number=4.9&amp;sourceID=14","4.9")</f>
        <v>4.9</v>
      </c>
      <c r="G1223" s="4" t="str">
        <f>HYPERLINK("http://141.218.60.56/~jnz1568/getInfo.php?workbook=14_11.xlsx&amp;sheet=U0&amp;row=1223&amp;col=7&amp;number=0.235&amp;sourceID=14","0.235")</f>
        <v>0.235</v>
      </c>
    </row>
    <row r="1224" spans="1:7">
      <c r="A1224" s="3">
        <v>14</v>
      </c>
      <c r="B1224" s="3">
        <v>11</v>
      </c>
      <c r="C1224" s="3">
        <v>4</v>
      </c>
      <c r="D1224" s="3">
        <v>16</v>
      </c>
      <c r="E1224" s="3">
        <v>1</v>
      </c>
      <c r="F1224" s="4" t="str">
        <f>HYPERLINK("http://141.218.60.56/~jnz1568/getInfo.php?workbook=14_11.xlsx&amp;sheet=U0&amp;row=1224&amp;col=6&amp;number=3&amp;sourceID=14","3")</f>
        <v>3</v>
      </c>
      <c r="G1224" s="4" t="str">
        <f>HYPERLINK("http://141.218.60.56/~jnz1568/getInfo.php?workbook=14_11.xlsx&amp;sheet=U0&amp;row=1224&amp;col=7&amp;number=1.18&amp;sourceID=14","1.18")</f>
        <v>1.18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HYPERLINK("http://141.218.60.56/~jnz1568/getInfo.php?workbook=14_11.xlsx&amp;sheet=U0&amp;row=1225&amp;col=6&amp;number=3.1&amp;sourceID=14","3.1")</f>
        <v>3.1</v>
      </c>
      <c r="G1225" s="4" t="str">
        <f>HYPERLINK("http://141.218.60.56/~jnz1568/getInfo.php?workbook=14_11.xlsx&amp;sheet=U0&amp;row=1225&amp;col=7&amp;number=1.18&amp;sourceID=14","1.18")</f>
        <v>1.18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HYPERLINK("http://141.218.60.56/~jnz1568/getInfo.php?workbook=14_11.xlsx&amp;sheet=U0&amp;row=1226&amp;col=6&amp;number=3.2&amp;sourceID=14","3.2")</f>
        <v>3.2</v>
      </c>
      <c r="G1226" s="4" t="str">
        <f>HYPERLINK("http://141.218.60.56/~jnz1568/getInfo.php?workbook=14_11.xlsx&amp;sheet=U0&amp;row=1226&amp;col=7&amp;number=1.18&amp;sourceID=14","1.18")</f>
        <v>1.18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HYPERLINK("http://141.218.60.56/~jnz1568/getInfo.php?workbook=14_11.xlsx&amp;sheet=U0&amp;row=1227&amp;col=6&amp;number=3.3&amp;sourceID=14","3.3")</f>
        <v>3.3</v>
      </c>
      <c r="G1227" s="4" t="str">
        <f>HYPERLINK("http://141.218.60.56/~jnz1568/getInfo.php?workbook=14_11.xlsx&amp;sheet=U0&amp;row=1227&amp;col=7&amp;number=1.18&amp;sourceID=14","1.18")</f>
        <v>1.18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HYPERLINK("http://141.218.60.56/~jnz1568/getInfo.php?workbook=14_11.xlsx&amp;sheet=U0&amp;row=1228&amp;col=6&amp;number=3.4&amp;sourceID=14","3.4")</f>
        <v>3.4</v>
      </c>
      <c r="G1228" s="4" t="str">
        <f>HYPERLINK("http://141.218.60.56/~jnz1568/getInfo.php?workbook=14_11.xlsx&amp;sheet=U0&amp;row=1228&amp;col=7&amp;number=1.18&amp;sourceID=14","1.18")</f>
        <v>1.18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HYPERLINK("http://141.218.60.56/~jnz1568/getInfo.php?workbook=14_11.xlsx&amp;sheet=U0&amp;row=1229&amp;col=6&amp;number=3.5&amp;sourceID=14","3.5")</f>
        <v>3.5</v>
      </c>
      <c r="G1229" s="4" t="str">
        <f>HYPERLINK("http://141.218.60.56/~jnz1568/getInfo.php?workbook=14_11.xlsx&amp;sheet=U0&amp;row=1229&amp;col=7&amp;number=1.18&amp;sourceID=14","1.18")</f>
        <v>1.18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HYPERLINK("http://141.218.60.56/~jnz1568/getInfo.php?workbook=14_11.xlsx&amp;sheet=U0&amp;row=1230&amp;col=6&amp;number=3.6&amp;sourceID=14","3.6")</f>
        <v>3.6</v>
      </c>
      <c r="G1230" s="4" t="str">
        <f>HYPERLINK("http://141.218.60.56/~jnz1568/getInfo.php?workbook=14_11.xlsx&amp;sheet=U0&amp;row=1230&amp;col=7&amp;number=1.18&amp;sourceID=14","1.18")</f>
        <v>1.18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HYPERLINK("http://141.218.60.56/~jnz1568/getInfo.php?workbook=14_11.xlsx&amp;sheet=U0&amp;row=1231&amp;col=6&amp;number=3.7&amp;sourceID=14","3.7")</f>
        <v>3.7</v>
      </c>
      <c r="G1231" s="4" t="str">
        <f>HYPERLINK("http://141.218.60.56/~jnz1568/getInfo.php?workbook=14_11.xlsx&amp;sheet=U0&amp;row=1231&amp;col=7&amp;number=1.17&amp;sourceID=14","1.17")</f>
        <v>1.17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HYPERLINK("http://141.218.60.56/~jnz1568/getInfo.php?workbook=14_11.xlsx&amp;sheet=U0&amp;row=1232&amp;col=6&amp;number=3.8&amp;sourceID=14","3.8")</f>
        <v>3.8</v>
      </c>
      <c r="G1232" s="4" t="str">
        <f>HYPERLINK("http://141.218.60.56/~jnz1568/getInfo.php?workbook=14_11.xlsx&amp;sheet=U0&amp;row=1232&amp;col=7&amp;number=1.17&amp;sourceID=14","1.17")</f>
        <v>1.17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HYPERLINK("http://141.218.60.56/~jnz1568/getInfo.php?workbook=14_11.xlsx&amp;sheet=U0&amp;row=1233&amp;col=6&amp;number=3.9&amp;sourceID=14","3.9")</f>
        <v>3.9</v>
      </c>
      <c r="G1233" s="4" t="str">
        <f>HYPERLINK("http://141.218.60.56/~jnz1568/getInfo.php?workbook=14_11.xlsx&amp;sheet=U0&amp;row=1233&amp;col=7&amp;number=1.17&amp;sourceID=14","1.17")</f>
        <v>1.17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HYPERLINK("http://141.218.60.56/~jnz1568/getInfo.php?workbook=14_11.xlsx&amp;sheet=U0&amp;row=1234&amp;col=6&amp;number=4&amp;sourceID=14","4")</f>
        <v>4</v>
      </c>
      <c r="G1234" s="4" t="str">
        <f>HYPERLINK("http://141.218.60.56/~jnz1568/getInfo.php?workbook=14_11.xlsx&amp;sheet=U0&amp;row=1234&amp;col=7&amp;number=1.17&amp;sourceID=14","1.17")</f>
        <v>1.17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HYPERLINK("http://141.218.60.56/~jnz1568/getInfo.php?workbook=14_11.xlsx&amp;sheet=U0&amp;row=1235&amp;col=6&amp;number=4.1&amp;sourceID=14","4.1")</f>
        <v>4.1</v>
      </c>
      <c r="G1235" s="4" t="str">
        <f>HYPERLINK("http://141.218.60.56/~jnz1568/getInfo.php?workbook=14_11.xlsx&amp;sheet=U0&amp;row=1235&amp;col=7&amp;number=1.17&amp;sourceID=14","1.17")</f>
        <v>1.17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HYPERLINK("http://141.218.60.56/~jnz1568/getInfo.php?workbook=14_11.xlsx&amp;sheet=U0&amp;row=1236&amp;col=6&amp;number=4.2&amp;sourceID=14","4.2")</f>
        <v>4.2</v>
      </c>
      <c r="G1236" s="4" t="str">
        <f>HYPERLINK("http://141.218.60.56/~jnz1568/getInfo.php?workbook=14_11.xlsx&amp;sheet=U0&amp;row=1236&amp;col=7&amp;number=1.16&amp;sourceID=14","1.16")</f>
        <v>1.16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HYPERLINK("http://141.218.60.56/~jnz1568/getInfo.php?workbook=14_11.xlsx&amp;sheet=U0&amp;row=1237&amp;col=6&amp;number=4.3&amp;sourceID=14","4.3")</f>
        <v>4.3</v>
      </c>
      <c r="G1237" s="4" t="str">
        <f>HYPERLINK("http://141.218.60.56/~jnz1568/getInfo.php?workbook=14_11.xlsx&amp;sheet=U0&amp;row=1237&amp;col=7&amp;number=1.16&amp;sourceID=14","1.16")</f>
        <v>1.16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HYPERLINK("http://141.218.60.56/~jnz1568/getInfo.php?workbook=14_11.xlsx&amp;sheet=U0&amp;row=1238&amp;col=6&amp;number=4.4&amp;sourceID=14","4.4")</f>
        <v>4.4</v>
      </c>
      <c r="G1238" s="4" t="str">
        <f>HYPERLINK("http://141.218.60.56/~jnz1568/getInfo.php?workbook=14_11.xlsx&amp;sheet=U0&amp;row=1238&amp;col=7&amp;number=1.15&amp;sourceID=14","1.15")</f>
        <v>1.15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HYPERLINK("http://141.218.60.56/~jnz1568/getInfo.php?workbook=14_11.xlsx&amp;sheet=U0&amp;row=1239&amp;col=6&amp;number=4.5&amp;sourceID=14","4.5")</f>
        <v>4.5</v>
      </c>
      <c r="G1239" s="4" t="str">
        <f>HYPERLINK("http://141.218.60.56/~jnz1568/getInfo.php?workbook=14_11.xlsx&amp;sheet=U0&amp;row=1239&amp;col=7&amp;number=1.15&amp;sourceID=14","1.15")</f>
        <v>1.15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HYPERLINK("http://141.218.60.56/~jnz1568/getInfo.php?workbook=14_11.xlsx&amp;sheet=U0&amp;row=1240&amp;col=6&amp;number=4.6&amp;sourceID=14","4.6")</f>
        <v>4.6</v>
      </c>
      <c r="G1240" s="4" t="str">
        <f>HYPERLINK("http://141.218.60.56/~jnz1568/getInfo.php?workbook=14_11.xlsx&amp;sheet=U0&amp;row=1240&amp;col=7&amp;number=1.14&amp;sourceID=14","1.14")</f>
        <v>1.14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HYPERLINK("http://141.218.60.56/~jnz1568/getInfo.php?workbook=14_11.xlsx&amp;sheet=U0&amp;row=1241&amp;col=6&amp;number=4.7&amp;sourceID=14","4.7")</f>
        <v>4.7</v>
      </c>
      <c r="G1241" s="4" t="str">
        <f>HYPERLINK("http://141.218.60.56/~jnz1568/getInfo.php?workbook=14_11.xlsx&amp;sheet=U0&amp;row=1241&amp;col=7&amp;number=1.13&amp;sourceID=14","1.13")</f>
        <v>1.13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HYPERLINK("http://141.218.60.56/~jnz1568/getInfo.php?workbook=14_11.xlsx&amp;sheet=U0&amp;row=1242&amp;col=6&amp;number=4.8&amp;sourceID=14","4.8")</f>
        <v>4.8</v>
      </c>
      <c r="G1242" s="4" t="str">
        <f>HYPERLINK("http://141.218.60.56/~jnz1568/getInfo.php?workbook=14_11.xlsx&amp;sheet=U0&amp;row=1242&amp;col=7&amp;number=1.12&amp;sourceID=14","1.12")</f>
        <v>1.12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HYPERLINK("http://141.218.60.56/~jnz1568/getInfo.php?workbook=14_11.xlsx&amp;sheet=U0&amp;row=1243&amp;col=6&amp;number=4.9&amp;sourceID=14","4.9")</f>
        <v>4.9</v>
      </c>
      <c r="G1243" s="4" t="str">
        <f>HYPERLINK("http://141.218.60.56/~jnz1568/getInfo.php?workbook=14_11.xlsx&amp;sheet=U0&amp;row=1243&amp;col=7&amp;number=1.11&amp;sourceID=14","1.11")</f>
        <v>1.11</v>
      </c>
    </row>
    <row r="1244" spans="1:7">
      <c r="A1244" s="3">
        <v>14</v>
      </c>
      <c r="B1244" s="3">
        <v>11</v>
      </c>
      <c r="C1244" s="3">
        <v>4</v>
      </c>
      <c r="D1244" s="3">
        <v>17</v>
      </c>
      <c r="E1244" s="3">
        <v>1</v>
      </c>
      <c r="F1244" s="4" t="str">
        <f>HYPERLINK("http://141.218.60.56/~jnz1568/getInfo.php?workbook=14_11.xlsx&amp;sheet=U0&amp;row=1244&amp;col=6&amp;number=3&amp;sourceID=14","3")</f>
        <v>3</v>
      </c>
      <c r="G1244" s="4" t="str">
        <f>HYPERLINK("http://141.218.60.56/~jnz1568/getInfo.php?workbook=14_11.xlsx&amp;sheet=U0&amp;row=1244&amp;col=7&amp;number=0.359&amp;sourceID=14","0.359")</f>
        <v>0.359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HYPERLINK("http://141.218.60.56/~jnz1568/getInfo.php?workbook=14_11.xlsx&amp;sheet=U0&amp;row=1245&amp;col=6&amp;number=3.1&amp;sourceID=14","3.1")</f>
        <v>3.1</v>
      </c>
      <c r="G1245" s="4" t="str">
        <f>HYPERLINK("http://141.218.60.56/~jnz1568/getInfo.php?workbook=14_11.xlsx&amp;sheet=U0&amp;row=1245&amp;col=7&amp;number=0.359&amp;sourceID=14","0.359")</f>
        <v>0.359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HYPERLINK("http://141.218.60.56/~jnz1568/getInfo.php?workbook=14_11.xlsx&amp;sheet=U0&amp;row=1246&amp;col=6&amp;number=3.2&amp;sourceID=14","3.2")</f>
        <v>3.2</v>
      </c>
      <c r="G1246" s="4" t="str">
        <f>HYPERLINK("http://141.218.60.56/~jnz1568/getInfo.php?workbook=14_11.xlsx&amp;sheet=U0&amp;row=1246&amp;col=7&amp;number=0.358&amp;sourceID=14","0.358")</f>
        <v>0.358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HYPERLINK("http://141.218.60.56/~jnz1568/getInfo.php?workbook=14_11.xlsx&amp;sheet=U0&amp;row=1247&amp;col=6&amp;number=3.3&amp;sourceID=14","3.3")</f>
        <v>3.3</v>
      </c>
      <c r="G1247" s="4" t="str">
        <f>HYPERLINK("http://141.218.60.56/~jnz1568/getInfo.php?workbook=14_11.xlsx&amp;sheet=U0&amp;row=1247&amp;col=7&amp;number=0.357&amp;sourceID=14","0.357")</f>
        <v>0.357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HYPERLINK("http://141.218.60.56/~jnz1568/getInfo.php?workbook=14_11.xlsx&amp;sheet=U0&amp;row=1248&amp;col=6&amp;number=3.4&amp;sourceID=14","3.4")</f>
        <v>3.4</v>
      </c>
      <c r="G1248" s="4" t="str">
        <f>HYPERLINK("http://141.218.60.56/~jnz1568/getInfo.php?workbook=14_11.xlsx&amp;sheet=U0&amp;row=1248&amp;col=7&amp;number=0.356&amp;sourceID=14","0.356")</f>
        <v>0.356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HYPERLINK("http://141.218.60.56/~jnz1568/getInfo.php?workbook=14_11.xlsx&amp;sheet=U0&amp;row=1249&amp;col=6&amp;number=3.5&amp;sourceID=14","3.5")</f>
        <v>3.5</v>
      </c>
      <c r="G1249" s="4" t="str">
        <f>HYPERLINK("http://141.218.60.56/~jnz1568/getInfo.php?workbook=14_11.xlsx&amp;sheet=U0&amp;row=1249&amp;col=7&amp;number=0.355&amp;sourceID=14","0.355")</f>
        <v>0.355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HYPERLINK("http://141.218.60.56/~jnz1568/getInfo.php?workbook=14_11.xlsx&amp;sheet=U0&amp;row=1250&amp;col=6&amp;number=3.6&amp;sourceID=14","3.6")</f>
        <v>3.6</v>
      </c>
      <c r="G1250" s="4" t="str">
        <f>HYPERLINK("http://141.218.60.56/~jnz1568/getInfo.php?workbook=14_11.xlsx&amp;sheet=U0&amp;row=1250&amp;col=7&amp;number=0.354&amp;sourceID=14","0.354")</f>
        <v>0.354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HYPERLINK("http://141.218.60.56/~jnz1568/getInfo.php?workbook=14_11.xlsx&amp;sheet=U0&amp;row=1251&amp;col=6&amp;number=3.7&amp;sourceID=14","3.7")</f>
        <v>3.7</v>
      </c>
      <c r="G1251" s="4" t="str">
        <f>HYPERLINK("http://141.218.60.56/~jnz1568/getInfo.php?workbook=14_11.xlsx&amp;sheet=U0&amp;row=1251&amp;col=7&amp;number=0.352&amp;sourceID=14","0.352")</f>
        <v>0.352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HYPERLINK("http://141.218.60.56/~jnz1568/getInfo.php?workbook=14_11.xlsx&amp;sheet=U0&amp;row=1252&amp;col=6&amp;number=3.8&amp;sourceID=14","3.8")</f>
        <v>3.8</v>
      </c>
      <c r="G1252" s="4" t="str">
        <f>HYPERLINK("http://141.218.60.56/~jnz1568/getInfo.php?workbook=14_11.xlsx&amp;sheet=U0&amp;row=1252&amp;col=7&amp;number=0.349&amp;sourceID=14","0.349")</f>
        <v>0.349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HYPERLINK("http://141.218.60.56/~jnz1568/getInfo.php?workbook=14_11.xlsx&amp;sheet=U0&amp;row=1253&amp;col=6&amp;number=3.9&amp;sourceID=14","3.9")</f>
        <v>3.9</v>
      </c>
      <c r="G1253" s="4" t="str">
        <f>HYPERLINK("http://141.218.60.56/~jnz1568/getInfo.php?workbook=14_11.xlsx&amp;sheet=U0&amp;row=1253&amp;col=7&amp;number=0.346&amp;sourceID=14","0.346")</f>
        <v>0.346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HYPERLINK("http://141.218.60.56/~jnz1568/getInfo.php?workbook=14_11.xlsx&amp;sheet=U0&amp;row=1254&amp;col=6&amp;number=4&amp;sourceID=14","4")</f>
        <v>4</v>
      </c>
      <c r="G1254" s="4" t="str">
        <f>HYPERLINK("http://141.218.60.56/~jnz1568/getInfo.php?workbook=14_11.xlsx&amp;sheet=U0&amp;row=1254&amp;col=7&amp;number=0.343&amp;sourceID=14","0.343")</f>
        <v>0.343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HYPERLINK("http://141.218.60.56/~jnz1568/getInfo.php?workbook=14_11.xlsx&amp;sheet=U0&amp;row=1255&amp;col=6&amp;number=4.1&amp;sourceID=14","4.1")</f>
        <v>4.1</v>
      </c>
      <c r="G1255" s="4" t="str">
        <f>HYPERLINK("http://141.218.60.56/~jnz1568/getInfo.php?workbook=14_11.xlsx&amp;sheet=U0&amp;row=1255&amp;col=7&amp;number=0.338&amp;sourceID=14","0.338")</f>
        <v>0.338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HYPERLINK("http://141.218.60.56/~jnz1568/getInfo.php?workbook=14_11.xlsx&amp;sheet=U0&amp;row=1256&amp;col=6&amp;number=4.2&amp;sourceID=14","4.2")</f>
        <v>4.2</v>
      </c>
      <c r="G1256" s="4" t="str">
        <f>HYPERLINK("http://141.218.60.56/~jnz1568/getInfo.php?workbook=14_11.xlsx&amp;sheet=U0&amp;row=1256&amp;col=7&amp;number=0.333&amp;sourceID=14","0.333")</f>
        <v>0.333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HYPERLINK("http://141.218.60.56/~jnz1568/getInfo.php?workbook=14_11.xlsx&amp;sheet=U0&amp;row=1257&amp;col=6&amp;number=4.3&amp;sourceID=14","4.3")</f>
        <v>4.3</v>
      </c>
      <c r="G1257" s="4" t="str">
        <f>HYPERLINK("http://141.218.60.56/~jnz1568/getInfo.php?workbook=14_11.xlsx&amp;sheet=U0&amp;row=1257&amp;col=7&amp;number=0.326&amp;sourceID=14","0.326")</f>
        <v>0.326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HYPERLINK("http://141.218.60.56/~jnz1568/getInfo.php?workbook=14_11.xlsx&amp;sheet=U0&amp;row=1258&amp;col=6&amp;number=4.4&amp;sourceID=14","4.4")</f>
        <v>4.4</v>
      </c>
      <c r="G1258" s="4" t="str">
        <f>HYPERLINK("http://141.218.60.56/~jnz1568/getInfo.php?workbook=14_11.xlsx&amp;sheet=U0&amp;row=1258&amp;col=7&amp;number=0.318&amp;sourceID=14","0.318")</f>
        <v>0.318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HYPERLINK("http://141.218.60.56/~jnz1568/getInfo.php?workbook=14_11.xlsx&amp;sheet=U0&amp;row=1259&amp;col=6&amp;number=4.5&amp;sourceID=14","4.5")</f>
        <v>4.5</v>
      </c>
      <c r="G1259" s="4" t="str">
        <f>HYPERLINK("http://141.218.60.56/~jnz1568/getInfo.php?workbook=14_11.xlsx&amp;sheet=U0&amp;row=1259&amp;col=7&amp;number=0.309&amp;sourceID=14","0.309")</f>
        <v>0.309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HYPERLINK("http://141.218.60.56/~jnz1568/getInfo.php?workbook=14_11.xlsx&amp;sheet=U0&amp;row=1260&amp;col=6&amp;number=4.6&amp;sourceID=14","4.6")</f>
        <v>4.6</v>
      </c>
      <c r="G1260" s="4" t="str">
        <f>HYPERLINK("http://141.218.60.56/~jnz1568/getInfo.php?workbook=14_11.xlsx&amp;sheet=U0&amp;row=1260&amp;col=7&amp;number=0.298&amp;sourceID=14","0.298")</f>
        <v>0.298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HYPERLINK("http://141.218.60.56/~jnz1568/getInfo.php?workbook=14_11.xlsx&amp;sheet=U0&amp;row=1261&amp;col=6&amp;number=4.7&amp;sourceID=14","4.7")</f>
        <v>4.7</v>
      </c>
      <c r="G1261" s="4" t="str">
        <f>HYPERLINK("http://141.218.60.56/~jnz1568/getInfo.php?workbook=14_11.xlsx&amp;sheet=U0&amp;row=1261&amp;col=7&amp;number=0.285&amp;sourceID=14","0.285")</f>
        <v>0.285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HYPERLINK("http://141.218.60.56/~jnz1568/getInfo.php?workbook=14_11.xlsx&amp;sheet=U0&amp;row=1262&amp;col=6&amp;number=4.8&amp;sourceID=14","4.8")</f>
        <v>4.8</v>
      </c>
      <c r="G1262" s="4" t="str">
        <f>HYPERLINK("http://141.218.60.56/~jnz1568/getInfo.php?workbook=14_11.xlsx&amp;sheet=U0&amp;row=1262&amp;col=7&amp;number=0.272&amp;sourceID=14","0.272")</f>
        <v>0.272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HYPERLINK("http://141.218.60.56/~jnz1568/getInfo.php?workbook=14_11.xlsx&amp;sheet=U0&amp;row=1263&amp;col=6&amp;number=4.9&amp;sourceID=14","4.9")</f>
        <v>4.9</v>
      </c>
      <c r="G1263" s="4" t="str">
        <f>HYPERLINK("http://141.218.60.56/~jnz1568/getInfo.php?workbook=14_11.xlsx&amp;sheet=U0&amp;row=1263&amp;col=7&amp;number=0.257&amp;sourceID=14","0.257")</f>
        <v>0.257</v>
      </c>
    </row>
    <row r="1264" spans="1:7">
      <c r="A1264" s="3">
        <v>14</v>
      </c>
      <c r="B1264" s="3">
        <v>11</v>
      </c>
      <c r="C1264" s="3">
        <v>4</v>
      </c>
      <c r="D1264" s="3">
        <v>18</v>
      </c>
      <c r="E1264" s="3">
        <v>1</v>
      </c>
      <c r="F1264" s="4" t="str">
        <f>HYPERLINK("http://141.218.60.56/~jnz1568/getInfo.php?workbook=14_11.xlsx&amp;sheet=U0&amp;row=1264&amp;col=6&amp;number=3&amp;sourceID=14","3")</f>
        <v>3</v>
      </c>
      <c r="G1264" s="4" t="str">
        <f>HYPERLINK("http://141.218.60.56/~jnz1568/getInfo.php?workbook=14_11.xlsx&amp;sheet=U0&amp;row=1264&amp;col=7&amp;number=3.06&amp;sourceID=14","3.06")</f>
        <v>3.06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HYPERLINK("http://141.218.60.56/~jnz1568/getInfo.php?workbook=14_11.xlsx&amp;sheet=U0&amp;row=1265&amp;col=6&amp;number=3.1&amp;sourceID=14","3.1")</f>
        <v>3.1</v>
      </c>
      <c r="G1265" s="4" t="str">
        <f>HYPERLINK("http://141.218.60.56/~jnz1568/getInfo.php?workbook=14_11.xlsx&amp;sheet=U0&amp;row=1265&amp;col=7&amp;number=3.06&amp;sourceID=14","3.06")</f>
        <v>3.06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HYPERLINK("http://141.218.60.56/~jnz1568/getInfo.php?workbook=14_11.xlsx&amp;sheet=U0&amp;row=1266&amp;col=6&amp;number=3.2&amp;sourceID=14","3.2")</f>
        <v>3.2</v>
      </c>
      <c r="G1266" s="4" t="str">
        <f>HYPERLINK("http://141.218.60.56/~jnz1568/getInfo.php?workbook=14_11.xlsx&amp;sheet=U0&amp;row=1266&amp;col=7&amp;number=3.07&amp;sourceID=14","3.07")</f>
        <v>3.07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HYPERLINK("http://141.218.60.56/~jnz1568/getInfo.php?workbook=14_11.xlsx&amp;sheet=U0&amp;row=1267&amp;col=6&amp;number=3.3&amp;sourceID=14","3.3")</f>
        <v>3.3</v>
      </c>
      <c r="G1267" s="4" t="str">
        <f>HYPERLINK("http://141.218.60.56/~jnz1568/getInfo.php?workbook=14_11.xlsx&amp;sheet=U0&amp;row=1267&amp;col=7&amp;number=3.07&amp;sourceID=14","3.07")</f>
        <v>3.07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HYPERLINK("http://141.218.60.56/~jnz1568/getInfo.php?workbook=14_11.xlsx&amp;sheet=U0&amp;row=1268&amp;col=6&amp;number=3.4&amp;sourceID=14","3.4")</f>
        <v>3.4</v>
      </c>
      <c r="G1268" s="4" t="str">
        <f>HYPERLINK("http://141.218.60.56/~jnz1568/getInfo.php?workbook=14_11.xlsx&amp;sheet=U0&amp;row=1268&amp;col=7&amp;number=3.07&amp;sourceID=14","3.07")</f>
        <v>3.07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HYPERLINK("http://141.218.60.56/~jnz1568/getInfo.php?workbook=14_11.xlsx&amp;sheet=U0&amp;row=1269&amp;col=6&amp;number=3.5&amp;sourceID=14","3.5")</f>
        <v>3.5</v>
      </c>
      <c r="G1269" s="4" t="str">
        <f>HYPERLINK("http://141.218.60.56/~jnz1568/getInfo.php?workbook=14_11.xlsx&amp;sheet=U0&amp;row=1269&amp;col=7&amp;number=3.07&amp;sourceID=14","3.07")</f>
        <v>3.07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HYPERLINK("http://141.218.60.56/~jnz1568/getInfo.php?workbook=14_11.xlsx&amp;sheet=U0&amp;row=1270&amp;col=6&amp;number=3.6&amp;sourceID=14","3.6")</f>
        <v>3.6</v>
      </c>
      <c r="G1270" s="4" t="str">
        <f>HYPERLINK("http://141.218.60.56/~jnz1568/getInfo.php?workbook=14_11.xlsx&amp;sheet=U0&amp;row=1270&amp;col=7&amp;number=3.07&amp;sourceID=14","3.07")</f>
        <v>3.07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HYPERLINK("http://141.218.60.56/~jnz1568/getInfo.php?workbook=14_11.xlsx&amp;sheet=U0&amp;row=1271&amp;col=6&amp;number=3.7&amp;sourceID=14","3.7")</f>
        <v>3.7</v>
      </c>
      <c r="G1271" s="4" t="str">
        <f>HYPERLINK("http://141.218.60.56/~jnz1568/getInfo.php?workbook=14_11.xlsx&amp;sheet=U0&amp;row=1271&amp;col=7&amp;number=3.08&amp;sourceID=14","3.08")</f>
        <v>3.08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HYPERLINK("http://141.218.60.56/~jnz1568/getInfo.php?workbook=14_11.xlsx&amp;sheet=U0&amp;row=1272&amp;col=6&amp;number=3.8&amp;sourceID=14","3.8")</f>
        <v>3.8</v>
      </c>
      <c r="G1272" s="4" t="str">
        <f>HYPERLINK("http://141.218.60.56/~jnz1568/getInfo.php?workbook=14_11.xlsx&amp;sheet=U0&amp;row=1272&amp;col=7&amp;number=3.08&amp;sourceID=14","3.08")</f>
        <v>3.08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HYPERLINK("http://141.218.60.56/~jnz1568/getInfo.php?workbook=14_11.xlsx&amp;sheet=U0&amp;row=1273&amp;col=6&amp;number=3.9&amp;sourceID=14","3.9")</f>
        <v>3.9</v>
      </c>
      <c r="G1273" s="4" t="str">
        <f>HYPERLINK("http://141.218.60.56/~jnz1568/getInfo.php?workbook=14_11.xlsx&amp;sheet=U0&amp;row=1273&amp;col=7&amp;number=3.09&amp;sourceID=14","3.09")</f>
        <v>3.09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HYPERLINK("http://141.218.60.56/~jnz1568/getInfo.php?workbook=14_11.xlsx&amp;sheet=U0&amp;row=1274&amp;col=6&amp;number=4&amp;sourceID=14","4")</f>
        <v>4</v>
      </c>
      <c r="G1274" s="4" t="str">
        <f>HYPERLINK("http://141.218.60.56/~jnz1568/getInfo.php?workbook=14_11.xlsx&amp;sheet=U0&amp;row=1274&amp;col=7&amp;number=3.09&amp;sourceID=14","3.09")</f>
        <v>3.09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HYPERLINK("http://141.218.60.56/~jnz1568/getInfo.php?workbook=14_11.xlsx&amp;sheet=U0&amp;row=1275&amp;col=6&amp;number=4.1&amp;sourceID=14","4.1")</f>
        <v>4.1</v>
      </c>
      <c r="G1275" s="4" t="str">
        <f>HYPERLINK("http://141.218.60.56/~jnz1568/getInfo.php?workbook=14_11.xlsx&amp;sheet=U0&amp;row=1275&amp;col=7&amp;number=3.1&amp;sourceID=14","3.1")</f>
        <v>3.1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HYPERLINK("http://141.218.60.56/~jnz1568/getInfo.php?workbook=14_11.xlsx&amp;sheet=U0&amp;row=1276&amp;col=6&amp;number=4.2&amp;sourceID=14","4.2")</f>
        <v>4.2</v>
      </c>
      <c r="G1276" s="4" t="str">
        <f>HYPERLINK("http://141.218.60.56/~jnz1568/getInfo.php?workbook=14_11.xlsx&amp;sheet=U0&amp;row=1276&amp;col=7&amp;number=3.11&amp;sourceID=14","3.11")</f>
        <v>3.11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HYPERLINK("http://141.218.60.56/~jnz1568/getInfo.php?workbook=14_11.xlsx&amp;sheet=U0&amp;row=1277&amp;col=6&amp;number=4.3&amp;sourceID=14","4.3")</f>
        <v>4.3</v>
      </c>
      <c r="G1277" s="4" t="str">
        <f>HYPERLINK("http://141.218.60.56/~jnz1568/getInfo.php?workbook=14_11.xlsx&amp;sheet=U0&amp;row=1277&amp;col=7&amp;number=3.12&amp;sourceID=14","3.12")</f>
        <v>3.12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HYPERLINK("http://141.218.60.56/~jnz1568/getInfo.php?workbook=14_11.xlsx&amp;sheet=U0&amp;row=1278&amp;col=6&amp;number=4.4&amp;sourceID=14","4.4")</f>
        <v>4.4</v>
      </c>
      <c r="G1278" s="4" t="str">
        <f>HYPERLINK("http://141.218.60.56/~jnz1568/getInfo.php?workbook=14_11.xlsx&amp;sheet=U0&amp;row=1278&amp;col=7&amp;number=3.14&amp;sourceID=14","3.14")</f>
        <v>3.14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HYPERLINK("http://141.218.60.56/~jnz1568/getInfo.php?workbook=14_11.xlsx&amp;sheet=U0&amp;row=1279&amp;col=6&amp;number=4.5&amp;sourceID=14","4.5")</f>
        <v>4.5</v>
      </c>
      <c r="G1279" s="4" t="str">
        <f>HYPERLINK("http://141.218.60.56/~jnz1568/getInfo.php?workbook=14_11.xlsx&amp;sheet=U0&amp;row=1279&amp;col=7&amp;number=3.16&amp;sourceID=14","3.16")</f>
        <v>3.16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HYPERLINK("http://141.218.60.56/~jnz1568/getInfo.php?workbook=14_11.xlsx&amp;sheet=U0&amp;row=1280&amp;col=6&amp;number=4.6&amp;sourceID=14","4.6")</f>
        <v>4.6</v>
      </c>
      <c r="G1280" s="4" t="str">
        <f>HYPERLINK("http://141.218.60.56/~jnz1568/getInfo.php?workbook=14_11.xlsx&amp;sheet=U0&amp;row=1280&amp;col=7&amp;number=3.19&amp;sourceID=14","3.19")</f>
        <v>3.19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HYPERLINK("http://141.218.60.56/~jnz1568/getInfo.php?workbook=14_11.xlsx&amp;sheet=U0&amp;row=1281&amp;col=6&amp;number=4.7&amp;sourceID=14","4.7")</f>
        <v>4.7</v>
      </c>
      <c r="G1281" s="4" t="str">
        <f>HYPERLINK("http://141.218.60.56/~jnz1568/getInfo.php?workbook=14_11.xlsx&amp;sheet=U0&amp;row=1281&amp;col=7&amp;number=3.22&amp;sourceID=14","3.22")</f>
        <v>3.22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HYPERLINK("http://141.218.60.56/~jnz1568/getInfo.php?workbook=14_11.xlsx&amp;sheet=U0&amp;row=1282&amp;col=6&amp;number=4.8&amp;sourceID=14","4.8")</f>
        <v>4.8</v>
      </c>
      <c r="G1282" s="4" t="str">
        <f>HYPERLINK("http://141.218.60.56/~jnz1568/getInfo.php?workbook=14_11.xlsx&amp;sheet=U0&amp;row=1282&amp;col=7&amp;number=3.27&amp;sourceID=14","3.27")</f>
        <v>3.27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HYPERLINK("http://141.218.60.56/~jnz1568/getInfo.php?workbook=14_11.xlsx&amp;sheet=U0&amp;row=1283&amp;col=6&amp;number=4.9&amp;sourceID=14","4.9")</f>
        <v>4.9</v>
      </c>
      <c r="G1283" s="4" t="str">
        <f>HYPERLINK("http://141.218.60.56/~jnz1568/getInfo.php?workbook=14_11.xlsx&amp;sheet=U0&amp;row=1283&amp;col=7&amp;number=3.32&amp;sourceID=14","3.32")</f>
        <v>3.32</v>
      </c>
    </row>
    <row r="1284" spans="1:7">
      <c r="A1284" s="3">
        <v>14</v>
      </c>
      <c r="B1284" s="3">
        <v>11</v>
      </c>
      <c r="C1284" s="3">
        <v>4</v>
      </c>
      <c r="D1284" s="3">
        <v>19</v>
      </c>
      <c r="E1284" s="3">
        <v>1</v>
      </c>
      <c r="F1284" s="4" t="str">
        <f>HYPERLINK("http://141.218.60.56/~jnz1568/getInfo.php?workbook=14_11.xlsx&amp;sheet=U0&amp;row=1284&amp;col=6&amp;number=3&amp;sourceID=14","3")</f>
        <v>3</v>
      </c>
      <c r="G1284" s="4" t="str">
        <f>HYPERLINK("http://141.218.60.56/~jnz1568/getInfo.php?workbook=14_11.xlsx&amp;sheet=U0&amp;row=1284&amp;col=7&amp;number=0.706&amp;sourceID=14","0.706")</f>
        <v>0.706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HYPERLINK("http://141.218.60.56/~jnz1568/getInfo.php?workbook=14_11.xlsx&amp;sheet=U0&amp;row=1285&amp;col=6&amp;number=3.1&amp;sourceID=14","3.1")</f>
        <v>3.1</v>
      </c>
      <c r="G1285" s="4" t="str">
        <f>HYPERLINK("http://141.218.60.56/~jnz1568/getInfo.php?workbook=14_11.xlsx&amp;sheet=U0&amp;row=1285&amp;col=7&amp;number=0.705&amp;sourceID=14","0.705")</f>
        <v>0.705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HYPERLINK("http://141.218.60.56/~jnz1568/getInfo.php?workbook=14_11.xlsx&amp;sheet=U0&amp;row=1286&amp;col=6&amp;number=3.2&amp;sourceID=14","3.2")</f>
        <v>3.2</v>
      </c>
      <c r="G1286" s="4" t="str">
        <f>HYPERLINK("http://141.218.60.56/~jnz1568/getInfo.php?workbook=14_11.xlsx&amp;sheet=U0&amp;row=1286&amp;col=7&amp;number=0.704&amp;sourceID=14","0.704")</f>
        <v>0.704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HYPERLINK("http://141.218.60.56/~jnz1568/getInfo.php?workbook=14_11.xlsx&amp;sheet=U0&amp;row=1287&amp;col=6&amp;number=3.3&amp;sourceID=14","3.3")</f>
        <v>3.3</v>
      </c>
      <c r="G1287" s="4" t="str">
        <f>HYPERLINK("http://141.218.60.56/~jnz1568/getInfo.php?workbook=14_11.xlsx&amp;sheet=U0&amp;row=1287&amp;col=7&amp;number=0.701&amp;sourceID=14","0.701")</f>
        <v>0.701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HYPERLINK("http://141.218.60.56/~jnz1568/getInfo.php?workbook=14_11.xlsx&amp;sheet=U0&amp;row=1288&amp;col=6&amp;number=3.4&amp;sourceID=14","3.4")</f>
        <v>3.4</v>
      </c>
      <c r="G1288" s="4" t="str">
        <f>HYPERLINK("http://141.218.60.56/~jnz1568/getInfo.php?workbook=14_11.xlsx&amp;sheet=U0&amp;row=1288&amp;col=7&amp;number=0.699&amp;sourceID=14","0.699")</f>
        <v>0.699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HYPERLINK("http://141.218.60.56/~jnz1568/getInfo.php?workbook=14_11.xlsx&amp;sheet=U0&amp;row=1289&amp;col=6&amp;number=3.5&amp;sourceID=14","3.5")</f>
        <v>3.5</v>
      </c>
      <c r="G1289" s="4" t="str">
        <f>HYPERLINK("http://141.218.60.56/~jnz1568/getInfo.php?workbook=14_11.xlsx&amp;sheet=U0&amp;row=1289&amp;col=7&amp;number=0.696&amp;sourceID=14","0.696")</f>
        <v>0.696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HYPERLINK("http://141.218.60.56/~jnz1568/getInfo.php?workbook=14_11.xlsx&amp;sheet=U0&amp;row=1290&amp;col=6&amp;number=3.6&amp;sourceID=14","3.6")</f>
        <v>3.6</v>
      </c>
      <c r="G1290" s="4" t="str">
        <f>HYPERLINK("http://141.218.60.56/~jnz1568/getInfo.php?workbook=14_11.xlsx&amp;sheet=U0&amp;row=1290&amp;col=7&amp;number=0.692&amp;sourceID=14","0.692")</f>
        <v>0.692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HYPERLINK("http://141.218.60.56/~jnz1568/getInfo.php?workbook=14_11.xlsx&amp;sheet=U0&amp;row=1291&amp;col=6&amp;number=3.7&amp;sourceID=14","3.7")</f>
        <v>3.7</v>
      </c>
      <c r="G1291" s="4" t="str">
        <f>HYPERLINK("http://141.218.60.56/~jnz1568/getInfo.php?workbook=14_11.xlsx&amp;sheet=U0&amp;row=1291&amp;col=7&amp;number=0.687&amp;sourceID=14","0.687")</f>
        <v>0.687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HYPERLINK("http://141.218.60.56/~jnz1568/getInfo.php?workbook=14_11.xlsx&amp;sheet=U0&amp;row=1292&amp;col=6&amp;number=3.8&amp;sourceID=14","3.8")</f>
        <v>3.8</v>
      </c>
      <c r="G1292" s="4" t="str">
        <f>HYPERLINK("http://141.218.60.56/~jnz1568/getInfo.php?workbook=14_11.xlsx&amp;sheet=U0&amp;row=1292&amp;col=7&amp;number=0.681&amp;sourceID=14","0.681")</f>
        <v>0.681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HYPERLINK("http://141.218.60.56/~jnz1568/getInfo.php?workbook=14_11.xlsx&amp;sheet=U0&amp;row=1293&amp;col=6&amp;number=3.9&amp;sourceID=14","3.9")</f>
        <v>3.9</v>
      </c>
      <c r="G1293" s="4" t="str">
        <f>HYPERLINK("http://141.218.60.56/~jnz1568/getInfo.php?workbook=14_11.xlsx&amp;sheet=U0&amp;row=1293&amp;col=7&amp;number=0.673&amp;sourceID=14","0.673")</f>
        <v>0.673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HYPERLINK("http://141.218.60.56/~jnz1568/getInfo.php?workbook=14_11.xlsx&amp;sheet=U0&amp;row=1294&amp;col=6&amp;number=4&amp;sourceID=14","4")</f>
        <v>4</v>
      </c>
      <c r="G1294" s="4" t="str">
        <f>HYPERLINK("http://141.218.60.56/~jnz1568/getInfo.php?workbook=14_11.xlsx&amp;sheet=U0&amp;row=1294&amp;col=7&amp;number=0.664&amp;sourceID=14","0.664")</f>
        <v>0.664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HYPERLINK("http://141.218.60.56/~jnz1568/getInfo.php?workbook=14_11.xlsx&amp;sheet=U0&amp;row=1295&amp;col=6&amp;number=4.1&amp;sourceID=14","4.1")</f>
        <v>4.1</v>
      </c>
      <c r="G1295" s="4" t="str">
        <f>HYPERLINK("http://141.218.60.56/~jnz1568/getInfo.php?workbook=14_11.xlsx&amp;sheet=U0&amp;row=1295&amp;col=7&amp;number=0.652&amp;sourceID=14","0.652")</f>
        <v>0.652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HYPERLINK("http://141.218.60.56/~jnz1568/getInfo.php?workbook=14_11.xlsx&amp;sheet=U0&amp;row=1296&amp;col=6&amp;number=4.2&amp;sourceID=14","4.2")</f>
        <v>4.2</v>
      </c>
      <c r="G1296" s="4" t="str">
        <f>HYPERLINK("http://141.218.60.56/~jnz1568/getInfo.php?workbook=14_11.xlsx&amp;sheet=U0&amp;row=1296&amp;col=7&amp;number=0.639&amp;sourceID=14","0.639")</f>
        <v>0.639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HYPERLINK("http://141.218.60.56/~jnz1568/getInfo.php?workbook=14_11.xlsx&amp;sheet=U0&amp;row=1297&amp;col=6&amp;number=4.3&amp;sourceID=14","4.3")</f>
        <v>4.3</v>
      </c>
      <c r="G1297" s="4" t="str">
        <f>HYPERLINK("http://141.218.60.56/~jnz1568/getInfo.php?workbook=14_11.xlsx&amp;sheet=U0&amp;row=1297&amp;col=7&amp;number=0.622&amp;sourceID=14","0.622")</f>
        <v>0.622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HYPERLINK("http://141.218.60.56/~jnz1568/getInfo.php?workbook=14_11.xlsx&amp;sheet=U0&amp;row=1298&amp;col=6&amp;number=4.4&amp;sourceID=14","4.4")</f>
        <v>4.4</v>
      </c>
      <c r="G1298" s="4" t="str">
        <f>HYPERLINK("http://141.218.60.56/~jnz1568/getInfo.php?workbook=14_11.xlsx&amp;sheet=U0&amp;row=1298&amp;col=7&amp;number=0.603&amp;sourceID=14","0.603")</f>
        <v>0.603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HYPERLINK("http://141.218.60.56/~jnz1568/getInfo.php?workbook=14_11.xlsx&amp;sheet=U0&amp;row=1299&amp;col=6&amp;number=4.5&amp;sourceID=14","4.5")</f>
        <v>4.5</v>
      </c>
      <c r="G1299" s="4" t="str">
        <f>HYPERLINK("http://141.218.60.56/~jnz1568/getInfo.php?workbook=14_11.xlsx&amp;sheet=U0&amp;row=1299&amp;col=7&amp;number=0.58&amp;sourceID=14","0.58")</f>
        <v>0.58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HYPERLINK("http://141.218.60.56/~jnz1568/getInfo.php?workbook=14_11.xlsx&amp;sheet=U0&amp;row=1300&amp;col=6&amp;number=4.6&amp;sourceID=14","4.6")</f>
        <v>4.6</v>
      </c>
      <c r="G1300" s="4" t="str">
        <f>HYPERLINK("http://141.218.60.56/~jnz1568/getInfo.php?workbook=14_11.xlsx&amp;sheet=U0&amp;row=1300&amp;col=7&amp;number=0.554&amp;sourceID=14","0.554")</f>
        <v>0.554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HYPERLINK("http://141.218.60.56/~jnz1568/getInfo.php?workbook=14_11.xlsx&amp;sheet=U0&amp;row=1301&amp;col=6&amp;number=4.7&amp;sourceID=14","4.7")</f>
        <v>4.7</v>
      </c>
      <c r="G1301" s="4" t="str">
        <f>HYPERLINK("http://141.218.60.56/~jnz1568/getInfo.php?workbook=14_11.xlsx&amp;sheet=U0&amp;row=1301&amp;col=7&amp;number=0.525&amp;sourceID=14","0.525")</f>
        <v>0.525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HYPERLINK("http://141.218.60.56/~jnz1568/getInfo.php?workbook=14_11.xlsx&amp;sheet=U0&amp;row=1302&amp;col=6&amp;number=4.8&amp;sourceID=14","4.8")</f>
        <v>4.8</v>
      </c>
      <c r="G1302" s="4" t="str">
        <f>HYPERLINK("http://141.218.60.56/~jnz1568/getInfo.php?workbook=14_11.xlsx&amp;sheet=U0&amp;row=1302&amp;col=7&amp;number=0.493&amp;sourceID=14","0.493")</f>
        <v>0.493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HYPERLINK("http://141.218.60.56/~jnz1568/getInfo.php?workbook=14_11.xlsx&amp;sheet=U0&amp;row=1303&amp;col=6&amp;number=4.9&amp;sourceID=14","4.9")</f>
        <v>4.9</v>
      </c>
      <c r="G1303" s="4" t="str">
        <f>HYPERLINK("http://141.218.60.56/~jnz1568/getInfo.php?workbook=14_11.xlsx&amp;sheet=U0&amp;row=1303&amp;col=7&amp;number=0.46&amp;sourceID=14","0.46")</f>
        <v>0.46</v>
      </c>
    </row>
    <row r="1304" spans="1:7">
      <c r="A1304" s="3">
        <v>14</v>
      </c>
      <c r="B1304" s="3">
        <v>11</v>
      </c>
      <c r="C1304" s="3">
        <v>4</v>
      </c>
      <c r="D1304" s="3">
        <v>20</v>
      </c>
      <c r="E1304" s="3">
        <v>1</v>
      </c>
      <c r="F1304" s="4" t="str">
        <f>HYPERLINK("http://141.218.60.56/~jnz1568/getInfo.php?workbook=14_11.xlsx&amp;sheet=U0&amp;row=1304&amp;col=6&amp;number=3&amp;sourceID=14","3")</f>
        <v>3</v>
      </c>
      <c r="G1304" s="4" t="str">
        <f>HYPERLINK("http://141.218.60.56/~jnz1568/getInfo.php?workbook=14_11.xlsx&amp;sheet=U0&amp;row=1304&amp;col=7&amp;number=0.695&amp;sourceID=14","0.695")</f>
        <v>0.695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HYPERLINK("http://141.218.60.56/~jnz1568/getInfo.php?workbook=14_11.xlsx&amp;sheet=U0&amp;row=1305&amp;col=6&amp;number=3.1&amp;sourceID=14","3.1")</f>
        <v>3.1</v>
      </c>
      <c r="G1305" s="4" t="str">
        <f>HYPERLINK("http://141.218.60.56/~jnz1568/getInfo.php?workbook=14_11.xlsx&amp;sheet=U0&amp;row=1305&amp;col=7&amp;number=0.695&amp;sourceID=14","0.695")</f>
        <v>0.695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HYPERLINK("http://141.218.60.56/~jnz1568/getInfo.php?workbook=14_11.xlsx&amp;sheet=U0&amp;row=1306&amp;col=6&amp;number=3.2&amp;sourceID=14","3.2")</f>
        <v>3.2</v>
      </c>
      <c r="G1306" s="4" t="str">
        <f>HYPERLINK("http://141.218.60.56/~jnz1568/getInfo.php?workbook=14_11.xlsx&amp;sheet=U0&amp;row=1306&amp;col=7&amp;number=0.695&amp;sourceID=14","0.695")</f>
        <v>0.695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HYPERLINK("http://141.218.60.56/~jnz1568/getInfo.php?workbook=14_11.xlsx&amp;sheet=U0&amp;row=1307&amp;col=6&amp;number=3.3&amp;sourceID=14","3.3")</f>
        <v>3.3</v>
      </c>
      <c r="G1307" s="4" t="str">
        <f>HYPERLINK("http://141.218.60.56/~jnz1568/getInfo.php?workbook=14_11.xlsx&amp;sheet=U0&amp;row=1307&amp;col=7&amp;number=0.696&amp;sourceID=14","0.696")</f>
        <v>0.696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HYPERLINK("http://141.218.60.56/~jnz1568/getInfo.php?workbook=14_11.xlsx&amp;sheet=U0&amp;row=1308&amp;col=6&amp;number=3.4&amp;sourceID=14","3.4")</f>
        <v>3.4</v>
      </c>
      <c r="G1308" s="4" t="str">
        <f>HYPERLINK("http://141.218.60.56/~jnz1568/getInfo.php?workbook=14_11.xlsx&amp;sheet=U0&amp;row=1308&amp;col=7&amp;number=0.696&amp;sourceID=14","0.696")</f>
        <v>0.696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HYPERLINK("http://141.218.60.56/~jnz1568/getInfo.php?workbook=14_11.xlsx&amp;sheet=U0&amp;row=1309&amp;col=6&amp;number=3.5&amp;sourceID=14","3.5")</f>
        <v>3.5</v>
      </c>
      <c r="G1309" s="4" t="str">
        <f>HYPERLINK("http://141.218.60.56/~jnz1568/getInfo.php?workbook=14_11.xlsx&amp;sheet=U0&amp;row=1309&amp;col=7&amp;number=0.697&amp;sourceID=14","0.697")</f>
        <v>0.697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HYPERLINK("http://141.218.60.56/~jnz1568/getInfo.php?workbook=14_11.xlsx&amp;sheet=U0&amp;row=1310&amp;col=6&amp;number=3.6&amp;sourceID=14","3.6")</f>
        <v>3.6</v>
      </c>
      <c r="G1310" s="4" t="str">
        <f>HYPERLINK("http://141.218.60.56/~jnz1568/getInfo.php?workbook=14_11.xlsx&amp;sheet=U0&amp;row=1310&amp;col=7&amp;number=0.697&amp;sourceID=14","0.697")</f>
        <v>0.697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HYPERLINK("http://141.218.60.56/~jnz1568/getInfo.php?workbook=14_11.xlsx&amp;sheet=U0&amp;row=1311&amp;col=6&amp;number=3.7&amp;sourceID=14","3.7")</f>
        <v>3.7</v>
      </c>
      <c r="G1311" s="4" t="str">
        <f>HYPERLINK("http://141.218.60.56/~jnz1568/getInfo.php?workbook=14_11.xlsx&amp;sheet=U0&amp;row=1311&amp;col=7&amp;number=0.698&amp;sourceID=14","0.698")</f>
        <v>0.698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HYPERLINK("http://141.218.60.56/~jnz1568/getInfo.php?workbook=14_11.xlsx&amp;sheet=U0&amp;row=1312&amp;col=6&amp;number=3.8&amp;sourceID=14","3.8")</f>
        <v>3.8</v>
      </c>
      <c r="G1312" s="4" t="str">
        <f>HYPERLINK("http://141.218.60.56/~jnz1568/getInfo.php?workbook=14_11.xlsx&amp;sheet=U0&amp;row=1312&amp;col=7&amp;number=0.699&amp;sourceID=14","0.699")</f>
        <v>0.699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HYPERLINK("http://141.218.60.56/~jnz1568/getInfo.php?workbook=14_11.xlsx&amp;sheet=U0&amp;row=1313&amp;col=6&amp;number=3.9&amp;sourceID=14","3.9")</f>
        <v>3.9</v>
      </c>
      <c r="G1313" s="4" t="str">
        <f>HYPERLINK("http://141.218.60.56/~jnz1568/getInfo.php?workbook=14_11.xlsx&amp;sheet=U0&amp;row=1313&amp;col=7&amp;number=0.7&amp;sourceID=14","0.7")</f>
        <v>0.7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HYPERLINK("http://141.218.60.56/~jnz1568/getInfo.php?workbook=14_11.xlsx&amp;sheet=U0&amp;row=1314&amp;col=6&amp;number=4&amp;sourceID=14","4")</f>
        <v>4</v>
      </c>
      <c r="G1314" s="4" t="str">
        <f>HYPERLINK("http://141.218.60.56/~jnz1568/getInfo.php?workbook=14_11.xlsx&amp;sheet=U0&amp;row=1314&amp;col=7&amp;number=0.702&amp;sourceID=14","0.702")</f>
        <v>0.702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HYPERLINK("http://141.218.60.56/~jnz1568/getInfo.php?workbook=14_11.xlsx&amp;sheet=U0&amp;row=1315&amp;col=6&amp;number=4.1&amp;sourceID=14","4.1")</f>
        <v>4.1</v>
      </c>
      <c r="G1315" s="4" t="str">
        <f>HYPERLINK("http://141.218.60.56/~jnz1568/getInfo.php?workbook=14_11.xlsx&amp;sheet=U0&amp;row=1315&amp;col=7&amp;number=0.704&amp;sourceID=14","0.704")</f>
        <v>0.704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HYPERLINK("http://141.218.60.56/~jnz1568/getInfo.php?workbook=14_11.xlsx&amp;sheet=U0&amp;row=1316&amp;col=6&amp;number=4.2&amp;sourceID=14","4.2")</f>
        <v>4.2</v>
      </c>
      <c r="G1316" s="4" t="str">
        <f>HYPERLINK("http://141.218.60.56/~jnz1568/getInfo.php?workbook=14_11.xlsx&amp;sheet=U0&amp;row=1316&amp;col=7&amp;number=0.707&amp;sourceID=14","0.707")</f>
        <v>0.707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HYPERLINK("http://141.218.60.56/~jnz1568/getInfo.php?workbook=14_11.xlsx&amp;sheet=U0&amp;row=1317&amp;col=6&amp;number=4.3&amp;sourceID=14","4.3")</f>
        <v>4.3</v>
      </c>
      <c r="G1317" s="4" t="str">
        <f>HYPERLINK("http://141.218.60.56/~jnz1568/getInfo.php?workbook=14_11.xlsx&amp;sheet=U0&amp;row=1317&amp;col=7&amp;number=0.71&amp;sourceID=14","0.71")</f>
        <v>0.71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HYPERLINK("http://141.218.60.56/~jnz1568/getInfo.php?workbook=14_11.xlsx&amp;sheet=U0&amp;row=1318&amp;col=6&amp;number=4.4&amp;sourceID=14","4.4")</f>
        <v>4.4</v>
      </c>
      <c r="G1318" s="4" t="str">
        <f>HYPERLINK("http://141.218.60.56/~jnz1568/getInfo.php?workbook=14_11.xlsx&amp;sheet=U0&amp;row=1318&amp;col=7&amp;number=0.714&amp;sourceID=14","0.714")</f>
        <v>0.714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HYPERLINK("http://141.218.60.56/~jnz1568/getInfo.php?workbook=14_11.xlsx&amp;sheet=U0&amp;row=1319&amp;col=6&amp;number=4.5&amp;sourceID=14","4.5")</f>
        <v>4.5</v>
      </c>
      <c r="G1319" s="4" t="str">
        <f>HYPERLINK("http://141.218.60.56/~jnz1568/getInfo.php?workbook=14_11.xlsx&amp;sheet=U0&amp;row=1319&amp;col=7&amp;number=0.719&amp;sourceID=14","0.719")</f>
        <v>0.719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HYPERLINK("http://141.218.60.56/~jnz1568/getInfo.php?workbook=14_11.xlsx&amp;sheet=U0&amp;row=1320&amp;col=6&amp;number=4.6&amp;sourceID=14","4.6")</f>
        <v>4.6</v>
      </c>
      <c r="G1320" s="4" t="str">
        <f>HYPERLINK("http://141.218.60.56/~jnz1568/getInfo.php?workbook=14_11.xlsx&amp;sheet=U0&amp;row=1320&amp;col=7&amp;number=0.727&amp;sourceID=14","0.727")</f>
        <v>0.727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HYPERLINK("http://141.218.60.56/~jnz1568/getInfo.php?workbook=14_11.xlsx&amp;sheet=U0&amp;row=1321&amp;col=6&amp;number=4.7&amp;sourceID=14","4.7")</f>
        <v>4.7</v>
      </c>
      <c r="G1321" s="4" t="str">
        <f>HYPERLINK("http://141.218.60.56/~jnz1568/getInfo.php?workbook=14_11.xlsx&amp;sheet=U0&amp;row=1321&amp;col=7&amp;number=0.737&amp;sourceID=14","0.737")</f>
        <v>0.737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HYPERLINK("http://141.218.60.56/~jnz1568/getInfo.php?workbook=14_11.xlsx&amp;sheet=U0&amp;row=1322&amp;col=6&amp;number=4.8&amp;sourceID=14","4.8")</f>
        <v>4.8</v>
      </c>
      <c r="G1322" s="4" t="str">
        <f>HYPERLINK("http://141.218.60.56/~jnz1568/getInfo.php?workbook=14_11.xlsx&amp;sheet=U0&amp;row=1322&amp;col=7&amp;number=0.75&amp;sourceID=14","0.75")</f>
        <v>0.75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HYPERLINK("http://141.218.60.56/~jnz1568/getInfo.php?workbook=14_11.xlsx&amp;sheet=U0&amp;row=1323&amp;col=6&amp;number=4.9&amp;sourceID=14","4.9")</f>
        <v>4.9</v>
      </c>
      <c r="G1323" s="4" t="str">
        <f>HYPERLINK("http://141.218.60.56/~jnz1568/getInfo.php?workbook=14_11.xlsx&amp;sheet=U0&amp;row=1323&amp;col=7&amp;number=0.768&amp;sourceID=14","0.768")</f>
        <v>0.768</v>
      </c>
    </row>
    <row r="1324" spans="1:7">
      <c r="A1324" s="3">
        <v>14</v>
      </c>
      <c r="B1324" s="3">
        <v>11</v>
      </c>
      <c r="C1324" s="3">
        <v>4</v>
      </c>
      <c r="D1324" s="3">
        <v>21</v>
      </c>
      <c r="E1324" s="3">
        <v>1</v>
      </c>
      <c r="F1324" s="4" t="str">
        <f>HYPERLINK("http://141.218.60.56/~jnz1568/getInfo.php?workbook=14_11.xlsx&amp;sheet=U0&amp;row=1324&amp;col=6&amp;number=3&amp;sourceID=14","3")</f>
        <v>3</v>
      </c>
      <c r="G1324" s="4" t="str">
        <f>HYPERLINK("http://141.218.60.56/~jnz1568/getInfo.php?workbook=14_11.xlsx&amp;sheet=U0&amp;row=1324&amp;col=7&amp;number=0.386&amp;sourceID=14","0.386")</f>
        <v>0.386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HYPERLINK("http://141.218.60.56/~jnz1568/getInfo.php?workbook=14_11.xlsx&amp;sheet=U0&amp;row=1325&amp;col=6&amp;number=3.1&amp;sourceID=14","3.1")</f>
        <v>3.1</v>
      </c>
      <c r="G1325" s="4" t="str">
        <f>HYPERLINK("http://141.218.60.56/~jnz1568/getInfo.php?workbook=14_11.xlsx&amp;sheet=U0&amp;row=1325&amp;col=7&amp;number=0.385&amp;sourceID=14","0.385")</f>
        <v>0.385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HYPERLINK("http://141.218.60.56/~jnz1568/getInfo.php?workbook=14_11.xlsx&amp;sheet=U0&amp;row=1326&amp;col=6&amp;number=3.2&amp;sourceID=14","3.2")</f>
        <v>3.2</v>
      </c>
      <c r="G1326" s="4" t="str">
        <f>HYPERLINK("http://141.218.60.56/~jnz1568/getInfo.php?workbook=14_11.xlsx&amp;sheet=U0&amp;row=1326&amp;col=7&amp;number=0.384&amp;sourceID=14","0.384")</f>
        <v>0.384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HYPERLINK("http://141.218.60.56/~jnz1568/getInfo.php?workbook=14_11.xlsx&amp;sheet=U0&amp;row=1327&amp;col=6&amp;number=3.3&amp;sourceID=14","3.3")</f>
        <v>3.3</v>
      </c>
      <c r="G1327" s="4" t="str">
        <f>HYPERLINK("http://141.218.60.56/~jnz1568/getInfo.php?workbook=14_11.xlsx&amp;sheet=U0&amp;row=1327&amp;col=7&amp;number=0.383&amp;sourceID=14","0.383")</f>
        <v>0.383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HYPERLINK("http://141.218.60.56/~jnz1568/getInfo.php?workbook=14_11.xlsx&amp;sheet=U0&amp;row=1328&amp;col=6&amp;number=3.4&amp;sourceID=14","3.4")</f>
        <v>3.4</v>
      </c>
      <c r="G1328" s="4" t="str">
        <f>HYPERLINK("http://141.218.60.56/~jnz1568/getInfo.php?workbook=14_11.xlsx&amp;sheet=U0&amp;row=1328&amp;col=7&amp;number=0.381&amp;sourceID=14","0.381")</f>
        <v>0.381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HYPERLINK("http://141.218.60.56/~jnz1568/getInfo.php?workbook=14_11.xlsx&amp;sheet=U0&amp;row=1329&amp;col=6&amp;number=3.5&amp;sourceID=14","3.5")</f>
        <v>3.5</v>
      </c>
      <c r="G1329" s="4" t="str">
        <f>HYPERLINK("http://141.218.60.56/~jnz1568/getInfo.php?workbook=14_11.xlsx&amp;sheet=U0&amp;row=1329&amp;col=7&amp;number=0.38&amp;sourceID=14","0.38")</f>
        <v>0.38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HYPERLINK("http://141.218.60.56/~jnz1568/getInfo.php?workbook=14_11.xlsx&amp;sheet=U0&amp;row=1330&amp;col=6&amp;number=3.6&amp;sourceID=14","3.6")</f>
        <v>3.6</v>
      </c>
      <c r="G1330" s="4" t="str">
        <f>HYPERLINK("http://141.218.60.56/~jnz1568/getInfo.php?workbook=14_11.xlsx&amp;sheet=U0&amp;row=1330&amp;col=7&amp;number=0.377&amp;sourceID=14","0.377")</f>
        <v>0.377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HYPERLINK("http://141.218.60.56/~jnz1568/getInfo.php?workbook=14_11.xlsx&amp;sheet=U0&amp;row=1331&amp;col=6&amp;number=3.7&amp;sourceID=14","3.7")</f>
        <v>3.7</v>
      </c>
      <c r="G1331" s="4" t="str">
        <f>HYPERLINK("http://141.218.60.56/~jnz1568/getInfo.php?workbook=14_11.xlsx&amp;sheet=U0&amp;row=1331&amp;col=7&amp;number=0.374&amp;sourceID=14","0.374")</f>
        <v>0.374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HYPERLINK("http://141.218.60.56/~jnz1568/getInfo.php?workbook=14_11.xlsx&amp;sheet=U0&amp;row=1332&amp;col=6&amp;number=3.8&amp;sourceID=14","3.8")</f>
        <v>3.8</v>
      </c>
      <c r="G1332" s="4" t="str">
        <f>HYPERLINK("http://141.218.60.56/~jnz1568/getInfo.php?workbook=14_11.xlsx&amp;sheet=U0&amp;row=1332&amp;col=7&amp;number=0.371&amp;sourceID=14","0.371")</f>
        <v>0.371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HYPERLINK("http://141.218.60.56/~jnz1568/getInfo.php?workbook=14_11.xlsx&amp;sheet=U0&amp;row=1333&amp;col=6&amp;number=3.9&amp;sourceID=14","3.9")</f>
        <v>3.9</v>
      </c>
      <c r="G1333" s="4" t="str">
        <f>HYPERLINK("http://141.218.60.56/~jnz1568/getInfo.php?workbook=14_11.xlsx&amp;sheet=U0&amp;row=1333&amp;col=7&amp;number=0.366&amp;sourceID=14","0.366")</f>
        <v>0.366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HYPERLINK("http://141.218.60.56/~jnz1568/getInfo.php?workbook=14_11.xlsx&amp;sheet=U0&amp;row=1334&amp;col=6&amp;number=4&amp;sourceID=14","4")</f>
        <v>4</v>
      </c>
      <c r="G1334" s="4" t="str">
        <f>HYPERLINK("http://141.218.60.56/~jnz1568/getInfo.php?workbook=14_11.xlsx&amp;sheet=U0&amp;row=1334&amp;col=7&amp;number=0.361&amp;sourceID=14","0.361")</f>
        <v>0.361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HYPERLINK("http://141.218.60.56/~jnz1568/getInfo.php?workbook=14_11.xlsx&amp;sheet=U0&amp;row=1335&amp;col=6&amp;number=4.1&amp;sourceID=14","4.1")</f>
        <v>4.1</v>
      </c>
      <c r="G1335" s="4" t="str">
        <f>HYPERLINK("http://141.218.60.56/~jnz1568/getInfo.php?workbook=14_11.xlsx&amp;sheet=U0&amp;row=1335&amp;col=7&amp;number=0.354&amp;sourceID=14","0.354")</f>
        <v>0.354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HYPERLINK("http://141.218.60.56/~jnz1568/getInfo.php?workbook=14_11.xlsx&amp;sheet=U0&amp;row=1336&amp;col=6&amp;number=4.2&amp;sourceID=14","4.2")</f>
        <v>4.2</v>
      </c>
      <c r="G1336" s="4" t="str">
        <f>HYPERLINK("http://141.218.60.56/~jnz1568/getInfo.php?workbook=14_11.xlsx&amp;sheet=U0&amp;row=1336&amp;col=7&amp;number=0.346&amp;sourceID=14","0.346")</f>
        <v>0.346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HYPERLINK("http://141.218.60.56/~jnz1568/getInfo.php?workbook=14_11.xlsx&amp;sheet=U0&amp;row=1337&amp;col=6&amp;number=4.3&amp;sourceID=14","4.3")</f>
        <v>4.3</v>
      </c>
      <c r="G1337" s="4" t="str">
        <f>HYPERLINK("http://141.218.60.56/~jnz1568/getInfo.php?workbook=14_11.xlsx&amp;sheet=U0&amp;row=1337&amp;col=7&amp;number=0.336&amp;sourceID=14","0.336")</f>
        <v>0.336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HYPERLINK("http://141.218.60.56/~jnz1568/getInfo.php?workbook=14_11.xlsx&amp;sheet=U0&amp;row=1338&amp;col=6&amp;number=4.4&amp;sourceID=14","4.4")</f>
        <v>4.4</v>
      </c>
      <c r="G1338" s="4" t="str">
        <f>HYPERLINK("http://141.218.60.56/~jnz1568/getInfo.php?workbook=14_11.xlsx&amp;sheet=U0&amp;row=1338&amp;col=7&amp;number=0.325&amp;sourceID=14","0.325")</f>
        <v>0.325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HYPERLINK("http://141.218.60.56/~jnz1568/getInfo.php?workbook=14_11.xlsx&amp;sheet=U0&amp;row=1339&amp;col=6&amp;number=4.5&amp;sourceID=14","4.5")</f>
        <v>4.5</v>
      </c>
      <c r="G1339" s="4" t="str">
        <f>HYPERLINK("http://141.218.60.56/~jnz1568/getInfo.php?workbook=14_11.xlsx&amp;sheet=U0&amp;row=1339&amp;col=7&amp;number=0.311&amp;sourceID=14","0.311")</f>
        <v>0.311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HYPERLINK("http://141.218.60.56/~jnz1568/getInfo.php?workbook=14_11.xlsx&amp;sheet=U0&amp;row=1340&amp;col=6&amp;number=4.6&amp;sourceID=14","4.6")</f>
        <v>4.6</v>
      </c>
      <c r="G1340" s="4" t="str">
        <f>HYPERLINK("http://141.218.60.56/~jnz1568/getInfo.php?workbook=14_11.xlsx&amp;sheet=U0&amp;row=1340&amp;col=7&amp;number=0.296&amp;sourceID=14","0.296")</f>
        <v>0.296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HYPERLINK("http://141.218.60.56/~jnz1568/getInfo.php?workbook=14_11.xlsx&amp;sheet=U0&amp;row=1341&amp;col=6&amp;number=4.7&amp;sourceID=14","4.7")</f>
        <v>4.7</v>
      </c>
      <c r="G1341" s="4" t="str">
        <f>HYPERLINK("http://141.218.60.56/~jnz1568/getInfo.php?workbook=14_11.xlsx&amp;sheet=U0&amp;row=1341&amp;col=7&amp;number=0.278&amp;sourceID=14","0.278")</f>
        <v>0.278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HYPERLINK("http://141.218.60.56/~jnz1568/getInfo.php?workbook=14_11.xlsx&amp;sheet=U0&amp;row=1342&amp;col=6&amp;number=4.8&amp;sourceID=14","4.8")</f>
        <v>4.8</v>
      </c>
      <c r="G1342" s="4" t="str">
        <f>HYPERLINK("http://141.218.60.56/~jnz1568/getInfo.php?workbook=14_11.xlsx&amp;sheet=U0&amp;row=1342&amp;col=7&amp;number=0.26&amp;sourceID=14","0.26")</f>
        <v>0.26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HYPERLINK("http://141.218.60.56/~jnz1568/getInfo.php?workbook=14_11.xlsx&amp;sheet=U0&amp;row=1343&amp;col=6&amp;number=4.9&amp;sourceID=14","4.9")</f>
        <v>4.9</v>
      </c>
      <c r="G1343" s="4" t="str">
        <f>HYPERLINK("http://141.218.60.56/~jnz1568/getInfo.php?workbook=14_11.xlsx&amp;sheet=U0&amp;row=1343&amp;col=7&amp;number=0.241&amp;sourceID=14","0.241")</f>
        <v>0.241</v>
      </c>
    </row>
    <row r="1344" spans="1:7">
      <c r="A1344" s="3">
        <v>14</v>
      </c>
      <c r="B1344" s="3">
        <v>11</v>
      </c>
      <c r="C1344" s="3">
        <v>5</v>
      </c>
      <c r="D1344" s="3">
        <v>6</v>
      </c>
      <c r="E1344" s="3">
        <v>1</v>
      </c>
      <c r="F1344" s="4" t="str">
        <f>HYPERLINK("http://141.218.60.56/~jnz1568/getInfo.php?workbook=14_11.xlsx&amp;sheet=U0&amp;row=1344&amp;col=6&amp;number=3&amp;sourceID=14","3")</f>
        <v>3</v>
      </c>
      <c r="G1344" s="4" t="str">
        <f>HYPERLINK("http://141.218.60.56/~jnz1568/getInfo.php?workbook=14_11.xlsx&amp;sheet=U0&amp;row=1344&amp;col=7&amp;number=2.52&amp;sourceID=14","2.52")</f>
        <v>2.52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HYPERLINK("http://141.218.60.56/~jnz1568/getInfo.php?workbook=14_11.xlsx&amp;sheet=U0&amp;row=1345&amp;col=6&amp;number=3.1&amp;sourceID=14","3.1")</f>
        <v>3.1</v>
      </c>
      <c r="G1345" s="4" t="str">
        <f>HYPERLINK("http://141.218.60.56/~jnz1568/getInfo.php?workbook=14_11.xlsx&amp;sheet=U0&amp;row=1345&amp;col=7&amp;number=2.52&amp;sourceID=14","2.52")</f>
        <v>2.52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HYPERLINK("http://141.218.60.56/~jnz1568/getInfo.php?workbook=14_11.xlsx&amp;sheet=U0&amp;row=1346&amp;col=6&amp;number=3.2&amp;sourceID=14","3.2")</f>
        <v>3.2</v>
      </c>
      <c r="G1346" s="4" t="str">
        <f>HYPERLINK("http://141.218.60.56/~jnz1568/getInfo.php?workbook=14_11.xlsx&amp;sheet=U0&amp;row=1346&amp;col=7&amp;number=2.52&amp;sourceID=14","2.52")</f>
        <v>2.52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HYPERLINK("http://141.218.60.56/~jnz1568/getInfo.php?workbook=14_11.xlsx&amp;sheet=U0&amp;row=1347&amp;col=6&amp;number=3.3&amp;sourceID=14","3.3")</f>
        <v>3.3</v>
      </c>
      <c r="G1347" s="4" t="str">
        <f>HYPERLINK("http://141.218.60.56/~jnz1568/getInfo.php?workbook=14_11.xlsx&amp;sheet=U0&amp;row=1347&amp;col=7&amp;number=2.52&amp;sourceID=14","2.52")</f>
        <v>2.52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HYPERLINK("http://141.218.60.56/~jnz1568/getInfo.php?workbook=14_11.xlsx&amp;sheet=U0&amp;row=1348&amp;col=6&amp;number=3.4&amp;sourceID=14","3.4")</f>
        <v>3.4</v>
      </c>
      <c r="G1348" s="4" t="str">
        <f>HYPERLINK("http://141.218.60.56/~jnz1568/getInfo.php?workbook=14_11.xlsx&amp;sheet=U0&amp;row=1348&amp;col=7&amp;number=2.51&amp;sourceID=14","2.51")</f>
        <v>2.51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HYPERLINK("http://141.218.60.56/~jnz1568/getInfo.php?workbook=14_11.xlsx&amp;sheet=U0&amp;row=1349&amp;col=6&amp;number=3.5&amp;sourceID=14","3.5")</f>
        <v>3.5</v>
      </c>
      <c r="G1349" s="4" t="str">
        <f>HYPERLINK("http://141.218.60.56/~jnz1568/getInfo.php?workbook=14_11.xlsx&amp;sheet=U0&amp;row=1349&amp;col=7&amp;number=2.51&amp;sourceID=14","2.51")</f>
        <v>2.51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HYPERLINK("http://141.218.60.56/~jnz1568/getInfo.php?workbook=14_11.xlsx&amp;sheet=U0&amp;row=1350&amp;col=6&amp;number=3.6&amp;sourceID=14","3.6")</f>
        <v>3.6</v>
      </c>
      <c r="G1350" s="4" t="str">
        <f>HYPERLINK("http://141.218.60.56/~jnz1568/getInfo.php?workbook=14_11.xlsx&amp;sheet=U0&amp;row=1350&amp;col=7&amp;number=2.51&amp;sourceID=14","2.51")</f>
        <v>2.51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HYPERLINK("http://141.218.60.56/~jnz1568/getInfo.php?workbook=14_11.xlsx&amp;sheet=U0&amp;row=1351&amp;col=6&amp;number=3.7&amp;sourceID=14","3.7")</f>
        <v>3.7</v>
      </c>
      <c r="G1351" s="4" t="str">
        <f>HYPERLINK("http://141.218.60.56/~jnz1568/getInfo.php?workbook=14_11.xlsx&amp;sheet=U0&amp;row=1351&amp;col=7&amp;number=2.51&amp;sourceID=14","2.51")</f>
        <v>2.51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HYPERLINK("http://141.218.60.56/~jnz1568/getInfo.php?workbook=14_11.xlsx&amp;sheet=U0&amp;row=1352&amp;col=6&amp;number=3.8&amp;sourceID=14","3.8")</f>
        <v>3.8</v>
      </c>
      <c r="G1352" s="4" t="str">
        <f>HYPERLINK("http://141.218.60.56/~jnz1568/getInfo.php?workbook=14_11.xlsx&amp;sheet=U0&amp;row=1352&amp;col=7&amp;number=2.5&amp;sourceID=14","2.5")</f>
        <v>2.5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HYPERLINK("http://141.218.60.56/~jnz1568/getInfo.php?workbook=14_11.xlsx&amp;sheet=U0&amp;row=1353&amp;col=6&amp;number=3.9&amp;sourceID=14","3.9")</f>
        <v>3.9</v>
      </c>
      <c r="G1353" s="4" t="str">
        <f>HYPERLINK("http://141.218.60.56/~jnz1568/getInfo.php?workbook=14_11.xlsx&amp;sheet=U0&amp;row=1353&amp;col=7&amp;number=2.5&amp;sourceID=14","2.5")</f>
        <v>2.5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HYPERLINK("http://141.218.60.56/~jnz1568/getInfo.php?workbook=14_11.xlsx&amp;sheet=U0&amp;row=1354&amp;col=6&amp;number=4&amp;sourceID=14","4")</f>
        <v>4</v>
      </c>
      <c r="G1354" s="4" t="str">
        <f>HYPERLINK("http://141.218.60.56/~jnz1568/getInfo.php?workbook=14_11.xlsx&amp;sheet=U0&amp;row=1354&amp;col=7&amp;number=2.49&amp;sourceID=14","2.49")</f>
        <v>2.49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HYPERLINK("http://141.218.60.56/~jnz1568/getInfo.php?workbook=14_11.xlsx&amp;sheet=U0&amp;row=1355&amp;col=6&amp;number=4.1&amp;sourceID=14","4.1")</f>
        <v>4.1</v>
      </c>
      <c r="G1355" s="4" t="str">
        <f>HYPERLINK("http://141.218.60.56/~jnz1568/getInfo.php?workbook=14_11.xlsx&amp;sheet=U0&amp;row=1355&amp;col=7&amp;number=2.49&amp;sourceID=14","2.49")</f>
        <v>2.49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HYPERLINK("http://141.218.60.56/~jnz1568/getInfo.php?workbook=14_11.xlsx&amp;sheet=U0&amp;row=1356&amp;col=6&amp;number=4.2&amp;sourceID=14","4.2")</f>
        <v>4.2</v>
      </c>
      <c r="G1356" s="4" t="str">
        <f>HYPERLINK("http://141.218.60.56/~jnz1568/getInfo.php?workbook=14_11.xlsx&amp;sheet=U0&amp;row=1356&amp;col=7&amp;number=2.48&amp;sourceID=14","2.48")</f>
        <v>2.48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HYPERLINK("http://141.218.60.56/~jnz1568/getInfo.php?workbook=14_11.xlsx&amp;sheet=U0&amp;row=1357&amp;col=6&amp;number=4.3&amp;sourceID=14","4.3")</f>
        <v>4.3</v>
      </c>
      <c r="G1357" s="4" t="str">
        <f>HYPERLINK("http://141.218.60.56/~jnz1568/getInfo.php?workbook=14_11.xlsx&amp;sheet=U0&amp;row=1357&amp;col=7&amp;number=2.47&amp;sourceID=14","2.47")</f>
        <v>2.47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HYPERLINK("http://141.218.60.56/~jnz1568/getInfo.php?workbook=14_11.xlsx&amp;sheet=U0&amp;row=1358&amp;col=6&amp;number=4.4&amp;sourceID=14","4.4")</f>
        <v>4.4</v>
      </c>
      <c r="G1358" s="4" t="str">
        <f>HYPERLINK("http://141.218.60.56/~jnz1568/getInfo.php?workbook=14_11.xlsx&amp;sheet=U0&amp;row=1358&amp;col=7&amp;number=2.45&amp;sourceID=14","2.45")</f>
        <v>2.45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HYPERLINK("http://141.218.60.56/~jnz1568/getInfo.php?workbook=14_11.xlsx&amp;sheet=U0&amp;row=1359&amp;col=6&amp;number=4.5&amp;sourceID=14","4.5")</f>
        <v>4.5</v>
      </c>
      <c r="G1359" s="4" t="str">
        <f>HYPERLINK("http://141.218.60.56/~jnz1568/getInfo.php?workbook=14_11.xlsx&amp;sheet=U0&amp;row=1359&amp;col=7&amp;number=2.44&amp;sourceID=14","2.44")</f>
        <v>2.44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HYPERLINK("http://141.218.60.56/~jnz1568/getInfo.php?workbook=14_11.xlsx&amp;sheet=U0&amp;row=1360&amp;col=6&amp;number=4.6&amp;sourceID=14","4.6")</f>
        <v>4.6</v>
      </c>
      <c r="G1360" s="4" t="str">
        <f>HYPERLINK("http://141.218.60.56/~jnz1568/getInfo.php?workbook=14_11.xlsx&amp;sheet=U0&amp;row=1360&amp;col=7&amp;number=2.42&amp;sourceID=14","2.42")</f>
        <v>2.42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HYPERLINK("http://141.218.60.56/~jnz1568/getInfo.php?workbook=14_11.xlsx&amp;sheet=U0&amp;row=1361&amp;col=6&amp;number=4.7&amp;sourceID=14","4.7")</f>
        <v>4.7</v>
      </c>
      <c r="G1361" s="4" t="str">
        <f>HYPERLINK("http://141.218.60.56/~jnz1568/getInfo.php?workbook=14_11.xlsx&amp;sheet=U0&amp;row=1361&amp;col=7&amp;number=2.4&amp;sourceID=14","2.4")</f>
        <v>2.4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HYPERLINK("http://141.218.60.56/~jnz1568/getInfo.php?workbook=14_11.xlsx&amp;sheet=U0&amp;row=1362&amp;col=6&amp;number=4.8&amp;sourceID=14","4.8")</f>
        <v>4.8</v>
      </c>
      <c r="G1362" s="4" t="str">
        <f>HYPERLINK("http://141.218.60.56/~jnz1568/getInfo.php?workbook=14_11.xlsx&amp;sheet=U0&amp;row=1362&amp;col=7&amp;number=2.38&amp;sourceID=14","2.38")</f>
        <v>2.38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HYPERLINK("http://141.218.60.56/~jnz1568/getInfo.php?workbook=14_11.xlsx&amp;sheet=U0&amp;row=1363&amp;col=6&amp;number=4.9&amp;sourceID=14","4.9")</f>
        <v>4.9</v>
      </c>
      <c r="G1363" s="4" t="str">
        <f>HYPERLINK("http://141.218.60.56/~jnz1568/getInfo.php?workbook=14_11.xlsx&amp;sheet=U0&amp;row=1363&amp;col=7&amp;number=2.36&amp;sourceID=14","2.36")</f>
        <v>2.36</v>
      </c>
    </row>
    <row r="1364" spans="1:7">
      <c r="A1364" s="3">
        <v>14</v>
      </c>
      <c r="B1364" s="3">
        <v>11</v>
      </c>
      <c r="C1364" s="3">
        <v>5</v>
      </c>
      <c r="D1364" s="3">
        <v>7</v>
      </c>
      <c r="E1364" s="3">
        <v>1</v>
      </c>
      <c r="F1364" s="4" t="str">
        <f>HYPERLINK("http://141.218.60.56/~jnz1568/getInfo.php?workbook=14_11.xlsx&amp;sheet=U0&amp;row=1364&amp;col=6&amp;number=3&amp;sourceID=14","3")</f>
        <v>3</v>
      </c>
      <c r="G1364" s="4" t="str">
        <f>HYPERLINK("http://141.218.60.56/~jnz1568/getInfo.php?workbook=14_11.xlsx&amp;sheet=U0&amp;row=1364&amp;col=7&amp;number=0.759&amp;sourceID=14","0.759")</f>
        <v>0.759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HYPERLINK("http://141.218.60.56/~jnz1568/getInfo.php?workbook=14_11.xlsx&amp;sheet=U0&amp;row=1365&amp;col=6&amp;number=3.1&amp;sourceID=14","3.1")</f>
        <v>3.1</v>
      </c>
      <c r="G1365" s="4" t="str">
        <f>HYPERLINK("http://141.218.60.56/~jnz1568/getInfo.php?workbook=14_11.xlsx&amp;sheet=U0&amp;row=1365&amp;col=7&amp;number=0.758&amp;sourceID=14","0.758")</f>
        <v>0.758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HYPERLINK("http://141.218.60.56/~jnz1568/getInfo.php?workbook=14_11.xlsx&amp;sheet=U0&amp;row=1366&amp;col=6&amp;number=3.2&amp;sourceID=14","3.2")</f>
        <v>3.2</v>
      </c>
      <c r="G1366" s="4" t="str">
        <f>HYPERLINK("http://141.218.60.56/~jnz1568/getInfo.php?workbook=14_11.xlsx&amp;sheet=U0&amp;row=1366&amp;col=7&amp;number=0.757&amp;sourceID=14","0.757")</f>
        <v>0.757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HYPERLINK("http://141.218.60.56/~jnz1568/getInfo.php?workbook=14_11.xlsx&amp;sheet=U0&amp;row=1367&amp;col=6&amp;number=3.3&amp;sourceID=14","3.3")</f>
        <v>3.3</v>
      </c>
      <c r="G1367" s="4" t="str">
        <f>HYPERLINK("http://141.218.60.56/~jnz1568/getInfo.php?workbook=14_11.xlsx&amp;sheet=U0&amp;row=1367&amp;col=7&amp;number=0.755&amp;sourceID=14","0.755")</f>
        <v>0.755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HYPERLINK("http://141.218.60.56/~jnz1568/getInfo.php?workbook=14_11.xlsx&amp;sheet=U0&amp;row=1368&amp;col=6&amp;number=3.4&amp;sourceID=14","3.4")</f>
        <v>3.4</v>
      </c>
      <c r="G1368" s="4" t="str">
        <f>HYPERLINK("http://141.218.60.56/~jnz1568/getInfo.php?workbook=14_11.xlsx&amp;sheet=U0&amp;row=1368&amp;col=7&amp;number=0.753&amp;sourceID=14","0.753")</f>
        <v>0.753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HYPERLINK("http://141.218.60.56/~jnz1568/getInfo.php?workbook=14_11.xlsx&amp;sheet=U0&amp;row=1369&amp;col=6&amp;number=3.5&amp;sourceID=14","3.5")</f>
        <v>3.5</v>
      </c>
      <c r="G1369" s="4" t="str">
        <f>HYPERLINK("http://141.218.60.56/~jnz1568/getInfo.php?workbook=14_11.xlsx&amp;sheet=U0&amp;row=1369&amp;col=7&amp;number=0.751&amp;sourceID=14","0.751")</f>
        <v>0.751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HYPERLINK("http://141.218.60.56/~jnz1568/getInfo.php?workbook=14_11.xlsx&amp;sheet=U0&amp;row=1370&amp;col=6&amp;number=3.6&amp;sourceID=14","3.6")</f>
        <v>3.6</v>
      </c>
      <c r="G1370" s="4" t="str">
        <f>HYPERLINK("http://141.218.60.56/~jnz1568/getInfo.php?workbook=14_11.xlsx&amp;sheet=U0&amp;row=1370&amp;col=7&amp;number=0.748&amp;sourceID=14","0.748")</f>
        <v>0.748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HYPERLINK("http://141.218.60.56/~jnz1568/getInfo.php?workbook=14_11.xlsx&amp;sheet=U0&amp;row=1371&amp;col=6&amp;number=3.7&amp;sourceID=14","3.7")</f>
        <v>3.7</v>
      </c>
      <c r="G1371" s="4" t="str">
        <f>HYPERLINK("http://141.218.60.56/~jnz1568/getInfo.php?workbook=14_11.xlsx&amp;sheet=U0&amp;row=1371&amp;col=7&amp;number=0.744&amp;sourceID=14","0.744")</f>
        <v>0.744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HYPERLINK("http://141.218.60.56/~jnz1568/getInfo.php?workbook=14_11.xlsx&amp;sheet=U0&amp;row=1372&amp;col=6&amp;number=3.8&amp;sourceID=14","3.8")</f>
        <v>3.8</v>
      </c>
      <c r="G1372" s="4" t="str">
        <f>HYPERLINK("http://141.218.60.56/~jnz1568/getInfo.php?workbook=14_11.xlsx&amp;sheet=U0&amp;row=1372&amp;col=7&amp;number=0.739&amp;sourceID=14","0.739")</f>
        <v>0.739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HYPERLINK("http://141.218.60.56/~jnz1568/getInfo.php?workbook=14_11.xlsx&amp;sheet=U0&amp;row=1373&amp;col=6&amp;number=3.9&amp;sourceID=14","3.9")</f>
        <v>3.9</v>
      </c>
      <c r="G1373" s="4" t="str">
        <f>HYPERLINK("http://141.218.60.56/~jnz1568/getInfo.php?workbook=14_11.xlsx&amp;sheet=U0&amp;row=1373&amp;col=7&amp;number=0.733&amp;sourceID=14","0.733")</f>
        <v>0.733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HYPERLINK("http://141.218.60.56/~jnz1568/getInfo.php?workbook=14_11.xlsx&amp;sheet=U0&amp;row=1374&amp;col=6&amp;number=4&amp;sourceID=14","4")</f>
        <v>4</v>
      </c>
      <c r="G1374" s="4" t="str">
        <f>HYPERLINK("http://141.218.60.56/~jnz1568/getInfo.php?workbook=14_11.xlsx&amp;sheet=U0&amp;row=1374&amp;col=7&amp;number=0.726&amp;sourceID=14","0.726")</f>
        <v>0.726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HYPERLINK("http://141.218.60.56/~jnz1568/getInfo.php?workbook=14_11.xlsx&amp;sheet=U0&amp;row=1375&amp;col=6&amp;number=4.1&amp;sourceID=14","4.1")</f>
        <v>4.1</v>
      </c>
      <c r="G1375" s="4" t="str">
        <f>HYPERLINK("http://141.218.60.56/~jnz1568/getInfo.php?workbook=14_11.xlsx&amp;sheet=U0&amp;row=1375&amp;col=7&amp;number=0.717&amp;sourceID=14","0.717")</f>
        <v>0.717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HYPERLINK("http://141.218.60.56/~jnz1568/getInfo.php?workbook=14_11.xlsx&amp;sheet=U0&amp;row=1376&amp;col=6&amp;number=4.2&amp;sourceID=14","4.2")</f>
        <v>4.2</v>
      </c>
      <c r="G1376" s="4" t="str">
        <f>HYPERLINK("http://141.218.60.56/~jnz1568/getInfo.php?workbook=14_11.xlsx&amp;sheet=U0&amp;row=1376&amp;col=7&amp;number=0.705&amp;sourceID=14","0.705")</f>
        <v>0.705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HYPERLINK("http://141.218.60.56/~jnz1568/getInfo.php?workbook=14_11.xlsx&amp;sheet=U0&amp;row=1377&amp;col=6&amp;number=4.3&amp;sourceID=14","4.3")</f>
        <v>4.3</v>
      </c>
      <c r="G1377" s="4" t="str">
        <f>HYPERLINK("http://141.218.60.56/~jnz1568/getInfo.php?workbook=14_11.xlsx&amp;sheet=U0&amp;row=1377&amp;col=7&amp;number=0.692&amp;sourceID=14","0.692")</f>
        <v>0.692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HYPERLINK("http://141.218.60.56/~jnz1568/getInfo.php?workbook=14_11.xlsx&amp;sheet=U0&amp;row=1378&amp;col=6&amp;number=4.4&amp;sourceID=14","4.4")</f>
        <v>4.4</v>
      </c>
      <c r="G1378" s="4" t="str">
        <f>HYPERLINK("http://141.218.60.56/~jnz1568/getInfo.php?workbook=14_11.xlsx&amp;sheet=U0&amp;row=1378&amp;col=7&amp;number=0.676&amp;sourceID=14","0.676")</f>
        <v>0.676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HYPERLINK("http://141.218.60.56/~jnz1568/getInfo.php?workbook=14_11.xlsx&amp;sheet=U0&amp;row=1379&amp;col=6&amp;number=4.5&amp;sourceID=14","4.5")</f>
        <v>4.5</v>
      </c>
      <c r="G1379" s="4" t="str">
        <f>HYPERLINK("http://141.218.60.56/~jnz1568/getInfo.php?workbook=14_11.xlsx&amp;sheet=U0&amp;row=1379&amp;col=7&amp;number=0.656&amp;sourceID=14","0.656")</f>
        <v>0.656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HYPERLINK("http://141.218.60.56/~jnz1568/getInfo.php?workbook=14_11.xlsx&amp;sheet=U0&amp;row=1380&amp;col=6&amp;number=4.6&amp;sourceID=14","4.6")</f>
        <v>4.6</v>
      </c>
      <c r="G1380" s="4" t="str">
        <f>HYPERLINK("http://141.218.60.56/~jnz1568/getInfo.php?workbook=14_11.xlsx&amp;sheet=U0&amp;row=1380&amp;col=7&amp;number=0.634&amp;sourceID=14","0.634")</f>
        <v>0.634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HYPERLINK("http://141.218.60.56/~jnz1568/getInfo.php?workbook=14_11.xlsx&amp;sheet=U0&amp;row=1381&amp;col=6&amp;number=4.7&amp;sourceID=14","4.7")</f>
        <v>4.7</v>
      </c>
      <c r="G1381" s="4" t="str">
        <f>HYPERLINK("http://141.218.60.56/~jnz1568/getInfo.php?workbook=14_11.xlsx&amp;sheet=U0&amp;row=1381&amp;col=7&amp;number=0.609&amp;sourceID=14","0.609")</f>
        <v>0.609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HYPERLINK("http://141.218.60.56/~jnz1568/getInfo.php?workbook=14_11.xlsx&amp;sheet=U0&amp;row=1382&amp;col=6&amp;number=4.8&amp;sourceID=14","4.8")</f>
        <v>4.8</v>
      </c>
      <c r="G1382" s="4" t="str">
        <f>HYPERLINK("http://141.218.60.56/~jnz1568/getInfo.php?workbook=14_11.xlsx&amp;sheet=U0&amp;row=1382&amp;col=7&amp;number=0.581&amp;sourceID=14","0.581")</f>
        <v>0.581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HYPERLINK("http://141.218.60.56/~jnz1568/getInfo.php?workbook=14_11.xlsx&amp;sheet=U0&amp;row=1383&amp;col=6&amp;number=4.9&amp;sourceID=14","4.9")</f>
        <v>4.9</v>
      </c>
      <c r="G1383" s="4" t="str">
        <f>HYPERLINK("http://141.218.60.56/~jnz1568/getInfo.php?workbook=14_11.xlsx&amp;sheet=U0&amp;row=1383&amp;col=7&amp;number=0.552&amp;sourceID=14","0.552")</f>
        <v>0.552</v>
      </c>
    </row>
    <row r="1384" spans="1:7">
      <c r="A1384" s="3">
        <v>14</v>
      </c>
      <c r="B1384" s="3">
        <v>11</v>
      </c>
      <c r="C1384" s="3">
        <v>5</v>
      </c>
      <c r="D1384" s="3">
        <v>8</v>
      </c>
      <c r="E1384" s="3">
        <v>1</v>
      </c>
      <c r="F1384" s="4" t="str">
        <f>HYPERLINK("http://141.218.60.56/~jnz1568/getInfo.php?workbook=14_11.xlsx&amp;sheet=U0&amp;row=1384&amp;col=6&amp;number=3&amp;sourceID=14","3")</f>
        <v>3</v>
      </c>
      <c r="G1384" s="4" t="str">
        <f>HYPERLINK("http://141.218.60.56/~jnz1568/getInfo.php?workbook=14_11.xlsx&amp;sheet=U0&amp;row=1384&amp;col=7&amp;number=7.02&amp;sourceID=14","7.02")</f>
        <v>7.02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HYPERLINK("http://141.218.60.56/~jnz1568/getInfo.php?workbook=14_11.xlsx&amp;sheet=U0&amp;row=1385&amp;col=6&amp;number=3.1&amp;sourceID=14","3.1")</f>
        <v>3.1</v>
      </c>
      <c r="G1385" s="4" t="str">
        <f>HYPERLINK("http://141.218.60.56/~jnz1568/getInfo.php?workbook=14_11.xlsx&amp;sheet=U0&amp;row=1385&amp;col=7&amp;number=7.02&amp;sourceID=14","7.02")</f>
        <v>7.02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HYPERLINK("http://141.218.60.56/~jnz1568/getInfo.php?workbook=14_11.xlsx&amp;sheet=U0&amp;row=1386&amp;col=6&amp;number=3.2&amp;sourceID=14","3.2")</f>
        <v>3.2</v>
      </c>
      <c r="G1386" s="4" t="str">
        <f>HYPERLINK("http://141.218.60.56/~jnz1568/getInfo.php?workbook=14_11.xlsx&amp;sheet=U0&amp;row=1386&amp;col=7&amp;number=7.02&amp;sourceID=14","7.02")</f>
        <v>7.02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HYPERLINK("http://141.218.60.56/~jnz1568/getInfo.php?workbook=14_11.xlsx&amp;sheet=U0&amp;row=1387&amp;col=6&amp;number=3.3&amp;sourceID=14","3.3")</f>
        <v>3.3</v>
      </c>
      <c r="G1387" s="4" t="str">
        <f>HYPERLINK("http://141.218.60.56/~jnz1568/getInfo.php?workbook=14_11.xlsx&amp;sheet=U0&amp;row=1387&amp;col=7&amp;number=7.03&amp;sourceID=14","7.03")</f>
        <v>7.03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HYPERLINK("http://141.218.60.56/~jnz1568/getInfo.php?workbook=14_11.xlsx&amp;sheet=U0&amp;row=1388&amp;col=6&amp;number=3.4&amp;sourceID=14","3.4")</f>
        <v>3.4</v>
      </c>
      <c r="G1388" s="4" t="str">
        <f>HYPERLINK("http://141.218.60.56/~jnz1568/getInfo.php?workbook=14_11.xlsx&amp;sheet=U0&amp;row=1388&amp;col=7&amp;number=7.04&amp;sourceID=14","7.04")</f>
        <v>7.04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HYPERLINK("http://141.218.60.56/~jnz1568/getInfo.php?workbook=14_11.xlsx&amp;sheet=U0&amp;row=1389&amp;col=6&amp;number=3.5&amp;sourceID=14","3.5")</f>
        <v>3.5</v>
      </c>
      <c r="G1389" s="4" t="str">
        <f>HYPERLINK("http://141.218.60.56/~jnz1568/getInfo.php?workbook=14_11.xlsx&amp;sheet=U0&amp;row=1389&amp;col=7&amp;number=7.05&amp;sourceID=14","7.05")</f>
        <v>7.05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HYPERLINK("http://141.218.60.56/~jnz1568/getInfo.php?workbook=14_11.xlsx&amp;sheet=U0&amp;row=1390&amp;col=6&amp;number=3.6&amp;sourceID=14","3.6")</f>
        <v>3.6</v>
      </c>
      <c r="G1390" s="4" t="str">
        <f>HYPERLINK("http://141.218.60.56/~jnz1568/getInfo.php?workbook=14_11.xlsx&amp;sheet=U0&amp;row=1390&amp;col=7&amp;number=7.06&amp;sourceID=14","7.06")</f>
        <v>7.06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HYPERLINK("http://141.218.60.56/~jnz1568/getInfo.php?workbook=14_11.xlsx&amp;sheet=U0&amp;row=1391&amp;col=6&amp;number=3.7&amp;sourceID=14","3.7")</f>
        <v>3.7</v>
      </c>
      <c r="G1391" s="4" t="str">
        <f>HYPERLINK("http://141.218.60.56/~jnz1568/getInfo.php?workbook=14_11.xlsx&amp;sheet=U0&amp;row=1391&amp;col=7&amp;number=7.07&amp;sourceID=14","7.07")</f>
        <v>7.07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HYPERLINK("http://141.218.60.56/~jnz1568/getInfo.php?workbook=14_11.xlsx&amp;sheet=U0&amp;row=1392&amp;col=6&amp;number=3.8&amp;sourceID=14","3.8")</f>
        <v>3.8</v>
      </c>
      <c r="G1392" s="4" t="str">
        <f>HYPERLINK("http://141.218.60.56/~jnz1568/getInfo.php?workbook=14_11.xlsx&amp;sheet=U0&amp;row=1392&amp;col=7&amp;number=7.09&amp;sourceID=14","7.09")</f>
        <v>7.09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HYPERLINK("http://141.218.60.56/~jnz1568/getInfo.php?workbook=14_11.xlsx&amp;sheet=U0&amp;row=1393&amp;col=6&amp;number=3.9&amp;sourceID=14","3.9")</f>
        <v>3.9</v>
      </c>
      <c r="G1393" s="4" t="str">
        <f>HYPERLINK("http://141.218.60.56/~jnz1568/getInfo.php?workbook=14_11.xlsx&amp;sheet=U0&amp;row=1393&amp;col=7&amp;number=7.11&amp;sourceID=14","7.11")</f>
        <v>7.11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HYPERLINK("http://141.218.60.56/~jnz1568/getInfo.php?workbook=14_11.xlsx&amp;sheet=U0&amp;row=1394&amp;col=6&amp;number=4&amp;sourceID=14","4")</f>
        <v>4</v>
      </c>
      <c r="G1394" s="4" t="str">
        <f>HYPERLINK("http://141.218.60.56/~jnz1568/getInfo.php?workbook=14_11.xlsx&amp;sheet=U0&amp;row=1394&amp;col=7&amp;number=7.14&amp;sourceID=14","7.14")</f>
        <v>7.14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HYPERLINK("http://141.218.60.56/~jnz1568/getInfo.php?workbook=14_11.xlsx&amp;sheet=U0&amp;row=1395&amp;col=6&amp;number=4.1&amp;sourceID=14","4.1")</f>
        <v>4.1</v>
      </c>
      <c r="G1395" s="4" t="str">
        <f>HYPERLINK("http://141.218.60.56/~jnz1568/getInfo.php?workbook=14_11.xlsx&amp;sheet=U0&amp;row=1395&amp;col=7&amp;number=7.18&amp;sourceID=14","7.18")</f>
        <v>7.18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HYPERLINK("http://141.218.60.56/~jnz1568/getInfo.php?workbook=14_11.xlsx&amp;sheet=U0&amp;row=1396&amp;col=6&amp;number=4.2&amp;sourceID=14","4.2")</f>
        <v>4.2</v>
      </c>
      <c r="G1396" s="4" t="str">
        <f>HYPERLINK("http://141.218.60.56/~jnz1568/getInfo.php?workbook=14_11.xlsx&amp;sheet=U0&amp;row=1396&amp;col=7&amp;number=7.23&amp;sourceID=14","7.23")</f>
        <v>7.23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HYPERLINK("http://141.218.60.56/~jnz1568/getInfo.php?workbook=14_11.xlsx&amp;sheet=U0&amp;row=1397&amp;col=6&amp;number=4.3&amp;sourceID=14","4.3")</f>
        <v>4.3</v>
      </c>
      <c r="G1397" s="4" t="str">
        <f>HYPERLINK("http://141.218.60.56/~jnz1568/getInfo.php?workbook=14_11.xlsx&amp;sheet=U0&amp;row=1397&amp;col=7&amp;number=7.29&amp;sourceID=14","7.29")</f>
        <v>7.29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HYPERLINK("http://141.218.60.56/~jnz1568/getInfo.php?workbook=14_11.xlsx&amp;sheet=U0&amp;row=1398&amp;col=6&amp;number=4.4&amp;sourceID=14","4.4")</f>
        <v>4.4</v>
      </c>
      <c r="G1398" s="4" t="str">
        <f>HYPERLINK("http://141.218.60.56/~jnz1568/getInfo.php?workbook=14_11.xlsx&amp;sheet=U0&amp;row=1398&amp;col=7&amp;number=7.36&amp;sourceID=14","7.36")</f>
        <v>7.36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HYPERLINK("http://141.218.60.56/~jnz1568/getInfo.php?workbook=14_11.xlsx&amp;sheet=U0&amp;row=1399&amp;col=6&amp;number=4.5&amp;sourceID=14","4.5")</f>
        <v>4.5</v>
      </c>
      <c r="G1399" s="4" t="str">
        <f>HYPERLINK("http://141.218.60.56/~jnz1568/getInfo.php?workbook=14_11.xlsx&amp;sheet=U0&amp;row=1399&amp;col=7&amp;number=7.45&amp;sourceID=14","7.45")</f>
        <v>7.45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HYPERLINK("http://141.218.60.56/~jnz1568/getInfo.php?workbook=14_11.xlsx&amp;sheet=U0&amp;row=1400&amp;col=6&amp;number=4.6&amp;sourceID=14","4.6")</f>
        <v>4.6</v>
      </c>
      <c r="G1400" s="4" t="str">
        <f>HYPERLINK("http://141.218.60.56/~jnz1568/getInfo.php?workbook=14_11.xlsx&amp;sheet=U0&amp;row=1400&amp;col=7&amp;number=7.57&amp;sourceID=14","7.57")</f>
        <v>7.57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HYPERLINK("http://141.218.60.56/~jnz1568/getInfo.php?workbook=14_11.xlsx&amp;sheet=U0&amp;row=1401&amp;col=6&amp;number=4.7&amp;sourceID=14","4.7")</f>
        <v>4.7</v>
      </c>
      <c r="G1401" s="4" t="str">
        <f>HYPERLINK("http://141.218.60.56/~jnz1568/getInfo.php?workbook=14_11.xlsx&amp;sheet=U0&amp;row=1401&amp;col=7&amp;number=7.72&amp;sourceID=14","7.72")</f>
        <v>7.72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HYPERLINK("http://141.218.60.56/~jnz1568/getInfo.php?workbook=14_11.xlsx&amp;sheet=U0&amp;row=1402&amp;col=6&amp;number=4.8&amp;sourceID=14","4.8")</f>
        <v>4.8</v>
      </c>
      <c r="G1402" s="4" t="str">
        <f>HYPERLINK("http://141.218.60.56/~jnz1568/getInfo.php?workbook=14_11.xlsx&amp;sheet=U0&amp;row=1402&amp;col=7&amp;number=7.91&amp;sourceID=14","7.91")</f>
        <v>7.91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HYPERLINK("http://141.218.60.56/~jnz1568/getInfo.php?workbook=14_11.xlsx&amp;sheet=U0&amp;row=1403&amp;col=6&amp;number=4.9&amp;sourceID=14","4.9")</f>
        <v>4.9</v>
      </c>
      <c r="G1403" s="4" t="str">
        <f>HYPERLINK("http://141.218.60.56/~jnz1568/getInfo.php?workbook=14_11.xlsx&amp;sheet=U0&amp;row=1403&amp;col=7&amp;number=8.14&amp;sourceID=14","8.14")</f>
        <v>8.14</v>
      </c>
    </row>
    <row r="1404" spans="1:7">
      <c r="A1404" s="3">
        <v>14</v>
      </c>
      <c r="B1404" s="3">
        <v>11</v>
      </c>
      <c r="C1404" s="3">
        <v>5</v>
      </c>
      <c r="D1404" s="3">
        <v>9</v>
      </c>
      <c r="E1404" s="3">
        <v>1</v>
      </c>
      <c r="F1404" s="4" t="str">
        <f>HYPERLINK("http://141.218.60.56/~jnz1568/getInfo.php?workbook=14_11.xlsx&amp;sheet=U0&amp;row=1404&amp;col=6&amp;number=3&amp;sourceID=14","3")</f>
        <v>3</v>
      </c>
      <c r="G1404" s="4" t="str">
        <f>HYPERLINK("http://141.218.60.56/~jnz1568/getInfo.php?workbook=14_11.xlsx&amp;sheet=U0&amp;row=1404&amp;col=7&amp;number=1.04&amp;sourceID=14","1.04")</f>
        <v>1.04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HYPERLINK("http://141.218.60.56/~jnz1568/getInfo.php?workbook=14_11.xlsx&amp;sheet=U0&amp;row=1405&amp;col=6&amp;number=3.1&amp;sourceID=14","3.1")</f>
        <v>3.1</v>
      </c>
      <c r="G1405" s="4" t="str">
        <f>HYPERLINK("http://141.218.60.56/~jnz1568/getInfo.php?workbook=14_11.xlsx&amp;sheet=U0&amp;row=1405&amp;col=7&amp;number=1.04&amp;sourceID=14","1.04")</f>
        <v>1.04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HYPERLINK("http://141.218.60.56/~jnz1568/getInfo.php?workbook=14_11.xlsx&amp;sheet=U0&amp;row=1406&amp;col=6&amp;number=3.2&amp;sourceID=14","3.2")</f>
        <v>3.2</v>
      </c>
      <c r="G1406" s="4" t="str">
        <f>HYPERLINK("http://141.218.60.56/~jnz1568/getInfo.php?workbook=14_11.xlsx&amp;sheet=U0&amp;row=1406&amp;col=7&amp;number=1.04&amp;sourceID=14","1.04")</f>
        <v>1.04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HYPERLINK("http://141.218.60.56/~jnz1568/getInfo.php?workbook=14_11.xlsx&amp;sheet=U0&amp;row=1407&amp;col=6&amp;number=3.3&amp;sourceID=14","3.3")</f>
        <v>3.3</v>
      </c>
      <c r="G1407" s="4" t="str">
        <f>HYPERLINK("http://141.218.60.56/~jnz1568/getInfo.php?workbook=14_11.xlsx&amp;sheet=U0&amp;row=1407&amp;col=7&amp;number=1.04&amp;sourceID=14","1.04")</f>
        <v>1.04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HYPERLINK("http://141.218.60.56/~jnz1568/getInfo.php?workbook=14_11.xlsx&amp;sheet=U0&amp;row=1408&amp;col=6&amp;number=3.4&amp;sourceID=14","3.4")</f>
        <v>3.4</v>
      </c>
      <c r="G1408" s="4" t="str">
        <f>HYPERLINK("http://141.218.60.56/~jnz1568/getInfo.php?workbook=14_11.xlsx&amp;sheet=U0&amp;row=1408&amp;col=7&amp;number=1.03&amp;sourceID=14","1.03")</f>
        <v>1.03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HYPERLINK("http://141.218.60.56/~jnz1568/getInfo.php?workbook=14_11.xlsx&amp;sheet=U0&amp;row=1409&amp;col=6&amp;number=3.5&amp;sourceID=14","3.5")</f>
        <v>3.5</v>
      </c>
      <c r="G1409" s="4" t="str">
        <f>HYPERLINK("http://141.218.60.56/~jnz1568/getInfo.php?workbook=14_11.xlsx&amp;sheet=U0&amp;row=1409&amp;col=7&amp;number=1.03&amp;sourceID=14","1.03")</f>
        <v>1.03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HYPERLINK("http://141.218.60.56/~jnz1568/getInfo.php?workbook=14_11.xlsx&amp;sheet=U0&amp;row=1410&amp;col=6&amp;number=3.6&amp;sourceID=14","3.6")</f>
        <v>3.6</v>
      </c>
      <c r="G1410" s="4" t="str">
        <f>HYPERLINK("http://141.218.60.56/~jnz1568/getInfo.php?workbook=14_11.xlsx&amp;sheet=U0&amp;row=1410&amp;col=7&amp;number=1.03&amp;sourceID=14","1.03")</f>
        <v>1.03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HYPERLINK("http://141.218.60.56/~jnz1568/getInfo.php?workbook=14_11.xlsx&amp;sheet=U0&amp;row=1411&amp;col=6&amp;number=3.7&amp;sourceID=14","3.7")</f>
        <v>3.7</v>
      </c>
      <c r="G1411" s="4" t="str">
        <f>HYPERLINK("http://141.218.60.56/~jnz1568/getInfo.php?workbook=14_11.xlsx&amp;sheet=U0&amp;row=1411&amp;col=7&amp;number=1.02&amp;sourceID=14","1.02")</f>
        <v>1.02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HYPERLINK("http://141.218.60.56/~jnz1568/getInfo.php?workbook=14_11.xlsx&amp;sheet=U0&amp;row=1412&amp;col=6&amp;number=3.8&amp;sourceID=14","3.8")</f>
        <v>3.8</v>
      </c>
      <c r="G1412" s="4" t="str">
        <f>HYPERLINK("http://141.218.60.56/~jnz1568/getInfo.php?workbook=14_11.xlsx&amp;sheet=U0&amp;row=1412&amp;col=7&amp;number=1.01&amp;sourceID=14","1.01")</f>
        <v>1.01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HYPERLINK("http://141.218.60.56/~jnz1568/getInfo.php?workbook=14_11.xlsx&amp;sheet=U0&amp;row=1413&amp;col=6&amp;number=3.9&amp;sourceID=14","3.9")</f>
        <v>3.9</v>
      </c>
      <c r="G1413" s="4" t="str">
        <f>HYPERLINK("http://141.218.60.56/~jnz1568/getInfo.php?workbook=14_11.xlsx&amp;sheet=U0&amp;row=1413&amp;col=7&amp;number=1.01&amp;sourceID=14","1.01")</f>
        <v>1.01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HYPERLINK("http://141.218.60.56/~jnz1568/getInfo.php?workbook=14_11.xlsx&amp;sheet=U0&amp;row=1414&amp;col=6&amp;number=4&amp;sourceID=14","4")</f>
        <v>4</v>
      </c>
      <c r="G1414" s="4" t="str">
        <f>HYPERLINK("http://141.218.60.56/~jnz1568/getInfo.php?workbook=14_11.xlsx&amp;sheet=U0&amp;row=1414&amp;col=7&amp;number=0.996&amp;sourceID=14","0.996")</f>
        <v>0.996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HYPERLINK("http://141.218.60.56/~jnz1568/getInfo.php?workbook=14_11.xlsx&amp;sheet=U0&amp;row=1415&amp;col=6&amp;number=4.1&amp;sourceID=14","4.1")</f>
        <v>4.1</v>
      </c>
      <c r="G1415" s="4" t="str">
        <f>HYPERLINK("http://141.218.60.56/~jnz1568/getInfo.php?workbook=14_11.xlsx&amp;sheet=U0&amp;row=1415&amp;col=7&amp;number=0.984&amp;sourceID=14","0.984")</f>
        <v>0.984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HYPERLINK("http://141.218.60.56/~jnz1568/getInfo.php?workbook=14_11.xlsx&amp;sheet=U0&amp;row=1416&amp;col=6&amp;number=4.2&amp;sourceID=14","4.2")</f>
        <v>4.2</v>
      </c>
      <c r="G1416" s="4" t="str">
        <f>HYPERLINK("http://141.218.60.56/~jnz1568/getInfo.php?workbook=14_11.xlsx&amp;sheet=U0&amp;row=1416&amp;col=7&amp;number=0.969&amp;sourceID=14","0.969")</f>
        <v>0.969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HYPERLINK("http://141.218.60.56/~jnz1568/getInfo.php?workbook=14_11.xlsx&amp;sheet=U0&amp;row=1417&amp;col=6&amp;number=4.3&amp;sourceID=14","4.3")</f>
        <v>4.3</v>
      </c>
      <c r="G1417" s="4" t="str">
        <f>HYPERLINK("http://141.218.60.56/~jnz1568/getInfo.php?workbook=14_11.xlsx&amp;sheet=U0&amp;row=1417&amp;col=7&amp;number=0.95&amp;sourceID=14","0.95")</f>
        <v>0.95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HYPERLINK("http://141.218.60.56/~jnz1568/getInfo.php?workbook=14_11.xlsx&amp;sheet=U0&amp;row=1418&amp;col=6&amp;number=4.4&amp;sourceID=14","4.4")</f>
        <v>4.4</v>
      </c>
      <c r="G1418" s="4" t="str">
        <f>HYPERLINK("http://141.218.60.56/~jnz1568/getInfo.php?workbook=14_11.xlsx&amp;sheet=U0&amp;row=1418&amp;col=7&amp;number=0.929&amp;sourceID=14","0.929")</f>
        <v>0.929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HYPERLINK("http://141.218.60.56/~jnz1568/getInfo.php?workbook=14_11.xlsx&amp;sheet=U0&amp;row=1419&amp;col=6&amp;number=4.5&amp;sourceID=14","4.5")</f>
        <v>4.5</v>
      </c>
      <c r="G1419" s="4" t="str">
        <f>HYPERLINK("http://141.218.60.56/~jnz1568/getInfo.php?workbook=14_11.xlsx&amp;sheet=U0&amp;row=1419&amp;col=7&amp;number=0.903&amp;sourceID=14","0.903")</f>
        <v>0.903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HYPERLINK("http://141.218.60.56/~jnz1568/getInfo.php?workbook=14_11.xlsx&amp;sheet=U0&amp;row=1420&amp;col=6&amp;number=4.6&amp;sourceID=14","4.6")</f>
        <v>4.6</v>
      </c>
      <c r="G1420" s="4" t="str">
        <f>HYPERLINK("http://141.218.60.56/~jnz1568/getInfo.php?workbook=14_11.xlsx&amp;sheet=U0&amp;row=1420&amp;col=7&amp;number=0.873&amp;sourceID=14","0.873")</f>
        <v>0.873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HYPERLINK("http://141.218.60.56/~jnz1568/getInfo.php?workbook=14_11.xlsx&amp;sheet=U0&amp;row=1421&amp;col=6&amp;number=4.7&amp;sourceID=14","4.7")</f>
        <v>4.7</v>
      </c>
      <c r="G1421" s="4" t="str">
        <f>HYPERLINK("http://141.218.60.56/~jnz1568/getInfo.php?workbook=14_11.xlsx&amp;sheet=U0&amp;row=1421&amp;col=7&amp;number=0.84&amp;sourceID=14","0.84")</f>
        <v>0.84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HYPERLINK("http://141.218.60.56/~jnz1568/getInfo.php?workbook=14_11.xlsx&amp;sheet=U0&amp;row=1422&amp;col=6&amp;number=4.8&amp;sourceID=14","4.8")</f>
        <v>4.8</v>
      </c>
      <c r="G1422" s="4" t="str">
        <f>HYPERLINK("http://141.218.60.56/~jnz1568/getInfo.php?workbook=14_11.xlsx&amp;sheet=U0&amp;row=1422&amp;col=7&amp;number=0.803&amp;sourceID=14","0.803")</f>
        <v>0.803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HYPERLINK("http://141.218.60.56/~jnz1568/getInfo.php?workbook=14_11.xlsx&amp;sheet=U0&amp;row=1423&amp;col=6&amp;number=4.9&amp;sourceID=14","4.9")</f>
        <v>4.9</v>
      </c>
      <c r="G1423" s="4" t="str">
        <f>HYPERLINK("http://141.218.60.56/~jnz1568/getInfo.php?workbook=14_11.xlsx&amp;sheet=U0&amp;row=1423&amp;col=7&amp;number=0.763&amp;sourceID=14","0.763")</f>
        <v>0.763</v>
      </c>
    </row>
    <row r="1424" spans="1:7">
      <c r="A1424" s="3">
        <v>14</v>
      </c>
      <c r="B1424" s="3">
        <v>11</v>
      </c>
      <c r="C1424" s="3">
        <v>5</v>
      </c>
      <c r="D1424" s="3">
        <v>10</v>
      </c>
      <c r="E1424" s="3">
        <v>1</v>
      </c>
      <c r="F1424" s="4" t="str">
        <f>HYPERLINK("http://141.218.60.56/~jnz1568/getInfo.php?workbook=14_11.xlsx&amp;sheet=U0&amp;row=1424&amp;col=6&amp;number=3&amp;sourceID=14","3")</f>
        <v>3</v>
      </c>
      <c r="G1424" s="4" t="str">
        <f>HYPERLINK("http://141.218.60.56/~jnz1568/getInfo.php?workbook=14_11.xlsx&amp;sheet=U0&amp;row=1424&amp;col=7&amp;number=9.23&amp;sourceID=14","9.23")</f>
        <v>9.23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HYPERLINK("http://141.218.60.56/~jnz1568/getInfo.php?workbook=14_11.xlsx&amp;sheet=U0&amp;row=1425&amp;col=6&amp;number=3.1&amp;sourceID=14","3.1")</f>
        <v>3.1</v>
      </c>
      <c r="G1425" s="4" t="str">
        <f>HYPERLINK("http://141.218.60.56/~jnz1568/getInfo.php?workbook=14_11.xlsx&amp;sheet=U0&amp;row=1425&amp;col=7&amp;number=9.23&amp;sourceID=14","9.23")</f>
        <v>9.23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HYPERLINK("http://141.218.60.56/~jnz1568/getInfo.php?workbook=14_11.xlsx&amp;sheet=U0&amp;row=1426&amp;col=6&amp;number=3.2&amp;sourceID=14","3.2")</f>
        <v>3.2</v>
      </c>
      <c r="G1426" s="4" t="str">
        <f>HYPERLINK("http://141.218.60.56/~jnz1568/getInfo.php?workbook=14_11.xlsx&amp;sheet=U0&amp;row=1426&amp;col=7&amp;number=9.22&amp;sourceID=14","9.22")</f>
        <v>9.22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HYPERLINK("http://141.218.60.56/~jnz1568/getInfo.php?workbook=14_11.xlsx&amp;sheet=U0&amp;row=1427&amp;col=6&amp;number=3.3&amp;sourceID=14","3.3")</f>
        <v>3.3</v>
      </c>
      <c r="G1427" s="4" t="str">
        <f>HYPERLINK("http://141.218.60.56/~jnz1568/getInfo.php?workbook=14_11.xlsx&amp;sheet=U0&amp;row=1427&amp;col=7&amp;number=9.22&amp;sourceID=14","9.22")</f>
        <v>9.22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HYPERLINK("http://141.218.60.56/~jnz1568/getInfo.php?workbook=14_11.xlsx&amp;sheet=U0&amp;row=1428&amp;col=6&amp;number=3.4&amp;sourceID=14","3.4")</f>
        <v>3.4</v>
      </c>
      <c r="G1428" s="4" t="str">
        <f>HYPERLINK("http://141.218.60.56/~jnz1568/getInfo.php?workbook=14_11.xlsx&amp;sheet=U0&amp;row=1428&amp;col=7&amp;number=9.22&amp;sourceID=14","9.22")</f>
        <v>9.22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HYPERLINK("http://141.218.60.56/~jnz1568/getInfo.php?workbook=14_11.xlsx&amp;sheet=U0&amp;row=1429&amp;col=6&amp;number=3.5&amp;sourceID=14","3.5")</f>
        <v>3.5</v>
      </c>
      <c r="G1429" s="4" t="str">
        <f>HYPERLINK("http://141.218.60.56/~jnz1568/getInfo.php?workbook=14_11.xlsx&amp;sheet=U0&amp;row=1429&amp;col=7&amp;number=9.21&amp;sourceID=14","9.21")</f>
        <v>9.21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HYPERLINK("http://141.218.60.56/~jnz1568/getInfo.php?workbook=14_11.xlsx&amp;sheet=U0&amp;row=1430&amp;col=6&amp;number=3.6&amp;sourceID=14","3.6")</f>
        <v>3.6</v>
      </c>
      <c r="G1430" s="4" t="str">
        <f>HYPERLINK("http://141.218.60.56/~jnz1568/getInfo.php?workbook=14_11.xlsx&amp;sheet=U0&amp;row=1430&amp;col=7&amp;number=9.21&amp;sourceID=14","9.21")</f>
        <v>9.21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HYPERLINK("http://141.218.60.56/~jnz1568/getInfo.php?workbook=14_11.xlsx&amp;sheet=U0&amp;row=1431&amp;col=6&amp;number=3.7&amp;sourceID=14","3.7")</f>
        <v>3.7</v>
      </c>
      <c r="G1431" s="4" t="str">
        <f>HYPERLINK("http://141.218.60.56/~jnz1568/getInfo.php?workbook=14_11.xlsx&amp;sheet=U0&amp;row=1431&amp;col=7&amp;number=9.2&amp;sourceID=14","9.2")</f>
        <v>9.2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HYPERLINK("http://141.218.60.56/~jnz1568/getInfo.php?workbook=14_11.xlsx&amp;sheet=U0&amp;row=1432&amp;col=6&amp;number=3.8&amp;sourceID=14","3.8")</f>
        <v>3.8</v>
      </c>
      <c r="G1432" s="4" t="str">
        <f>HYPERLINK("http://141.218.60.56/~jnz1568/getInfo.php?workbook=14_11.xlsx&amp;sheet=U0&amp;row=1432&amp;col=7&amp;number=9.2&amp;sourceID=14","9.2")</f>
        <v>9.2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HYPERLINK("http://141.218.60.56/~jnz1568/getInfo.php?workbook=14_11.xlsx&amp;sheet=U0&amp;row=1433&amp;col=6&amp;number=3.9&amp;sourceID=14","3.9")</f>
        <v>3.9</v>
      </c>
      <c r="G1433" s="4" t="str">
        <f>HYPERLINK("http://141.218.60.56/~jnz1568/getInfo.php?workbook=14_11.xlsx&amp;sheet=U0&amp;row=1433&amp;col=7&amp;number=9.19&amp;sourceID=14","9.19")</f>
        <v>9.19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HYPERLINK("http://141.218.60.56/~jnz1568/getInfo.php?workbook=14_11.xlsx&amp;sheet=U0&amp;row=1434&amp;col=6&amp;number=4&amp;sourceID=14","4")</f>
        <v>4</v>
      </c>
      <c r="G1434" s="4" t="str">
        <f>HYPERLINK("http://141.218.60.56/~jnz1568/getInfo.php?workbook=14_11.xlsx&amp;sheet=U0&amp;row=1434&amp;col=7&amp;number=9.17&amp;sourceID=14","9.17")</f>
        <v>9.17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HYPERLINK("http://141.218.60.56/~jnz1568/getInfo.php?workbook=14_11.xlsx&amp;sheet=U0&amp;row=1435&amp;col=6&amp;number=4.1&amp;sourceID=14","4.1")</f>
        <v>4.1</v>
      </c>
      <c r="G1435" s="4" t="str">
        <f>HYPERLINK("http://141.218.60.56/~jnz1568/getInfo.php?workbook=14_11.xlsx&amp;sheet=U0&amp;row=1435&amp;col=7&amp;number=9.16&amp;sourceID=14","9.16")</f>
        <v>9.16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HYPERLINK("http://141.218.60.56/~jnz1568/getInfo.php?workbook=14_11.xlsx&amp;sheet=U0&amp;row=1436&amp;col=6&amp;number=4.2&amp;sourceID=14","4.2")</f>
        <v>4.2</v>
      </c>
      <c r="G1436" s="4" t="str">
        <f>HYPERLINK("http://141.218.60.56/~jnz1568/getInfo.php?workbook=14_11.xlsx&amp;sheet=U0&amp;row=1436&amp;col=7&amp;number=9.14&amp;sourceID=14","9.14")</f>
        <v>9.14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HYPERLINK("http://141.218.60.56/~jnz1568/getInfo.php?workbook=14_11.xlsx&amp;sheet=U0&amp;row=1437&amp;col=6&amp;number=4.3&amp;sourceID=14","4.3")</f>
        <v>4.3</v>
      </c>
      <c r="G1437" s="4" t="str">
        <f>HYPERLINK("http://141.218.60.56/~jnz1568/getInfo.php?workbook=14_11.xlsx&amp;sheet=U0&amp;row=1437&amp;col=7&amp;number=9.12&amp;sourceID=14","9.12")</f>
        <v>9.12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HYPERLINK("http://141.218.60.56/~jnz1568/getInfo.php?workbook=14_11.xlsx&amp;sheet=U0&amp;row=1438&amp;col=6&amp;number=4.4&amp;sourceID=14","4.4")</f>
        <v>4.4</v>
      </c>
      <c r="G1438" s="4" t="str">
        <f>HYPERLINK("http://141.218.60.56/~jnz1568/getInfo.php?workbook=14_11.xlsx&amp;sheet=U0&amp;row=1438&amp;col=7&amp;number=9.09&amp;sourceID=14","9.09")</f>
        <v>9.09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HYPERLINK("http://141.218.60.56/~jnz1568/getInfo.php?workbook=14_11.xlsx&amp;sheet=U0&amp;row=1439&amp;col=6&amp;number=4.5&amp;sourceID=14","4.5")</f>
        <v>4.5</v>
      </c>
      <c r="G1439" s="4" t="str">
        <f>HYPERLINK("http://141.218.60.56/~jnz1568/getInfo.php?workbook=14_11.xlsx&amp;sheet=U0&amp;row=1439&amp;col=7&amp;number=9.06&amp;sourceID=14","9.06")</f>
        <v>9.06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HYPERLINK("http://141.218.60.56/~jnz1568/getInfo.php?workbook=14_11.xlsx&amp;sheet=U0&amp;row=1440&amp;col=6&amp;number=4.6&amp;sourceID=14","4.6")</f>
        <v>4.6</v>
      </c>
      <c r="G1440" s="4" t="str">
        <f>HYPERLINK("http://141.218.60.56/~jnz1568/getInfo.php?workbook=14_11.xlsx&amp;sheet=U0&amp;row=1440&amp;col=7&amp;number=9.02&amp;sourceID=14","9.02")</f>
        <v>9.02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HYPERLINK("http://141.218.60.56/~jnz1568/getInfo.php?workbook=14_11.xlsx&amp;sheet=U0&amp;row=1441&amp;col=6&amp;number=4.7&amp;sourceID=14","4.7")</f>
        <v>4.7</v>
      </c>
      <c r="G1441" s="4" t="str">
        <f>HYPERLINK("http://141.218.60.56/~jnz1568/getInfo.php?workbook=14_11.xlsx&amp;sheet=U0&amp;row=1441&amp;col=7&amp;number=8.97&amp;sourceID=14","8.97")</f>
        <v>8.97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HYPERLINK("http://141.218.60.56/~jnz1568/getInfo.php?workbook=14_11.xlsx&amp;sheet=U0&amp;row=1442&amp;col=6&amp;number=4.8&amp;sourceID=14","4.8")</f>
        <v>4.8</v>
      </c>
      <c r="G1442" s="4" t="str">
        <f>HYPERLINK("http://141.218.60.56/~jnz1568/getInfo.php?workbook=14_11.xlsx&amp;sheet=U0&amp;row=1442&amp;col=7&amp;number=8.92&amp;sourceID=14","8.92")</f>
        <v>8.92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HYPERLINK("http://141.218.60.56/~jnz1568/getInfo.php?workbook=14_11.xlsx&amp;sheet=U0&amp;row=1443&amp;col=6&amp;number=4.9&amp;sourceID=14","4.9")</f>
        <v>4.9</v>
      </c>
      <c r="G1443" s="4" t="str">
        <f>HYPERLINK("http://141.218.60.56/~jnz1568/getInfo.php?workbook=14_11.xlsx&amp;sheet=U0&amp;row=1443&amp;col=7&amp;number=8.86&amp;sourceID=14","8.86")</f>
        <v>8.86</v>
      </c>
    </row>
    <row r="1444" spans="1:7">
      <c r="A1444" s="3">
        <v>14</v>
      </c>
      <c r="B1444" s="3">
        <v>11</v>
      </c>
      <c r="C1444" s="3">
        <v>5</v>
      </c>
      <c r="D1444" s="3">
        <v>11</v>
      </c>
      <c r="E1444" s="3">
        <v>1</v>
      </c>
      <c r="F1444" s="4" t="str">
        <f>HYPERLINK("http://141.218.60.56/~jnz1568/getInfo.php?workbook=14_11.xlsx&amp;sheet=U0&amp;row=1444&amp;col=6&amp;number=3&amp;sourceID=14","3")</f>
        <v>3</v>
      </c>
      <c r="G1444" s="4" t="str">
        <f>HYPERLINK("http://141.218.60.56/~jnz1568/getInfo.php?workbook=14_11.xlsx&amp;sheet=U0&amp;row=1444&amp;col=7&amp;number=3.27&amp;sourceID=14","3.27")</f>
        <v>3.27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HYPERLINK("http://141.218.60.56/~jnz1568/getInfo.php?workbook=14_11.xlsx&amp;sheet=U0&amp;row=1445&amp;col=6&amp;number=3.1&amp;sourceID=14","3.1")</f>
        <v>3.1</v>
      </c>
      <c r="G1445" s="4" t="str">
        <f>HYPERLINK("http://141.218.60.56/~jnz1568/getInfo.php?workbook=14_11.xlsx&amp;sheet=U0&amp;row=1445&amp;col=7&amp;number=3.26&amp;sourceID=14","3.26")</f>
        <v>3.26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HYPERLINK("http://141.218.60.56/~jnz1568/getInfo.php?workbook=14_11.xlsx&amp;sheet=U0&amp;row=1446&amp;col=6&amp;number=3.2&amp;sourceID=14","3.2")</f>
        <v>3.2</v>
      </c>
      <c r="G1446" s="4" t="str">
        <f>HYPERLINK("http://141.218.60.56/~jnz1568/getInfo.php?workbook=14_11.xlsx&amp;sheet=U0&amp;row=1446&amp;col=7&amp;number=3.26&amp;sourceID=14","3.26")</f>
        <v>3.26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HYPERLINK("http://141.218.60.56/~jnz1568/getInfo.php?workbook=14_11.xlsx&amp;sheet=U0&amp;row=1447&amp;col=6&amp;number=3.3&amp;sourceID=14","3.3")</f>
        <v>3.3</v>
      </c>
      <c r="G1447" s="4" t="str">
        <f>HYPERLINK("http://141.218.60.56/~jnz1568/getInfo.php?workbook=14_11.xlsx&amp;sheet=U0&amp;row=1447&amp;col=7&amp;number=3.25&amp;sourceID=14","3.25")</f>
        <v>3.25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HYPERLINK("http://141.218.60.56/~jnz1568/getInfo.php?workbook=14_11.xlsx&amp;sheet=U0&amp;row=1448&amp;col=6&amp;number=3.4&amp;sourceID=14","3.4")</f>
        <v>3.4</v>
      </c>
      <c r="G1448" s="4" t="str">
        <f>HYPERLINK("http://141.218.60.56/~jnz1568/getInfo.php?workbook=14_11.xlsx&amp;sheet=U0&amp;row=1448&amp;col=7&amp;number=3.25&amp;sourceID=14","3.25")</f>
        <v>3.25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HYPERLINK("http://141.218.60.56/~jnz1568/getInfo.php?workbook=14_11.xlsx&amp;sheet=U0&amp;row=1449&amp;col=6&amp;number=3.5&amp;sourceID=14","3.5")</f>
        <v>3.5</v>
      </c>
      <c r="G1449" s="4" t="str">
        <f>HYPERLINK("http://141.218.60.56/~jnz1568/getInfo.php?workbook=14_11.xlsx&amp;sheet=U0&amp;row=1449&amp;col=7&amp;number=3.24&amp;sourceID=14","3.24")</f>
        <v>3.24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HYPERLINK("http://141.218.60.56/~jnz1568/getInfo.php?workbook=14_11.xlsx&amp;sheet=U0&amp;row=1450&amp;col=6&amp;number=3.6&amp;sourceID=14","3.6")</f>
        <v>3.6</v>
      </c>
      <c r="G1450" s="4" t="str">
        <f>HYPERLINK("http://141.218.60.56/~jnz1568/getInfo.php?workbook=14_11.xlsx&amp;sheet=U0&amp;row=1450&amp;col=7&amp;number=3.23&amp;sourceID=14","3.23")</f>
        <v>3.23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HYPERLINK("http://141.218.60.56/~jnz1568/getInfo.php?workbook=14_11.xlsx&amp;sheet=U0&amp;row=1451&amp;col=6&amp;number=3.7&amp;sourceID=14","3.7")</f>
        <v>3.7</v>
      </c>
      <c r="G1451" s="4" t="str">
        <f>HYPERLINK("http://141.218.60.56/~jnz1568/getInfo.php?workbook=14_11.xlsx&amp;sheet=U0&amp;row=1451&amp;col=7&amp;number=3.22&amp;sourceID=14","3.22")</f>
        <v>3.22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HYPERLINK("http://141.218.60.56/~jnz1568/getInfo.php?workbook=14_11.xlsx&amp;sheet=U0&amp;row=1452&amp;col=6&amp;number=3.8&amp;sourceID=14","3.8")</f>
        <v>3.8</v>
      </c>
      <c r="G1452" s="4" t="str">
        <f>HYPERLINK("http://141.218.60.56/~jnz1568/getInfo.php?workbook=14_11.xlsx&amp;sheet=U0&amp;row=1452&amp;col=7&amp;number=3.2&amp;sourceID=14","3.2")</f>
        <v>3.2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HYPERLINK("http://141.218.60.56/~jnz1568/getInfo.php?workbook=14_11.xlsx&amp;sheet=U0&amp;row=1453&amp;col=6&amp;number=3.9&amp;sourceID=14","3.9")</f>
        <v>3.9</v>
      </c>
      <c r="G1453" s="4" t="str">
        <f>HYPERLINK("http://141.218.60.56/~jnz1568/getInfo.php?workbook=14_11.xlsx&amp;sheet=U0&amp;row=1453&amp;col=7&amp;number=3.18&amp;sourceID=14","3.18")</f>
        <v>3.18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HYPERLINK("http://141.218.60.56/~jnz1568/getInfo.php?workbook=14_11.xlsx&amp;sheet=U0&amp;row=1454&amp;col=6&amp;number=4&amp;sourceID=14","4")</f>
        <v>4</v>
      </c>
      <c r="G1454" s="4" t="str">
        <f>HYPERLINK("http://141.218.60.56/~jnz1568/getInfo.php?workbook=14_11.xlsx&amp;sheet=U0&amp;row=1454&amp;col=7&amp;number=3.16&amp;sourceID=14","3.16")</f>
        <v>3.16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HYPERLINK("http://141.218.60.56/~jnz1568/getInfo.php?workbook=14_11.xlsx&amp;sheet=U0&amp;row=1455&amp;col=6&amp;number=4.1&amp;sourceID=14","4.1")</f>
        <v>4.1</v>
      </c>
      <c r="G1455" s="4" t="str">
        <f>HYPERLINK("http://141.218.60.56/~jnz1568/getInfo.php?workbook=14_11.xlsx&amp;sheet=U0&amp;row=1455&amp;col=7&amp;number=3.13&amp;sourceID=14","3.13")</f>
        <v>3.13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HYPERLINK("http://141.218.60.56/~jnz1568/getInfo.php?workbook=14_11.xlsx&amp;sheet=U0&amp;row=1456&amp;col=6&amp;number=4.2&amp;sourceID=14","4.2")</f>
        <v>4.2</v>
      </c>
      <c r="G1456" s="4" t="str">
        <f>HYPERLINK("http://141.218.60.56/~jnz1568/getInfo.php?workbook=14_11.xlsx&amp;sheet=U0&amp;row=1456&amp;col=7&amp;number=3.09&amp;sourceID=14","3.09")</f>
        <v>3.09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HYPERLINK("http://141.218.60.56/~jnz1568/getInfo.php?workbook=14_11.xlsx&amp;sheet=U0&amp;row=1457&amp;col=6&amp;number=4.3&amp;sourceID=14","4.3")</f>
        <v>4.3</v>
      </c>
      <c r="G1457" s="4" t="str">
        <f>HYPERLINK("http://141.218.60.56/~jnz1568/getInfo.php?workbook=14_11.xlsx&amp;sheet=U0&amp;row=1457&amp;col=7&amp;number=3.05&amp;sourceID=14","3.05")</f>
        <v>3.05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HYPERLINK("http://141.218.60.56/~jnz1568/getInfo.php?workbook=14_11.xlsx&amp;sheet=U0&amp;row=1458&amp;col=6&amp;number=4.4&amp;sourceID=14","4.4")</f>
        <v>4.4</v>
      </c>
      <c r="G1458" s="4" t="str">
        <f>HYPERLINK("http://141.218.60.56/~jnz1568/getInfo.php?workbook=14_11.xlsx&amp;sheet=U0&amp;row=1458&amp;col=7&amp;number=3&amp;sourceID=14","3")</f>
        <v>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HYPERLINK("http://141.218.60.56/~jnz1568/getInfo.php?workbook=14_11.xlsx&amp;sheet=U0&amp;row=1459&amp;col=6&amp;number=4.5&amp;sourceID=14","4.5")</f>
        <v>4.5</v>
      </c>
      <c r="G1459" s="4" t="str">
        <f>HYPERLINK("http://141.218.60.56/~jnz1568/getInfo.php?workbook=14_11.xlsx&amp;sheet=U0&amp;row=1459&amp;col=7&amp;number=2.94&amp;sourceID=14","2.94")</f>
        <v>2.94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HYPERLINK("http://141.218.60.56/~jnz1568/getInfo.php?workbook=14_11.xlsx&amp;sheet=U0&amp;row=1460&amp;col=6&amp;number=4.6&amp;sourceID=14","4.6")</f>
        <v>4.6</v>
      </c>
      <c r="G1460" s="4" t="str">
        <f>HYPERLINK("http://141.218.60.56/~jnz1568/getInfo.php?workbook=14_11.xlsx&amp;sheet=U0&amp;row=1460&amp;col=7&amp;number=2.88&amp;sourceID=14","2.88")</f>
        <v>2.88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HYPERLINK("http://141.218.60.56/~jnz1568/getInfo.php?workbook=14_11.xlsx&amp;sheet=U0&amp;row=1461&amp;col=6&amp;number=4.7&amp;sourceID=14","4.7")</f>
        <v>4.7</v>
      </c>
      <c r="G1461" s="4" t="str">
        <f>HYPERLINK("http://141.218.60.56/~jnz1568/getInfo.php?workbook=14_11.xlsx&amp;sheet=U0&amp;row=1461&amp;col=7&amp;number=2.81&amp;sourceID=14","2.81")</f>
        <v>2.81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HYPERLINK("http://141.218.60.56/~jnz1568/getInfo.php?workbook=14_11.xlsx&amp;sheet=U0&amp;row=1462&amp;col=6&amp;number=4.8&amp;sourceID=14","4.8")</f>
        <v>4.8</v>
      </c>
      <c r="G1462" s="4" t="str">
        <f>HYPERLINK("http://141.218.60.56/~jnz1568/getInfo.php?workbook=14_11.xlsx&amp;sheet=U0&amp;row=1462&amp;col=7&amp;number=2.74&amp;sourceID=14","2.74")</f>
        <v>2.74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HYPERLINK("http://141.218.60.56/~jnz1568/getInfo.php?workbook=14_11.xlsx&amp;sheet=U0&amp;row=1463&amp;col=6&amp;number=4.9&amp;sourceID=14","4.9")</f>
        <v>4.9</v>
      </c>
      <c r="G1463" s="4" t="str">
        <f>HYPERLINK("http://141.218.60.56/~jnz1568/getInfo.php?workbook=14_11.xlsx&amp;sheet=U0&amp;row=1463&amp;col=7&amp;number=2.68&amp;sourceID=14","2.68")</f>
        <v>2.68</v>
      </c>
    </row>
    <row r="1464" spans="1:7">
      <c r="A1464" s="3">
        <v>14</v>
      </c>
      <c r="B1464" s="3">
        <v>11</v>
      </c>
      <c r="C1464" s="3">
        <v>5</v>
      </c>
      <c r="D1464" s="3">
        <v>12</v>
      </c>
      <c r="E1464" s="3">
        <v>1</v>
      </c>
      <c r="F1464" s="4" t="str">
        <f>HYPERLINK("http://141.218.60.56/~jnz1568/getInfo.php?workbook=14_11.xlsx&amp;sheet=U0&amp;row=1464&amp;col=6&amp;number=3&amp;sourceID=14","3")</f>
        <v>3</v>
      </c>
      <c r="G1464" s="4" t="str">
        <f>HYPERLINK("http://141.218.60.56/~jnz1568/getInfo.php?workbook=14_11.xlsx&amp;sheet=U0&amp;row=1464&amp;col=7&amp;number=21.1&amp;sourceID=14","21.1")</f>
        <v>21.1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HYPERLINK("http://141.218.60.56/~jnz1568/getInfo.php?workbook=14_11.xlsx&amp;sheet=U0&amp;row=1465&amp;col=6&amp;number=3.1&amp;sourceID=14","3.1")</f>
        <v>3.1</v>
      </c>
      <c r="G1465" s="4" t="str">
        <f>HYPERLINK("http://141.218.60.56/~jnz1568/getInfo.php?workbook=14_11.xlsx&amp;sheet=U0&amp;row=1465&amp;col=7&amp;number=21.1&amp;sourceID=14","21.1")</f>
        <v>21.1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HYPERLINK("http://141.218.60.56/~jnz1568/getInfo.php?workbook=14_11.xlsx&amp;sheet=U0&amp;row=1466&amp;col=6&amp;number=3.2&amp;sourceID=14","3.2")</f>
        <v>3.2</v>
      </c>
      <c r="G1466" s="4" t="str">
        <f>HYPERLINK("http://141.218.60.56/~jnz1568/getInfo.php?workbook=14_11.xlsx&amp;sheet=U0&amp;row=1466&amp;col=7&amp;number=21.1&amp;sourceID=14","21.1")</f>
        <v>21.1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HYPERLINK("http://141.218.60.56/~jnz1568/getInfo.php?workbook=14_11.xlsx&amp;sheet=U0&amp;row=1467&amp;col=6&amp;number=3.3&amp;sourceID=14","3.3")</f>
        <v>3.3</v>
      </c>
      <c r="G1467" s="4" t="str">
        <f>HYPERLINK("http://141.218.60.56/~jnz1568/getInfo.php?workbook=14_11.xlsx&amp;sheet=U0&amp;row=1467&amp;col=7&amp;number=21.1&amp;sourceID=14","21.1")</f>
        <v>21.1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HYPERLINK("http://141.218.60.56/~jnz1568/getInfo.php?workbook=14_11.xlsx&amp;sheet=U0&amp;row=1468&amp;col=6&amp;number=3.4&amp;sourceID=14","3.4")</f>
        <v>3.4</v>
      </c>
      <c r="G1468" s="4" t="str">
        <f>HYPERLINK("http://141.218.60.56/~jnz1568/getInfo.php?workbook=14_11.xlsx&amp;sheet=U0&amp;row=1468&amp;col=7&amp;number=21.1&amp;sourceID=14","21.1")</f>
        <v>21.1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HYPERLINK("http://141.218.60.56/~jnz1568/getInfo.php?workbook=14_11.xlsx&amp;sheet=U0&amp;row=1469&amp;col=6&amp;number=3.5&amp;sourceID=14","3.5")</f>
        <v>3.5</v>
      </c>
      <c r="G1469" s="4" t="str">
        <f>HYPERLINK("http://141.218.60.56/~jnz1568/getInfo.php?workbook=14_11.xlsx&amp;sheet=U0&amp;row=1469&amp;col=7&amp;number=21.2&amp;sourceID=14","21.2")</f>
        <v>21.2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HYPERLINK("http://141.218.60.56/~jnz1568/getInfo.php?workbook=14_11.xlsx&amp;sheet=U0&amp;row=1470&amp;col=6&amp;number=3.6&amp;sourceID=14","3.6")</f>
        <v>3.6</v>
      </c>
      <c r="G1470" s="4" t="str">
        <f>HYPERLINK("http://141.218.60.56/~jnz1568/getInfo.php?workbook=14_11.xlsx&amp;sheet=U0&amp;row=1470&amp;col=7&amp;number=21.2&amp;sourceID=14","21.2")</f>
        <v>21.2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HYPERLINK("http://141.218.60.56/~jnz1568/getInfo.php?workbook=14_11.xlsx&amp;sheet=U0&amp;row=1471&amp;col=6&amp;number=3.7&amp;sourceID=14","3.7")</f>
        <v>3.7</v>
      </c>
      <c r="G1471" s="4" t="str">
        <f>HYPERLINK("http://141.218.60.56/~jnz1568/getInfo.php?workbook=14_11.xlsx&amp;sheet=U0&amp;row=1471&amp;col=7&amp;number=21.2&amp;sourceID=14","21.2")</f>
        <v>21.2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HYPERLINK("http://141.218.60.56/~jnz1568/getInfo.php?workbook=14_11.xlsx&amp;sheet=U0&amp;row=1472&amp;col=6&amp;number=3.8&amp;sourceID=14","3.8")</f>
        <v>3.8</v>
      </c>
      <c r="G1472" s="4" t="str">
        <f>HYPERLINK("http://141.218.60.56/~jnz1568/getInfo.php?workbook=14_11.xlsx&amp;sheet=U0&amp;row=1472&amp;col=7&amp;number=21.3&amp;sourceID=14","21.3")</f>
        <v>21.3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HYPERLINK("http://141.218.60.56/~jnz1568/getInfo.php?workbook=14_11.xlsx&amp;sheet=U0&amp;row=1473&amp;col=6&amp;number=3.9&amp;sourceID=14","3.9")</f>
        <v>3.9</v>
      </c>
      <c r="G1473" s="4" t="str">
        <f>HYPERLINK("http://141.218.60.56/~jnz1568/getInfo.php?workbook=14_11.xlsx&amp;sheet=U0&amp;row=1473&amp;col=7&amp;number=21.4&amp;sourceID=14","21.4")</f>
        <v>21.4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HYPERLINK("http://141.218.60.56/~jnz1568/getInfo.php?workbook=14_11.xlsx&amp;sheet=U0&amp;row=1474&amp;col=6&amp;number=4&amp;sourceID=14","4")</f>
        <v>4</v>
      </c>
      <c r="G1474" s="4" t="str">
        <f>HYPERLINK("http://141.218.60.56/~jnz1568/getInfo.php?workbook=14_11.xlsx&amp;sheet=U0&amp;row=1474&amp;col=7&amp;number=21.4&amp;sourceID=14","21.4")</f>
        <v>21.4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HYPERLINK("http://141.218.60.56/~jnz1568/getInfo.php?workbook=14_11.xlsx&amp;sheet=U0&amp;row=1475&amp;col=6&amp;number=4.1&amp;sourceID=14","4.1")</f>
        <v>4.1</v>
      </c>
      <c r="G1475" s="4" t="str">
        <f>HYPERLINK("http://141.218.60.56/~jnz1568/getInfo.php?workbook=14_11.xlsx&amp;sheet=U0&amp;row=1475&amp;col=7&amp;number=21.5&amp;sourceID=14","21.5")</f>
        <v>21.5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HYPERLINK("http://141.218.60.56/~jnz1568/getInfo.php?workbook=14_11.xlsx&amp;sheet=U0&amp;row=1476&amp;col=6&amp;number=4.2&amp;sourceID=14","4.2")</f>
        <v>4.2</v>
      </c>
      <c r="G1476" s="4" t="str">
        <f>HYPERLINK("http://141.218.60.56/~jnz1568/getInfo.php?workbook=14_11.xlsx&amp;sheet=U0&amp;row=1476&amp;col=7&amp;number=21.7&amp;sourceID=14","21.7")</f>
        <v>21.7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HYPERLINK("http://141.218.60.56/~jnz1568/getInfo.php?workbook=14_11.xlsx&amp;sheet=U0&amp;row=1477&amp;col=6&amp;number=4.3&amp;sourceID=14","4.3")</f>
        <v>4.3</v>
      </c>
      <c r="G1477" s="4" t="str">
        <f>HYPERLINK("http://141.218.60.56/~jnz1568/getInfo.php?workbook=14_11.xlsx&amp;sheet=U0&amp;row=1477&amp;col=7&amp;number=21.9&amp;sourceID=14","21.9")</f>
        <v>21.9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HYPERLINK("http://141.218.60.56/~jnz1568/getInfo.php?workbook=14_11.xlsx&amp;sheet=U0&amp;row=1478&amp;col=6&amp;number=4.4&amp;sourceID=14","4.4")</f>
        <v>4.4</v>
      </c>
      <c r="G1478" s="4" t="str">
        <f>HYPERLINK("http://141.218.60.56/~jnz1568/getInfo.php?workbook=14_11.xlsx&amp;sheet=U0&amp;row=1478&amp;col=7&amp;number=22.1&amp;sourceID=14","22.1")</f>
        <v>22.1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HYPERLINK("http://141.218.60.56/~jnz1568/getInfo.php?workbook=14_11.xlsx&amp;sheet=U0&amp;row=1479&amp;col=6&amp;number=4.5&amp;sourceID=14","4.5")</f>
        <v>4.5</v>
      </c>
      <c r="G1479" s="4" t="str">
        <f>HYPERLINK("http://141.218.60.56/~jnz1568/getInfo.php?workbook=14_11.xlsx&amp;sheet=U0&amp;row=1479&amp;col=7&amp;number=22.4&amp;sourceID=14","22.4")</f>
        <v>22.4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HYPERLINK("http://141.218.60.56/~jnz1568/getInfo.php?workbook=14_11.xlsx&amp;sheet=U0&amp;row=1480&amp;col=6&amp;number=4.6&amp;sourceID=14","4.6")</f>
        <v>4.6</v>
      </c>
      <c r="G1480" s="4" t="str">
        <f>HYPERLINK("http://141.218.60.56/~jnz1568/getInfo.php?workbook=14_11.xlsx&amp;sheet=U0&amp;row=1480&amp;col=7&amp;number=22.7&amp;sourceID=14","22.7")</f>
        <v>22.7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HYPERLINK("http://141.218.60.56/~jnz1568/getInfo.php?workbook=14_11.xlsx&amp;sheet=U0&amp;row=1481&amp;col=6&amp;number=4.7&amp;sourceID=14","4.7")</f>
        <v>4.7</v>
      </c>
      <c r="G1481" s="4" t="str">
        <f>HYPERLINK("http://141.218.60.56/~jnz1568/getInfo.php?workbook=14_11.xlsx&amp;sheet=U0&amp;row=1481&amp;col=7&amp;number=23.2&amp;sourceID=14","23.2")</f>
        <v>23.2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HYPERLINK("http://141.218.60.56/~jnz1568/getInfo.php?workbook=14_11.xlsx&amp;sheet=U0&amp;row=1482&amp;col=6&amp;number=4.8&amp;sourceID=14","4.8")</f>
        <v>4.8</v>
      </c>
      <c r="G1482" s="4" t="str">
        <f>HYPERLINK("http://141.218.60.56/~jnz1568/getInfo.php?workbook=14_11.xlsx&amp;sheet=U0&amp;row=1482&amp;col=7&amp;number=23.7&amp;sourceID=14","23.7")</f>
        <v>23.7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HYPERLINK("http://141.218.60.56/~jnz1568/getInfo.php?workbook=14_11.xlsx&amp;sheet=U0&amp;row=1483&amp;col=6&amp;number=4.9&amp;sourceID=14","4.9")</f>
        <v>4.9</v>
      </c>
      <c r="G1483" s="4" t="str">
        <f>HYPERLINK("http://141.218.60.56/~jnz1568/getInfo.php?workbook=14_11.xlsx&amp;sheet=U0&amp;row=1483&amp;col=7&amp;number=24.4&amp;sourceID=14","24.4")</f>
        <v>24.4</v>
      </c>
    </row>
    <row r="1484" spans="1:7">
      <c r="A1484" s="3">
        <v>14</v>
      </c>
      <c r="B1484" s="3">
        <v>11</v>
      </c>
      <c r="C1484" s="3">
        <v>5</v>
      </c>
      <c r="D1484" s="3">
        <v>13</v>
      </c>
      <c r="E1484" s="3">
        <v>1</v>
      </c>
      <c r="F1484" s="4" t="str">
        <f>HYPERLINK("http://141.218.60.56/~jnz1568/getInfo.php?workbook=14_11.xlsx&amp;sheet=U0&amp;row=1484&amp;col=6&amp;number=3&amp;sourceID=14","3")</f>
        <v>3</v>
      </c>
      <c r="G1484" s="4" t="str">
        <f>HYPERLINK("http://141.218.60.56/~jnz1568/getInfo.php?workbook=14_11.xlsx&amp;sheet=U0&amp;row=1484&amp;col=7&amp;number=0.338&amp;sourceID=14","0.338")</f>
        <v>0.338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HYPERLINK("http://141.218.60.56/~jnz1568/getInfo.php?workbook=14_11.xlsx&amp;sheet=U0&amp;row=1485&amp;col=6&amp;number=3.1&amp;sourceID=14","3.1")</f>
        <v>3.1</v>
      </c>
      <c r="G1485" s="4" t="str">
        <f>HYPERLINK("http://141.218.60.56/~jnz1568/getInfo.php?workbook=14_11.xlsx&amp;sheet=U0&amp;row=1485&amp;col=7&amp;number=0.337&amp;sourceID=14","0.337")</f>
        <v>0.337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HYPERLINK("http://141.218.60.56/~jnz1568/getInfo.php?workbook=14_11.xlsx&amp;sheet=U0&amp;row=1486&amp;col=6&amp;number=3.2&amp;sourceID=14","3.2")</f>
        <v>3.2</v>
      </c>
      <c r="G1486" s="4" t="str">
        <f>HYPERLINK("http://141.218.60.56/~jnz1568/getInfo.php?workbook=14_11.xlsx&amp;sheet=U0&amp;row=1486&amp;col=7&amp;number=0.337&amp;sourceID=14","0.337")</f>
        <v>0.337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HYPERLINK("http://141.218.60.56/~jnz1568/getInfo.php?workbook=14_11.xlsx&amp;sheet=U0&amp;row=1487&amp;col=6&amp;number=3.3&amp;sourceID=14","3.3")</f>
        <v>3.3</v>
      </c>
      <c r="G1487" s="4" t="str">
        <f>HYPERLINK("http://141.218.60.56/~jnz1568/getInfo.php?workbook=14_11.xlsx&amp;sheet=U0&amp;row=1487&amp;col=7&amp;number=0.336&amp;sourceID=14","0.336")</f>
        <v>0.336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HYPERLINK("http://141.218.60.56/~jnz1568/getInfo.php?workbook=14_11.xlsx&amp;sheet=U0&amp;row=1488&amp;col=6&amp;number=3.4&amp;sourceID=14","3.4")</f>
        <v>3.4</v>
      </c>
      <c r="G1488" s="4" t="str">
        <f>HYPERLINK("http://141.218.60.56/~jnz1568/getInfo.php?workbook=14_11.xlsx&amp;sheet=U0&amp;row=1488&amp;col=7&amp;number=0.335&amp;sourceID=14","0.335")</f>
        <v>0.335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HYPERLINK("http://141.218.60.56/~jnz1568/getInfo.php?workbook=14_11.xlsx&amp;sheet=U0&amp;row=1489&amp;col=6&amp;number=3.5&amp;sourceID=14","3.5")</f>
        <v>3.5</v>
      </c>
      <c r="G1489" s="4" t="str">
        <f>HYPERLINK("http://141.218.60.56/~jnz1568/getInfo.php?workbook=14_11.xlsx&amp;sheet=U0&amp;row=1489&amp;col=7&amp;number=0.333&amp;sourceID=14","0.333")</f>
        <v>0.333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HYPERLINK("http://141.218.60.56/~jnz1568/getInfo.php?workbook=14_11.xlsx&amp;sheet=U0&amp;row=1490&amp;col=6&amp;number=3.6&amp;sourceID=14","3.6")</f>
        <v>3.6</v>
      </c>
      <c r="G1490" s="4" t="str">
        <f>HYPERLINK("http://141.218.60.56/~jnz1568/getInfo.php?workbook=14_11.xlsx&amp;sheet=U0&amp;row=1490&amp;col=7&amp;number=0.332&amp;sourceID=14","0.332")</f>
        <v>0.332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HYPERLINK("http://141.218.60.56/~jnz1568/getInfo.php?workbook=14_11.xlsx&amp;sheet=U0&amp;row=1491&amp;col=6&amp;number=3.7&amp;sourceID=14","3.7")</f>
        <v>3.7</v>
      </c>
      <c r="G1491" s="4" t="str">
        <f>HYPERLINK("http://141.218.60.56/~jnz1568/getInfo.php?workbook=14_11.xlsx&amp;sheet=U0&amp;row=1491&amp;col=7&amp;number=0.33&amp;sourceID=14","0.33")</f>
        <v>0.33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HYPERLINK("http://141.218.60.56/~jnz1568/getInfo.php?workbook=14_11.xlsx&amp;sheet=U0&amp;row=1492&amp;col=6&amp;number=3.8&amp;sourceID=14","3.8")</f>
        <v>3.8</v>
      </c>
      <c r="G1492" s="4" t="str">
        <f>HYPERLINK("http://141.218.60.56/~jnz1568/getInfo.php?workbook=14_11.xlsx&amp;sheet=U0&amp;row=1492&amp;col=7&amp;number=0.327&amp;sourceID=14","0.327")</f>
        <v>0.327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HYPERLINK("http://141.218.60.56/~jnz1568/getInfo.php?workbook=14_11.xlsx&amp;sheet=U0&amp;row=1493&amp;col=6&amp;number=3.9&amp;sourceID=14","3.9")</f>
        <v>3.9</v>
      </c>
      <c r="G1493" s="4" t="str">
        <f>HYPERLINK("http://141.218.60.56/~jnz1568/getInfo.php?workbook=14_11.xlsx&amp;sheet=U0&amp;row=1493&amp;col=7&amp;number=0.324&amp;sourceID=14","0.324")</f>
        <v>0.324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HYPERLINK("http://141.218.60.56/~jnz1568/getInfo.php?workbook=14_11.xlsx&amp;sheet=U0&amp;row=1494&amp;col=6&amp;number=4&amp;sourceID=14","4")</f>
        <v>4</v>
      </c>
      <c r="G1494" s="4" t="str">
        <f>HYPERLINK("http://141.218.60.56/~jnz1568/getInfo.php?workbook=14_11.xlsx&amp;sheet=U0&amp;row=1494&amp;col=7&amp;number=0.32&amp;sourceID=14","0.32")</f>
        <v>0.32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HYPERLINK("http://141.218.60.56/~jnz1568/getInfo.php?workbook=14_11.xlsx&amp;sheet=U0&amp;row=1495&amp;col=6&amp;number=4.1&amp;sourceID=14","4.1")</f>
        <v>4.1</v>
      </c>
      <c r="G1495" s="4" t="str">
        <f>HYPERLINK("http://141.218.60.56/~jnz1568/getInfo.php?workbook=14_11.xlsx&amp;sheet=U0&amp;row=1495&amp;col=7&amp;number=0.316&amp;sourceID=14","0.316")</f>
        <v>0.316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HYPERLINK("http://141.218.60.56/~jnz1568/getInfo.php?workbook=14_11.xlsx&amp;sheet=U0&amp;row=1496&amp;col=6&amp;number=4.2&amp;sourceID=14","4.2")</f>
        <v>4.2</v>
      </c>
      <c r="G1496" s="4" t="str">
        <f>HYPERLINK("http://141.218.60.56/~jnz1568/getInfo.php?workbook=14_11.xlsx&amp;sheet=U0&amp;row=1496&amp;col=7&amp;number=0.31&amp;sourceID=14","0.31")</f>
        <v>0.31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HYPERLINK("http://141.218.60.56/~jnz1568/getInfo.php?workbook=14_11.xlsx&amp;sheet=U0&amp;row=1497&amp;col=6&amp;number=4.3&amp;sourceID=14","4.3")</f>
        <v>4.3</v>
      </c>
      <c r="G1497" s="4" t="str">
        <f>HYPERLINK("http://141.218.60.56/~jnz1568/getInfo.php?workbook=14_11.xlsx&amp;sheet=U0&amp;row=1497&amp;col=7&amp;number=0.303&amp;sourceID=14","0.303")</f>
        <v>0.303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HYPERLINK("http://141.218.60.56/~jnz1568/getInfo.php?workbook=14_11.xlsx&amp;sheet=U0&amp;row=1498&amp;col=6&amp;number=4.4&amp;sourceID=14","4.4")</f>
        <v>4.4</v>
      </c>
      <c r="G1498" s="4" t="str">
        <f>HYPERLINK("http://141.218.60.56/~jnz1568/getInfo.php?workbook=14_11.xlsx&amp;sheet=U0&amp;row=1498&amp;col=7&amp;number=0.295&amp;sourceID=14","0.295")</f>
        <v>0.295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HYPERLINK("http://141.218.60.56/~jnz1568/getInfo.php?workbook=14_11.xlsx&amp;sheet=U0&amp;row=1499&amp;col=6&amp;number=4.5&amp;sourceID=14","4.5")</f>
        <v>4.5</v>
      </c>
      <c r="G1499" s="4" t="str">
        <f>HYPERLINK("http://141.218.60.56/~jnz1568/getInfo.php?workbook=14_11.xlsx&amp;sheet=U0&amp;row=1499&amp;col=7&amp;number=0.286&amp;sourceID=14","0.286")</f>
        <v>0.286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HYPERLINK("http://141.218.60.56/~jnz1568/getInfo.php?workbook=14_11.xlsx&amp;sheet=U0&amp;row=1500&amp;col=6&amp;number=4.6&amp;sourceID=14","4.6")</f>
        <v>4.6</v>
      </c>
      <c r="G1500" s="4" t="str">
        <f>HYPERLINK("http://141.218.60.56/~jnz1568/getInfo.php?workbook=14_11.xlsx&amp;sheet=U0&amp;row=1500&amp;col=7&amp;number=0.276&amp;sourceID=14","0.276")</f>
        <v>0.276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HYPERLINK("http://141.218.60.56/~jnz1568/getInfo.php?workbook=14_11.xlsx&amp;sheet=U0&amp;row=1501&amp;col=6&amp;number=4.7&amp;sourceID=14","4.7")</f>
        <v>4.7</v>
      </c>
      <c r="G1501" s="4" t="str">
        <f>HYPERLINK("http://141.218.60.56/~jnz1568/getInfo.php?workbook=14_11.xlsx&amp;sheet=U0&amp;row=1501&amp;col=7&amp;number=0.264&amp;sourceID=14","0.264")</f>
        <v>0.264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HYPERLINK("http://141.218.60.56/~jnz1568/getInfo.php?workbook=14_11.xlsx&amp;sheet=U0&amp;row=1502&amp;col=6&amp;number=4.8&amp;sourceID=14","4.8")</f>
        <v>4.8</v>
      </c>
      <c r="G1502" s="4" t="str">
        <f>HYPERLINK("http://141.218.60.56/~jnz1568/getInfo.php?workbook=14_11.xlsx&amp;sheet=U0&amp;row=1502&amp;col=7&amp;number=0.251&amp;sourceID=14","0.251")</f>
        <v>0.251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HYPERLINK("http://141.218.60.56/~jnz1568/getInfo.php?workbook=14_11.xlsx&amp;sheet=U0&amp;row=1503&amp;col=6&amp;number=4.9&amp;sourceID=14","4.9")</f>
        <v>4.9</v>
      </c>
      <c r="G1503" s="4" t="str">
        <f>HYPERLINK("http://141.218.60.56/~jnz1568/getInfo.php?workbook=14_11.xlsx&amp;sheet=U0&amp;row=1503&amp;col=7&amp;number=0.238&amp;sourceID=14","0.238")</f>
        <v>0.238</v>
      </c>
    </row>
    <row r="1504" spans="1:7">
      <c r="A1504" s="3">
        <v>14</v>
      </c>
      <c r="B1504" s="3">
        <v>11</v>
      </c>
      <c r="C1504" s="3">
        <v>5</v>
      </c>
      <c r="D1504" s="3">
        <v>14</v>
      </c>
      <c r="E1504" s="3">
        <v>1</v>
      </c>
      <c r="F1504" s="4" t="str">
        <f>HYPERLINK("http://141.218.60.56/~jnz1568/getInfo.php?workbook=14_11.xlsx&amp;sheet=U0&amp;row=1504&amp;col=6&amp;number=3&amp;sourceID=14","3")</f>
        <v>3</v>
      </c>
      <c r="G1504" s="4" t="str">
        <f>HYPERLINK("http://141.218.60.56/~jnz1568/getInfo.php?workbook=14_11.xlsx&amp;sheet=U0&amp;row=1504&amp;col=7&amp;number=0.216&amp;sourceID=14","0.216")</f>
        <v>0.216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HYPERLINK("http://141.218.60.56/~jnz1568/getInfo.php?workbook=14_11.xlsx&amp;sheet=U0&amp;row=1505&amp;col=6&amp;number=3.1&amp;sourceID=14","3.1")</f>
        <v>3.1</v>
      </c>
      <c r="G1505" s="4" t="str">
        <f>HYPERLINK("http://141.218.60.56/~jnz1568/getInfo.php?workbook=14_11.xlsx&amp;sheet=U0&amp;row=1505&amp;col=7&amp;number=0.216&amp;sourceID=14","0.216")</f>
        <v>0.216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HYPERLINK("http://141.218.60.56/~jnz1568/getInfo.php?workbook=14_11.xlsx&amp;sheet=U0&amp;row=1506&amp;col=6&amp;number=3.2&amp;sourceID=14","3.2")</f>
        <v>3.2</v>
      </c>
      <c r="G1506" s="4" t="str">
        <f>HYPERLINK("http://141.218.60.56/~jnz1568/getInfo.php?workbook=14_11.xlsx&amp;sheet=U0&amp;row=1506&amp;col=7&amp;number=0.215&amp;sourceID=14","0.215")</f>
        <v>0.215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HYPERLINK("http://141.218.60.56/~jnz1568/getInfo.php?workbook=14_11.xlsx&amp;sheet=U0&amp;row=1507&amp;col=6&amp;number=3.3&amp;sourceID=14","3.3")</f>
        <v>3.3</v>
      </c>
      <c r="G1507" s="4" t="str">
        <f>HYPERLINK("http://141.218.60.56/~jnz1568/getInfo.php?workbook=14_11.xlsx&amp;sheet=U0&amp;row=1507&amp;col=7&amp;number=0.215&amp;sourceID=14","0.215")</f>
        <v>0.215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HYPERLINK("http://141.218.60.56/~jnz1568/getInfo.php?workbook=14_11.xlsx&amp;sheet=U0&amp;row=1508&amp;col=6&amp;number=3.4&amp;sourceID=14","3.4")</f>
        <v>3.4</v>
      </c>
      <c r="G1508" s="4" t="str">
        <f>HYPERLINK("http://141.218.60.56/~jnz1568/getInfo.php?workbook=14_11.xlsx&amp;sheet=U0&amp;row=1508&amp;col=7&amp;number=0.214&amp;sourceID=14","0.214")</f>
        <v>0.214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HYPERLINK("http://141.218.60.56/~jnz1568/getInfo.php?workbook=14_11.xlsx&amp;sheet=U0&amp;row=1509&amp;col=6&amp;number=3.5&amp;sourceID=14","3.5")</f>
        <v>3.5</v>
      </c>
      <c r="G1509" s="4" t="str">
        <f>HYPERLINK("http://141.218.60.56/~jnz1568/getInfo.php?workbook=14_11.xlsx&amp;sheet=U0&amp;row=1509&amp;col=7&amp;number=0.213&amp;sourceID=14","0.213")</f>
        <v>0.213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HYPERLINK("http://141.218.60.56/~jnz1568/getInfo.php?workbook=14_11.xlsx&amp;sheet=U0&amp;row=1510&amp;col=6&amp;number=3.6&amp;sourceID=14","3.6")</f>
        <v>3.6</v>
      </c>
      <c r="G1510" s="4" t="str">
        <f>HYPERLINK("http://141.218.60.56/~jnz1568/getInfo.php?workbook=14_11.xlsx&amp;sheet=U0&amp;row=1510&amp;col=7&amp;number=0.212&amp;sourceID=14","0.212")</f>
        <v>0.212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HYPERLINK("http://141.218.60.56/~jnz1568/getInfo.php?workbook=14_11.xlsx&amp;sheet=U0&amp;row=1511&amp;col=6&amp;number=3.7&amp;sourceID=14","3.7")</f>
        <v>3.7</v>
      </c>
      <c r="G1511" s="4" t="str">
        <f>HYPERLINK("http://141.218.60.56/~jnz1568/getInfo.php?workbook=14_11.xlsx&amp;sheet=U0&amp;row=1511&amp;col=7&amp;number=0.21&amp;sourceID=14","0.21")</f>
        <v>0.21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HYPERLINK("http://141.218.60.56/~jnz1568/getInfo.php?workbook=14_11.xlsx&amp;sheet=U0&amp;row=1512&amp;col=6&amp;number=3.8&amp;sourceID=14","3.8")</f>
        <v>3.8</v>
      </c>
      <c r="G1512" s="4" t="str">
        <f>HYPERLINK("http://141.218.60.56/~jnz1568/getInfo.php?workbook=14_11.xlsx&amp;sheet=U0&amp;row=1512&amp;col=7&amp;number=0.208&amp;sourceID=14","0.208")</f>
        <v>0.208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HYPERLINK("http://141.218.60.56/~jnz1568/getInfo.php?workbook=14_11.xlsx&amp;sheet=U0&amp;row=1513&amp;col=6&amp;number=3.9&amp;sourceID=14","3.9")</f>
        <v>3.9</v>
      </c>
      <c r="G1513" s="4" t="str">
        <f>HYPERLINK("http://141.218.60.56/~jnz1568/getInfo.php?workbook=14_11.xlsx&amp;sheet=U0&amp;row=1513&amp;col=7&amp;number=0.206&amp;sourceID=14","0.206")</f>
        <v>0.206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HYPERLINK("http://141.218.60.56/~jnz1568/getInfo.php?workbook=14_11.xlsx&amp;sheet=U0&amp;row=1514&amp;col=6&amp;number=4&amp;sourceID=14","4")</f>
        <v>4</v>
      </c>
      <c r="G1514" s="4" t="str">
        <f>HYPERLINK("http://141.218.60.56/~jnz1568/getInfo.php?workbook=14_11.xlsx&amp;sheet=U0&amp;row=1514&amp;col=7&amp;number=0.203&amp;sourceID=14","0.203")</f>
        <v>0.203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HYPERLINK("http://141.218.60.56/~jnz1568/getInfo.php?workbook=14_11.xlsx&amp;sheet=U0&amp;row=1515&amp;col=6&amp;number=4.1&amp;sourceID=14","4.1")</f>
        <v>4.1</v>
      </c>
      <c r="G1515" s="4" t="str">
        <f>HYPERLINK("http://141.218.60.56/~jnz1568/getInfo.php?workbook=14_11.xlsx&amp;sheet=U0&amp;row=1515&amp;col=7&amp;number=0.199&amp;sourceID=14","0.199")</f>
        <v>0.199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HYPERLINK("http://141.218.60.56/~jnz1568/getInfo.php?workbook=14_11.xlsx&amp;sheet=U0&amp;row=1516&amp;col=6&amp;number=4.2&amp;sourceID=14","4.2")</f>
        <v>4.2</v>
      </c>
      <c r="G1516" s="4" t="str">
        <f>HYPERLINK("http://141.218.60.56/~jnz1568/getInfo.php?workbook=14_11.xlsx&amp;sheet=U0&amp;row=1516&amp;col=7&amp;number=0.195&amp;sourceID=14","0.195")</f>
        <v>0.195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HYPERLINK("http://141.218.60.56/~jnz1568/getInfo.php?workbook=14_11.xlsx&amp;sheet=U0&amp;row=1517&amp;col=6&amp;number=4.3&amp;sourceID=14","4.3")</f>
        <v>4.3</v>
      </c>
      <c r="G1517" s="4" t="str">
        <f>HYPERLINK("http://141.218.60.56/~jnz1568/getInfo.php?workbook=14_11.xlsx&amp;sheet=U0&amp;row=1517&amp;col=7&amp;number=0.19&amp;sourceID=14","0.19")</f>
        <v>0.19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HYPERLINK("http://141.218.60.56/~jnz1568/getInfo.php?workbook=14_11.xlsx&amp;sheet=U0&amp;row=1518&amp;col=6&amp;number=4.4&amp;sourceID=14","4.4")</f>
        <v>4.4</v>
      </c>
      <c r="G1518" s="4" t="str">
        <f>HYPERLINK("http://141.218.60.56/~jnz1568/getInfo.php?workbook=14_11.xlsx&amp;sheet=U0&amp;row=1518&amp;col=7&amp;number=0.184&amp;sourceID=14","0.184")</f>
        <v>0.184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HYPERLINK("http://141.218.60.56/~jnz1568/getInfo.php?workbook=14_11.xlsx&amp;sheet=U0&amp;row=1519&amp;col=6&amp;number=4.5&amp;sourceID=14","4.5")</f>
        <v>4.5</v>
      </c>
      <c r="G1519" s="4" t="str">
        <f>HYPERLINK("http://141.218.60.56/~jnz1568/getInfo.php?workbook=14_11.xlsx&amp;sheet=U0&amp;row=1519&amp;col=7&amp;number=0.176&amp;sourceID=14","0.176")</f>
        <v>0.176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HYPERLINK("http://141.218.60.56/~jnz1568/getInfo.php?workbook=14_11.xlsx&amp;sheet=U0&amp;row=1520&amp;col=6&amp;number=4.6&amp;sourceID=14","4.6")</f>
        <v>4.6</v>
      </c>
      <c r="G1520" s="4" t="str">
        <f>HYPERLINK("http://141.218.60.56/~jnz1568/getInfo.php?workbook=14_11.xlsx&amp;sheet=U0&amp;row=1520&amp;col=7&amp;number=0.168&amp;sourceID=14","0.168")</f>
        <v>0.168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HYPERLINK("http://141.218.60.56/~jnz1568/getInfo.php?workbook=14_11.xlsx&amp;sheet=U0&amp;row=1521&amp;col=6&amp;number=4.7&amp;sourceID=14","4.7")</f>
        <v>4.7</v>
      </c>
      <c r="G1521" s="4" t="str">
        <f>HYPERLINK("http://141.218.60.56/~jnz1568/getInfo.php?workbook=14_11.xlsx&amp;sheet=U0&amp;row=1521&amp;col=7&amp;number=0.159&amp;sourceID=14","0.159")</f>
        <v>0.159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HYPERLINK("http://141.218.60.56/~jnz1568/getInfo.php?workbook=14_11.xlsx&amp;sheet=U0&amp;row=1522&amp;col=6&amp;number=4.8&amp;sourceID=14","4.8")</f>
        <v>4.8</v>
      </c>
      <c r="G1522" s="4" t="str">
        <f>HYPERLINK("http://141.218.60.56/~jnz1568/getInfo.php?workbook=14_11.xlsx&amp;sheet=U0&amp;row=1522&amp;col=7&amp;number=0.15&amp;sourceID=14","0.15")</f>
        <v>0.15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HYPERLINK("http://141.218.60.56/~jnz1568/getInfo.php?workbook=14_11.xlsx&amp;sheet=U0&amp;row=1523&amp;col=6&amp;number=4.9&amp;sourceID=14","4.9")</f>
        <v>4.9</v>
      </c>
      <c r="G1523" s="4" t="str">
        <f>HYPERLINK("http://141.218.60.56/~jnz1568/getInfo.php?workbook=14_11.xlsx&amp;sheet=U0&amp;row=1523&amp;col=7&amp;number=0.14&amp;sourceID=14","0.14")</f>
        <v>0.14</v>
      </c>
    </row>
    <row r="1524" spans="1:7">
      <c r="A1524" s="3">
        <v>14</v>
      </c>
      <c r="B1524" s="3">
        <v>11</v>
      </c>
      <c r="C1524" s="3">
        <v>5</v>
      </c>
      <c r="D1524" s="3">
        <v>15</v>
      </c>
      <c r="E1524" s="3">
        <v>1</v>
      </c>
      <c r="F1524" s="4" t="str">
        <f>HYPERLINK("http://141.218.60.56/~jnz1568/getInfo.php?workbook=14_11.xlsx&amp;sheet=U0&amp;row=1524&amp;col=6&amp;number=3&amp;sourceID=14","3")</f>
        <v>3</v>
      </c>
      <c r="G1524" s="4" t="str">
        <f>HYPERLINK("http://141.218.60.56/~jnz1568/getInfo.php?workbook=14_11.xlsx&amp;sheet=U0&amp;row=1524&amp;col=7&amp;number=0.804&amp;sourceID=14","0.804")</f>
        <v>0.804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HYPERLINK("http://141.218.60.56/~jnz1568/getInfo.php?workbook=14_11.xlsx&amp;sheet=U0&amp;row=1525&amp;col=6&amp;number=3.1&amp;sourceID=14","3.1")</f>
        <v>3.1</v>
      </c>
      <c r="G1525" s="4" t="str">
        <f>HYPERLINK("http://141.218.60.56/~jnz1568/getInfo.php?workbook=14_11.xlsx&amp;sheet=U0&amp;row=1525&amp;col=7&amp;number=0.803&amp;sourceID=14","0.803")</f>
        <v>0.803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HYPERLINK("http://141.218.60.56/~jnz1568/getInfo.php?workbook=14_11.xlsx&amp;sheet=U0&amp;row=1526&amp;col=6&amp;number=3.2&amp;sourceID=14","3.2")</f>
        <v>3.2</v>
      </c>
      <c r="G1526" s="4" t="str">
        <f>HYPERLINK("http://141.218.60.56/~jnz1568/getInfo.php?workbook=14_11.xlsx&amp;sheet=U0&amp;row=1526&amp;col=7&amp;number=0.803&amp;sourceID=14","0.803")</f>
        <v>0.803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HYPERLINK("http://141.218.60.56/~jnz1568/getInfo.php?workbook=14_11.xlsx&amp;sheet=U0&amp;row=1527&amp;col=6&amp;number=3.3&amp;sourceID=14","3.3")</f>
        <v>3.3</v>
      </c>
      <c r="G1527" s="4" t="str">
        <f>HYPERLINK("http://141.218.60.56/~jnz1568/getInfo.php?workbook=14_11.xlsx&amp;sheet=U0&amp;row=1527&amp;col=7&amp;number=0.802&amp;sourceID=14","0.802")</f>
        <v>0.802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HYPERLINK("http://141.218.60.56/~jnz1568/getInfo.php?workbook=14_11.xlsx&amp;sheet=U0&amp;row=1528&amp;col=6&amp;number=3.4&amp;sourceID=14","3.4")</f>
        <v>3.4</v>
      </c>
      <c r="G1528" s="4" t="str">
        <f>HYPERLINK("http://141.218.60.56/~jnz1568/getInfo.php?workbook=14_11.xlsx&amp;sheet=U0&amp;row=1528&amp;col=7&amp;number=0.8&amp;sourceID=14","0.8")</f>
        <v>0.8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HYPERLINK("http://141.218.60.56/~jnz1568/getInfo.php?workbook=14_11.xlsx&amp;sheet=U0&amp;row=1529&amp;col=6&amp;number=3.5&amp;sourceID=14","3.5")</f>
        <v>3.5</v>
      </c>
      <c r="G1529" s="4" t="str">
        <f>HYPERLINK("http://141.218.60.56/~jnz1568/getInfo.php?workbook=14_11.xlsx&amp;sheet=U0&amp;row=1529&amp;col=7&amp;number=0.799&amp;sourceID=14","0.799")</f>
        <v>0.799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HYPERLINK("http://141.218.60.56/~jnz1568/getInfo.php?workbook=14_11.xlsx&amp;sheet=U0&amp;row=1530&amp;col=6&amp;number=3.6&amp;sourceID=14","3.6")</f>
        <v>3.6</v>
      </c>
      <c r="G1530" s="4" t="str">
        <f>HYPERLINK("http://141.218.60.56/~jnz1568/getInfo.php?workbook=14_11.xlsx&amp;sheet=U0&amp;row=1530&amp;col=7&amp;number=0.797&amp;sourceID=14","0.797")</f>
        <v>0.797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HYPERLINK("http://141.218.60.56/~jnz1568/getInfo.php?workbook=14_11.xlsx&amp;sheet=U0&amp;row=1531&amp;col=6&amp;number=3.7&amp;sourceID=14","3.7")</f>
        <v>3.7</v>
      </c>
      <c r="G1531" s="4" t="str">
        <f>HYPERLINK("http://141.218.60.56/~jnz1568/getInfo.php?workbook=14_11.xlsx&amp;sheet=U0&amp;row=1531&amp;col=7&amp;number=0.795&amp;sourceID=14","0.795")</f>
        <v>0.795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HYPERLINK("http://141.218.60.56/~jnz1568/getInfo.php?workbook=14_11.xlsx&amp;sheet=U0&amp;row=1532&amp;col=6&amp;number=3.8&amp;sourceID=14","3.8")</f>
        <v>3.8</v>
      </c>
      <c r="G1532" s="4" t="str">
        <f>HYPERLINK("http://141.218.60.56/~jnz1568/getInfo.php?workbook=14_11.xlsx&amp;sheet=U0&amp;row=1532&amp;col=7&amp;number=0.792&amp;sourceID=14","0.792")</f>
        <v>0.792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HYPERLINK("http://141.218.60.56/~jnz1568/getInfo.php?workbook=14_11.xlsx&amp;sheet=U0&amp;row=1533&amp;col=6&amp;number=3.9&amp;sourceID=14","3.9")</f>
        <v>3.9</v>
      </c>
      <c r="G1533" s="4" t="str">
        <f>HYPERLINK("http://141.218.60.56/~jnz1568/getInfo.php?workbook=14_11.xlsx&amp;sheet=U0&amp;row=1533&amp;col=7&amp;number=0.789&amp;sourceID=14","0.789")</f>
        <v>0.789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HYPERLINK("http://141.218.60.56/~jnz1568/getInfo.php?workbook=14_11.xlsx&amp;sheet=U0&amp;row=1534&amp;col=6&amp;number=4&amp;sourceID=14","4")</f>
        <v>4</v>
      </c>
      <c r="G1534" s="4" t="str">
        <f>HYPERLINK("http://141.218.60.56/~jnz1568/getInfo.php?workbook=14_11.xlsx&amp;sheet=U0&amp;row=1534&amp;col=7&amp;number=0.785&amp;sourceID=14","0.785")</f>
        <v>0.785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HYPERLINK("http://141.218.60.56/~jnz1568/getInfo.php?workbook=14_11.xlsx&amp;sheet=U0&amp;row=1535&amp;col=6&amp;number=4.1&amp;sourceID=14","4.1")</f>
        <v>4.1</v>
      </c>
      <c r="G1535" s="4" t="str">
        <f>HYPERLINK("http://141.218.60.56/~jnz1568/getInfo.php?workbook=14_11.xlsx&amp;sheet=U0&amp;row=1535&amp;col=7&amp;number=0.78&amp;sourceID=14","0.78")</f>
        <v>0.78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HYPERLINK("http://141.218.60.56/~jnz1568/getInfo.php?workbook=14_11.xlsx&amp;sheet=U0&amp;row=1536&amp;col=6&amp;number=4.2&amp;sourceID=14","4.2")</f>
        <v>4.2</v>
      </c>
      <c r="G1536" s="4" t="str">
        <f>HYPERLINK("http://141.218.60.56/~jnz1568/getInfo.php?workbook=14_11.xlsx&amp;sheet=U0&amp;row=1536&amp;col=7&amp;number=0.774&amp;sourceID=14","0.774")</f>
        <v>0.774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HYPERLINK("http://141.218.60.56/~jnz1568/getInfo.php?workbook=14_11.xlsx&amp;sheet=U0&amp;row=1537&amp;col=6&amp;number=4.3&amp;sourceID=14","4.3")</f>
        <v>4.3</v>
      </c>
      <c r="G1537" s="4" t="str">
        <f>HYPERLINK("http://141.218.60.56/~jnz1568/getInfo.php?workbook=14_11.xlsx&amp;sheet=U0&amp;row=1537&amp;col=7&amp;number=0.768&amp;sourceID=14","0.768")</f>
        <v>0.768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HYPERLINK("http://141.218.60.56/~jnz1568/getInfo.php?workbook=14_11.xlsx&amp;sheet=U0&amp;row=1538&amp;col=6&amp;number=4.4&amp;sourceID=14","4.4")</f>
        <v>4.4</v>
      </c>
      <c r="G1538" s="4" t="str">
        <f>HYPERLINK("http://141.218.60.56/~jnz1568/getInfo.php?workbook=14_11.xlsx&amp;sheet=U0&amp;row=1538&amp;col=7&amp;number=0.76&amp;sourceID=14","0.76")</f>
        <v>0.76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HYPERLINK("http://141.218.60.56/~jnz1568/getInfo.php?workbook=14_11.xlsx&amp;sheet=U0&amp;row=1539&amp;col=6&amp;number=4.5&amp;sourceID=14","4.5")</f>
        <v>4.5</v>
      </c>
      <c r="G1539" s="4" t="str">
        <f>HYPERLINK("http://141.218.60.56/~jnz1568/getInfo.php?workbook=14_11.xlsx&amp;sheet=U0&amp;row=1539&amp;col=7&amp;number=0.752&amp;sourceID=14","0.752")</f>
        <v>0.752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HYPERLINK("http://141.218.60.56/~jnz1568/getInfo.php?workbook=14_11.xlsx&amp;sheet=U0&amp;row=1540&amp;col=6&amp;number=4.6&amp;sourceID=14","4.6")</f>
        <v>4.6</v>
      </c>
      <c r="G1540" s="4" t="str">
        <f>HYPERLINK("http://141.218.60.56/~jnz1568/getInfo.php?workbook=14_11.xlsx&amp;sheet=U0&amp;row=1540&amp;col=7&amp;number=0.743&amp;sourceID=14","0.743")</f>
        <v>0.743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HYPERLINK("http://141.218.60.56/~jnz1568/getInfo.php?workbook=14_11.xlsx&amp;sheet=U0&amp;row=1541&amp;col=6&amp;number=4.7&amp;sourceID=14","4.7")</f>
        <v>4.7</v>
      </c>
      <c r="G1541" s="4" t="str">
        <f>HYPERLINK("http://141.218.60.56/~jnz1568/getInfo.php?workbook=14_11.xlsx&amp;sheet=U0&amp;row=1541&amp;col=7&amp;number=0.735&amp;sourceID=14","0.735")</f>
        <v>0.735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HYPERLINK("http://141.218.60.56/~jnz1568/getInfo.php?workbook=14_11.xlsx&amp;sheet=U0&amp;row=1542&amp;col=6&amp;number=4.8&amp;sourceID=14","4.8")</f>
        <v>4.8</v>
      </c>
      <c r="G1542" s="4" t="str">
        <f>HYPERLINK("http://141.218.60.56/~jnz1568/getInfo.php?workbook=14_11.xlsx&amp;sheet=U0&amp;row=1542&amp;col=7&amp;number=0.727&amp;sourceID=14","0.727")</f>
        <v>0.727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HYPERLINK("http://141.218.60.56/~jnz1568/getInfo.php?workbook=14_11.xlsx&amp;sheet=U0&amp;row=1543&amp;col=6&amp;number=4.9&amp;sourceID=14","4.9")</f>
        <v>4.9</v>
      </c>
      <c r="G1543" s="4" t="str">
        <f>HYPERLINK("http://141.218.60.56/~jnz1568/getInfo.php?workbook=14_11.xlsx&amp;sheet=U0&amp;row=1543&amp;col=7&amp;number=0.72&amp;sourceID=14","0.72")</f>
        <v>0.72</v>
      </c>
    </row>
    <row r="1544" spans="1:7">
      <c r="A1544" s="3">
        <v>14</v>
      </c>
      <c r="B1544" s="3">
        <v>11</v>
      </c>
      <c r="C1544" s="3">
        <v>5</v>
      </c>
      <c r="D1544" s="3">
        <v>16</v>
      </c>
      <c r="E1544" s="3">
        <v>1</v>
      </c>
      <c r="F1544" s="4" t="str">
        <f>HYPERLINK("http://141.218.60.56/~jnz1568/getInfo.php?workbook=14_11.xlsx&amp;sheet=U0&amp;row=1544&amp;col=6&amp;number=3&amp;sourceID=14","3")</f>
        <v>3</v>
      </c>
      <c r="G1544" s="4" t="str">
        <f>HYPERLINK("http://141.218.60.56/~jnz1568/getInfo.php?workbook=14_11.xlsx&amp;sheet=U0&amp;row=1544&amp;col=7&amp;number=0.359&amp;sourceID=14","0.359")</f>
        <v>0.359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HYPERLINK("http://141.218.60.56/~jnz1568/getInfo.php?workbook=14_11.xlsx&amp;sheet=U0&amp;row=1545&amp;col=6&amp;number=3.1&amp;sourceID=14","3.1")</f>
        <v>3.1</v>
      </c>
      <c r="G1545" s="4" t="str">
        <f>HYPERLINK("http://141.218.60.56/~jnz1568/getInfo.php?workbook=14_11.xlsx&amp;sheet=U0&amp;row=1545&amp;col=7&amp;number=0.359&amp;sourceID=14","0.359")</f>
        <v>0.359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HYPERLINK("http://141.218.60.56/~jnz1568/getInfo.php?workbook=14_11.xlsx&amp;sheet=U0&amp;row=1546&amp;col=6&amp;number=3.2&amp;sourceID=14","3.2")</f>
        <v>3.2</v>
      </c>
      <c r="G1546" s="4" t="str">
        <f>HYPERLINK("http://141.218.60.56/~jnz1568/getInfo.php?workbook=14_11.xlsx&amp;sheet=U0&amp;row=1546&amp;col=7&amp;number=0.358&amp;sourceID=14","0.358")</f>
        <v>0.358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HYPERLINK("http://141.218.60.56/~jnz1568/getInfo.php?workbook=14_11.xlsx&amp;sheet=U0&amp;row=1547&amp;col=6&amp;number=3.3&amp;sourceID=14","3.3")</f>
        <v>3.3</v>
      </c>
      <c r="G1547" s="4" t="str">
        <f>HYPERLINK("http://141.218.60.56/~jnz1568/getInfo.php?workbook=14_11.xlsx&amp;sheet=U0&amp;row=1547&amp;col=7&amp;number=0.357&amp;sourceID=14","0.357")</f>
        <v>0.357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HYPERLINK("http://141.218.60.56/~jnz1568/getInfo.php?workbook=14_11.xlsx&amp;sheet=U0&amp;row=1548&amp;col=6&amp;number=3.4&amp;sourceID=14","3.4")</f>
        <v>3.4</v>
      </c>
      <c r="G1548" s="4" t="str">
        <f>HYPERLINK("http://141.218.60.56/~jnz1568/getInfo.php?workbook=14_11.xlsx&amp;sheet=U0&amp;row=1548&amp;col=7&amp;number=0.356&amp;sourceID=14","0.356")</f>
        <v>0.356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HYPERLINK("http://141.218.60.56/~jnz1568/getInfo.php?workbook=14_11.xlsx&amp;sheet=U0&amp;row=1549&amp;col=6&amp;number=3.5&amp;sourceID=14","3.5")</f>
        <v>3.5</v>
      </c>
      <c r="G1549" s="4" t="str">
        <f>HYPERLINK("http://141.218.60.56/~jnz1568/getInfo.php?workbook=14_11.xlsx&amp;sheet=U0&amp;row=1549&amp;col=7&amp;number=0.355&amp;sourceID=14","0.355")</f>
        <v>0.355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HYPERLINK("http://141.218.60.56/~jnz1568/getInfo.php?workbook=14_11.xlsx&amp;sheet=U0&amp;row=1550&amp;col=6&amp;number=3.6&amp;sourceID=14","3.6")</f>
        <v>3.6</v>
      </c>
      <c r="G1550" s="4" t="str">
        <f>HYPERLINK("http://141.218.60.56/~jnz1568/getInfo.php?workbook=14_11.xlsx&amp;sheet=U0&amp;row=1550&amp;col=7&amp;number=0.353&amp;sourceID=14","0.353")</f>
        <v>0.353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HYPERLINK("http://141.218.60.56/~jnz1568/getInfo.php?workbook=14_11.xlsx&amp;sheet=U0&amp;row=1551&amp;col=6&amp;number=3.7&amp;sourceID=14","3.7")</f>
        <v>3.7</v>
      </c>
      <c r="G1551" s="4" t="str">
        <f>HYPERLINK("http://141.218.60.56/~jnz1568/getInfo.php?workbook=14_11.xlsx&amp;sheet=U0&amp;row=1551&amp;col=7&amp;number=0.351&amp;sourceID=14","0.351")</f>
        <v>0.351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HYPERLINK("http://141.218.60.56/~jnz1568/getInfo.php?workbook=14_11.xlsx&amp;sheet=U0&amp;row=1552&amp;col=6&amp;number=3.8&amp;sourceID=14","3.8")</f>
        <v>3.8</v>
      </c>
      <c r="G1552" s="4" t="str">
        <f>HYPERLINK("http://141.218.60.56/~jnz1568/getInfo.php?workbook=14_11.xlsx&amp;sheet=U0&amp;row=1552&amp;col=7&amp;number=0.349&amp;sourceID=14","0.349")</f>
        <v>0.349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HYPERLINK("http://141.218.60.56/~jnz1568/getInfo.php?workbook=14_11.xlsx&amp;sheet=U0&amp;row=1553&amp;col=6&amp;number=3.9&amp;sourceID=14","3.9")</f>
        <v>3.9</v>
      </c>
      <c r="G1553" s="4" t="str">
        <f>HYPERLINK("http://141.218.60.56/~jnz1568/getInfo.php?workbook=14_11.xlsx&amp;sheet=U0&amp;row=1553&amp;col=7&amp;number=0.346&amp;sourceID=14","0.346")</f>
        <v>0.346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HYPERLINK("http://141.218.60.56/~jnz1568/getInfo.php?workbook=14_11.xlsx&amp;sheet=U0&amp;row=1554&amp;col=6&amp;number=4&amp;sourceID=14","4")</f>
        <v>4</v>
      </c>
      <c r="G1554" s="4" t="str">
        <f>HYPERLINK("http://141.218.60.56/~jnz1568/getInfo.php?workbook=14_11.xlsx&amp;sheet=U0&amp;row=1554&amp;col=7&amp;number=0.342&amp;sourceID=14","0.342")</f>
        <v>0.342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HYPERLINK("http://141.218.60.56/~jnz1568/getInfo.php?workbook=14_11.xlsx&amp;sheet=U0&amp;row=1555&amp;col=6&amp;number=4.1&amp;sourceID=14","4.1")</f>
        <v>4.1</v>
      </c>
      <c r="G1555" s="4" t="str">
        <f>HYPERLINK("http://141.218.60.56/~jnz1568/getInfo.php?workbook=14_11.xlsx&amp;sheet=U0&amp;row=1555&amp;col=7&amp;number=0.338&amp;sourceID=14","0.338")</f>
        <v>0.338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HYPERLINK("http://141.218.60.56/~jnz1568/getInfo.php?workbook=14_11.xlsx&amp;sheet=U0&amp;row=1556&amp;col=6&amp;number=4.2&amp;sourceID=14","4.2")</f>
        <v>4.2</v>
      </c>
      <c r="G1556" s="4" t="str">
        <f>HYPERLINK("http://141.218.60.56/~jnz1568/getInfo.php?workbook=14_11.xlsx&amp;sheet=U0&amp;row=1556&amp;col=7&amp;number=0.332&amp;sourceID=14","0.332")</f>
        <v>0.332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HYPERLINK("http://141.218.60.56/~jnz1568/getInfo.php?workbook=14_11.xlsx&amp;sheet=U0&amp;row=1557&amp;col=6&amp;number=4.3&amp;sourceID=14","4.3")</f>
        <v>4.3</v>
      </c>
      <c r="G1557" s="4" t="str">
        <f>HYPERLINK("http://141.218.60.56/~jnz1568/getInfo.php?workbook=14_11.xlsx&amp;sheet=U0&amp;row=1557&amp;col=7&amp;number=0.326&amp;sourceID=14","0.326")</f>
        <v>0.326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HYPERLINK("http://141.218.60.56/~jnz1568/getInfo.php?workbook=14_11.xlsx&amp;sheet=U0&amp;row=1558&amp;col=6&amp;number=4.4&amp;sourceID=14","4.4")</f>
        <v>4.4</v>
      </c>
      <c r="G1558" s="4" t="str">
        <f>HYPERLINK("http://141.218.60.56/~jnz1568/getInfo.php?workbook=14_11.xlsx&amp;sheet=U0&amp;row=1558&amp;col=7&amp;number=0.318&amp;sourceID=14","0.318")</f>
        <v>0.318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HYPERLINK("http://141.218.60.56/~jnz1568/getInfo.php?workbook=14_11.xlsx&amp;sheet=U0&amp;row=1559&amp;col=6&amp;number=4.5&amp;sourceID=14","4.5")</f>
        <v>4.5</v>
      </c>
      <c r="G1559" s="4" t="str">
        <f>HYPERLINK("http://141.218.60.56/~jnz1568/getInfo.php?workbook=14_11.xlsx&amp;sheet=U0&amp;row=1559&amp;col=7&amp;number=0.308&amp;sourceID=14","0.308")</f>
        <v>0.308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HYPERLINK("http://141.218.60.56/~jnz1568/getInfo.php?workbook=14_11.xlsx&amp;sheet=U0&amp;row=1560&amp;col=6&amp;number=4.6&amp;sourceID=14","4.6")</f>
        <v>4.6</v>
      </c>
      <c r="G1560" s="4" t="str">
        <f>HYPERLINK("http://141.218.60.56/~jnz1568/getInfo.php?workbook=14_11.xlsx&amp;sheet=U0&amp;row=1560&amp;col=7&amp;number=0.298&amp;sourceID=14","0.298")</f>
        <v>0.298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HYPERLINK("http://141.218.60.56/~jnz1568/getInfo.php?workbook=14_11.xlsx&amp;sheet=U0&amp;row=1561&amp;col=6&amp;number=4.7&amp;sourceID=14","4.7")</f>
        <v>4.7</v>
      </c>
      <c r="G1561" s="4" t="str">
        <f>HYPERLINK("http://141.218.60.56/~jnz1568/getInfo.php?workbook=14_11.xlsx&amp;sheet=U0&amp;row=1561&amp;col=7&amp;number=0.285&amp;sourceID=14","0.285")</f>
        <v>0.285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HYPERLINK("http://141.218.60.56/~jnz1568/getInfo.php?workbook=14_11.xlsx&amp;sheet=U0&amp;row=1562&amp;col=6&amp;number=4.8&amp;sourceID=14","4.8")</f>
        <v>4.8</v>
      </c>
      <c r="G1562" s="4" t="str">
        <f>HYPERLINK("http://141.218.60.56/~jnz1568/getInfo.php?workbook=14_11.xlsx&amp;sheet=U0&amp;row=1562&amp;col=7&amp;number=0.271&amp;sourceID=14","0.271")</f>
        <v>0.271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HYPERLINK("http://141.218.60.56/~jnz1568/getInfo.php?workbook=14_11.xlsx&amp;sheet=U0&amp;row=1563&amp;col=6&amp;number=4.9&amp;sourceID=14","4.9")</f>
        <v>4.9</v>
      </c>
      <c r="G1563" s="4" t="str">
        <f>HYPERLINK("http://141.218.60.56/~jnz1568/getInfo.php?workbook=14_11.xlsx&amp;sheet=U0&amp;row=1563&amp;col=7&amp;number=0.257&amp;sourceID=14","0.257")</f>
        <v>0.257</v>
      </c>
    </row>
    <row r="1564" spans="1:7">
      <c r="A1564" s="3">
        <v>14</v>
      </c>
      <c r="B1564" s="3">
        <v>11</v>
      </c>
      <c r="C1564" s="3">
        <v>5</v>
      </c>
      <c r="D1564" s="3">
        <v>17</v>
      </c>
      <c r="E1564" s="3">
        <v>1</v>
      </c>
      <c r="F1564" s="4" t="str">
        <f>HYPERLINK("http://141.218.60.56/~jnz1568/getInfo.php?workbook=14_11.xlsx&amp;sheet=U0&amp;row=1564&amp;col=6&amp;number=3&amp;sourceID=14","3")</f>
        <v>3</v>
      </c>
      <c r="G1564" s="4" t="str">
        <f>HYPERLINK("http://141.218.60.56/~jnz1568/getInfo.php?workbook=14_11.xlsx&amp;sheet=U0&amp;row=1564&amp;col=7&amp;number=1.95&amp;sourceID=14","1.95")</f>
        <v>1.95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HYPERLINK("http://141.218.60.56/~jnz1568/getInfo.php?workbook=14_11.xlsx&amp;sheet=U0&amp;row=1565&amp;col=6&amp;number=3.1&amp;sourceID=14","3.1")</f>
        <v>3.1</v>
      </c>
      <c r="G1565" s="4" t="str">
        <f>HYPERLINK("http://141.218.60.56/~jnz1568/getInfo.php?workbook=14_11.xlsx&amp;sheet=U0&amp;row=1565&amp;col=7&amp;number=1.95&amp;sourceID=14","1.95")</f>
        <v>1.95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HYPERLINK("http://141.218.60.56/~jnz1568/getInfo.php?workbook=14_11.xlsx&amp;sheet=U0&amp;row=1566&amp;col=6&amp;number=3.2&amp;sourceID=14","3.2")</f>
        <v>3.2</v>
      </c>
      <c r="G1566" s="4" t="str">
        <f>HYPERLINK("http://141.218.60.56/~jnz1568/getInfo.php?workbook=14_11.xlsx&amp;sheet=U0&amp;row=1566&amp;col=7&amp;number=1.95&amp;sourceID=14","1.95")</f>
        <v>1.95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HYPERLINK("http://141.218.60.56/~jnz1568/getInfo.php?workbook=14_11.xlsx&amp;sheet=U0&amp;row=1567&amp;col=6&amp;number=3.3&amp;sourceID=14","3.3")</f>
        <v>3.3</v>
      </c>
      <c r="G1567" s="4" t="str">
        <f>HYPERLINK("http://141.218.60.56/~jnz1568/getInfo.php?workbook=14_11.xlsx&amp;sheet=U0&amp;row=1567&amp;col=7&amp;number=1.95&amp;sourceID=14","1.95")</f>
        <v>1.95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HYPERLINK("http://141.218.60.56/~jnz1568/getInfo.php?workbook=14_11.xlsx&amp;sheet=U0&amp;row=1568&amp;col=6&amp;number=3.4&amp;sourceID=14","3.4")</f>
        <v>3.4</v>
      </c>
      <c r="G1568" s="4" t="str">
        <f>HYPERLINK("http://141.218.60.56/~jnz1568/getInfo.php?workbook=14_11.xlsx&amp;sheet=U0&amp;row=1568&amp;col=7&amp;number=1.95&amp;sourceID=14","1.95")</f>
        <v>1.95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HYPERLINK("http://141.218.60.56/~jnz1568/getInfo.php?workbook=14_11.xlsx&amp;sheet=U0&amp;row=1569&amp;col=6&amp;number=3.5&amp;sourceID=14","3.5")</f>
        <v>3.5</v>
      </c>
      <c r="G1569" s="4" t="str">
        <f>HYPERLINK("http://141.218.60.56/~jnz1568/getInfo.php?workbook=14_11.xlsx&amp;sheet=U0&amp;row=1569&amp;col=7&amp;number=1.94&amp;sourceID=14","1.94")</f>
        <v>1.94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HYPERLINK("http://141.218.60.56/~jnz1568/getInfo.php?workbook=14_11.xlsx&amp;sheet=U0&amp;row=1570&amp;col=6&amp;number=3.6&amp;sourceID=14","3.6")</f>
        <v>3.6</v>
      </c>
      <c r="G1570" s="4" t="str">
        <f>HYPERLINK("http://141.218.60.56/~jnz1568/getInfo.php?workbook=14_11.xlsx&amp;sheet=U0&amp;row=1570&amp;col=7&amp;number=1.94&amp;sourceID=14","1.94")</f>
        <v>1.94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HYPERLINK("http://141.218.60.56/~jnz1568/getInfo.php?workbook=14_11.xlsx&amp;sheet=U0&amp;row=1571&amp;col=6&amp;number=3.7&amp;sourceID=14","3.7")</f>
        <v>3.7</v>
      </c>
      <c r="G1571" s="4" t="str">
        <f>HYPERLINK("http://141.218.60.56/~jnz1568/getInfo.php?workbook=14_11.xlsx&amp;sheet=U0&amp;row=1571&amp;col=7&amp;number=1.94&amp;sourceID=14","1.94")</f>
        <v>1.94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HYPERLINK("http://141.218.60.56/~jnz1568/getInfo.php?workbook=14_11.xlsx&amp;sheet=U0&amp;row=1572&amp;col=6&amp;number=3.8&amp;sourceID=14","3.8")</f>
        <v>3.8</v>
      </c>
      <c r="G1572" s="4" t="str">
        <f>HYPERLINK("http://141.218.60.56/~jnz1568/getInfo.php?workbook=14_11.xlsx&amp;sheet=U0&amp;row=1572&amp;col=7&amp;number=1.93&amp;sourceID=14","1.93")</f>
        <v>1.93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HYPERLINK("http://141.218.60.56/~jnz1568/getInfo.php?workbook=14_11.xlsx&amp;sheet=U0&amp;row=1573&amp;col=6&amp;number=3.9&amp;sourceID=14","3.9")</f>
        <v>3.9</v>
      </c>
      <c r="G1573" s="4" t="str">
        <f>HYPERLINK("http://141.218.60.56/~jnz1568/getInfo.php?workbook=14_11.xlsx&amp;sheet=U0&amp;row=1573&amp;col=7&amp;number=1.93&amp;sourceID=14","1.93")</f>
        <v>1.93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HYPERLINK("http://141.218.60.56/~jnz1568/getInfo.php?workbook=14_11.xlsx&amp;sheet=U0&amp;row=1574&amp;col=6&amp;number=4&amp;sourceID=14","4")</f>
        <v>4</v>
      </c>
      <c r="G1574" s="4" t="str">
        <f>HYPERLINK("http://141.218.60.56/~jnz1568/getInfo.php?workbook=14_11.xlsx&amp;sheet=U0&amp;row=1574&amp;col=7&amp;number=1.92&amp;sourceID=14","1.92")</f>
        <v>1.92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HYPERLINK("http://141.218.60.56/~jnz1568/getInfo.php?workbook=14_11.xlsx&amp;sheet=U0&amp;row=1575&amp;col=6&amp;number=4.1&amp;sourceID=14","4.1")</f>
        <v>4.1</v>
      </c>
      <c r="G1575" s="4" t="str">
        <f>HYPERLINK("http://141.218.60.56/~jnz1568/getInfo.php?workbook=14_11.xlsx&amp;sheet=U0&amp;row=1575&amp;col=7&amp;number=1.92&amp;sourceID=14","1.92")</f>
        <v>1.92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HYPERLINK("http://141.218.60.56/~jnz1568/getInfo.php?workbook=14_11.xlsx&amp;sheet=U0&amp;row=1576&amp;col=6&amp;number=4.2&amp;sourceID=14","4.2")</f>
        <v>4.2</v>
      </c>
      <c r="G1576" s="4" t="str">
        <f>HYPERLINK("http://141.218.60.56/~jnz1568/getInfo.php?workbook=14_11.xlsx&amp;sheet=U0&amp;row=1576&amp;col=7&amp;number=1.91&amp;sourceID=14","1.91")</f>
        <v>1.91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HYPERLINK("http://141.218.60.56/~jnz1568/getInfo.php?workbook=14_11.xlsx&amp;sheet=U0&amp;row=1577&amp;col=6&amp;number=4.3&amp;sourceID=14","4.3")</f>
        <v>4.3</v>
      </c>
      <c r="G1577" s="4" t="str">
        <f>HYPERLINK("http://141.218.60.56/~jnz1568/getInfo.php?workbook=14_11.xlsx&amp;sheet=U0&amp;row=1577&amp;col=7&amp;number=1.9&amp;sourceID=14","1.9")</f>
        <v>1.9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HYPERLINK("http://141.218.60.56/~jnz1568/getInfo.php?workbook=14_11.xlsx&amp;sheet=U0&amp;row=1578&amp;col=6&amp;number=4.4&amp;sourceID=14","4.4")</f>
        <v>4.4</v>
      </c>
      <c r="G1578" s="4" t="str">
        <f>HYPERLINK("http://141.218.60.56/~jnz1568/getInfo.php?workbook=14_11.xlsx&amp;sheet=U0&amp;row=1578&amp;col=7&amp;number=1.89&amp;sourceID=14","1.89")</f>
        <v>1.89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HYPERLINK("http://141.218.60.56/~jnz1568/getInfo.php?workbook=14_11.xlsx&amp;sheet=U0&amp;row=1579&amp;col=6&amp;number=4.5&amp;sourceID=14","4.5")</f>
        <v>4.5</v>
      </c>
      <c r="G1579" s="4" t="str">
        <f>HYPERLINK("http://141.218.60.56/~jnz1568/getInfo.php?workbook=14_11.xlsx&amp;sheet=U0&amp;row=1579&amp;col=7&amp;number=1.87&amp;sourceID=14","1.87")</f>
        <v>1.87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HYPERLINK("http://141.218.60.56/~jnz1568/getInfo.php?workbook=14_11.xlsx&amp;sheet=U0&amp;row=1580&amp;col=6&amp;number=4.6&amp;sourceID=14","4.6")</f>
        <v>4.6</v>
      </c>
      <c r="G1580" s="4" t="str">
        <f>HYPERLINK("http://141.218.60.56/~jnz1568/getInfo.php?workbook=14_11.xlsx&amp;sheet=U0&amp;row=1580&amp;col=7&amp;number=1.86&amp;sourceID=14","1.86")</f>
        <v>1.86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HYPERLINK("http://141.218.60.56/~jnz1568/getInfo.php?workbook=14_11.xlsx&amp;sheet=U0&amp;row=1581&amp;col=6&amp;number=4.7&amp;sourceID=14","4.7")</f>
        <v>4.7</v>
      </c>
      <c r="G1581" s="4" t="str">
        <f>HYPERLINK("http://141.218.60.56/~jnz1568/getInfo.php?workbook=14_11.xlsx&amp;sheet=U0&amp;row=1581&amp;col=7&amp;number=1.84&amp;sourceID=14","1.84")</f>
        <v>1.84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HYPERLINK("http://141.218.60.56/~jnz1568/getInfo.php?workbook=14_11.xlsx&amp;sheet=U0&amp;row=1582&amp;col=6&amp;number=4.8&amp;sourceID=14","4.8")</f>
        <v>4.8</v>
      </c>
      <c r="G1582" s="4" t="str">
        <f>HYPERLINK("http://141.218.60.56/~jnz1568/getInfo.php?workbook=14_11.xlsx&amp;sheet=U0&amp;row=1582&amp;col=7&amp;number=1.82&amp;sourceID=14","1.82")</f>
        <v>1.82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HYPERLINK("http://141.218.60.56/~jnz1568/getInfo.php?workbook=14_11.xlsx&amp;sheet=U0&amp;row=1583&amp;col=6&amp;number=4.9&amp;sourceID=14","4.9")</f>
        <v>4.9</v>
      </c>
      <c r="G1583" s="4" t="str">
        <f>HYPERLINK("http://141.218.60.56/~jnz1568/getInfo.php?workbook=14_11.xlsx&amp;sheet=U0&amp;row=1583&amp;col=7&amp;number=1.79&amp;sourceID=14","1.79")</f>
        <v>1.79</v>
      </c>
    </row>
    <row r="1584" spans="1:7">
      <c r="A1584" s="3">
        <v>14</v>
      </c>
      <c r="B1584" s="3">
        <v>11</v>
      </c>
      <c r="C1584" s="3">
        <v>5</v>
      </c>
      <c r="D1584" s="3">
        <v>18</v>
      </c>
      <c r="E1584" s="3">
        <v>1</v>
      </c>
      <c r="F1584" s="4" t="str">
        <f>HYPERLINK("http://141.218.60.56/~jnz1568/getInfo.php?workbook=14_11.xlsx&amp;sheet=U0&amp;row=1584&amp;col=6&amp;number=3&amp;sourceID=14","3")</f>
        <v>3</v>
      </c>
      <c r="G1584" s="4" t="str">
        <f>HYPERLINK("http://141.218.60.56/~jnz1568/getInfo.php?workbook=14_11.xlsx&amp;sheet=U0&amp;row=1584&amp;col=7&amp;number=0.973&amp;sourceID=14","0.973")</f>
        <v>0.973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HYPERLINK("http://141.218.60.56/~jnz1568/getInfo.php?workbook=14_11.xlsx&amp;sheet=U0&amp;row=1585&amp;col=6&amp;number=3.1&amp;sourceID=14","3.1")</f>
        <v>3.1</v>
      </c>
      <c r="G1585" s="4" t="str">
        <f>HYPERLINK("http://141.218.60.56/~jnz1568/getInfo.php?workbook=14_11.xlsx&amp;sheet=U0&amp;row=1585&amp;col=7&amp;number=0.972&amp;sourceID=14","0.972")</f>
        <v>0.972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HYPERLINK("http://141.218.60.56/~jnz1568/getInfo.php?workbook=14_11.xlsx&amp;sheet=U0&amp;row=1586&amp;col=6&amp;number=3.2&amp;sourceID=14","3.2")</f>
        <v>3.2</v>
      </c>
      <c r="G1586" s="4" t="str">
        <f>HYPERLINK("http://141.218.60.56/~jnz1568/getInfo.php?workbook=14_11.xlsx&amp;sheet=U0&amp;row=1586&amp;col=7&amp;number=0.97&amp;sourceID=14","0.97")</f>
        <v>0.97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HYPERLINK("http://141.218.60.56/~jnz1568/getInfo.php?workbook=14_11.xlsx&amp;sheet=U0&amp;row=1587&amp;col=6&amp;number=3.3&amp;sourceID=14","3.3")</f>
        <v>3.3</v>
      </c>
      <c r="G1587" s="4" t="str">
        <f>HYPERLINK("http://141.218.60.56/~jnz1568/getInfo.php?workbook=14_11.xlsx&amp;sheet=U0&amp;row=1587&amp;col=7&amp;number=0.968&amp;sourceID=14","0.968")</f>
        <v>0.968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HYPERLINK("http://141.218.60.56/~jnz1568/getInfo.php?workbook=14_11.xlsx&amp;sheet=U0&amp;row=1588&amp;col=6&amp;number=3.4&amp;sourceID=14","3.4")</f>
        <v>3.4</v>
      </c>
      <c r="G1588" s="4" t="str">
        <f>HYPERLINK("http://141.218.60.56/~jnz1568/getInfo.php?workbook=14_11.xlsx&amp;sheet=U0&amp;row=1588&amp;col=7&amp;number=0.966&amp;sourceID=14","0.966")</f>
        <v>0.966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HYPERLINK("http://141.218.60.56/~jnz1568/getInfo.php?workbook=14_11.xlsx&amp;sheet=U0&amp;row=1589&amp;col=6&amp;number=3.5&amp;sourceID=14","3.5")</f>
        <v>3.5</v>
      </c>
      <c r="G1589" s="4" t="str">
        <f>HYPERLINK("http://141.218.60.56/~jnz1568/getInfo.php?workbook=14_11.xlsx&amp;sheet=U0&amp;row=1589&amp;col=7&amp;number=0.963&amp;sourceID=14","0.963")</f>
        <v>0.963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HYPERLINK("http://141.218.60.56/~jnz1568/getInfo.php?workbook=14_11.xlsx&amp;sheet=U0&amp;row=1590&amp;col=6&amp;number=3.6&amp;sourceID=14","3.6")</f>
        <v>3.6</v>
      </c>
      <c r="G1590" s="4" t="str">
        <f>HYPERLINK("http://141.218.60.56/~jnz1568/getInfo.php?workbook=14_11.xlsx&amp;sheet=U0&amp;row=1590&amp;col=7&amp;number=0.959&amp;sourceID=14","0.959")</f>
        <v>0.959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HYPERLINK("http://141.218.60.56/~jnz1568/getInfo.php?workbook=14_11.xlsx&amp;sheet=U0&amp;row=1591&amp;col=6&amp;number=3.7&amp;sourceID=14","3.7")</f>
        <v>3.7</v>
      </c>
      <c r="G1591" s="4" t="str">
        <f>HYPERLINK("http://141.218.60.56/~jnz1568/getInfo.php?workbook=14_11.xlsx&amp;sheet=U0&amp;row=1591&amp;col=7&amp;number=0.954&amp;sourceID=14","0.954")</f>
        <v>0.954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HYPERLINK("http://141.218.60.56/~jnz1568/getInfo.php?workbook=14_11.xlsx&amp;sheet=U0&amp;row=1592&amp;col=6&amp;number=3.8&amp;sourceID=14","3.8")</f>
        <v>3.8</v>
      </c>
      <c r="G1592" s="4" t="str">
        <f>HYPERLINK("http://141.218.60.56/~jnz1568/getInfo.php?workbook=14_11.xlsx&amp;sheet=U0&amp;row=1592&amp;col=7&amp;number=0.948&amp;sourceID=14","0.948")</f>
        <v>0.948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HYPERLINK("http://141.218.60.56/~jnz1568/getInfo.php?workbook=14_11.xlsx&amp;sheet=U0&amp;row=1593&amp;col=6&amp;number=3.9&amp;sourceID=14","3.9")</f>
        <v>3.9</v>
      </c>
      <c r="G1593" s="4" t="str">
        <f>HYPERLINK("http://141.218.60.56/~jnz1568/getInfo.php?workbook=14_11.xlsx&amp;sheet=U0&amp;row=1593&amp;col=7&amp;number=0.94&amp;sourceID=14","0.94")</f>
        <v>0.94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HYPERLINK("http://141.218.60.56/~jnz1568/getInfo.php?workbook=14_11.xlsx&amp;sheet=U0&amp;row=1594&amp;col=6&amp;number=4&amp;sourceID=14","4")</f>
        <v>4</v>
      </c>
      <c r="G1594" s="4" t="str">
        <f>HYPERLINK("http://141.218.60.56/~jnz1568/getInfo.php?workbook=14_11.xlsx&amp;sheet=U0&amp;row=1594&amp;col=7&amp;number=0.931&amp;sourceID=14","0.931")</f>
        <v>0.931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HYPERLINK("http://141.218.60.56/~jnz1568/getInfo.php?workbook=14_11.xlsx&amp;sheet=U0&amp;row=1595&amp;col=6&amp;number=4.1&amp;sourceID=14","4.1")</f>
        <v>4.1</v>
      </c>
      <c r="G1595" s="4" t="str">
        <f>HYPERLINK("http://141.218.60.56/~jnz1568/getInfo.php?workbook=14_11.xlsx&amp;sheet=U0&amp;row=1595&amp;col=7&amp;number=0.92&amp;sourceID=14","0.92")</f>
        <v>0.92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HYPERLINK("http://141.218.60.56/~jnz1568/getInfo.php?workbook=14_11.xlsx&amp;sheet=U0&amp;row=1596&amp;col=6&amp;number=4.2&amp;sourceID=14","4.2")</f>
        <v>4.2</v>
      </c>
      <c r="G1596" s="4" t="str">
        <f>HYPERLINK("http://141.218.60.56/~jnz1568/getInfo.php?workbook=14_11.xlsx&amp;sheet=U0&amp;row=1596&amp;col=7&amp;number=0.906&amp;sourceID=14","0.906")</f>
        <v>0.906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HYPERLINK("http://141.218.60.56/~jnz1568/getInfo.php?workbook=14_11.xlsx&amp;sheet=U0&amp;row=1597&amp;col=6&amp;number=4.3&amp;sourceID=14","4.3")</f>
        <v>4.3</v>
      </c>
      <c r="G1597" s="4" t="str">
        <f>HYPERLINK("http://141.218.60.56/~jnz1568/getInfo.php?workbook=14_11.xlsx&amp;sheet=U0&amp;row=1597&amp;col=7&amp;number=0.89&amp;sourceID=14","0.89")</f>
        <v>0.89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HYPERLINK("http://141.218.60.56/~jnz1568/getInfo.php?workbook=14_11.xlsx&amp;sheet=U0&amp;row=1598&amp;col=6&amp;number=4.4&amp;sourceID=14","4.4")</f>
        <v>4.4</v>
      </c>
      <c r="G1598" s="4" t="str">
        <f>HYPERLINK("http://141.218.60.56/~jnz1568/getInfo.php?workbook=14_11.xlsx&amp;sheet=U0&amp;row=1598&amp;col=7&amp;number=0.87&amp;sourceID=14","0.87")</f>
        <v>0.87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HYPERLINK("http://141.218.60.56/~jnz1568/getInfo.php?workbook=14_11.xlsx&amp;sheet=U0&amp;row=1599&amp;col=6&amp;number=4.5&amp;sourceID=14","4.5")</f>
        <v>4.5</v>
      </c>
      <c r="G1599" s="4" t="str">
        <f>HYPERLINK("http://141.218.60.56/~jnz1568/getInfo.php?workbook=14_11.xlsx&amp;sheet=U0&amp;row=1599&amp;col=7&amp;number=0.848&amp;sourceID=14","0.848")</f>
        <v>0.848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HYPERLINK("http://141.218.60.56/~jnz1568/getInfo.php?workbook=14_11.xlsx&amp;sheet=U0&amp;row=1600&amp;col=6&amp;number=4.6&amp;sourceID=14","4.6")</f>
        <v>4.6</v>
      </c>
      <c r="G1600" s="4" t="str">
        <f>HYPERLINK("http://141.218.60.56/~jnz1568/getInfo.php?workbook=14_11.xlsx&amp;sheet=U0&amp;row=1600&amp;col=7&amp;number=0.822&amp;sourceID=14","0.822")</f>
        <v>0.822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HYPERLINK("http://141.218.60.56/~jnz1568/getInfo.php?workbook=14_11.xlsx&amp;sheet=U0&amp;row=1601&amp;col=6&amp;number=4.7&amp;sourceID=14","4.7")</f>
        <v>4.7</v>
      </c>
      <c r="G1601" s="4" t="str">
        <f>HYPERLINK("http://141.218.60.56/~jnz1568/getInfo.php?workbook=14_11.xlsx&amp;sheet=U0&amp;row=1601&amp;col=7&amp;number=0.793&amp;sourceID=14","0.793")</f>
        <v>0.793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HYPERLINK("http://141.218.60.56/~jnz1568/getInfo.php?workbook=14_11.xlsx&amp;sheet=U0&amp;row=1602&amp;col=6&amp;number=4.8&amp;sourceID=14","4.8")</f>
        <v>4.8</v>
      </c>
      <c r="G1602" s="4" t="str">
        <f>HYPERLINK("http://141.218.60.56/~jnz1568/getInfo.php?workbook=14_11.xlsx&amp;sheet=U0&amp;row=1602&amp;col=7&amp;number=0.761&amp;sourceID=14","0.761")</f>
        <v>0.761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HYPERLINK("http://141.218.60.56/~jnz1568/getInfo.php?workbook=14_11.xlsx&amp;sheet=U0&amp;row=1603&amp;col=6&amp;number=4.9&amp;sourceID=14","4.9")</f>
        <v>4.9</v>
      </c>
      <c r="G1603" s="4" t="str">
        <f>HYPERLINK("http://141.218.60.56/~jnz1568/getInfo.php?workbook=14_11.xlsx&amp;sheet=U0&amp;row=1603&amp;col=7&amp;number=0.729&amp;sourceID=14","0.729")</f>
        <v>0.729</v>
      </c>
    </row>
    <row r="1604" spans="1:7">
      <c r="A1604" s="3">
        <v>14</v>
      </c>
      <c r="B1604" s="3">
        <v>11</v>
      </c>
      <c r="C1604" s="3">
        <v>5</v>
      </c>
      <c r="D1604" s="3">
        <v>19</v>
      </c>
      <c r="E1604" s="3">
        <v>1</v>
      </c>
      <c r="F1604" s="4" t="str">
        <f>HYPERLINK("http://141.218.60.56/~jnz1568/getInfo.php?workbook=14_11.xlsx&amp;sheet=U0&amp;row=1604&amp;col=6&amp;number=3&amp;sourceID=14","3")</f>
        <v>3</v>
      </c>
      <c r="G1604" s="4" t="str">
        <f>HYPERLINK("http://141.218.60.56/~jnz1568/getInfo.php?workbook=14_11.xlsx&amp;sheet=U0&amp;row=1604&amp;col=7&amp;number=4.69&amp;sourceID=14","4.69")</f>
        <v>4.69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HYPERLINK("http://141.218.60.56/~jnz1568/getInfo.php?workbook=14_11.xlsx&amp;sheet=U0&amp;row=1605&amp;col=6&amp;number=3.1&amp;sourceID=14","3.1")</f>
        <v>3.1</v>
      </c>
      <c r="G1605" s="4" t="str">
        <f>HYPERLINK("http://141.218.60.56/~jnz1568/getInfo.php?workbook=14_11.xlsx&amp;sheet=U0&amp;row=1605&amp;col=7&amp;number=4.69&amp;sourceID=14","4.69")</f>
        <v>4.69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HYPERLINK("http://141.218.60.56/~jnz1568/getInfo.php?workbook=14_11.xlsx&amp;sheet=U0&amp;row=1606&amp;col=6&amp;number=3.2&amp;sourceID=14","3.2")</f>
        <v>3.2</v>
      </c>
      <c r="G1606" s="4" t="str">
        <f>HYPERLINK("http://141.218.60.56/~jnz1568/getInfo.php?workbook=14_11.xlsx&amp;sheet=U0&amp;row=1606&amp;col=7&amp;number=4.69&amp;sourceID=14","4.69")</f>
        <v>4.69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HYPERLINK("http://141.218.60.56/~jnz1568/getInfo.php?workbook=14_11.xlsx&amp;sheet=U0&amp;row=1607&amp;col=6&amp;number=3.3&amp;sourceID=14","3.3")</f>
        <v>3.3</v>
      </c>
      <c r="G1607" s="4" t="str">
        <f>HYPERLINK("http://141.218.60.56/~jnz1568/getInfo.php?workbook=14_11.xlsx&amp;sheet=U0&amp;row=1607&amp;col=7&amp;number=4.69&amp;sourceID=14","4.69")</f>
        <v>4.69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HYPERLINK("http://141.218.60.56/~jnz1568/getInfo.php?workbook=14_11.xlsx&amp;sheet=U0&amp;row=1608&amp;col=6&amp;number=3.4&amp;sourceID=14","3.4")</f>
        <v>3.4</v>
      </c>
      <c r="G1608" s="4" t="str">
        <f>HYPERLINK("http://141.218.60.56/~jnz1568/getInfo.php?workbook=14_11.xlsx&amp;sheet=U0&amp;row=1608&amp;col=7&amp;number=4.69&amp;sourceID=14","4.69")</f>
        <v>4.69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HYPERLINK("http://141.218.60.56/~jnz1568/getInfo.php?workbook=14_11.xlsx&amp;sheet=U0&amp;row=1609&amp;col=6&amp;number=3.5&amp;sourceID=14","3.5")</f>
        <v>3.5</v>
      </c>
      <c r="G1609" s="4" t="str">
        <f>HYPERLINK("http://141.218.60.56/~jnz1568/getInfo.php?workbook=14_11.xlsx&amp;sheet=U0&amp;row=1609&amp;col=7&amp;number=4.69&amp;sourceID=14","4.69")</f>
        <v>4.69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HYPERLINK("http://141.218.60.56/~jnz1568/getInfo.php?workbook=14_11.xlsx&amp;sheet=U0&amp;row=1610&amp;col=6&amp;number=3.6&amp;sourceID=14","3.6")</f>
        <v>3.6</v>
      </c>
      <c r="G1610" s="4" t="str">
        <f>HYPERLINK("http://141.218.60.56/~jnz1568/getInfo.php?workbook=14_11.xlsx&amp;sheet=U0&amp;row=1610&amp;col=7&amp;number=4.69&amp;sourceID=14","4.69")</f>
        <v>4.69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HYPERLINK("http://141.218.60.56/~jnz1568/getInfo.php?workbook=14_11.xlsx&amp;sheet=U0&amp;row=1611&amp;col=6&amp;number=3.7&amp;sourceID=14","3.7")</f>
        <v>3.7</v>
      </c>
      <c r="G1611" s="4" t="str">
        <f>HYPERLINK("http://141.218.60.56/~jnz1568/getInfo.php?workbook=14_11.xlsx&amp;sheet=U0&amp;row=1611&amp;col=7&amp;number=4.69&amp;sourceID=14","4.69")</f>
        <v>4.69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HYPERLINK("http://141.218.60.56/~jnz1568/getInfo.php?workbook=14_11.xlsx&amp;sheet=U0&amp;row=1612&amp;col=6&amp;number=3.8&amp;sourceID=14","3.8")</f>
        <v>3.8</v>
      </c>
      <c r="G1612" s="4" t="str">
        <f>HYPERLINK("http://141.218.60.56/~jnz1568/getInfo.php?workbook=14_11.xlsx&amp;sheet=U0&amp;row=1612&amp;col=7&amp;number=4.7&amp;sourceID=14","4.7")</f>
        <v>4.7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HYPERLINK("http://141.218.60.56/~jnz1568/getInfo.php?workbook=14_11.xlsx&amp;sheet=U0&amp;row=1613&amp;col=6&amp;number=3.9&amp;sourceID=14","3.9")</f>
        <v>3.9</v>
      </c>
      <c r="G1613" s="4" t="str">
        <f>HYPERLINK("http://141.218.60.56/~jnz1568/getInfo.php?workbook=14_11.xlsx&amp;sheet=U0&amp;row=1613&amp;col=7&amp;number=4.7&amp;sourceID=14","4.7")</f>
        <v>4.7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HYPERLINK("http://141.218.60.56/~jnz1568/getInfo.php?workbook=14_11.xlsx&amp;sheet=U0&amp;row=1614&amp;col=6&amp;number=4&amp;sourceID=14","4")</f>
        <v>4</v>
      </c>
      <c r="G1614" s="4" t="str">
        <f>HYPERLINK("http://141.218.60.56/~jnz1568/getInfo.php?workbook=14_11.xlsx&amp;sheet=U0&amp;row=1614&amp;col=7&amp;number=4.71&amp;sourceID=14","4.71")</f>
        <v>4.71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HYPERLINK("http://141.218.60.56/~jnz1568/getInfo.php?workbook=14_11.xlsx&amp;sheet=U0&amp;row=1615&amp;col=6&amp;number=4.1&amp;sourceID=14","4.1")</f>
        <v>4.1</v>
      </c>
      <c r="G1615" s="4" t="str">
        <f>HYPERLINK("http://141.218.60.56/~jnz1568/getInfo.php?workbook=14_11.xlsx&amp;sheet=U0&amp;row=1615&amp;col=7&amp;number=4.71&amp;sourceID=14","4.71")</f>
        <v>4.71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HYPERLINK("http://141.218.60.56/~jnz1568/getInfo.php?workbook=14_11.xlsx&amp;sheet=U0&amp;row=1616&amp;col=6&amp;number=4.2&amp;sourceID=14","4.2")</f>
        <v>4.2</v>
      </c>
      <c r="G1616" s="4" t="str">
        <f>HYPERLINK("http://141.218.60.56/~jnz1568/getInfo.php?workbook=14_11.xlsx&amp;sheet=U0&amp;row=1616&amp;col=7&amp;number=4.72&amp;sourceID=14","4.72")</f>
        <v>4.72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HYPERLINK("http://141.218.60.56/~jnz1568/getInfo.php?workbook=14_11.xlsx&amp;sheet=U0&amp;row=1617&amp;col=6&amp;number=4.3&amp;sourceID=14","4.3")</f>
        <v>4.3</v>
      </c>
      <c r="G1617" s="4" t="str">
        <f>HYPERLINK("http://141.218.60.56/~jnz1568/getInfo.php?workbook=14_11.xlsx&amp;sheet=U0&amp;row=1617&amp;col=7&amp;number=4.73&amp;sourceID=14","4.73")</f>
        <v>4.73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HYPERLINK("http://141.218.60.56/~jnz1568/getInfo.php?workbook=14_11.xlsx&amp;sheet=U0&amp;row=1618&amp;col=6&amp;number=4.4&amp;sourceID=14","4.4")</f>
        <v>4.4</v>
      </c>
      <c r="G1618" s="4" t="str">
        <f>HYPERLINK("http://141.218.60.56/~jnz1568/getInfo.php?workbook=14_11.xlsx&amp;sheet=U0&amp;row=1618&amp;col=7&amp;number=4.75&amp;sourceID=14","4.75")</f>
        <v>4.75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HYPERLINK("http://141.218.60.56/~jnz1568/getInfo.php?workbook=14_11.xlsx&amp;sheet=U0&amp;row=1619&amp;col=6&amp;number=4.5&amp;sourceID=14","4.5")</f>
        <v>4.5</v>
      </c>
      <c r="G1619" s="4" t="str">
        <f>HYPERLINK("http://141.218.60.56/~jnz1568/getInfo.php?workbook=14_11.xlsx&amp;sheet=U0&amp;row=1619&amp;col=7&amp;number=4.77&amp;sourceID=14","4.77")</f>
        <v>4.77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HYPERLINK("http://141.218.60.56/~jnz1568/getInfo.php?workbook=14_11.xlsx&amp;sheet=U0&amp;row=1620&amp;col=6&amp;number=4.6&amp;sourceID=14","4.6")</f>
        <v>4.6</v>
      </c>
      <c r="G1620" s="4" t="str">
        <f>HYPERLINK("http://141.218.60.56/~jnz1568/getInfo.php?workbook=14_11.xlsx&amp;sheet=U0&amp;row=1620&amp;col=7&amp;number=4.79&amp;sourceID=14","4.79")</f>
        <v>4.79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HYPERLINK("http://141.218.60.56/~jnz1568/getInfo.php?workbook=14_11.xlsx&amp;sheet=U0&amp;row=1621&amp;col=6&amp;number=4.7&amp;sourceID=14","4.7")</f>
        <v>4.7</v>
      </c>
      <c r="G1621" s="4" t="str">
        <f>HYPERLINK("http://141.218.60.56/~jnz1568/getInfo.php?workbook=14_11.xlsx&amp;sheet=U0&amp;row=1621&amp;col=7&amp;number=4.83&amp;sourceID=14","4.83")</f>
        <v>4.83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HYPERLINK("http://141.218.60.56/~jnz1568/getInfo.php?workbook=14_11.xlsx&amp;sheet=U0&amp;row=1622&amp;col=6&amp;number=4.8&amp;sourceID=14","4.8")</f>
        <v>4.8</v>
      </c>
      <c r="G1622" s="4" t="str">
        <f>HYPERLINK("http://141.218.60.56/~jnz1568/getInfo.php?workbook=14_11.xlsx&amp;sheet=U0&amp;row=1622&amp;col=7&amp;number=4.88&amp;sourceID=14","4.88")</f>
        <v>4.88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HYPERLINK("http://141.218.60.56/~jnz1568/getInfo.php?workbook=14_11.xlsx&amp;sheet=U0&amp;row=1623&amp;col=6&amp;number=4.9&amp;sourceID=14","4.9")</f>
        <v>4.9</v>
      </c>
      <c r="G1623" s="4" t="str">
        <f>HYPERLINK("http://141.218.60.56/~jnz1568/getInfo.php?workbook=14_11.xlsx&amp;sheet=U0&amp;row=1623&amp;col=7&amp;number=4.94&amp;sourceID=14","4.94")</f>
        <v>4.94</v>
      </c>
    </row>
    <row r="1624" spans="1:7">
      <c r="A1624" s="3">
        <v>14</v>
      </c>
      <c r="B1624" s="3">
        <v>11</v>
      </c>
      <c r="C1624" s="3">
        <v>5</v>
      </c>
      <c r="D1624" s="3">
        <v>20</v>
      </c>
      <c r="E1624" s="3">
        <v>1</v>
      </c>
      <c r="F1624" s="4" t="str">
        <f>HYPERLINK("http://141.218.60.56/~jnz1568/getInfo.php?workbook=14_11.xlsx&amp;sheet=U0&amp;row=1624&amp;col=6&amp;number=3&amp;sourceID=14","3")</f>
        <v>3</v>
      </c>
      <c r="G1624" s="4" t="str">
        <f>HYPERLINK("http://141.218.60.56/~jnz1568/getInfo.php?workbook=14_11.xlsx&amp;sheet=U0&amp;row=1624&amp;col=7&amp;number=0.506&amp;sourceID=14","0.506")</f>
        <v>0.506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HYPERLINK("http://141.218.60.56/~jnz1568/getInfo.php?workbook=14_11.xlsx&amp;sheet=U0&amp;row=1625&amp;col=6&amp;number=3.1&amp;sourceID=14","3.1")</f>
        <v>3.1</v>
      </c>
      <c r="G1625" s="4" t="str">
        <f>HYPERLINK("http://141.218.60.56/~jnz1568/getInfo.php?workbook=14_11.xlsx&amp;sheet=U0&amp;row=1625&amp;col=7&amp;number=0.505&amp;sourceID=14","0.505")</f>
        <v>0.505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HYPERLINK("http://141.218.60.56/~jnz1568/getInfo.php?workbook=14_11.xlsx&amp;sheet=U0&amp;row=1626&amp;col=6&amp;number=3.2&amp;sourceID=14","3.2")</f>
        <v>3.2</v>
      </c>
      <c r="G1626" s="4" t="str">
        <f>HYPERLINK("http://141.218.60.56/~jnz1568/getInfo.php?workbook=14_11.xlsx&amp;sheet=U0&amp;row=1626&amp;col=7&amp;number=0.504&amp;sourceID=14","0.504")</f>
        <v>0.504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HYPERLINK("http://141.218.60.56/~jnz1568/getInfo.php?workbook=14_11.xlsx&amp;sheet=U0&amp;row=1627&amp;col=6&amp;number=3.3&amp;sourceID=14","3.3")</f>
        <v>3.3</v>
      </c>
      <c r="G1627" s="4" t="str">
        <f>HYPERLINK("http://141.218.60.56/~jnz1568/getInfo.php?workbook=14_11.xlsx&amp;sheet=U0&amp;row=1627&amp;col=7&amp;number=0.503&amp;sourceID=14","0.503")</f>
        <v>0.503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HYPERLINK("http://141.218.60.56/~jnz1568/getInfo.php?workbook=14_11.xlsx&amp;sheet=U0&amp;row=1628&amp;col=6&amp;number=3.4&amp;sourceID=14","3.4")</f>
        <v>3.4</v>
      </c>
      <c r="G1628" s="4" t="str">
        <f>HYPERLINK("http://141.218.60.56/~jnz1568/getInfo.php?workbook=14_11.xlsx&amp;sheet=U0&amp;row=1628&amp;col=7&amp;number=0.501&amp;sourceID=14","0.501")</f>
        <v>0.501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HYPERLINK("http://141.218.60.56/~jnz1568/getInfo.php?workbook=14_11.xlsx&amp;sheet=U0&amp;row=1629&amp;col=6&amp;number=3.5&amp;sourceID=14","3.5")</f>
        <v>3.5</v>
      </c>
      <c r="G1629" s="4" t="str">
        <f>HYPERLINK("http://141.218.60.56/~jnz1568/getInfo.php?workbook=14_11.xlsx&amp;sheet=U0&amp;row=1629&amp;col=7&amp;number=0.499&amp;sourceID=14","0.499")</f>
        <v>0.499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HYPERLINK("http://141.218.60.56/~jnz1568/getInfo.php?workbook=14_11.xlsx&amp;sheet=U0&amp;row=1630&amp;col=6&amp;number=3.6&amp;sourceID=14","3.6")</f>
        <v>3.6</v>
      </c>
      <c r="G1630" s="4" t="str">
        <f>HYPERLINK("http://141.218.60.56/~jnz1568/getInfo.php?workbook=14_11.xlsx&amp;sheet=U0&amp;row=1630&amp;col=7&amp;number=0.497&amp;sourceID=14","0.497")</f>
        <v>0.497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HYPERLINK("http://141.218.60.56/~jnz1568/getInfo.php?workbook=14_11.xlsx&amp;sheet=U0&amp;row=1631&amp;col=6&amp;number=3.7&amp;sourceID=14","3.7")</f>
        <v>3.7</v>
      </c>
      <c r="G1631" s="4" t="str">
        <f>HYPERLINK("http://141.218.60.56/~jnz1568/getInfo.php?workbook=14_11.xlsx&amp;sheet=U0&amp;row=1631&amp;col=7&amp;number=0.494&amp;sourceID=14","0.494")</f>
        <v>0.494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HYPERLINK("http://141.218.60.56/~jnz1568/getInfo.php?workbook=14_11.xlsx&amp;sheet=U0&amp;row=1632&amp;col=6&amp;number=3.8&amp;sourceID=14","3.8")</f>
        <v>3.8</v>
      </c>
      <c r="G1632" s="4" t="str">
        <f>HYPERLINK("http://141.218.60.56/~jnz1568/getInfo.php?workbook=14_11.xlsx&amp;sheet=U0&amp;row=1632&amp;col=7&amp;number=0.49&amp;sourceID=14","0.49")</f>
        <v>0.49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HYPERLINK("http://141.218.60.56/~jnz1568/getInfo.php?workbook=14_11.xlsx&amp;sheet=U0&amp;row=1633&amp;col=6&amp;number=3.9&amp;sourceID=14","3.9")</f>
        <v>3.9</v>
      </c>
      <c r="G1633" s="4" t="str">
        <f>HYPERLINK("http://141.218.60.56/~jnz1568/getInfo.php?workbook=14_11.xlsx&amp;sheet=U0&amp;row=1633&amp;col=7&amp;number=0.485&amp;sourceID=14","0.485")</f>
        <v>0.485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HYPERLINK("http://141.218.60.56/~jnz1568/getInfo.php?workbook=14_11.xlsx&amp;sheet=U0&amp;row=1634&amp;col=6&amp;number=4&amp;sourceID=14","4")</f>
        <v>4</v>
      </c>
      <c r="G1634" s="4" t="str">
        <f>HYPERLINK("http://141.218.60.56/~jnz1568/getInfo.php?workbook=14_11.xlsx&amp;sheet=U0&amp;row=1634&amp;col=7&amp;number=0.479&amp;sourceID=14","0.479")</f>
        <v>0.479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HYPERLINK("http://141.218.60.56/~jnz1568/getInfo.php?workbook=14_11.xlsx&amp;sheet=U0&amp;row=1635&amp;col=6&amp;number=4.1&amp;sourceID=14","4.1")</f>
        <v>4.1</v>
      </c>
      <c r="G1635" s="4" t="str">
        <f>HYPERLINK("http://141.218.60.56/~jnz1568/getInfo.php?workbook=14_11.xlsx&amp;sheet=U0&amp;row=1635&amp;col=7&amp;number=0.472&amp;sourceID=14","0.472")</f>
        <v>0.472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HYPERLINK("http://141.218.60.56/~jnz1568/getInfo.php?workbook=14_11.xlsx&amp;sheet=U0&amp;row=1636&amp;col=6&amp;number=4.2&amp;sourceID=14","4.2")</f>
        <v>4.2</v>
      </c>
      <c r="G1636" s="4" t="str">
        <f>HYPERLINK("http://141.218.60.56/~jnz1568/getInfo.php?workbook=14_11.xlsx&amp;sheet=U0&amp;row=1636&amp;col=7&amp;number=0.463&amp;sourceID=14","0.463")</f>
        <v>0.463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HYPERLINK("http://141.218.60.56/~jnz1568/getInfo.php?workbook=14_11.xlsx&amp;sheet=U0&amp;row=1637&amp;col=6&amp;number=4.3&amp;sourceID=14","4.3")</f>
        <v>4.3</v>
      </c>
      <c r="G1637" s="4" t="str">
        <f>HYPERLINK("http://141.218.60.56/~jnz1568/getInfo.php?workbook=14_11.xlsx&amp;sheet=U0&amp;row=1637&amp;col=7&amp;number=0.453&amp;sourceID=14","0.453")</f>
        <v>0.453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HYPERLINK("http://141.218.60.56/~jnz1568/getInfo.php?workbook=14_11.xlsx&amp;sheet=U0&amp;row=1638&amp;col=6&amp;number=4.4&amp;sourceID=14","4.4")</f>
        <v>4.4</v>
      </c>
      <c r="G1638" s="4" t="str">
        <f>HYPERLINK("http://141.218.60.56/~jnz1568/getInfo.php?workbook=14_11.xlsx&amp;sheet=U0&amp;row=1638&amp;col=7&amp;number=0.44&amp;sourceID=14","0.44")</f>
        <v>0.44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HYPERLINK("http://141.218.60.56/~jnz1568/getInfo.php?workbook=14_11.xlsx&amp;sheet=U0&amp;row=1639&amp;col=6&amp;number=4.5&amp;sourceID=14","4.5")</f>
        <v>4.5</v>
      </c>
      <c r="G1639" s="4" t="str">
        <f>HYPERLINK("http://141.218.60.56/~jnz1568/getInfo.php?workbook=14_11.xlsx&amp;sheet=U0&amp;row=1639&amp;col=7&amp;number=0.426&amp;sourceID=14","0.426")</f>
        <v>0.426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HYPERLINK("http://141.218.60.56/~jnz1568/getInfo.php?workbook=14_11.xlsx&amp;sheet=U0&amp;row=1640&amp;col=6&amp;number=4.6&amp;sourceID=14","4.6")</f>
        <v>4.6</v>
      </c>
      <c r="G1640" s="4" t="str">
        <f>HYPERLINK("http://141.218.60.56/~jnz1568/getInfo.php?workbook=14_11.xlsx&amp;sheet=U0&amp;row=1640&amp;col=7&amp;number=0.409&amp;sourceID=14","0.409")</f>
        <v>0.409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HYPERLINK("http://141.218.60.56/~jnz1568/getInfo.php?workbook=14_11.xlsx&amp;sheet=U0&amp;row=1641&amp;col=6&amp;number=4.7&amp;sourceID=14","4.7")</f>
        <v>4.7</v>
      </c>
      <c r="G1641" s="4" t="str">
        <f>HYPERLINK("http://141.218.60.56/~jnz1568/getInfo.php?workbook=14_11.xlsx&amp;sheet=U0&amp;row=1641&amp;col=7&amp;number=0.391&amp;sourceID=14","0.391")</f>
        <v>0.391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HYPERLINK("http://141.218.60.56/~jnz1568/getInfo.php?workbook=14_11.xlsx&amp;sheet=U0&amp;row=1642&amp;col=6&amp;number=4.8&amp;sourceID=14","4.8")</f>
        <v>4.8</v>
      </c>
      <c r="G1642" s="4" t="str">
        <f>HYPERLINK("http://141.218.60.56/~jnz1568/getInfo.php?workbook=14_11.xlsx&amp;sheet=U0&amp;row=1642&amp;col=7&amp;number=0.372&amp;sourceID=14","0.372")</f>
        <v>0.372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HYPERLINK("http://141.218.60.56/~jnz1568/getInfo.php?workbook=14_11.xlsx&amp;sheet=U0&amp;row=1643&amp;col=6&amp;number=4.9&amp;sourceID=14","4.9")</f>
        <v>4.9</v>
      </c>
      <c r="G1643" s="4" t="str">
        <f>HYPERLINK("http://141.218.60.56/~jnz1568/getInfo.php?workbook=14_11.xlsx&amp;sheet=U0&amp;row=1643&amp;col=7&amp;number=0.353&amp;sourceID=14","0.353")</f>
        <v>0.353</v>
      </c>
    </row>
    <row r="1644" spans="1:7">
      <c r="A1644" s="3">
        <v>14</v>
      </c>
      <c r="B1644" s="3">
        <v>11</v>
      </c>
      <c r="C1644" s="3">
        <v>5</v>
      </c>
      <c r="D1644" s="3">
        <v>21</v>
      </c>
      <c r="E1644" s="3">
        <v>1</v>
      </c>
      <c r="F1644" s="4" t="str">
        <f>HYPERLINK("http://141.218.60.56/~jnz1568/getInfo.php?workbook=14_11.xlsx&amp;sheet=U0&amp;row=1644&amp;col=6&amp;number=3&amp;sourceID=14","3")</f>
        <v>3</v>
      </c>
      <c r="G1644" s="4" t="str">
        <f>HYPERLINK("http://141.218.60.56/~jnz1568/getInfo.php?workbook=14_11.xlsx&amp;sheet=U0&amp;row=1644&amp;col=7&amp;number=1.11&amp;sourceID=14","1.11")</f>
        <v>1.11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HYPERLINK("http://141.218.60.56/~jnz1568/getInfo.php?workbook=14_11.xlsx&amp;sheet=U0&amp;row=1645&amp;col=6&amp;number=3.1&amp;sourceID=14","3.1")</f>
        <v>3.1</v>
      </c>
      <c r="G1645" s="4" t="str">
        <f>HYPERLINK("http://141.218.60.56/~jnz1568/getInfo.php?workbook=14_11.xlsx&amp;sheet=U0&amp;row=1645&amp;col=7&amp;number=1.11&amp;sourceID=14","1.11")</f>
        <v>1.11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HYPERLINK("http://141.218.60.56/~jnz1568/getInfo.php?workbook=14_11.xlsx&amp;sheet=U0&amp;row=1646&amp;col=6&amp;number=3.2&amp;sourceID=14","3.2")</f>
        <v>3.2</v>
      </c>
      <c r="G1646" s="4" t="str">
        <f>HYPERLINK("http://141.218.60.56/~jnz1568/getInfo.php?workbook=14_11.xlsx&amp;sheet=U0&amp;row=1646&amp;col=7&amp;number=1.11&amp;sourceID=14","1.11")</f>
        <v>1.11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HYPERLINK("http://141.218.60.56/~jnz1568/getInfo.php?workbook=14_11.xlsx&amp;sheet=U0&amp;row=1647&amp;col=6&amp;number=3.3&amp;sourceID=14","3.3")</f>
        <v>3.3</v>
      </c>
      <c r="G1647" s="4" t="str">
        <f>HYPERLINK("http://141.218.60.56/~jnz1568/getInfo.php?workbook=14_11.xlsx&amp;sheet=U0&amp;row=1647&amp;col=7&amp;number=1.11&amp;sourceID=14","1.11")</f>
        <v>1.11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HYPERLINK("http://141.218.60.56/~jnz1568/getInfo.php?workbook=14_11.xlsx&amp;sheet=U0&amp;row=1648&amp;col=6&amp;number=3.4&amp;sourceID=14","3.4")</f>
        <v>3.4</v>
      </c>
      <c r="G1648" s="4" t="str">
        <f>HYPERLINK("http://141.218.60.56/~jnz1568/getInfo.php?workbook=14_11.xlsx&amp;sheet=U0&amp;row=1648&amp;col=7&amp;number=1.11&amp;sourceID=14","1.11")</f>
        <v>1.11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HYPERLINK("http://141.218.60.56/~jnz1568/getInfo.php?workbook=14_11.xlsx&amp;sheet=U0&amp;row=1649&amp;col=6&amp;number=3.5&amp;sourceID=14","3.5")</f>
        <v>3.5</v>
      </c>
      <c r="G1649" s="4" t="str">
        <f>HYPERLINK("http://141.218.60.56/~jnz1568/getInfo.php?workbook=14_11.xlsx&amp;sheet=U0&amp;row=1649&amp;col=7&amp;number=1.11&amp;sourceID=14","1.11")</f>
        <v>1.11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HYPERLINK("http://141.218.60.56/~jnz1568/getInfo.php?workbook=14_11.xlsx&amp;sheet=U0&amp;row=1650&amp;col=6&amp;number=3.6&amp;sourceID=14","3.6")</f>
        <v>3.6</v>
      </c>
      <c r="G1650" s="4" t="str">
        <f>HYPERLINK("http://141.218.60.56/~jnz1568/getInfo.php?workbook=14_11.xlsx&amp;sheet=U0&amp;row=1650&amp;col=7&amp;number=1.11&amp;sourceID=14","1.11")</f>
        <v>1.11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HYPERLINK("http://141.218.60.56/~jnz1568/getInfo.php?workbook=14_11.xlsx&amp;sheet=U0&amp;row=1651&amp;col=6&amp;number=3.7&amp;sourceID=14","3.7")</f>
        <v>3.7</v>
      </c>
      <c r="G1651" s="4" t="str">
        <f>HYPERLINK("http://141.218.60.56/~jnz1568/getInfo.php?workbook=14_11.xlsx&amp;sheet=U0&amp;row=1651&amp;col=7&amp;number=1.11&amp;sourceID=14","1.11")</f>
        <v>1.11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HYPERLINK("http://141.218.60.56/~jnz1568/getInfo.php?workbook=14_11.xlsx&amp;sheet=U0&amp;row=1652&amp;col=6&amp;number=3.8&amp;sourceID=14","3.8")</f>
        <v>3.8</v>
      </c>
      <c r="G1652" s="4" t="str">
        <f>HYPERLINK("http://141.218.60.56/~jnz1568/getInfo.php?workbook=14_11.xlsx&amp;sheet=U0&amp;row=1652&amp;col=7&amp;number=1.11&amp;sourceID=14","1.11")</f>
        <v>1.11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HYPERLINK("http://141.218.60.56/~jnz1568/getInfo.php?workbook=14_11.xlsx&amp;sheet=U0&amp;row=1653&amp;col=6&amp;number=3.9&amp;sourceID=14","3.9")</f>
        <v>3.9</v>
      </c>
      <c r="G1653" s="4" t="str">
        <f>HYPERLINK("http://141.218.60.56/~jnz1568/getInfo.php?workbook=14_11.xlsx&amp;sheet=U0&amp;row=1653&amp;col=7&amp;number=1.11&amp;sourceID=14","1.11")</f>
        <v>1.11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HYPERLINK("http://141.218.60.56/~jnz1568/getInfo.php?workbook=14_11.xlsx&amp;sheet=U0&amp;row=1654&amp;col=6&amp;number=4&amp;sourceID=14","4")</f>
        <v>4</v>
      </c>
      <c r="G1654" s="4" t="str">
        <f>HYPERLINK("http://141.218.60.56/~jnz1568/getInfo.php?workbook=14_11.xlsx&amp;sheet=U0&amp;row=1654&amp;col=7&amp;number=1.11&amp;sourceID=14","1.11")</f>
        <v>1.11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HYPERLINK("http://141.218.60.56/~jnz1568/getInfo.php?workbook=14_11.xlsx&amp;sheet=U0&amp;row=1655&amp;col=6&amp;number=4.1&amp;sourceID=14","4.1")</f>
        <v>4.1</v>
      </c>
      <c r="G1655" s="4" t="str">
        <f>HYPERLINK("http://141.218.60.56/~jnz1568/getInfo.php?workbook=14_11.xlsx&amp;sheet=U0&amp;row=1655&amp;col=7&amp;number=1.11&amp;sourceID=14","1.11")</f>
        <v>1.11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HYPERLINK("http://141.218.60.56/~jnz1568/getInfo.php?workbook=14_11.xlsx&amp;sheet=U0&amp;row=1656&amp;col=6&amp;number=4.2&amp;sourceID=14","4.2")</f>
        <v>4.2</v>
      </c>
      <c r="G1656" s="4" t="str">
        <f>HYPERLINK("http://141.218.60.56/~jnz1568/getInfo.php?workbook=14_11.xlsx&amp;sheet=U0&amp;row=1656&amp;col=7&amp;number=1.11&amp;sourceID=14","1.11")</f>
        <v>1.11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HYPERLINK("http://141.218.60.56/~jnz1568/getInfo.php?workbook=14_11.xlsx&amp;sheet=U0&amp;row=1657&amp;col=6&amp;number=4.3&amp;sourceID=14","4.3")</f>
        <v>4.3</v>
      </c>
      <c r="G1657" s="4" t="str">
        <f>HYPERLINK("http://141.218.60.56/~jnz1568/getInfo.php?workbook=14_11.xlsx&amp;sheet=U0&amp;row=1657&amp;col=7&amp;number=1.12&amp;sourceID=14","1.12")</f>
        <v>1.12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HYPERLINK("http://141.218.60.56/~jnz1568/getInfo.php?workbook=14_11.xlsx&amp;sheet=U0&amp;row=1658&amp;col=6&amp;number=4.4&amp;sourceID=14","4.4")</f>
        <v>4.4</v>
      </c>
      <c r="G1658" s="4" t="str">
        <f>HYPERLINK("http://141.218.60.56/~jnz1568/getInfo.php?workbook=14_11.xlsx&amp;sheet=U0&amp;row=1658&amp;col=7&amp;number=1.12&amp;sourceID=14","1.12")</f>
        <v>1.12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HYPERLINK("http://141.218.60.56/~jnz1568/getInfo.php?workbook=14_11.xlsx&amp;sheet=U0&amp;row=1659&amp;col=6&amp;number=4.5&amp;sourceID=14","4.5")</f>
        <v>4.5</v>
      </c>
      <c r="G1659" s="4" t="str">
        <f>HYPERLINK("http://141.218.60.56/~jnz1568/getInfo.php?workbook=14_11.xlsx&amp;sheet=U0&amp;row=1659&amp;col=7&amp;number=1.12&amp;sourceID=14","1.12")</f>
        <v>1.12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HYPERLINK("http://141.218.60.56/~jnz1568/getInfo.php?workbook=14_11.xlsx&amp;sheet=U0&amp;row=1660&amp;col=6&amp;number=4.6&amp;sourceID=14","4.6")</f>
        <v>4.6</v>
      </c>
      <c r="G1660" s="4" t="str">
        <f>HYPERLINK("http://141.218.60.56/~jnz1568/getInfo.php?workbook=14_11.xlsx&amp;sheet=U0&amp;row=1660&amp;col=7&amp;number=1.13&amp;sourceID=14","1.13")</f>
        <v>1.13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HYPERLINK("http://141.218.60.56/~jnz1568/getInfo.php?workbook=14_11.xlsx&amp;sheet=U0&amp;row=1661&amp;col=6&amp;number=4.7&amp;sourceID=14","4.7")</f>
        <v>4.7</v>
      </c>
      <c r="G1661" s="4" t="str">
        <f>HYPERLINK("http://141.218.60.56/~jnz1568/getInfo.php?workbook=14_11.xlsx&amp;sheet=U0&amp;row=1661&amp;col=7&amp;number=1.13&amp;sourceID=14","1.13")</f>
        <v>1.13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HYPERLINK("http://141.218.60.56/~jnz1568/getInfo.php?workbook=14_11.xlsx&amp;sheet=U0&amp;row=1662&amp;col=6&amp;number=4.8&amp;sourceID=14","4.8")</f>
        <v>4.8</v>
      </c>
      <c r="G1662" s="4" t="str">
        <f>HYPERLINK("http://141.218.60.56/~jnz1568/getInfo.php?workbook=14_11.xlsx&amp;sheet=U0&amp;row=1662&amp;col=7&amp;number=1.14&amp;sourceID=14","1.14")</f>
        <v>1.14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HYPERLINK("http://141.218.60.56/~jnz1568/getInfo.php?workbook=14_11.xlsx&amp;sheet=U0&amp;row=1663&amp;col=6&amp;number=4.9&amp;sourceID=14","4.9")</f>
        <v>4.9</v>
      </c>
      <c r="G1663" s="4" t="str">
        <f>HYPERLINK("http://141.218.60.56/~jnz1568/getInfo.php?workbook=14_11.xlsx&amp;sheet=U0&amp;row=1663&amp;col=7&amp;number=1.16&amp;sourceID=14","1.16")</f>
        <v>1.16</v>
      </c>
    </row>
    <row r="1664" spans="1:7">
      <c r="A1664" s="3">
        <v>14</v>
      </c>
      <c r="B1664" s="3">
        <v>11</v>
      </c>
      <c r="C1664" s="3">
        <v>1</v>
      </c>
      <c r="D1664" s="3">
        <v>16</v>
      </c>
      <c r="E1664" s="3">
        <v>1</v>
      </c>
      <c r="F1664" s="4" t="str">
        <f>HYPERLINK("http://141.218.60.56/~jnz1568/getInfo.php?workbook=14_11.xlsx&amp;sheet=U0&amp;row=1664&amp;col=6&amp;number=3&amp;sourceID=14","3")</f>
        <v>3</v>
      </c>
      <c r="G1664" s="4" t="str">
        <f>HYPERLINK("http://141.218.60.56/~jnz1568/getInfo.php?workbook=14_11.xlsx&amp;sheet=U0&amp;row=1664&amp;col=7&amp;number=0.0344&amp;sourceID=14","0.0344")</f>
        <v>0.0344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HYPERLINK("http://141.218.60.56/~jnz1568/getInfo.php?workbook=14_11.xlsx&amp;sheet=U0&amp;row=1665&amp;col=6&amp;number=3.1&amp;sourceID=14","3.1")</f>
        <v>3.1</v>
      </c>
      <c r="G1665" s="4" t="str">
        <f>HYPERLINK("http://141.218.60.56/~jnz1568/getInfo.php?workbook=14_11.xlsx&amp;sheet=U0&amp;row=1665&amp;col=7&amp;number=0.0344&amp;sourceID=14","0.0344")</f>
        <v>0.0344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HYPERLINK("http://141.218.60.56/~jnz1568/getInfo.php?workbook=14_11.xlsx&amp;sheet=U0&amp;row=1666&amp;col=6&amp;number=3.2&amp;sourceID=14","3.2")</f>
        <v>3.2</v>
      </c>
      <c r="G1666" s="4" t="str">
        <f>HYPERLINK("http://141.218.60.56/~jnz1568/getInfo.php?workbook=14_11.xlsx&amp;sheet=U0&amp;row=1666&amp;col=7&amp;number=0.0344&amp;sourceID=14","0.0344")</f>
        <v>0.0344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HYPERLINK("http://141.218.60.56/~jnz1568/getInfo.php?workbook=14_11.xlsx&amp;sheet=U0&amp;row=1667&amp;col=6&amp;number=3.3&amp;sourceID=14","3.3")</f>
        <v>3.3</v>
      </c>
      <c r="G1667" s="4" t="str">
        <f>HYPERLINK("http://141.218.60.56/~jnz1568/getInfo.php?workbook=14_11.xlsx&amp;sheet=U0&amp;row=1667&amp;col=7&amp;number=0.0344&amp;sourceID=14","0.0344")</f>
        <v>0.0344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HYPERLINK("http://141.218.60.56/~jnz1568/getInfo.php?workbook=14_11.xlsx&amp;sheet=U0&amp;row=1668&amp;col=6&amp;number=3.4&amp;sourceID=14","3.4")</f>
        <v>3.4</v>
      </c>
      <c r="G1668" s="4" t="str">
        <f>HYPERLINK("http://141.218.60.56/~jnz1568/getInfo.php?workbook=14_11.xlsx&amp;sheet=U0&amp;row=1668&amp;col=7&amp;number=0.0343&amp;sourceID=14","0.0343")</f>
        <v>0.0343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HYPERLINK("http://141.218.60.56/~jnz1568/getInfo.php?workbook=14_11.xlsx&amp;sheet=U0&amp;row=1669&amp;col=6&amp;number=3.5&amp;sourceID=14","3.5")</f>
        <v>3.5</v>
      </c>
      <c r="G1669" s="4" t="str">
        <f>HYPERLINK("http://141.218.60.56/~jnz1568/getInfo.php?workbook=14_11.xlsx&amp;sheet=U0&amp;row=1669&amp;col=7&amp;number=0.0343&amp;sourceID=14","0.0343")</f>
        <v>0.0343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HYPERLINK("http://141.218.60.56/~jnz1568/getInfo.php?workbook=14_11.xlsx&amp;sheet=U0&amp;row=1670&amp;col=6&amp;number=3.6&amp;sourceID=14","3.6")</f>
        <v>3.6</v>
      </c>
      <c r="G1670" s="4" t="str">
        <f>HYPERLINK("http://141.218.60.56/~jnz1568/getInfo.php?workbook=14_11.xlsx&amp;sheet=U0&amp;row=1670&amp;col=7&amp;number=0.0342&amp;sourceID=14","0.0342")</f>
        <v>0.0342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HYPERLINK("http://141.218.60.56/~jnz1568/getInfo.php?workbook=14_11.xlsx&amp;sheet=U0&amp;row=1671&amp;col=6&amp;number=3.7&amp;sourceID=14","3.7")</f>
        <v>3.7</v>
      </c>
      <c r="G1671" s="4" t="str">
        <f>HYPERLINK("http://141.218.60.56/~jnz1568/getInfo.php?workbook=14_11.xlsx&amp;sheet=U0&amp;row=1671&amp;col=7&amp;number=0.0342&amp;sourceID=14","0.0342")</f>
        <v>0.0342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HYPERLINK("http://141.218.60.56/~jnz1568/getInfo.php?workbook=14_11.xlsx&amp;sheet=U0&amp;row=1672&amp;col=6&amp;number=3.8&amp;sourceID=14","3.8")</f>
        <v>3.8</v>
      </c>
      <c r="G1672" s="4" t="str">
        <f>HYPERLINK("http://141.218.60.56/~jnz1568/getInfo.php?workbook=14_11.xlsx&amp;sheet=U0&amp;row=1672&amp;col=7&amp;number=0.0341&amp;sourceID=14","0.0341")</f>
        <v>0.0341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HYPERLINK("http://141.218.60.56/~jnz1568/getInfo.php?workbook=14_11.xlsx&amp;sheet=U0&amp;row=1673&amp;col=6&amp;number=3.9&amp;sourceID=14","3.9")</f>
        <v>3.9</v>
      </c>
      <c r="G1673" s="4" t="str">
        <f>HYPERLINK("http://141.218.60.56/~jnz1568/getInfo.php?workbook=14_11.xlsx&amp;sheet=U0&amp;row=1673&amp;col=7&amp;number=0.0339&amp;sourceID=14","0.0339")</f>
        <v>0.0339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HYPERLINK("http://141.218.60.56/~jnz1568/getInfo.php?workbook=14_11.xlsx&amp;sheet=U0&amp;row=1674&amp;col=6&amp;number=4&amp;sourceID=14","4")</f>
        <v>4</v>
      </c>
      <c r="G1674" s="4" t="str">
        <f>HYPERLINK("http://141.218.60.56/~jnz1568/getInfo.php?workbook=14_11.xlsx&amp;sheet=U0&amp;row=1674&amp;col=7&amp;number=0.0338&amp;sourceID=14","0.0338")</f>
        <v>0.0338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HYPERLINK("http://141.218.60.56/~jnz1568/getInfo.php?workbook=14_11.xlsx&amp;sheet=U0&amp;row=1675&amp;col=6&amp;number=4.1&amp;sourceID=14","4.1")</f>
        <v>4.1</v>
      </c>
      <c r="G1675" s="4" t="str">
        <f>HYPERLINK("http://141.218.60.56/~jnz1568/getInfo.php?workbook=14_11.xlsx&amp;sheet=U0&amp;row=1675&amp;col=7&amp;number=0.0336&amp;sourceID=14","0.0336")</f>
        <v>0.0336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HYPERLINK("http://141.218.60.56/~jnz1568/getInfo.php?workbook=14_11.xlsx&amp;sheet=U0&amp;row=1676&amp;col=6&amp;number=4.2&amp;sourceID=14","4.2")</f>
        <v>4.2</v>
      </c>
      <c r="G1676" s="4" t="str">
        <f>HYPERLINK("http://141.218.60.56/~jnz1568/getInfo.php?workbook=14_11.xlsx&amp;sheet=U0&amp;row=1676&amp;col=7&amp;number=0.0334&amp;sourceID=14","0.0334")</f>
        <v>0.0334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HYPERLINK("http://141.218.60.56/~jnz1568/getInfo.php?workbook=14_11.xlsx&amp;sheet=U0&amp;row=1677&amp;col=6&amp;number=4.3&amp;sourceID=14","4.3")</f>
        <v>4.3</v>
      </c>
      <c r="G1677" s="4" t="str">
        <f>HYPERLINK("http://141.218.60.56/~jnz1568/getInfo.php?workbook=14_11.xlsx&amp;sheet=U0&amp;row=1677&amp;col=7&amp;number=0.0331&amp;sourceID=14","0.0331")</f>
        <v>0.0331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HYPERLINK("http://141.218.60.56/~jnz1568/getInfo.php?workbook=14_11.xlsx&amp;sheet=U0&amp;row=1678&amp;col=6&amp;number=4.4&amp;sourceID=14","4.4")</f>
        <v>4.4</v>
      </c>
      <c r="G1678" s="4" t="str">
        <f>HYPERLINK("http://141.218.60.56/~jnz1568/getInfo.php?workbook=14_11.xlsx&amp;sheet=U0&amp;row=1678&amp;col=7&amp;number=0.0327&amp;sourceID=14","0.0327")</f>
        <v>0.0327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HYPERLINK("http://141.218.60.56/~jnz1568/getInfo.php?workbook=14_11.xlsx&amp;sheet=U0&amp;row=1679&amp;col=6&amp;number=4.5&amp;sourceID=14","4.5")</f>
        <v>4.5</v>
      </c>
      <c r="G1679" s="4" t="str">
        <f>HYPERLINK("http://141.218.60.56/~jnz1568/getInfo.php?workbook=14_11.xlsx&amp;sheet=U0&amp;row=1679&amp;col=7&amp;number=0.0323&amp;sourceID=14","0.0323")</f>
        <v>0.0323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HYPERLINK("http://141.218.60.56/~jnz1568/getInfo.php?workbook=14_11.xlsx&amp;sheet=U0&amp;row=1680&amp;col=6&amp;number=4.6&amp;sourceID=14","4.6")</f>
        <v>4.6</v>
      </c>
      <c r="G1680" s="4" t="str">
        <f>HYPERLINK("http://141.218.60.56/~jnz1568/getInfo.php?workbook=14_11.xlsx&amp;sheet=U0&amp;row=1680&amp;col=7&amp;number=0.0318&amp;sourceID=14","0.0318")</f>
        <v>0.0318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HYPERLINK("http://141.218.60.56/~jnz1568/getInfo.php?workbook=14_11.xlsx&amp;sheet=U0&amp;row=1681&amp;col=6&amp;number=4.7&amp;sourceID=14","4.7")</f>
        <v>4.7</v>
      </c>
      <c r="G1681" s="4" t="str">
        <f>HYPERLINK("http://141.218.60.56/~jnz1568/getInfo.php?workbook=14_11.xlsx&amp;sheet=U0&amp;row=1681&amp;col=7&amp;number=0.0311&amp;sourceID=14","0.0311")</f>
        <v>0.0311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HYPERLINK("http://141.218.60.56/~jnz1568/getInfo.php?workbook=14_11.xlsx&amp;sheet=U0&amp;row=1682&amp;col=6&amp;number=4.8&amp;sourceID=14","4.8")</f>
        <v>4.8</v>
      </c>
      <c r="G1682" s="4" t="str">
        <f>HYPERLINK("http://141.218.60.56/~jnz1568/getInfo.php?workbook=14_11.xlsx&amp;sheet=U0&amp;row=1682&amp;col=7&amp;number=0.0303&amp;sourceID=14","0.0303")</f>
        <v>0.0303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HYPERLINK("http://141.218.60.56/~jnz1568/getInfo.php?workbook=14_11.xlsx&amp;sheet=U0&amp;row=1683&amp;col=6&amp;number=4.9&amp;sourceID=14","4.9")</f>
        <v>4.9</v>
      </c>
      <c r="G1683" s="4" t="str">
        <f>HYPERLINK("http://141.218.60.56/~jnz1568/getInfo.php?workbook=14_11.xlsx&amp;sheet=U0&amp;row=1683&amp;col=7&amp;number=0.0294&amp;sourceID=14","0.0294")</f>
        <v>0.0294</v>
      </c>
    </row>
    <row r="1684" spans="1:7">
      <c r="A1684" s="3">
        <v>14</v>
      </c>
      <c r="B1684" s="3">
        <v>11</v>
      </c>
      <c r="C1684" s="3">
        <v>1</v>
      </c>
      <c r="D1684" s="3">
        <v>17</v>
      </c>
      <c r="E1684" s="3">
        <v>1</v>
      </c>
      <c r="F1684" s="4" t="str">
        <f>HYPERLINK("http://141.218.60.56/~jnz1568/getInfo.php?workbook=14_11.xlsx&amp;sheet=U0&amp;row=1684&amp;col=6&amp;number=3&amp;sourceID=14","3")</f>
        <v>3</v>
      </c>
      <c r="G1684" s="4" t="str">
        <f>HYPERLINK("http://141.218.60.56/~jnz1568/getInfo.php?workbook=14_11.xlsx&amp;sheet=U0&amp;row=1684&amp;col=7&amp;number=0.0516&amp;sourceID=14","0.0516")</f>
        <v>0.0516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HYPERLINK("http://141.218.60.56/~jnz1568/getInfo.php?workbook=14_11.xlsx&amp;sheet=U0&amp;row=1685&amp;col=6&amp;number=3.1&amp;sourceID=14","3.1")</f>
        <v>3.1</v>
      </c>
      <c r="G1685" s="4" t="str">
        <f>HYPERLINK("http://141.218.60.56/~jnz1568/getInfo.php?workbook=14_11.xlsx&amp;sheet=U0&amp;row=1685&amp;col=7&amp;number=0.0516&amp;sourceID=14","0.0516")</f>
        <v>0.0516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HYPERLINK("http://141.218.60.56/~jnz1568/getInfo.php?workbook=14_11.xlsx&amp;sheet=U0&amp;row=1686&amp;col=6&amp;number=3.2&amp;sourceID=14","3.2")</f>
        <v>3.2</v>
      </c>
      <c r="G1686" s="4" t="str">
        <f>HYPERLINK("http://141.218.60.56/~jnz1568/getInfo.php?workbook=14_11.xlsx&amp;sheet=U0&amp;row=1686&amp;col=7&amp;number=0.0515&amp;sourceID=14","0.0515")</f>
        <v>0.0515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HYPERLINK("http://141.218.60.56/~jnz1568/getInfo.php?workbook=14_11.xlsx&amp;sheet=U0&amp;row=1687&amp;col=6&amp;number=3.3&amp;sourceID=14","3.3")</f>
        <v>3.3</v>
      </c>
      <c r="G1687" s="4" t="str">
        <f>HYPERLINK("http://141.218.60.56/~jnz1568/getInfo.php?workbook=14_11.xlsx&amp;sheet=U0&amp;row=1687&amp;col=7&amp;number=0.0515&amp;sourceID=14","0.0515")</f>
        <v>0.0515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HYPERLINK("http://141.218.60.56/~jnz1568/getInfo.php?workbook=14_11.xlsx&amp;sheet=U0&amp;row=1688&amp;col=6&amp;number=3.4&amp;sourceID=14","3.4")</f>
        <v>3.4</v>
      </c>
      <c r="G1688" s="4" t="str">
        <f>HYPERLINK("http://141.218.60.56/~jnz1568/getInfo.php?workbook=14_11.xlsx&amp;sheet=U0&amp;row=1688&amp;col=7&amp;number=0.0514&amp;sourceID=14","0.0514")</f>
        <v>0.0514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HYPERLINK("http://141.218.60.56/~jnz1568/getInfo.php?workbook=14_11.xlsx&amp;sheet=U0&amp;row=1689&amp;col=6&amp;number=3.5&amp;sourceID=14","3.5")</f>
        <v>3.5</v>
      </c>
      <c r="G1689" s="4" t="str">
        <f>HYPERLINK("http://141.218.60.56/~jnz1568/getInfo.php?workbook=14_11.xlsx&amp;sheet=U0&amp;row=1689&amp;col=7&amp;number=0.0513&amp;sourceID=14","0.0513")</f>
        <v>0.0513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HYPERLINK("http://141.218.60.56/~jnz1568/getInfo.php?workbook=14_11.xlsx&amp;sheet=U0&amp;row=1690&amp;col=6&amp;number=3.6&amp;sourceID=14","3.6")</f>
        <v>3.6</v>
      </c>
      <c r="G1690" s="4" t="str">
        <f>HYPERLINK("http://141.218.60.56/~jnz1568/getInfo.php?workbook=14_11.xlsx&amp;sheet=U0&amp;row=1690&amp;col=7&amp;number=0.0512&amp;sourceID=14","0.0512")</f>
        <v>0.0512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HYPERLINK("http://141.218.60.56/~jnz1568/getInfo.php?workbook=14_11.xlsx&amp;sheet=U0&amp;row=1691&amp;col=6&amp;number=3.7&amp;sourceID=14","3.7")</f>
        <v>3.7</v>
      </c>
      <c r="G1691" s="4" t="str">
        <f>HYPERLINK("http://141.218.60.56/~jnz1568/getInfo.php?workbook=14_11.xlsx&amp;sheet=U0&amp;row=1691&amp;col=7&amp;number=0.0511&amp;sourceID=14","0.0511")</f>
        <v>0.0511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HYPERLINK("http://141.218.60.56/~jnz1568/getInfo.php?workbook=14_11.xlsx&amp;sheet=U0&amp;row=1692&amp;col=6&amp;number=3.8&amp;sourceID=14","3.8")</f>
        <v>3.8</v>
      </c>
      <c r="G1692" s="4" t="str">
        <f>HYPERLINK("http://141.218.60.56/~jnz1568/getInfo.php?workbook=14_11.xlsx&amp;sheet=U0&amp;row=1692&amp;col=7&amp;number=0.051&amp;sourceID=14","0.051")</f>
        <v>0.051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HYPERLINK("http://141.218.60.56/~jnz1568/getInfo.php?workbook=14_11.xlsx&amp;sheet=U0&amp;row=1693&amp;col=6&amp;number=3.9&amp;sourceID=14","3.9")</f>
        <v>3.9</v>
      </c>
      <c r="G1693" s="4" t="str">
        <f>HYPERLINK("http://141.218.60.56/~jnz1568/getInfo.php?workbook=14_11.xlsx&amp;sheet=U0&amp;row=1693&amp;col=7&amp;number=0.0508&amp;sourceID=14","0.0508")</f>
        <v>0.0508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HYPERLINK("http://141.218.60.56/~jnz1568/getInfo.php?workbook=14_11.xlsx&amp;sheet=U0&amp;row=1694&amp;col=6&amp;number=4&amp;sourceID=14","4")</f>
        <v>4</v>
      </c>
      <c r="G1694" s="4" t="str">
        <f>HYPERLINK("http://141.218.60.56/~jnz1568/getInfo.php?workbook=14_11.xlsx&amp;sheet=U0&amp;row=1694&amp;col=7&amp;number=0.0506&amp;sourceID=14","0.0506")</f>
        <v>0.0506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HYPERLINK("http://141.218.60.56/~jnz1568/getInfo.php?workbook=14_11.xlsx&amp;sheet=U0&amp;row=1695&amp;col=6&amp;number=4.1&amp;sourceID=14","4.1")</f>
        <v>4.1</v>
      </c>
      <c r="G1695" s="4" t="str">
        <f>HYPERLINK("http://141.218.60.56/~jnz1568/getInfo.php?workbook=14_11.xlsx&amp;sheet=U0&amp;row=1695&amp;col=7&amp;number=0.0503&amp;sourceID=14","0.0503")</f>
        <v>0.0503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HYPERLINK("http://141.218.60.56/~jnz1568/getInfo.php?workbook=14_11.xlsx&amp;sheet=U0&amp;row=1696&amp;col=6&amp;number=4.2&amp;sourceID=14","4.2")</f>
        <v>4.2</v>
      </c>
      <c r="G1696" s="4" t="str">
        <f>HYPERLINK("http://141.218.60.56/~jnz1568/getInfo.php?workbook=14_11.xlsx&amp;sheet=U0&amp;row=1696&amp;col=7&amp;number=0.05&amp;sourceID=14","0.05")</f>
        <v>0.05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HYPERLINK("http://141.218.60.56/~jnz1568/getInfo.php?workbook=14_11.xlsx&amp;sheet=U0&amp;row=1697&amp;col=6&amp;number=4.3&amp;sourceID=14","4.3")</f>
        <v>4.3</v>
      </c>
      <c r="G1697" s="4" t="str">
        <f>HYPERLINK("http://141.218.60.56/~jnz1568/getInfo.php?workbook=14_11.xlsx&amp;sheet=U0&amp;row=1697&amp;col=7&amp;number=0.0495&amp;sourceID=14","0.0495")</f>
        <v>0.0495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HYPERLINK("http://141.218.60.56/~jnz1568/getInfo.php?workbook=14_11.xlsx&amp;sheet=U0&amp;row=1698&amp;col=6&amp;number=4.4&amp;sourceID=14","4.4")</f>
        <v>4.4</v>
      </c>
      <c r="G1698" s="4" t="str">
        <f>HYPERLINK("http://141.218.60.56/~jnz1568/getInfo.php?workbook=14_11.xlsx&amp;sheet=U0&amp;row=1698&amp;col=7&amp;number=0.049&amp;sourceID=14","0.049")</f>
        <v>0.049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HYPERLINK("http://141.218.60.56/~jnz1568/getInfo.php?workbook=14_11.xlsx&amp;sheet=U0&amp;row=1699&amp;col=6&amp;number=4.5&amp;sourceID=14","4.5")</f>
        <v>4.5</v>
      </c>
      <c r="G1699" s="4" t="str">
        <f>HYPERLINK("http://141.218.60.56/~jnz1568/getInfo.php?workbook=14_11.xlsx&amp;sheet=U0&amp;row=1699&amp;col=7&amp;number=0.0484&amp;sourceID=14","0.0484")</f>
        <v>0.0484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HYPERLINK("http://141.218.60.56/~jnz1568/getInfo.php?workbook=14_11.xlsx&amp;sheet=U0&amp;row=1700&amp;col=6&amp;number=4.6&amp;sourceID=14","4.6")</f>
        <v>4.6</v>
      </c>
      <c r="G1700" s="4" t="str">
        <f>HYPERLINK("http://141.218.60.56/~jnz1568/getInfo.php?workbook=14_11.xlsx&amp;sheet=U0&amp;row=1700&amp;col=7&amp;number=0.0476&amp;sourceID=14","0.0476")</f>
        <v>0.0476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HYPERLINK("http://141.218.60.56/~jnz1568/getInfo.php?workbook=14_11.xlsx&amp;sheet=U0&amp;row=1701&amp;col=6&amp;number=4.7&amp;sourceID=14","4.7")</f>
        <v>4.7</v>
      </c>
      <c r="G1701" s="4" t="str">
        <f>HYPERLINK("http://141.218.60.56/~jnz1568/getInfo.php?workbook=14_11.xlsx&amp;sheet=U0&amp;row=1701&amp;col=7&amp;number=0.0466&amp;sourceID=14","0.0466")</f>
        <v>0.0466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HYPERLINK("http://141.218.60.56/~jnz1568/getInfo.php?workbook=14_11.xlsx&amp;sheet=U0&amp;row=1702&amp;col=6&amp;number=4.8&amp;sourceID=14","4.8")</f>
        <v>4.8</v>
      </c>
      <c r="G1702" s="4" t="str">
        <f>HYPERLINK("http://141.218.60.56/~jnz1568/getInfo.php?workbook=14_11.xlsx&amp;sheet=U0&amp;row=1702&amp;col=7&amp;number=0.0455&amp;sourceID=14","0.0455")</f>
        <v>0.0455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HYPERLINK("http://141.218.60.56/~jnz1568/getInfo.php?workbook=14_11.xlsx&amp;sheet=U0&amp;row=1703&amp;col=6&amp;number=4.9&amp;sourceID=14","4.9")</f>
        <v>4.9</v>
      </c>
      <c r="G1703" s="4" t="str">
        <f>HYPERLINK("http://141.218.60.56/~jnz1568/getInfo.php?workbook=14_11.xlsx&amp;sheet=U0&amp;row=1703&amp;col=7&amp;number=0.0441&amp;sourceID=14","0.0441")</f>
        <v>0.0441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2015-05-05T12:54:51Z</dcterms:created>
  <dcterms:modified xsi:type="dcterms:W3CDTF">2015-05-05T12:54:51Z</dcterms:modified>
</cp:coreProperties>
</file>